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tipro\ExploracionesAndinas\public\"/>
    </mc:Choice>
  </mc:AlternateContent>
  <xr:revisionPtr revIDLastSave="0" documentId="13_ncr:1_{DC3DC588-4DD0-4C53-8DD5-FAC15B1EB66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FIGURACION" sheetId="3" r:id="rId1"/>
    <sheet name="D_CECO" sheetId="2" r:id="rId2"/>
    <sheet name="BD_MO" sheetId="1" r:id="rId3"/>
    <sheet name="Hoja1" sheetId="7" r:id="rId4"/>
  </sheets>
  <definedNames>
    <definedName name="ACT">#REF!</definedName>
    <definedName name="_xlnm.Print_Area" localSheetId="3">Hoja1!$A$3:$AL$31</definedName>
    <definedName name="BYP">#REF!</definedName>
    <definedName name="CAM">#REF!</definedName>
    <definedName name="CH">#REF!</definedName>
    <definedName name="COR">#REF!</definedName>
    <definedName name="CX">#REF!</definedName>
    <definedName name="DESC">#REF!</definedName>
    <definedName name="DH">#REF!</definedName>
    <definedName name="EST">#REF!</definedName>
    <definedName name="GAL">#REF!</definedName>
    <definedName name="INCL">#REF!</definedName>
    <definedName name="PERSONAL">#REF!</definedName>
    <definedName name="POZ">#REF!</definedName>
    <definedName name="PQ">#REF!</definedName>
    <definedName name="REC">#REF!</definedName>
    <definedName name="SNV">#REF!</definedName>
    <definedName name="TJ">#REF!</definedName>
    <definedName name="TJ_CR">#REF!</definedName>
    <definedName name="TJ_CS">#REF!</definedName>
    <definedName name="TJ_OP">#REF!</definedName>
    <definedName name="TJ_RP">#REF!</definedName>
    <definedName name="VEN">#REF!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6" i="1" l="1"/>
  <c r="H526" i="1"/>
  <c r="S526" i="1"/>
  <c r="T526" i="1"/>
  <c r="Y526" i="1"/>
  <c r="AA526" i="1"/>
  <c r="AT526" i="1" s="1"/>
  <c r="AD526" i="1"/>
  <c r="AF526" i="1"/>
  <c r="AN526" i="1"/>
  <c r="AO526" i="1"/>
  <c r="AP526" i="1"/>
  <c r="AQ526" i="1"/>
  <c r="AR526" i="1"/>
  <c r="AS526" i="1"/>
  <c r="AU526" i="1"/>
  <c r="AX526" i="1"/>
  <c r="AY526" i="1"/>
  <c r="CP526" i="1"/>
  <c r="DD526" i="1" s="1"/>
  <c r="CZ526" i="1"/>
  <c r="DA526" i="1"/>
  <c r="DB526" i="1" s="1"/>
  <c r="DM526" i="1"/>
  <c r="DP526" i="1"/>
  <c r="E527" i="1"/>
  <c r="H527" i="1"/>
  <c r="S527" i="1"/>
  <c r="T527" i="1"/>
  <c r="Y527" i="1"/>
  <c r="AA527" i="1"/>
  <c r="AT527" i="1" s="1"/>
  <c r="AD527" i="1"/>
  <c r="AN527" i="1" s="1"/>
  <c r="AF527" i="1"/>
  <c r="AO527" i="1"/>
  <c r="AP527" i="1"/>
  <c r="AQ527" i="1"/>
  <c r="AR527" i="1"/>
  <c r="AS527" i="1"/>
  <c r="AU527" i="1"/>
  <c r="AX527" i="1"/>
  <c r="AY527" i="1"/>
  <c r="CP527" i="1"/>
  <c r="DD527" i="1" s="1"/>
  <c r="CZ527" i="1"/>
  <c r="DA527" i="1"/>
  <c r="DB527" i="1" s="1"/>
  <c r="DM527" i="1"/>
  <c r="DP527" i="1"/>
  <c r="E528" i="1"/>
  <c r="H528" i="1"/>
  <c r="S528" i="1"/>
  <c r="T528" i="1"/>
  <c r="Y528" i="1"/>
  <c r="AA528" i="1"/>
  <c r="AT528" i="1" s="1"/>
  <c r="AD528" i="1"/>
  <c r="AN528" i="1" s="1"/>
  <c r="AF528" i="1"/>
  <c r="AO528" i="1"/>
  <c r="AP528" i="1"/>
  <c r="AQ528" i="1"/>
  <c r="AR528" i="1"/>
  <c r="AS528" i="1"/>
  <c r="AU528" i="1"/>
  <c r="AX528" i="1"/>
  <c r="AY528" i="1"/>
  <c r="CP528" i="1"/>
  <c r="DD528" i="1" s="1"/>
  <c r="CZ528" i="1"/>
  <c r="DA528" i="1"/>
  <c r="DB528" i="1" s="1"/>
  <c r="DM528" i="1"/>
  <c r="DP528" i="1"/>
  <c r="E529" i="1"/>
  <c r="H529" i="1"/>
  <c r="S529" i="1"/>
  <c r="T529" i="1"/>
  <c r="Y529" i="1"/>
  <c r="AA529" i="1"/>
  <c r="AT529" i="1" s="1"/>
  <c r="AD529" i="1"/>
  <c r="AN529" i="1" s="1"/>
  <c r="AO529" i="1"/>
  <c r="AQ529" i="1"/>
  <c r="AR529" i="1"/>
  <c r="AS529" i="1"/>
  <c r="AX529" i="1"/>
  <c r="AY529" i="1"/>
  <c r="CP529" i="1"/>
  <c r="DD529" i="1" s="1"/>
  <c r="CZ529" i="1"/>
  <c r="DA529" i="1"/>
  <c r="DB529" i="1" s="1"/>
  <c r="DP529" i="1"/>
  <c r="E530" i="1"/>
  <c r="H530" i="1"/>
  <c r="S530" i="1"/>
  <c r="T530" i="1"/>
  <c r="Y530" i="1"/>
  <c r="AA530" i="1"/>
  <c r="AD530" i="1"/>
  <c r="AN530" i="1" s="1"/>
  <c r="AF530" i="1"/>
  <c r="AO530" i="1"/>
  <c r="AP530" i="1"/>
  <c r="AQ530" i="1"/>
  <c r="AR530" i="1"/>
  <c r="AS530" i="1"/>
  <c r="AT530" i="1"/>
  <c r="AU530" i="1"/>
  <c r="AX530" i="1"/>
  <c r="AY530" i="1"/>
  <c r="CP530" i="1"/>
  <c r="DD530" i="1" s="1"/>
  <c r="CZ530" i="1"/>
  <c r="DA530" i="1"/>
  <c r="DB530" i="1" s="1"/>
  <c r="DM530" i="1"/>
  <c r="DP530" i="1"/>
  <c r="E531" i="1"/>
  <c r="H531" i="1"/>
  <c r="S531" i="1"/>
  <c r="T531" i="1"/>
  <c r="Y531" i="1"/>
  <c r="AA531" i="1"/>
  <c r="AT531" i="1" s="1"/>
  <c r="AD531" i="1"/>
  <c r="AN531" i="1" s="1"/>
  <c r="AO531" i="1"/>
  <c r="AQ531" i="1"/>
  <c r="AR531" i="1"/>
  <c r="AS531" i="1"/>
  <c r="AX531" i="1"/>
  <c r="AY531" i="1"/>
  <c r="CP531" i="1"/>
  <c r="DD531" i="1" s="1"/>
  <c r="CZ531" i="1"/>
  <c r="DA531" i="1"/>
  <c r="DB531" i="1" s="1"/>
  <c r="DP531" i="1"/>
  <c r="E532" i="1"/>
  <c r="H532" i="1"/>
  <c r="S532" i="1"/>
  <c r="T532" i="1"/>
  <c r="Y532" i="1"/>
  <c r="AA532" i="1"/>
  <c r="AT532" i="1" s="1"/>
  <c r="AD532" i="1"/>
  <c r="AN532" i="1" s="1"/>
  <c r="AF532" i="1"/>
  <c r="AO532" i="1"/>
  <c r="AP532" i="1"/>
  <c r="AQ532" i="1"/>
  <c r="AR532" i="1"/>
  <c r="AS532" i="1"/>
  <c r="AU532" i="1"/>
  <c r="AX532" i="1"/>
  <c r="AY532" i="1"/>
  <c r="CP532" i="1"/>
  <c r="DD532" i="1" s="1"/>
  <c r="CZ532" i="1"/>
  <c r="DA532" i="1"/>
  <c r="DB532" i="1" s="1"/>
  <c r="DM532" i="1"/>
  <c r="DP532" i="1"/>
  <c r="E533" i="1"/>
  <c r="H533" i="1"/>
  <c r="S533" i="1"/>
  <c r="T533" i="1"/>
  <c r="Y533" i="1"/>
  <c r="AA533" i="1"/>
  <c r="AD533" i="1"/>
  <c r="AN533" i="1" s="1"/>
  <c r="AF533" i="1"/>
  <c r="AO533" i="1"/>
  <c r="AP533" i="1"/>
  <c r="AQ533" i="1"/>
  <c r="AR533" i="1"/>
  <c r="AS533" i="1"/>
  <c r="AT533" i="1"/>
  <c r="AU533" i="1"/>
  <c r="AX533" i="1"/>
  <c r="AY533" i="1"/>
  <c r="CP533" i="1"/>
  <c r="DD533" i="1" s="1"/>
  <c r="CZ533" i="1"/>
  <c r="DA533" i="1"/>
  <c r="DB533" i="1" s="1"/>
  <c r="DM533" i="1"/>
  <c r="DP533" i="1"/>
  <c r="E534" i="1"/>
  <c r="H534" i="1"/>
  <c r="S534" i="1"/>
  <c r="T534" i="1"/>
  <c r="Y534" i="1"/>
  <c r="AA534" i="1"/>
  <c r="AT534" i="1" s="1"/>
  <c r="AD534" i="1"/>
  <c r="AN534" i="1" s="1"/>
  <c r="AF534" i="1"/>
  <c r="AO534" i="1"/>
  <c r="AP534" i="1"/>
  <c r="AQ534" i="1"/>
  <c r="AR534" i="1"/>
  <c r="AS534" i="1"/>
  <c r="AU534" i="1"/>
  <c r="AX534" i="1"/>
  <c r="AY534" i="1"/>
  <c r="CP534" i="1"/>
  <c r="DD534" i="1" s="1"/>
  <c r="CZ534" i="1"/>
  <c r="DA534" i="1"/>
  <c r="DB534" i="1" s="1"/>
  <c r="DM534" i="1"/>
  <c r="DP534" i="1"/>
  <c r="E535" i="1"/>
  <c r="H535" i="1"/>
  <c r="S535" i="1"/>
  <c r="T535" i="1"/>
  <c r="Y535" i="1"/>
  <c r="AA535" i="1"/>
  <c r="AD535" i="1"/>
  <c r="AN535" i="1" s="1"/>
  <c r="AF535" i="1"/>
  <c r="AO535" i="1"/>
  <c r="AP535" i="1"/>
  <c r="AQ535" i="1"/>
  <c r="AR535" i="1"/>
  <c r="AS535" i="1"/>
  <c r="AT535" i="1"/>
  <c r="AU535" i="1"/>
  <c r="AX535" i="1"/>
  <c r="AY535" i="1"/>
  <c r="CP535" i="1"/>
  <c r="DD535" i="1" s="1"/>
  <c r="CZ535" i="1"/>
  <c r="DA535" i="1"/>
  <c r="DB535" i="1" s="1"/>
  <c r="DM535" i="1"/>
  <c r="DP535" i="1"/>
  <c r="E536" i="1"/>
  <c r="H536" i="1"/>
  <c r="S536" i="1"/>
  <c r="T536" i="1"/>
  <c r="Y536" i="1"/>
  <c r="AA536" i="1"/>
  <c r="AT536" i="1" s="1"/>
  <c r="AD536" i="1"/>
  <c r="AN536" i="1" s="1"/>
  <c r="AF536" i="1"/>
  <c r="AO536" i="1"/>
  <c r="AP536" i="1"/>
  <c r="AQ536" i="1"/>
  <c r="AR536" i="1"/>
  <c r="AS536" i="1"/>
  <c r="AU536" i="1"/>
  <c r="AX536" i="1"/>
  <c r="AY536" i="1"/>
  <c r="CP536" i="1"/>
  <c r="DD536" i="1" s="1"/>
  <c r="CZ536" i="1"/>
  <c r="DA536" i="1"/>
  <c r="DB536" i="1" s="1"/>
  <c r="DM536" i="1"/>
  <c r="DP536" i="1"/>
  <c r="E537" i="1"/>
  <c r="H537" i="1"/>
  <c r="I537" i="1"/>
  <c r="J537" i="1"/>
  <c r="DI537" i="1" s="1"/>
  <c r="DR537" i="1" s="1"/>
  <c r="K537" i="1"/>
  <c r="S537" i="1"/>
  <c r="T537" i="1"/>
  <c r="Y537" i="1"/>
  <c r="AA537" i="1"/>
  <c r="AT537" i="1" s="1"/>
  <c r="AD537" i="1"/>
  <c r="AN537" i="1" s="1"/>
  <c r="AF537" i="1"/>
  <c r="AO537" i="1"/>
  <c r="AP537" i="1"/>
  <c r="AQ537" i="1"/>
  <c r="AR537" i="1"/>
  <c r="AS537" i="1"/>
  <c r="AU537" i="1"/>
  <c r="AX537" i="1"/>
  <c r="AY537" i="1"/>
  <c r="CP537" i="1"/>
  <c r="DD537" i="1" s="1"/>
  <c r="CZ537" i="1"/>
  <c r="DC537" i="1" s="1"/>
  <c r="DA537" i="1"/>
  <c r="DB537" i="1" s="1"/>
  <c r="DM537" i="1"/>
  <c r="DP537" i="1"/>
  <c r="E538" i="1"/>
  <c r="H538" i="1"/>
  <c r="I538" i="1"/>
  <c r="J538" i="1"/>
  <c r="DN538" i="1" s="1"/>
  <c r="K538" i="1"/>
  <c r="S538" i="1"/>
  <c r="T538" i="1"/>
  <c r="Y538" i="1"/>
  <c r="AA538" i="1"/>
  <c r="AT538" i="1" s="1"/>
  <c r="AD538" i="1"/>
  <c r="AN538" i="1" s="1"/>
  <c r="AF538" i="1"/>
  <c r="AO538" i="1"/>
  <c r="AP538" i="1"/>
  <c r="AQ538" i="1"/>
  <c r="AR538" i="1"/>
  <c r="AS538" i="1"/>
  <c r="AU538" i="1"/>
  <c r="AX538" i="1"/>
  <c r="AY538" i="1"/>
  <c r="CP538" i="1"/>
  <c r="CZ538" i="1"/>
  <c r="DA538" i="1"/>
  <c r="DB538" i="1"/>
  <c r="DC538" i="1"/>
  <c r="DD538" i="1"/>
  <c r="DM538" i="1"/>
  <c r="DP538" i="1"/>
  <c r="E539" i="1"/>
  <c r="H539" i="1"/>
  <c r="I539" i="1"/>
  <c r="J539" i="1"/>
  <c r="DI539" i="1" s="1"/>
  <c r="DR539" i="1" s="1"/>
  <c r="K539" i="1"/>
  <c r="S539" i="1"/>
  <c r="T539" i="1"/>
  <c r="Y539" i="1"/>
  <c r="AA539" i="1"/>
  <c r="AD539" i="1"/>
  <c r="AN539" i="1" s="1"/>
  <c r="AF539" i="1"/>
  <c r="AO539" i="1"/>
  <c r="AP539" i="1"/>
  <c r="AQ539" i="1"/>
  <c r="AR539" i="1"/>
  <c r="AS539" i="1"/>
  <c r="AT539" i="1"/>
  <c r="AU539" i="1"/>
  <c r="AX539" i="1"/>
  <c r="AY539" i="1"/>
  <c r="CP539" i="1"/>
  <c r="CZ539" i="1"/>
  <c r="DA539" i="1"/>
  <c r="DB539" i="1"/>
  <c r="DC539" i="1"/>
  <c r="DD539" i="1"/>
  <c r="DM539" i="1"/>
  <c r="DP539" i="1"/>
  <c r="E524" i="1"/>
  <c r="H524" i="1"/>
  <c r="S524" i="1"/>
  <c r="T524" i="1"/>
  <c r="Y524" i="1"/>
  <c r="AA524" i="1"/>
  <c r="AT524" i="1" s="1"/>
  <c r="AD524" i="1"/>
  <c r="AN524" i="1" s="1"/>
  <c r="AO524" i="1"/>
  <c r="AQ524" i="1"/>
  <c r="AR524" i="1"/>
  <c r="AS524" i="1"/>
  <c r="AX524" i="1"/>
  <c r="AY524" i="1"/>
  <c r="CP524" i="1"/>
  <c r="DD524" i="1" s="1"/>
  <c r="CZ524" i="1"/>
  <c r="DA524" i="1"/>
  <c r="DB524" i="1" s="1"/>
  <c r="DP524" i="1"/>
  <c r="E523" i="1"/>
  <c r="H523" i="1"/>
  <c r="S523" i="1"/>
  <c r="T523" i="1"/>
  <c r="Y523" i="1"/>
  <c r="AA523" i="1"/>
  <c r="AT523" i="1" s="1"/>
  <c r="AD523" i="1"/>
  <c r="AN523" i="1" s="1"/>
  <c r="AO523" i="1"/>
  <c r="AQ523" i="1"/>
  <c r="AR523" i="1"/>
  <c r="AS523" i="1"/>
  <c r="AX523" i="1"/>
  <c r="AY523" i="1"/>
  <c r="CP523" i="1"/>
  <c r="DD523" i="1" s="1"/>
  <c r="CZ523" i="1"/>
  <c r="DA523" i="1"/>
  <c r="DB523" i="1" s="1"/>
  <c r="DP523" i="1"/>
  <c r="E525" i="1"/>
  <c r="H525" i="1"/>
  <c r="S525" i="1"/>
  <c r="T525" i="1"/>
  <c r="Y525" i="1"/>
  <c r="AA525" i="1"/>
  <c r="AT525" i="1" s="1"/>
  <c r="AD525" i="1"/>
  <c r="AN525" i="1" s="1"/>
  <c r="AF525" i="1"/>
  <c r="AO525" i="1"/>
  <c r="AP525" i="1"/>
  <c r="AQ525" i="1"/>
  <c r="AR525" i="1"/>
  <c r="AS525" i="1"/>
  <c r="AU525" i="1"/>
  <c r="AX525" i="1"/>
  <c r="AY525" i="1"/>
  <c r="CP525" i="1"/>
  <c r="DD525" i="1" s="1"/>
  <c r="CZ525" i="1"/>
  <c r="DA525" i="1"/>
  <c r="DB525" i="1" s="1"/>
  <c r="DM525" i="1"/>
  <c r="DP525" i="1"/>
  <c r="E540" i="1"/>
  <c r="H540" i="1"/>
  <c r="I540" i="1"/>
  <c r="J540" i="1"/>
  <c r="DI540" i="1" s="1"/>
  <c r="DR540" i="1" s="1"/>
  <c r="K540" i="1"/>
  <c r="S540" i="1"/>
  <c r="T540" i="1"/>
  <c r="Y540" i="1"/>
  <c r="AA540" i="1"/>
  <c r="AT540" i="1" s="1"/>
  <c r="AD540" i="1"/>
  <c r="AN540" i="1" s="1"/>
  <c r="AF540" i="1"/>
  <c r="AO540" i="1"/>
  <c r="AP540" i="1"/>
  <c r="AQ540" i="1"/>
  <c r="AR540" i="1"/>
  <c r="AS540" i="1"/>
  <c r="AU540" i="1"/>
  <c r="AX540" i="1"/>
  <c r="AY540" i="1"/>
  <c r="CP540" i="1"/>
  <c r="CZ540" i="1"/>
  <c r="DA540" i="1"/>
  <c r="DB540" i="1"/>
  <c r="DC540" i="1"/>
  <c r="DD540" i="1"/>
  <c r="DM540" i="1"/>
  <c r="DP540" i="1"/>
  <c r="DC529" i="1" l="1"/>
  <c r="AU524" i="1"/>
  <c r="AF524" i="1"/>
  <c r="AP524" i="1" s="1"/>
  <c r="AU531" i="1"/>
  <c r="AF531" i="1"/>
  <c r="AP531" i="1" s="1"/>
  <c r="DC523" i="1"/>
  <c r="AU523" i="1"/>
  <c r="AU529" i="1"/>
  <c r="DL539" i="1"/>
  <c r="DN540" i="1"/>
  <c r="DC524" i="1"/>
  <c r="DC532" i="1"/>
  <c r="AF529" i="1"/>
  <c r="AP529" i="1" s="1"/>
  <c r="AF523" i="1"/>
  <c r="AP523" i="1" s="1"/>
  <c r="DL538" i="1"/>
  <c r="DC531" i="1"/>
  <c r="DC530" i="1"/>
  <c r="DC534" i="1"/>
  <c r="DC526" i="1"/>
  <c r="DC527" i="1"/>
  <c r="DC525" i="1"/>
  <c r="DC528" i="1"/>
  <c r="DC533" i="1"/>
  <c r="DC535" i="1"/>
  <c r="DI538" i="1"/>
  <c r="DR538" i="1" s="1"/>
  <c r="DN539" i="1"/>
  <c r="DN537" i="1"/>
  <c r="DL540" i="1"/>
  <c r="DC536" i="1"/>
  <c r="DL537" i="1"/>
  <c r="DP489" i="1"/>
  <c r="DP488" i="1"/>
  <c r="AD433" i="1" l="1"/>
  <c r="DP410" i="1" l="1"/>
  <c r="DP411" i="1"/>
  <c r="DP405" i="1"/>
  <c r="DP401" i="1"/>
  <c r="DP393" i="1"/>
  <c r="DR503" i="1" l="1"/>
  <c r="DR504" i="1"/>
  <c r="DR505" i="1"/>
  <c r="DR506" i="1"/>
  <c r="DR507" i="1"/>
  <c r="DR508" i="1"/>
  <c r="DR509" i="1"/>
  <c r="DR510" i="1"/>
  <c r="DR511" i="1"/>
  <c r="DR512" i="1"/>
  <c r="DR513" i="1"/>
  <c r="DR514" i="1"/>
  <c r="DR515" i="1"/>
  <c r="DR516" i="1"/>
  <c r="DR517" i="1"/>
  <c r="DR518" i="1"/>
  <c r="DR519" i="1"/>
  <c r="DR520" i="1"/>
  <c r="DR521" i="1"/>
  <c r="DR522" i="1"/>
  <c r="DR541" i="1"/>
  <c r="DR396" i="1"/>
  <c r="DR397" i="1"/>
  <c r="DR398" i="1"/>
  <c r="DR399" i="1"/>
  <c r="DR400" i="1"/>
  <c r="DR401" i="1"/>
  <c r="DR402" i="1"/>
  <c r="DR403" i="1"/>
  <c r="DR405" i="1"/>
  <c r="DR406" i="1"/>
  <c r="DR407" i="1"/>
  <c r="DR408" i="1"/>
  <c r="DR409" i="1"/>
  <c r="DR410" i="1"/>
  <c r="DR411" i="1"/>
  <c r="DR414" i="1"/>
  <c r="DR415" i="1"/>
  <c r="DR416" i="1"/>
  <c r="DR417" i="1"/>
  <c r="DR418" i="1"/>
  <c r="DR419" i="1"/>
  <c r="DR424" i="1"/>
  <c r="DR425" i="1"/>
  <c r="DR426" i="1"/>
  <c r="DR427" i="1"/>
  <c r="DR428" i="1"/>
  <c r="DR429" i="1"/>
  <c r="DR430" i="1"/>
  <c r="DR434" i="1"/>
  <c r="DR435" i="1"/>
  <c r="DR436" i="1"/>
  <c r="DR437" i="1"/>
  <c r="DR438" i="1"/>
  <c r="DR439" i="1"/>
  <c r="DR443" i="1"/>
  <c r="DR444" i="1"/>
  <c r="DR445" i="1"/>
  <c r="DR446" i="1"/>
  <c r="DR447" i="1"/>
  <c r="DR448" i="1"/>
  <c r="DR449" i="1"/>
  <c r="DR452" i="1"/>
  <c r="DR453" i="1"/>
  <c r="DR454" i="1"/>
  <c r="DR455" i="1"/>
  <c r="DR456" i="1"/>
  <c r="DR457" i="1"/>
  <c r="DR458" i="1"/>
  <c r="DR459" i="1"/>
  <c r="DR462" i="1"/>
  <c r="DR463" i="1"/>
  <c r="DR464" i="1"/>
  <c r="DR465" i="1"/>
  <c r="DR466" i="1"/>
  <c r="DR467" i="1"/>
  <c r="DR468" i="1"/>
  <c r="DR469" i="1"/>
  <c r="DR470" i="1"/>
  <c r="DR473" i="1"/>
  <c r="DR474" i="1"/>
  <c r="DR475" i="1"/>
  <c r="DR476" i="1"/>
  <c r="DR477" i="1"/>
  <c r="DR478" i="1"/>
  <c r="DR479" i="1"/>
  <c r="DR481" i="1"/>
  <c r="DR483" i="1"/>
  <c r="DR484" i="1"/>
  <c r="DR485" i="1"/>
  <c r="DR486" i="1"/>
  <c r="DR487" i="1"/>
  <c r="DR488" i="1"/>
  <c r="DR489" i="1"/>
  <c r="DR491" i="1"/>
  <c r="DR492" i="1"/>
  <c r="DR493" i="1"/>
  <c r="DR494" i="1"/>
  <c r="DR495" i="1"/>
  <c r="DR496" i="1"/>
  <c r="DR497" i="1"/>
  <c r="DR498" i="1"/>
  <c r="DR499" i="1"/>
  <c r="DR500" i="1"/>
  <c r="DR501" i="1"/>
  <c r="DR502" i="1"/>
  <c r="A6033" i="2" l="1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B6046" i="2"/>
  <c r="C6033" i="2"/>
  <c r="B6033" i="2" s="1"/>
  <c r="C6034" i="2"/>
  <c r="B6034" i="2" s="1"/>
  <c r="C6035" i="2"/>
  <c r="B6035" i="2" s="1"/>
  <c r="C6036" i="2"/>
  <c r="B6036" i="2" s="1"/>
  <c r="C6037" i="2"/>
  <c r="B6037" i="2" s="1"/>
  <c r="C6038" i="2"/>
  <c r="B6038" i="2" s="1"/>
  <c r="C6039" i="2"/>
  <c r="B6039" i="2" s="1"/>
  <c r="C6040" i="2"/>
  <c r="B6040" i="2" s="1"/>
  <c r="C6041" i="2"/>
  <c r="B6041" i="2" s="1"/>
  <c r="C6042" i="2"/>
  <c r="B6042" i="2" s="1"/>
  <c r="C6043" i="2"/>
  <c r="B6043" i="2" s="1"/>
  <c r="C6044" i="2"/>
  <c r="B6044" i="2" s="1"/>
  <c r="C6045" i="2"/>
  <c r="B6045" i="2" s="1"/>
  <c r="C6046" i="2"/>
  <c r="C6047" i="2"/>
  <c r="B6047" i="2" s="1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H6033" i="2"/>
  <c r="H6034" i="2"/>
  <c r="H6038" i="2"/>
  <c r="H6039" i="2"/>
  <c r="H6042" i="2"/>
  <c r="H6043" i="2"/>
  <c r="H6044" i="2"/>
  <c r="H6046" i="2"/>
  <c r="H6047" i="2"/>
  <c r="H6035" i="2" l="1"/>
  <c r="H6045" i="2"/>
  <c r="H6041" i="2"/>
  <c r="H6040" i="2"/>
  <c r="H6037" i="2"/>
  <c r="H6036" i="2"/>
  <c r="E507" i="1"/>
  <c r="H507" i="1"/>
  <c r="S507" i="1"/>
  <c r="Y507" i="1"/>
  <c r="AA507" i="1"/>
  <c r="AT507" i="1" s="1"/>
  <c r="AD507" i="1"/>
  <c r="AF507" i="1" s="1"/>
  <c r="AP507" i="1" s="1"/>
  <c r="AO507" i="1"/>
  <c r="AQ507" i="1"/>
  <c r="AR507" i="1"/>
  <c r="AS507" i="1"/>
  <c r="AX507" i="1"/>
  <c r="AY507" i="1"/>
  <c r="CP507" i="1"/>
  <c r="DD507" i="1" s="1"/>
  <c r="CZ507" i="1"/>
  <c r="DA507" i="1"/>
  <c r="DB507" i="1" s="1"/>
  <c r="DP507" i="1"/>
  <c r="CZ488" i="1"/>
  <c r="DA488" i="1"/>
  <c r="DB488" i="1" s="1"/>
  <c r="CZ489" i="1"/>
  <c r="DA489" i="1"/>
  <c r="DB489" i="1" s="1"/>
  <c r="CP488" i="1"/>
  <c r="DD488" i="1" s="1"/>
  <c r="CP489" i="1"/>
  <c r="DD489" i="1" s="1"/>
  <c r="CP490" i="1"/>
  <c r="AA488" i="1"/>
  <c r="AT488" i="1" s="1"/>
  <c r="AD488" i="1"/>
  <c r="AF488" i="1" s="1"/>
  <c r="AP488" i="1" s="1"/>
  <c r="AO488" i="1"/>
  <c r="AQ488" i="1"/>
  <c r="AR488" i="1"/>
  <c r="AS488" i="1"/>
  <c r="AA489" i="1"/>
  <c r="AT489" i="1" s="1"/>
  <c r="AD489" i="1"/>
  <c r="AF489" i="1" s="1"/>
  <c r="AP489" i="1" s="1"/>
  <c r="AO489" i="1"/>
  <c r="AQ489" i="1"/>
  <c r="AR489" i="1"/>
  <c r="AS489" i="1"/>
  <c r="AA490" i="1"/>
  <c r="Y488" i="1"/>
  <c r="Y489" i="1"/>
  <c r="T488" i="1"/>
  <c r="T489" i="1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C6021" i="2"/>
  <c r="B6021" i="2" s="1"/>
  <c r="C6022" i="2"/>
  <c r="B6022" i="2" s="1"/>
  <c r="C6023" i="2"/>
  <c r="B6023" i="2" s="1"/>
  <c r="C6024" i="2"/>
  <c r="B6024" i="2" s="1"/>
  <c r="C6025" i="2"/>
  <c r="B6025" i="2" s="1"/>
  <c r="C6026" i="2"/>
  <c r="B6026" i="2" s="1"/>
  <c r="C6027" i="2"/>
  <c r="B6027" i="2" s="1"/>
  <c r="C6028" i="2"/>
  <c r="B6028" i="2" s="1"/>
  <c r="C6029" i="2"/>
  <c r="B6029" i="2" s="1"/>
  <c r="C6030" i="2"/>
  <c r="B6030" i="2" s="1"/>
  <c r="C6031" i="2"/>
  <c r="B6031" i="2" s="1"/>
  <c r="C6032" i="2"/>
  <c r="B6032" i="2" s="1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H6021" i="2"/>
  <c r="H6023" i="2"/>
  <c r="H6024" i="2"/>
  <c r="H6031" i="2"/>
  <c r="H6032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C6007" i="2"/>
  <c r="B6007" i="2" s="1"/>
  <c r="C6008" i="2"/>
  <c r="H6008" i="2" s="1"/>
  <c r="C6009" i="2"/>
  <c r="B6009" i="2" s="1"/>
  <c r="C6010" i="2"/>
  <c r="B6010" i="2" s="1"/>
  <c r="C6011" i="2"/>
  <c r="B6011" i="2" s="1"/>
  <c r="C6012" i="2"/>
  <c r="B6012" i="2" s="1"/>
  <c r="C6013" i="2"/>
  <c r="B6013" i="2" s="1"/>
  <c r="C6014" i="2"/>
  <c r="B6014" i="2" s="1"/>
  <c r="C6015" i="2"/>
  <c r="B6015" i="2" s="1"/>
  <c r="C6016" i="2"/>
  <c r="H6016" i="2" s="1"/>
  <c r="C6017" i="2"/>
  <c r="B6017" i="2" s="1"/>
  <c r="C6018" i="2"/>
  <c r="B6018" i="2" s="1"/>
  <c r="C6019" i="2"/>
  <c r="B6019" i="2" s="1"/>
  <c r="C6020" i="2"/>
  <c r="B6020" i="2" s="1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H6009" i="2"/>
  <c r="H6019" i="2" l="1"/>
  <c r="H6027" i="2"/>
  <c r="H6012" i="2"/>
  <c r="H6011" i="2"/>
  <c r="H6013" i="2"/>
  <c r="H6028" i="2"/>
  <c r="DC507" i="1"/>
  <c r="H6020" i="2"/>
  <c r="H6030" i="2"/>
  <c r="H6026" i="2"/>
  <c r="H6017" i="2"/>
  <c r="B6016" i="2"/>
  <c r="H6007" i="2"/>
  <c r="H6029" i="2"/>
  <c r="H6025" i="2"/>
  <c r="AU507" i="1"/>
  <c r="AN507" i="1"/>
  <c r="DC488" i="1"/>
  <c r="DC489" i="1"/>
  <c r="AU489" i="1"/>
  <c r="AU488" i="1"/>
  <c r="AN488" i="1"/>
  <c r="AN489" i="1"/>
  <c r="H6022" i="2"/>
  <c r="H6015" i="2"/>
  <c r="B6008" i="2"/>
  <c r="H6018" i="2"/>
  <c r="H6014" i="2"/>
  <c r="H6010" i="2"/>
  <c r="H488" i="1" l="1"/>
  <c r="H489" i="1"/>
  <c r="E488" i="1"/>
  <c r="E491" i="1"/>
  <c r="H491" i="1"/>
  <c r="S491" i="1"/>
  <c r="T491" i="1"/>
  <c r="Y491" i="1"/>
  <c r="AA491" i="1"/>
  <c r="AT491" i="1" s="1"/>
  <c r="AD491" i="1"/>
  <c r="AN491" i="1" s="1"/>
  <c r="AF491" i="1"/>
  <c r="AO491" i="1"/>
  <c r="AP491" i="1"/>
  <c r="AQ491" i="1"/>
  <c r="AR491" i="1"/>
  <c r="AS491" i="1"/>
  <c r="AU491" i="1"/>
  <c r="AX491" i="1"/>
  <c r="AY491" i="1"/>
  <c r="CP491" i="1"/>
  <c r="DD491" i="1" s="1"/>
  <c r="CZ491" i="1"/>
  <c r="DA491" i="1"/>
  <c r="DB491" i="1" s="1"/>
  <c r="DM491" i="1"/>
  <c r="DP491" i="1"/>
  <c r="E492" i="1"/>
  <c r="H492" i="1"/>
  <c r="S492" i="1"/>
  <c r="T492" i="1"/>
  <c r="Y492" i="1"/>
  <c r="AA492" i="1"/>
  <c r="AD492" i="1"/>
  <c r="AN492" i="1" s="1"/>
  <c r="AF492" i="1"/>
  <c r="AO492" i="1"/>
  <c r="AP492" i="1"/>
  <c r="AQ492" i="1"/>
  <c r="AR492" i="1"/>
  <c r="AS492" i="1"/>
  <c r="AT492" i="1"/>
  <c r="AU492" i="1"/>
  <c r="AX492" i="1"/>
  <c r="AY492" i="1"/>
  <c r="CP492" i="1"/>
  <c r="DD492" i="1" s="1"/>
  <c r="CZ492" i="1"/>
  <c r="DA492" i="1"/>
  <c r="DB492" i="1" s="1"/>
  <c r="DM492" i="1"/>
  <c r="DP492" i="1"/>
  <c r="E493" i="1"/>
  <c r="H493" i="1"/>
  <c r="S493" i="1"/>
  <c r="T493" i="1"/>
  <c r="Y493" i="1"/>
  <c r="AA493" i="1"/>
  <c r="AT493" i="1" s="1"/>
  <c r="AD493" i="1"/>
  <c r="AN493" i="1" s="1"/>
  <c r="AF493" i="1"/>
  <c r="AO493" i="1"/>
  <c r="AP493" i="1"/>
  <c r="AQ493" i="1"/>
  <c r="AR493" i="1"/>
  <c r="AS493" i="1"/>
  <c r="AU493" i="1"/>
  <c r="AX493" i="1"/>
  <c r="AY493" i="1"/>
  <c r="CP493" i="1"/>
  <c r="DD493" i="1" s="1"/>
  <c r="CZ493" i="1"/>
  <c r="DA493" i="1"/>
  <c r="DB493" i="1" s="1"/>
  <c r="DM493" i="1"/>
  <c r="DP493" i="1"/>
  <c r="E494" i="1"/>
  <c r="H494" i="1"/>
  <c r="S494" i="1"/>
  <c r="T494" i="1"/>
  <c r="Y494" i="1"/>
  <c r="AA494" i="1"/>
  <c r="AT494" i="1" s="1"/>
  <c r="AD494" i="1"/>
  <c r="AN494" i="1" s="1"/>
  <c r="AF494" i="1"/>
  <c r="AO494" i="1"/>
  <c r="AP494" i="1"/>
  <c r="AQ494" i="1"/>
  <c r="AR494" i="1"/>
  <c r="AS494" i="1"/>
  <c r="AU494" i="1"/>
  <c r="AX494" i="1"/>
  <c r="AY494" i="1"/>
  <c r="CP494" i="1"/>
  <c r="DD494" i="1" s="1"/>
  <c r="CZ494" i="1"/>
  <c r="DA494" i="1"/>
  <c r="DB494" i="1" s="1"/>
  <c r="DM494" i="1"/>
  <c r="DP494" i="1"/>
  <c r="E495" i="1"/>
  <c r="H495" i="1"/>
  <c r="S495" i="1"/>
  <c r="T495" i="1"/>
  <c r="Y495" i="1"/>
  <c r="AA495" i="1"/>
  <c r="AT495" i="1" s="1"/>
  <c r="AD495" i="1"/>
  <c r="AN495" i="1" s="1"/>
  <c r="AF495" i="1"/>
  <c r="AO495" i="1"/>
  <c r="AP495" i="1"/>
  <c r="AQ495" i="1"/>
  <c r="AR495" i="1"/>
  <c r="AS495" i="1"/>
  <c r="AU495" i="1"/>
  <c r="AX495" i="1"/>
  <c r="AY495" i="1"/>
  <c r="CP495" i="1"/>
  <c r="DD495" i="1" s="1"/>
  <c r="CZ495" i="1"/>
  <c r="DA495" i="1"/>
  <c r="DB495" i="1" s="1"/>
  <c r="DM495" i="1"/>
  <c r="DP495" i="1"/>
  <c r="E496" i="1"/>
  <c r="H496" i="1"/>
  <c r="S496" i="1"/>
  <c r="T496" i="1"/>
  <c r="Y496" i="1"/>
  <c r="AA496" i="1"/>
  <c r="AT496" i="1" s="1"/>
  <c r="AD496" i="1"/>
  <c r="AN496" i="1" s="1"/>
  <c r="AO496" i="1"/>
  <c r="AQ496" i="1"/>
  <c r="AR496" i="1"/>
  <c r="AS496" i="1"/>
  <c r="AX496" i="1"/>
  <c r="AY496" i="1"/>
  <c r="CP496" i="1"/>
  <c r="DD496" i="1" s="1"/>
  <c r="CZ496" i="1"/>
  <c r="DA496" i="1"/>
  <c r="DB496" i="1" s="1"/>
  <c r="DP496" i="1"/>
  <c r="E497" i="1"/>
  <c r="H497" i="1"/>
  <c r="S497" i="1"/>
  <c r="T497" i="1"/>
  <c r="Y497" i="1"/>
  <c r="AA497" i="1"/>
  <c r="AT497" i="1" s="1"/>
  <c r="AD497" i="1"/>
  <c r="AN497" i="1" s="1"/>
  <c r="AO497" i="1"/>
  <c r="AQ497" i="1"/>
  <c r="AR497" i="1"/>
  <c r="AS497" i="1"/>
  <c r="AX497" i="1"/>
  <c r="AY497" i="1"/>
  <c r="CP497" i="1"/>
  <c r="DD497" i="1" s="1"/>
  <c r="CZ497" i="1"/>
  <c r="DA497" i="1"/>
  <c r="DB497" i="1" s="1"/>
  <c r="DP497" i="1"/>
  <c r="E498" i="1"/>
  <c r="H498" i="1"/>
  <c r="S498" i="1"/>
  <c r="T498" i="1"/>
  <c r="Y498" i="1"/>
  <c r="AA498" i="1"/>
  <c r="AT498" i="1" s="1"/>
  <c r="AD498" i="1"/>
  <c r="AN498" i="1" s="1"/>
  <c r="AF498" i="1"/>
  <c r="AO498" i="1"/>
  <c r="AP498" i="1"/>
  <c r="AQ498" i="1"/>
  <c r="AR498" i="1"/>
  <c r="AS498" i="1"/>
  <c r="AU498" i="1"/>
  <c r="AX498" i="1"/>
  <c r="AY498" i="1"/>
  <c r="CP498" i="1"/>
  <c r="DD498" i="1" s="1"/>
  <c r="CZ498" i="1"/>
  <c r="DA498" i="1"/>
  <c r="DB498" i="1" s="1"/>
  <c r="DP498" i="1"/>
  <c r="E499" i="1"/>
  <c r="H499" i="1"/>
  <c r="S499" i="1"/>
  <c r="T499" i="1"/>
  <c r="Y499" i="1"/>
  <c r="AA499" i="1"/>
  <c r="AT499" i="1" s="1"/>
  <c r="AD499" i="1"/>
  <c r="AN499" i="1" s="1"/>
  <c r="AF499" i="1"/>
  <c r="AO499" i="1"/>
  <c r="AP499" i="1"/>
  <c r="AQ499" i="1"/>
  <c r="AR499" i="1"/>
  <c r="AS499" i="1"/>
  <c r="AU499" i="1"/>
  <c r="AX499" i="1"/>
  <c r="AY499" i="1"/>
  <c r="CP499" i="1"/>
  <c r="DD499" i="1" s="1"/>
  <c r="CZ499" i="1"/>
  <c r="DA499" i="1"/>
  <c r="DB499" i="1" s="1"/>
  <c r="DM499" i="1"/>
  <c r="DP499" i="1"/>
  <c r="E500" i="1"/>
  <c r="H500" i="1"/>
  <c r="S500" i="1"/>
  <c r="T500" i="1"/>
  <c r="Y500" i="1"/>
  <c r="AA500" i="1"/>
  <c r="AT500" i="1" s="1"/>
  <c r="AD500" i="1"/>
  <c r="AN500" i="1" s="1"/>
  <c r="AF500" i="1"/>
  <c r="AO500" i="1"/>
  <c r="AP500" i="1"/>
  <c r="AQ500" i="1"/>
  <c r="AR500" i="1"/>
  <c r="AS500" i="1"/>
  <c r="AU500" i="1"/>
  <c r="AX500" i="1"/>
  <c r="AY500" i="1"/>
  <c r="CP500" i="1"/>
  <c r="DD500" i="1" s="1"/>
  <c r="CZ500" i="1"/>
  <c r="DA500" i="1"/>
  <c r="DB500" i="1" s="1"/>
  <c r="DM500" i="1"/>
  <c r="DP500" i="1"/>
  <c r="E501" i="1"/>
  <c r="H501" i="1"/>
  <c r="S501" i="1"/>
  <c r="T501" i="1"/>
  <c r="Y501" i="1"/>
  <c r="AA501" i="1"/>
  <c r="AT501" i="1" s="1"/>
  <c r="AD501" i="1"/>
  <c r="AN501" i="1" s="1"/>
  <c r="AF501" i="1"/>
  <c r="AO501" i="1"/>
  <c r="AP501" i="1"/>
  <c r="AQ501" i="1"/>
  <c r="AR501" i="1"/>
  <c r="AS501" i="1"/>
  <c r="AU501" i="1"/>
  <c r="AX501" i="1"/>
  <c r="AY501" i="1"/>
  <c r="CP501" i="1"/>
  <c r="DD501" i="1" s="1"/>
  <c r="CZ501" i="1"/>
  <c r="DA501" i="1"/>
  <c r="DB501" i="1" s="1"/>
  <c r="DM501" i="1"/>
  <c r="DP501" i="1"/>
  <c r="E502" i="1"/>
  <c r="H502" i="1"/>
  <c r="S502" i="1"/>
  <c r="T502" i="1"/>
  <c r="Y502" i="1"/>
  <c r="AA502" i="1"/>
  <c r="AT502" i="1" s="1"/>
  <c r="AD502" i="1"/>
  <c r="AN502" i="1" s="1"/>
  <c r="AF502" i="1"/>
  <c r="AO502" i="1"/>
  <c r="AP502" i="1"/>
  <c r="AQ502" i="1"/>
  <c r="AR502" i="1"/>
  <c r="AS502" i="1"/>
  <c r="AU502" i="1"/>
  <c r="AX502" i="1"/>
  <c r="AY502" i="1"/>
  <c r="CP502" i="1"/>
  <c r="DD502" i="1" s="1"/>
  <c r="CZ502" i="1"/>
  <c r="DA502" i="1"/>
  <c r="DB502" i="1" s="1"/>
  <c r="DM502" i="1"/>
  <c r="DP502" i="1"/>
  <c r="E503" i="1"/>
  <c r="H503" i="1"/>
  <c r="S503" i="1"/>
  <c r="T503" i="1"/>
  <c r="Y503" i="1"/>
  <c r="AA503" i="1"/>
  <c r="AT503" i="1" s="1"/>
  <c r="AD503" i="1"/>
  <c r="AN503" i="1" s="1"/>
  <c r="AF503" i="1"/>
  <c r="AO503" i="1"/>
  <c r="AP503" i="1"/>
  <c r="AQ503" i="1"/>
  <c r="AR503" i="1"/>
  <c r="AS503" i="1"/>
  <c r="AU503" i="1"/>
  <c r="AX503" i="1"/>
  <c r="AY503" i="1"/>
  <c r="CP503" i="1"/>
  <c r="DD503" i="1" s="1"/>
  <c r="CZ503" i="1"/>
  <c r="DA503" i="1"/>
  <c r="DB503" i="1" s="1"/>
  <c r="DM503" i="1"/>
  <c r="DP503" i="1"/>
  <c r="E504" i="1"/>
  <c r="H504" i="1"/>
  <c r="S504" i="1"/>
  <c r="T504" i="1"/>
  <c r="Y504" i="1"/>
  <c r="AA504" i="1"/>
  <c r="AT504" i="1" s="1"/>
  <c r="AD504" i="1"/>
  <c r="AN504" i="1" s="1"/>
  <c r="AF504" i="1"/>
  <c r="AO504" i="1"/>
  <c r="AP504" i="1"/>
  <c r="AQ504" i="1"/>
  <c r="AR504" i="1"/>
  <c r="AS504" i="1"/>
  <c r="AU504" i="1"/>
  <c r="AX504" i="1"/>
  <c r="AY504" i="1"/>
  <c r="CP504" i="1"/>
  <c r="DD504" i="1" s="1"/>
  <c r="CZ504" i="1"/>
  <c r="DA504" i="1"/>
  <c r="DB504" i="1" s="1"/>
  <c r="DM504" i="1"/>
  <c r="DP504" i="1"/>
  <c r="E505" i="1"/>
  <c r="H505" i="1"/>
  <c r="S505" i="1"/>
  <c r="T505" i="1"/>
  <c r="Y505" i="1"/>
  <c r="AA505" i="1"/>
  <c r="AT505" i="1" s="1"/>
  <c r="AD505" i="1"/>
  <c r="AN505" i="1" s="1"/>
  <c r="AF505" i="1"/>
  <c r="AO505" i="1"/>
  <c r="AP505" i="1"/>
  <c r="AQ505" i="1"/>
  <c r="AR505" i="1"/>
  <c r="AS505" i="1"/>
  <c r="AU505" i="1"/>
  <c r="AX505" i="1"/>
  <c r="AY505" i="1"/>
  <c r="CP505" i="1"/>
  <c r="DD505" i="1" s="1"/>
  <c r="CZ505" i="1"/>
  <c r="DA505" i="1"/>
  <c r="DB505" i="1" s="1"/>
  <c r="DM505" i="1"/>
  <c r="DP505" i="1"/>
  <c r="E506" i="1"/>
  <c r="H506" i="1"/>
  <c r="S506" i="1"/>
  <c r="T506" i="1"/>
  <c r="Y506" i="1"/>
  <c r="AA506" i="1"/>
  <c r="AT506" i="1" s="1"/>
  <c r="AD506" i="1"/>
  <c r="AN506" i="1" s="1"/>
  <c r="AF506" i="1"/>
  <c r="AO506" i="1"/>
  <c r="AP506" i="1"/>
  <c r="AQ506" i="1"/>
  <c r="AR506" i="1"/>
  <c r="AS506" i="1"/>
  <c r="AU506" i="1"/>
  <c r="AX506" i="1"/>
  <c r="AY506" i="1"/>
  <c r="CP506" i="1"/>
  <c r="DD506" i="1" s="1"/>
  <c r="CZ506" i="1"/>
  <c r="DA506" i="1"/>
  <c r="DB506" i="1" s="1"/>
  <c r="DM506" i="1"/>
  <c r="DP506" i="1"/>
  <c r="E508" i="1"/>
  <c r="H508" i="1"/>
  <c r="S508" i="1"/>
  <c r="Y508" i="1"/>
  <c r="AA508" i="1"/>
  <c r="AT508" i="1" s="1"/>
  <c r="AD508" i="1"/>
  <c r="AN508" i="1" s="1"/>
  <c r="AO508" i="1"/>
  <c r="AQ508" i="1"/>
  <c r="AR508" i="1"/>
  <c r="AS508" i="1"/>
  <c r="AX508" i="1"/>
  <c r="AY508" i="1"/>
  <c r="CP508" i="1"/>
  <c r="DD508" i="1" s="1"/>
  <c r="CZ508" i="1"/>
  <c r="DA508" i="1"/>
  <c r="DB508" i="1" s="1"/>
  <c r="DP508" i="1"/>
  <c r="E509" i="1"/>
  <c r="H509" i="1"/>
  <c r="S509" i="1"/>
  <c r="T509" i="1"/>
  <c r="Y509" i="1"/>
  <c r="AA509" i="1"/>
  <c r="AT509" i="1" s="1"/>
  <c r="AD509" i="1"/>
  <c r="AN509" i="1" s="1"/>
  <c r="AF509" i="1"/>
  <c r="AO509" i="1"/>
  <c r="AP509" i="1"/>
  <c r="AQ509" i="1"/>
  <c r="AR509" i="1"/>
  <c r="AS509" i="1"/>
  <c r="AU509" i="1"/>
  <c r="AX509" i="1"/>
  <c r="AY509" i="1"/>
  <c r="CP509" i="1"/>
  <c r="DD509" i="1" s="1"/>
  <c r="CZ509" i="1"/>
  <c r="DA509" i="1"/>
  <c r="DB509" i="1" s="1"/>
  <c r="DM509" i="1"/>
  <c r="DP509" i="1"/>
  <c r="E510" i="1"/>
  <c r="H510" i="1"/>
  <c r="S510" i="1"/>
  <c r="T510" i="1"/>
  <c r="Y510" i="1"/>
  <c r="AA510" i="1"/>
  <c r="AT510" i="1" s="1"/>
  <c r="AD510" i="1"/>
  <c r="AN510" i="1" s="1"/>
  <c r="AF510" i="1"/>
  <c r="AO510" i="1"/>
  <c r="AP510" i="1"/>
  <c r="AQ510" i="1"/>
  <c r="AR510" i="1"/>
  <c r="AS510" i="1"/>
  <c r="AU510" i="1"/>
  <c r="AX510" i="1"/>
  <c r="AY510" i="1"/>
  <c r="CP510" i="1"/>
  <c r="DD510" i="1" s="1"/>
  <c r="CZ510" i="1"/>
  <c r="DA510" i="1"/>
  <c r="DB510" i="1" s="1"/>
  <c r="DM510" i="1"/>
  <c r="DP510" i="1"/>
  <c r="E511" i="1"/>
  <c r="H511" i="1"/>
  <c r="S511" i="1"/>
  <c r="T511" i="1"/>
  <c r="Y511" i="1"/>
  <c r="AA511" i="1"/>
  <c r="AT511" i="1" s="1"/>
  <c r="AD511" i="1"/>
  <c r="AN511" i="1" s="1"/>
  <c r="AF511" i="1"/>
  <c r="AO511" i="1"/>
  <c r="AP511" i="1"/>
  <c r="AQ511" i="1"/>
  <c r="AR511" i="1"/>
  <c r="AS511" i="1"/>
  <c r="AU511" i="1"/>
  <c r="AX511" i="1"/>
  <c r="AY511" i="1"/>
  <c r="CP511" i="1"/>
  <c r="DD511" i="1" s="1"/>
  <c r="CZ511" i="1"/>
  <c r="DA511" i="1"/>
  <c r="DB511" i="1" s="1"/>
  <c r="DM511" i="1"/>
  <c r="DP511" i="1"/>
  <c r="E512" i="1"/>
  <c r="H512" i="1"/>
  <c r="S512" i="1"/>
  <c r="T512" i="1"/>
  <c r="Y512" i="1"/>
  <c r="AA512" i="1"/>
  <c r="AT512" i="1" s="1"/>
  <c r="AD512" i="1"/>
  <c r="AN512" i="1" s="1"/>
  <c r="AF512" i="1"/>
  <c r="AO512" i="1"/>
  <c r="AP512" i="1"/>
  <c r="AQ512" i="1"/>
  <c r="AR512" i="1"/>
  <c r="AS512" i="1"/>
  <c r="AU512" i="1"/>
  <c r="AX512" i="1"/>
  <c r="AY512" i="1"/>
  <c r="CP512" i="1"/>
  <c r="DD512" i="1" s="1"/>
  <c r="CZ512" i="1"/>
  <c r="DA512" i="1"/>
  <c r="DB512" i="1" s="1"/>
  <c r="DM512" i="1"/>
  <c r="DP512" i="1"/>
  <c r="E513" i="1"/>
  <c r="H513" i="1"/>
  <c r="S513" i="1"/>
  <c r="T513" i="1"/>
  <c r="Y513" i="1"/>
  <c r="AA513" i="1"/>
  <c r="AT513" i="1" s="1"/>
  <c r="AD513" i="1"/>
  <c r="AN513" i="1" s="1"/>
  <c r="AF513" i="1"/>
  <c r="AO513" i="1"/>
  <c r="AP513" i="1"/>
  <c r="AQ513" i="1"/>
  <c r="AR513" i="1"/>
  <c r="AS513" i="1"/>
  <c r="AU513" i="1"/>
  <c r="AX513" i="1"/>
  <c r="AY513" i="1"/>
  <c r="CP513" i="1"/>
  <c r="DD513" i="1" s="1"/>
  <c r="CZ513" i="1"/>
  <c r="DA513" i="1"/>
  <c r="DB513" i="1" s="1"/>
  <c r="DM513" i="1"/>
  <c r="DP513" i="1"/>
  <c r="E514" i="1"/>
  <c r="H514" i="1"/>
  <c r="S514" i="1"/>
  <c r="T514" i="1"/>
  <c r="Y514" i="1"/>
  <c r="AA514" i="1"/>
  <c r="AT514" i="1" s="1"/>
  <c r="AD514" i="1"/>
  <c r="AN514" i="1" s="1"/>
  <c r="AF514" i="1"/>
  <c r="AO514" i="1"/>
  <c r="AP514" i="1"/>
  <c r="AQ514" i="1"/>
  <c r="AR514" i="1"/>
  <c r="AS514" i="1"/>
  <c r="AU514" i="1"/>
  <c r="AX514" i="1"/>
  <c r="AY514" i="1"/>
  <c r="CP514" i="1"/>
  <c r="DD514" i="1" s="1"/>
  <c r="CZ514" i="1"/>
  <c r="DA514" i="1"/>
  <c r="DB514" i="1" s="1"/>
  <c r="DP514" i="1"/>
  <c r="E515" i="1"/>
  <c r="H515" i="1"/>
  <c r="S515" i="1"/>
  <c r="T515" i="1"/>
  <c r="Y515" i="1"/>
  <c r="AA515" i="1"/>
  <c r="AT515" i="1" s="1"/>
  <c r="AD515" i="1"/>
  <c r="AN515" i="1" s="1"/>
  <c r="AF515" i="1"/>
  <c r="AO515" i="1"/>
  <c r="AP515" i="1"/>
  <c r="AQ515" i="1"/>
  <c r="AR515" i="1"/>
  <c r="AS515" i="1"/>
  <c r="AU515" i="1"/>
  <c r="AX515" i="1"/>
  <c r="AY515" i="1"/>
  <c r="CP515" i="1"/>
  <c r="DD515" i="1" s="1"/>
  <c r="CZ515" i="1"/>
  <c r="DA515" i="1"/>
  <c r="DB515" i="1" s="1"/>
  <c r="DM515" i="1"/>
  <c r="DP515" i="1"/>
  <c r="E516" i="1"/>
  <c r="H516" i="1"/>
  <c r="S516" i="1"/>
  <c r="T516" i="1"/>
  <c r="Y516" i="1"/>
  <c r="AA516" i="1"/>
  <c r="AT516" i="1" s="1"/>
  <c r="AD516" i="1"/>
  <c r="AN516" i="1" s="1"/>
  <c r="AF516" i="1"/>
  <c r="AO516" i="1"/>
  <c r="AP516" i="1"/>
  <c r="AQ516" i="1"/>
  <c r="AR516" i="1"/>
  <c r="AS516" i="1"/>
  <c r="AU516" i="1"/>
  <c r="AX516" i="1"/>
  <c r="AY516" i="1"/>
  <c r="CP516" i="1"/>
  <c r="DD516" i="1" s="1"/>
  <c r="CZ516" i="1"/>
  <c r="DA516" i="1"/>
  <c r="DB516" i="1" s="1"/>
  <c r="DM516" i="1"/>
  <c r="DP516" i="1"/>
  <c r="E517" i="1"/>
  <c r="H517" i="1"/>
  <c r="S517" i="1"/>
  <c r="T517" i="1"/>
  <c r="Y517" i="1"/>
  <c r="AA517" i="1"/>
  <c r="AT517" i="1" s="1"/>
  <c r="AD517" i="1"/>
  <c r="AN517" i="1" s="1"/>
  <c r="AF517" i="1"/>
  <c r="AO517" i="1"/>
  <c r="AP517" i="1"/>
  <c r="AQ517" i="1"/>
  <c r="AR517" i="1"/>
  <c r="AS517" i="1"/>
  <c r="AU517" i="1"/>
  <c r="AX517" i="1"/>
  <c r="AY517" i="1"/>
  <c r="CP517" i="1"/>
  <c r="DD517" i="1" s="1"/>
  <c r="CZ517" i="1"/>
  <c r="DA517" i="1"/>
  <c r="DB517" i="1" s="1"/>
  <c r="DM517" i="1"/>
  <c r="DP517" i="1"/>
  <c r="E518" i="1"/>
  <c r="H518" i="1"/>
  <c r="S518" i="1"/>
  <c r="T518" i="1"/>
  <c r="Y518" i="1"/>
  <c r="AA518" i="1"/>
  <c r="AT518" i="1" s="1"/>
  <c r="AD518" i="1"/>
  <c r="AN518" i="1" s="1"/>
  <c r="AF518" i="1"/>
  <c r="AO518" i="1"/>
  <c r="AP518" i="1"/>
  <c r="AQ518" i="1"/>
  <c r="AR518" i="1"/>
  <c r="AS518" i="1"/>
  <c r="AU518" i="1"/>
  <c r="AX518" i="1"/>
  <c r="AY518" i="1"/>
  <c r="CP518" i="1"/>
  <c r="DD518" i="1" s="1"/>
  <c r="CZ518" i="1"/>
  <c r="DA518" i="1"/>
  <c r="DB518" i="1" s="1"/>
  <c r="DM518" i="1"/>
  <c r="DP518" i="1"/>
  <c r="E519" i="1"/>
  <c r="H519" i="1"/>
  <c r="S519" i="1"/>
  <c r="T519" i="1"/>
  <c r="Y519" i="1"/>
  <c r="AA519" i="1"/>
  <c r="AT519" i="1" s="1"/>
  <c r="AD519" i="1"/>
  <c r="AN519" i="1" s="1"/>
  <c r="AF519" i="1"/>
  <c r="AO519" i="1"/>
  <c r="AP519" i="1"/>
  <c r="AQ519" i="1"/>
  <c r="AR519" i="1"/>
  <c r="AS519" i="1"/>
  <c r="AU519" i="1"/>
  <c r="AX519" i="1"/>
  <c r="AY519" i="1"/>
  <c r="CP519" i="1"/>
  <c r="DD519" i="1" s="1"/>
  <c r="CZ519" i="1"/>
  <c r="DA519" i="1"/>
  <c r="DB519" i="1" s="1"/>
  <c r="DM519" i="1"/>
  <c r="DP519" i="1"/>
  <c r="E520" i="1"/>
  <c r="H520" i="1"/>
  <c r="S520" i="1"/>
  <c r="T520" i="1"/>
  <c r="Y520" i="1"/>
  <c r="AA520" i="1"/>
  <c r="AT520" i="1" s="1"/>
  <c r="AD520" i="1"/>
  <c r="AN520" i="1" s="1"/>
  <c r="AF520" i="1"/>
  <c r="AO520" i="1"/>
  <c r="AP520" i="1"/>
  <c r="AQ520" i="1"/>
  <c r="AR520" i="1"/>
  <c r="AS520" i="1"/>
  <c r="AU520" i="1"/>
  <c r="AX520" i="1"/>
  <c r="AY520" i="1"/>
  <c r="CP520" i="1"/>
  <c r="DD520" i="1" s="1"/>
  <c r="CZ520" i="1"/>
  <c r="DA520" i="1"/>
  <c r="DB520" i="1" s="1"/>
  <c r="DM520" i="1"/>
  <c r="DP520" i="1"/>
  <c r="E521" i="1"/>
  <c r="H521" i="1"/>
  <c r="S521" i="1"/>
  <c r="T521" i="1"/>
  <c r="Y521" i="1"/>
  <c r="AA521" i="1"/>
  <c r="AT521" i="1" s="1"/>
  <c r="AD521" i="1"/>
  <c r="AN521" i="1" s="1"/>
  <c r="AF521" i="1"/>
  <c r="AO521" i="1"/>
  <c r="AP521" i="1"/>
  <c r="AQ521" i="1"/>
  <c r="AR521" i="1"/>
  <c r="AS521" i="1"/>
  <c r="AU521" i="1"/>
  <c r="AX521" i="1"/>
  <c r="AY521" i="1"/>
  <c r="CP521" i="1"/>
  <c r="DD521" i="1" s="1"/>
  <c r="CZ521" i="1"/>
  <c r="DA521" i="1"/>
  <c r="DB521" i="1" s="1"/>
  <c r="DM521" i="1"/>
  <c r="DP521" i="1"/>
  <c r="E522" i="1"/>
  <c r="H522" i="1"/>
  <c r="S522" i="1"/>
  <c r="T522" i="1"/>
  <c r="Y522" i="1"/>
  <c r="AA522" i="1"/>
  <c r="AT522" i="1" s="1"/>
  <c r="AD522" i="1"/>
  <c r="AN522" i="1" s="1"/>
  <c r="AF522" i="1"/>
  <c r="AO522" i="1"/>
  <c r="AP522" i="1"/>
  <c r="AQ522" i="1"/>
  <c r="AR522" i="1"/>
  <c r="AS522" i="1"/>
  <c r="AU522" i="1"/>
  <c r="AX522" i="1"/>
  <c r="AY522" i="1"/>
  <c r="CP522" i="1"/>
  <c r="DD522" i="1" s="1"/>
  <c r="CZ522" i="1"/>
  <c r="DA522" i="1"/>
  <c r="DB522" i="1"/>
  <c r="DM522" i="1"/>
  <c r="DP522" i="1"/>
  <c r="E541" i="1"/>
  <c r="H541" i="1"/>
  <c r="I541" i="1"/>
  <c r="J541" i="1"/>
  <c r="DL541" i="1" s="1"/>
  <c r="K541" i="1"/>
  <c r="S541" i="1"/>
  <c r="T541" i="1"/>
  <c r="Y541" i="1"/>
  <c r="AA541" i="1"/>
  <c r="AT541" i="1" s="1"/>
  <c r="AD541" i="1"/>
  <c r="AN541" i="1" s="1"/>
  <c r="AF541" i="1"/>
  <c r="AO541" i="1"/>
  <c r="AP541" i="1"/>
  <c r="AQ541" i="1"/>
  <c r="AR541" i="1"/>
  <c r="AS541" i="1"/>
  <c r="AU541" i="1"/>
  <c r="AX541" i="1"/>
  <c r="AY541" i="1"/>
  <c r="CP541" i="1"/>
  <c r="CZ541" i="1"/>
  <c r="DA541" i="1"/>
  <c r="DB541" i="1"/>
  <c r="DC541" i="1"/>
  <c r="DD541" i="1"/>
  <c r="DM541" i="1"/>
  <c r="DP541" i="1"/>
  <c r="DC522" i="1" l="1"/>
  <c r="DC509" i="1"/>
  <c r="DC519" i="1"/>
  <c r="DC505" i="1"/>
  <c r="DC496" i="1"/>
  <c r="DC512" i="1"/>
  <c r="DC518" i="1"/>
  <c r="DC516" i="1"/>
  <c r="DC502" i="1"/>
  <c r="DC517" i="1"/>
  <c r="DC506" i="1"/>
  <c r="DC521" i="1"/>
  <c r="DC520" i="1"/>
  <c r="DC514" i="1"/>
  <c r="DC515" i="1"/>
  <c r="AU508" i="1"/>
  <c r="AF508" i="1"/>
  <c r="AP508" i="1" s="1"/>
  <c r="DC511" i="1"/>
  <c r="DN541" i="1"/>
  <c r="DC508" i="1"/>
  <c r="DC510" i="1"/>
  <c r="DC494" i="1"/>
  <c r="DC493" i="1"/>
  <c r="DC513" i="1"/>
  <c r="DC501" i="1"/>
  <c r="DC499" i="1"/>
  <c r="DC495" i="1"/>
  <c r="DC503" i="1"/>
  <c r="DC498" i="1"/>
  <c r="DC504" i="1"/>
  <c r="DC500" i="1"/>
  <c r="AU497" i="1"/>
  <c r="AU496" i="1"/>
  <c r="AF497" i="1"/>
  <c r="AP497" i="1" s="1"/>
  <c r="AF496" i="1"/>
  <c r="AP496" i="1" s="1"/>
  <c r="DC497" i="1"/>
  <c r="DC492" i="1"/>
  <c r="DC491" i="1"/>
  <c r="DI541" i="1"/>
  <c r="E472" i="1"/>
  <c r="H472" i="1"/>
  <c r="S472" i="1"/>
  <c r="T472" i="1"/>
  <c r="Y472" i="1"/>
  <c r="AA472" i="1"/>
  <c r="AT472" i="1" s="1"/>
  <c r="AD472" i="1"/>
  <c r="AF472" i="1" s="1"/>
  <c r="AP472" i="1" s="1"/>
  <c r="AO472" i="1"/>
  <c r="AQ472" i="1"/>
  <c r="AR472" i="1"/>
  <c r="AS472" i="1"/>
  <c r="AX472" i="1"/>
  <c r="AY472" i="1"/>
  <c r="CP472" i="1"/>
  <c r="DD472" i="1" s="1"/>
  <c r="CZ472" i="1"/>
  <c r="DA472" i="1"/>
  <c r="DB472" i="1" s="1"/>
  <c r="DP472" i="1"/>
  <c r="E470" i="1"/>
  <c r="H470" i="1"/>
  <c r="S470" i="1"/>
  <c r="Y470" i="1"/>
  <c r="AA470" i="1"/>
  <c r="AT470" i="1" s="1"/>
  <c r="AD470" i="1"/>
  <c r="AN470" i="1" s="1"/>
  <c r="AO470" i="1"/>
  <c r="AQ470" i="1"/>
  <c r="AR470" i="1"/>
  <c r="AS470" i="1"/>
  <c r="AX470" i="1"/>
  <c r="AY470" i="1"/>
  <c r="CP470" i="1"/>
  <c r="DD470" i="1" s="1"/>
  <c r="CZ470" i="1"/>
  <c r="DA470" i="1"/>
  <c r="DB470" i="1" s="1"/>
  <c r="DP470" i="1"/>
  <c r="E471" i="1"/>
  <c r="H471" i="1"/>
  <c r="S471" i="1"/>
  <c r="T471" i="1"/>
  <c r="Y471" i="1"/>
  <c r="AA471" i="1"/>
  <c r="AT471" i="1" s="1"/>
  <c r="AD471" i="1"/>
  <c r="AN471" i="1" s="1"/>
  <c r="AO471" i="1"/>
  <c r="AQ471" i="1"/>
  <c r="AR471" i="1"/>
  <c r="AS471" i="1"/>
  <c r="AX471" i="1"/>
  <c r="AY471" i="1"/>
  <c r="CP471" i="1"/>
  <c r="DD471" i="1" s="1"/>
  <c r="CZ471" i="1"/>
  <c r="DA471" i="1"/>
  <c r="DB471" i="1" s="1"/>
  <c r="DP471" i="1"/>
  <c r="E473" i="1"/>
  <c r="H473" i="1"/>
  <c r="S473" i="1"/>
  <c r="T473" i="1"/>
  <c r="Y473" i="1"/>
  <c r="AA473" i="1"/>
  <c r="AT473" i="1" s="1"/>
  <c r="AD473" i="1"/>
  <c r="AN473" i="1" s="1"/>
  <c r="AF473" i="1"/>
  <c r="AO473" i="1"/>
  <c r="AP473" i="1"/>
  <c r="AQ473" i="1"/>
  <c r="AR473" i="1"/>
  <c r="AS473" i="1"/>
  <c r="AU473" i="1"/>
  <c r="AX473" i="1"/>
  <c r="AY473" i="1"/>
  <c r="CP473" i="1"/>
  <c r="DD473" i="1" s="1"/>
  <c r="CZ473" i="1"/>
  <c r="DA473" i="1"/>
  <c r="DB473" i="1" s="1"/>
  <c r="DM473" i="1"/>
  <c r="DP473" i="1"/>
  <c r="E474" i="1"/>
  <c r="H474" i="1"/>
  <c r="S474" i="1"/>
  <c r="T474" i="1"/>
  <c r="Y474" i="1"/>
  <c r="AA474" i="1"/>
  <c r="AT474" i="1" s="1"/>
  <c r="AD474" i="1"/>
  <c r="AN474" i="1" s="1"/>
  <c r="AF474" i="1"/>
  <c r="AO474" i="1"/>
  <c r="AP474" i="1"/>
  <c r="AQ474" i="1"/>
  <c r="AR474" i="1"/>
  <c r="AS474" i="1"/>
  <c r="AU474" i="1"/>
  <c r="AX474" i="1"/>
  <c r="AY474" i="1"/>
  <c r="CP474" i="1"/>
  <c r="DD474" i="1" s="1"/>
  <c r="CZ474" i="1"/>
  <c r="DA474" i="1"/>
  <c r="DB474" i="1" s="1"/>
  <c r="DM474" i="1"/>
  <c r="DP474" i="1"/>
  <c r="E475" i="1"/>
  <c r="H475" i="1"/>
  <c r="S475" i="1"/>
  <c r="T475" i="1"/>
  <c r="Y475" i="1"/>
  <c r="AA475" i="1"/>
  <c r="AT475" i="1" s="1"/>
  <c r="AD475" i="1"/>
  <c r="AN475" i="1" s="1"/>
  <c r="AF475" i="1"/>
  <c r="AO475" i="1"/>
  <c r="AP475" i="1"/>
  <c r="AQ475" i="1"/>
  <c r="AR475" i="1"/>
  <c r="AS475" i="1"/>
  <c r="AU475" i="1"/>
  <c r="AX475" i="1"/>
  <c r="AY475" i="1"/>
  <c r="CP475" i="1"/>
  <c r="DD475" i="1" s="1"/>
  <c r="CZ475" i="1"/>
  <c r="DA475" i="1"/>
  <c r="DB475" i="1" s="1"/>
  <c r="DM475" i="1"/>
  <c r="DP475" i="1"/>
  <c r="E476" i="1"/>
  <c r="H476" i="1"/>
  <c r="S476" i="1"/>
  <c r="T476" i="1"/>
  <c r="Y476" i="1"/>
  <c r="AA476" i="1"/>
  <c r="AT476" i="1" s="1"/>
  <c r="AD476" i="1"/>
  <c r="AN476" i="1" s="1"/>
  <c r="AF476" i="1"/>
  <c r="AO476" i="1"/>
  <c r="AP476" i="1"/>
  <c r="AQ476" i="1"/>
  <c r="AR476" i="1"/>
  <c r="AS476" i="1"/>
  <c r="AU476" i="1"/>
  <c r="AX476" i="1"/>
  <c r="AY476" i="1"/>
  <c r="CP476" i="1"/>
  <c r="DD476" i="1" s="1"/>
  <c r="CZ476" i="1"/>
  <c r="DA476" i="1"/>
  <c r="DB476" i="1" s="1"/>
  <c r="DM476" i="1"/>
  <c r="DP476" i="1"/>
  <c r="E477" i="1"/>
  <c r="H477" i="1"/>
  <c r="S477" i="1"/>
  <c r="T477" i="1"/>
  <c r="Y477" i="1"/>
  <c r="AA477" i="1"/>
  <c r="AT477" i="1" s="1"/>
  <c r="AD477" i="1"/>
  <c r="AN477" i="1" s="1"/>
  <c r="AF477" i="1"/>
  <c r="AO477" i="1"/>
  <c r="AP477" i="1"/>
  <c r="AQ477" i="1"/>
  <c r="AR477" i="1"/>
  <c r="AS477" i="1"/>
  <c r="AU477" i="1"/>
  <c r="AX477" i="1"/>
  <c r="AY477" i="1"/>
  <c r="CP477" i="1"/>
  <c r="DD477" i="1" s="1"/>
  <c r="CZ477" i="1"/>
  <c r="DA477" i="1"/>
  <c r="DB477" i="1" s="1"/>
  <c r="DM477" i="1"/>
  <c r="DP477" i="1"/>
  <c r="E478" i="1"/>
  <c r="H478" i="1"/>
  <c r="S478" i="1"/>
  <c r="T478" i="1"/>
  <c r="Y478" i="1"/>
  <c r="AA478" i="1"/>
  <c r="AT478" i="1" s="1"/>
  <c r="AD478" i="1"/>
  <c r="AN478" i="1" s="1"/>
  <c r="AF478" i="1"/>
  <c r="AO478" i="1"/>
  <c r="AP478" i="1"/>
  <c r="AQ478" i="1"/>
  <c r="AR478" i="1"/>
  <c r="AS478" i="1"/>
  <c r="AU478" i="1"/>
  <c r="AX478" i="1"/>
  <c r="AY478" i="1"/>
  <c r="CP478" i="1"/>
  <c r="DD478" i="1" s="1"/>
  <c r="CZ478" i="1"/>
  <c r="DA478" i="1"/>
  <c r="DB478" i="1" s="1"/>
  <c r="DM478" i="1"/>
  <c r="DP478" i="1"/>
  <c r="E479" i="1"/>
  <c r="H479" i="1"/>
  <c r="S479" i="1"/>
  <c r="T479" i="1"/>
  <c r="Y479" i="1"/>
  <c r="AA479" i="1"/>
  <c r="AT479" i="1" s="1"/>
  <c r="AD479" i="1"/>
  <c r="AN479" i="1" s="1"/>
  <c r="AO479" i="1"/>
  <c r="AQ479" i="1"/>
  <c r="AR479" i="1"/>
  <c r="AS479" i="1"/>
  <c r="AX479" i="1"/>
  <c r="AY479" i="1"/>
  <c r="CP479" i="1"/>
  <c r="DD479" i="1" s="1"/>
  <c r="CZ479" i="1"/>
  <c r="DA479" i="1"/>
  <c r="DB479" i="1" s="1"/>
  <c r="DP479" i="1"/>
  <c r="E480" i="1"/>
  <c r="H480" i="1"/>
  <c r="S480" i="1"/>
  <c r="T480" i="1"/>
  <c r="Y480" i="1"/>
  <c r="AA480" i="1"/>
  <c r="AT480" i="1" s="1"/>
  <c r="AD480" i="1"/>
  <c r="AN480" i="1" s="1"/>
  <c r="AO480" i="1"/>
  <c r="AQ480" i="1"/>
  <c r="AR480" i="1"/>
  <c r="AS480" i="1"/>
  <c r="AX480" i="1"/>
  <c r="AY480" i="1"/>
  <c r="CP480" i="1"/>
  <c r="DD480" i="1" s="1"/>
  <c r="CZ480" i="1"/>
  <c r="DA480" i="1"/>
  <c r="DB480" i="1" s="1"/>
  <c r="DP480" i="1"/>
  <c r="E481" i="1"/>
  <c r="H481" i="1"/>
  <c r="S481" i="1"/>
  <c r="T481" i="1"/>
  <c r="Y481" i="1"/>
  <c r="AA481" i="1"/>
  <c r="AT481" i="1" s="1"/>
  <c r="AD481" i="1"/>
  <c r="AN481" i="1" s="1"/>
  <c r="AO481" i="1"/>
  <c r="AQ481" i="1"/>
  <c r="AR481" i="1"/>
  <c r="AS481" i="1"/>
  <c r="AX481" i="1"/>
  <c r="AY481" i="1"/>
  <c r="CP481" i="1"/>
  <c r="DD481" i="1" s="1"/>
  <c r="CZ481" i="1"/>
  <c r="DA481" i="1"/>
  <c r="DB481" i="1" s="1"/>
  <c r="DP481" i="1"/>
  <c r="E482" i="1"/>
  <c r="H482" i="1"/>
  <c r="S482" i="1"/>
  <c r="T482" i="1"/>
  <c r="Y482" i="1"/>
  <c r="AA482" i="1"/>
  <c r="AT482" i="1" s="1"/>
  <c r="AD482" i="1"/>
  <c r="AN482" i="1" s="1"/>
  <c r="AO482" i="1"/>
  <c r="AQ482" i="1"/>
  <c r="AR482" i="1"/>
  <c r="AS482" i="1"/>
  <c r="AX482" i="1"/>
  <c r="AY482" i="1"/>
  <c r="CP482" i="1"/>
  <c r="DD482" i="1" s="1"/>
  <c r="CZ482" i="1"/>
  <c r="DA482" i="1"/>
  <c r="DB482" i="1" s="1"/>
  <c r="DP482" i="1"/>
  <c r="E483" i="1"/>
  <c r="H483" i="1"/>
  <c r="S483" i="1"/>
  <c r="T483" i="1"/>
  <c r="Y483" i="1"/>
  <c r="AA483" i="1"/>
  <c r="AT483" i="1" s="1"/>
  <c r="AD483" i="1"/>
  <c r="AN483" i="1" s="1"/>
  <c r="AO483" i="1"/>
  <c r="AP483" i="1"/>
  <c r="AQ483" i="1"/>
  <c r="AR483" i="1"/>
  <c r="AS483" i="1"/>
  <c r="AU483" i="1"/>
  <c r="AX483" i="1"/>
  <c r="AY483" i="1"/>
  <c r="CP483" i="1"/>
  <c r="DD483" i="1" s="1"/>
  <c r="CZ483" i="1"/>
  <c r="DA483" i="1"/>
  <c r="DB483" i="1" s="1"/>
  <c r="DM483" i="1"/>
  <c r="DP483" i="1"/>
  <c r="E469" i="1"/>
  <c r="H469" i="1"/>
  <c r="S469" i="1"/>
  <c r="Y469" i="1"/>
  <c r="AA469" i="1"/>
  <c r="AT469" i="1" s="1"/>
  <c r="AD469" i="1"/>
  <c r="AN469" i="1" s="1"/>
  <c r="AO469" i="1"/>
  <c r="AQ469" i="1"/>
  <c r="AR469" i="1"/>
  <c r="AS469" i="1"/>
  <c r="AX469" i="1"/>
  <c r="AY469" i="1"/>
  <c r="CP469" i="1"/>
  <c r="DD469" i="1" s="1"/>
  <c r="CZ469" i="1"/>
  <c r="DA469" i="1"/>
  <c r="DB469" i="1" s="1"/>
  <c r="DP469" i="1"/>
  <c r="E484" i="1"/>
  <c r="H484" i="1"/>
  <c r="S484" i="1"/>
  <c r="T484" i="1"/>
  <c r="Y484" i="1"/>
  <c r="AA484" i="1"/>
  <c r="AT484" i="1" s="1"/>
  <c r="AD484" i="1"/>
  <c r="AN484" i="1" s="1"/>
  <c r="AF484" i="1"/>
  <c r="AO484" i="1"/>
  <c r="AP484" i="1"/>
  <c r="AQ484" i="1"/>
  <c r="AR484" i="1"/>
  <c r="AS484" i="1"/>
  <c r="AU484" i="1"/>
  <c r="AX484" i="1"/>
  <c r="AY484" i="1"/>
  <c r="CP484" i="1"/>
  <c r="DD484" i="1" s="1"/>
  <c r="CZ484" i="1"/>
  <c r="DA484" i="1"/>
  <c r="DB484" i="1" s="1"/>
  <c r="DM484" i="1"/>
  <c r="DP484" i="1"/>
  <c r="E485" i="1"/>
  <c r="H485" i="1"/>
  <c r="S485" i="1"/>
  <c r="T485" i="1"/>
  <c r="Y485" i="1"/>
  <c r="AA485" i="1"/>
  <c r="AD485" i="1"/>
  <c r="AN485" i="1" s="1"/>
  <c r="AF485" i="1"/>
  <c r="AO485" i="1"/>
  <c r="AP485" i="1"/>
  <c r="AQ485" i="1"/>
  <c r="AR485" i="1"/>
  <c r="AS485" i="1"/>
  <c r="AT485" i="1"/>
  <c r="AU485" i="1"/>
  <c r="AX485" i="1"/>
  <c r="AY485" i="1"/>
  <c r="CP485" i="1"/>
  <c r="DD485" i="1" s="1"/>
  <c r="CZ485" i="1"/>
  <c r="DA485" i="1"/>
  <c r="DB485" i="1" s="1"/>
  <c r="DM485" i="1"/>
  <c r="DP485" i="1"/>
  <c r="E486" i="1"/>
  <c r="H486" i="1"/>
  <c r="S486" i="1"/>
  <c r="T486" i="1"/>
  <c r="Y486" i="1"/>
  <c r="AA486" i="1"/>
  <c r="AT486" i="1" s="1"/>
  <c r="AD486" i="1"/>
  <c r="AN486" i="1" s="1"/>
  <c r="AF486" i="1"/>
  <c r="AO486" i="1"/>
  <c r="AP486" i="1"/>
  <c r="AQ486" i="1"/>
  <c r="AR486" i="1"/>
  <c r="AS486" i="1"/>
  <c r="AU486" i="1"/>
  <c r="AX486" i="1"/>
  <c r="AY486" i="1"/>
  <c r="CP486" i="1"/>
  <c r="DD486" i="1" s="1"/>
  <c r="CZ486" i="1"/>
  <c r="DA486" i="1"/>
  <c r="DB486" i="1" s="1"/>
  <c r="DM486" i="1"/>
  <c r="DP486" i="1"/>
  <c r="E487" i="1"/>
  <c r="H487" i="1"/>
  <c r="S487" i="1"/>
  <c r="T487" i="1"/>
  <c r="Y487" i="1"/>
  <c r="AA487" i="1"/>
  <c r="AT487" i="1" s="1"/>
  <c r="AD487" i="1"/>
  <c r="AN487" i="1" s="1"/>
  <c r="AF487" i="1"/>
  <c r="AO487" i="1"/>
  <c r="AP487" i="1"/>
  <c r="AQ487" i="1"/>
  <c r="AR487" i="1"/>
  <c r="AS487" i="1"/>
  <c r="AU487" i="1"/>
  <c r="AX487" i="1"/>
  <c r="AY487" i="1"/>
  <c r="CP487" i="1"/>
  <c r="DD487" i="1" s="1"/>
  <c r="CZ487" i="1"/>
  <c r="DA487" i="1"/>
  <c r="DB487" i="1" s="1"/>
  <c r="DM487" i="1"/>
  <c r="DP487" i="1"/>
  <c r="AF470" i="1" l="1"/>
  <c r="AP470" i="1" s="1"/>
  <c r="DC481" i="1"/>
  <c r="AN472" i="1"/>
  <c r="DC479" i="1"/>
  <c r="AU481" i="1"/>
  <c r="AU479" i="1"/>
  <c r="AU482" i="1"/>
  <c r="AU480" i="1"/>
  <c r="AF482" i="1"/>
  <c r="AP482" i="1" s="1"/>
  <c r="AF480" i="1"/>
  <c r="AP480" i="1" s="1"/>
  <c r="AF481" i="1"/>
  <c r="AP481" i="1" s="1"/>
  <c r="AF479" i="1"/>
  <c r="AP479" i="1" s="1"/>
  <c r="DC474" i="1"/>
  <c r="AU472" i="1"/>
  <c r="AF471" i="1"/>
  <c r="AP471" i="1" s="1"/>
  <c r="AU471" i="1"/>
  <c r="AU470" i="1"/>
  <c r="AU469" i="1"/>
  <c r="AF469" i="1"/>
  <c r="AP469" i="1" s="1"/>
  <c r="DC472" i="1"/>
  <c r="DC484" i="1"/>
  <c r="DC480" i="1"/>
  <c r="DC475" i="1"/>
  <c r="DC470" i="1"/>
  <c r="DC477" i="1"/>
  <c r="DC487" i="1"/>
  <c r="DC485" i="1"/>
  <c r="DC483" i="1"/>
  <c r="DC482" i="1"/>
  <c r="DC471" i="1"/>
  <c r="DC469" i="1"/>
  <c r="DC476" i="1"/>
  <c r="DC486" i="1"/>
  <c r="DC478" i="1"/>
  <c r="DC473" i="1"/>
  <c r="E450" i="1"/>
  <c r="H450" i="1"/>
  <c r="S450" i="1"/>
  <c r="Y450" i="1"/>
  <c r="AA450" i="1"/>
  <c r="AT450" i="1" s="1"/>
  <c r="AD450" i="1"/>
  <c r="AF450" i="1" s="1"/>
  <c r="AP450" i="1" s="1"/>
  <c r="AO450" i="1"/>
  <c r="AQ450" i="1"/>
  <c r="AR450" i="1"/>
  <c r="AS450" i="1"/>
  <c r="AX450" i="1"/>
  <c r="AY450" i="1"/>
  <c r="CP450" i="1"/>
  <c r="DD450" i="1" s="1"/>
  <c r="CZ450" i="1"/>
  <c r="DA450" i="1"/>
  <c r="DB450" i="1" s="1"/>
  <c r="DP450" i="1"/>
  <c r="E449" i="1"/>
  <c r="H449" i="1"/>
  <c r="S449" i="1"/>
  <c r="T449" i="1"/>
  <c r="Y449" i="1"/>
  <c r="AA449" i="1"/>
  <c r="AT449" i="1" s="1"/>
  <c r="AD449" i="1"/>
  <c r="AF449" i="1" s="1"/>
  <c r="AP449" i="1" s="1"/>
  <c r="AO449" i="1"/>
  <c r="AQ449" i="1"/>
  <c r="AR449" i="1"/>
  <c r="AS449" i="1"/>
  <c r="AX449" i="1"/>
  <c r="AY449" i="1"/>
  <c r="CP449" i="1"/>
  <c r="DD449" i="1" s="1"/>
  <c r="CZ449" i="1"/>
  <c r="DA449" i="1"/>
  <c r="DB449" i="1" s="1"/>
  <c r="DP449" i="1"/>
  <c r="E451" i="1"/>
  <c r="H451" i="1"/>
  <c r="S451" i="1"/>
  <c r="Y451" i="1"/>
  <c r="AA451" i="1"/>
  <c r="AT451" i="1" s="1"/>
  <c r="AD451" i="1"/>
  <c r="AF451" i="1" s="1"/>
  <c r="AP451" i="1" s="1"/>
  <c r="AO451" i="1"/>
  <c r="AQ451" i="1"/>
  <c r="AR451" i="1"/>
  <c r="AS451" i="1"/>
  <c r="AX451" i="1"/>
  <c r="AY451" i="1"/>
  <c r="CP451" i="1"/>
  <c r="DD451" i="1" s="1"/>
  <c r="CZ451" i="1"/>
  <c r="DA451" i="1"/>
  <c r="DB451" i="1" s="1"/>
  <c r="DP451" i="1"/>
  <c r="E452" i="1"/>
  <c r="H452" i="1"/>
  <c r="S452" i="1"/>
  <c r="T452" i="1"/>
  <c r="Y452" i="1"/>
  <c r="AA452" i="1"/>
  <c r="AT452" i="1" s="1"/>
  <c r="AD452" i="1"/>
  <c r="AN452" i="1" s="1"/>
  <c r="AF452" i="1"/>
  <c r="AO452" i="1"/>
  <c r="AP452" i="1"/>
  <c r="AQ452" i="1"/>
  <c r="AR452" i="1"/>
  <c r="AS452" i="1"/>
  <c r="AU452" i="1"/>
  <c r="AX452" i="1"/>
  <c r="AY452" i="1"/>
  <c r="CP452" i="1"/>
  <c r="DD452" i="1" s="1"/>
  <c r="CZ452" i="1"/>
  <c r="DA452" i="1"/>
  <c r="DB452" i="1" s="1"/>
  <c r="DM452" i="1"/>
  <c r="DP452" i="1"/>
  <c r="E453" i="1"/>
  <c r="H453" i="1"/>
  <c r="S453" i="1"/>
  <c r="T453" i="1"/>
  <c r="Y453" i="1"/>
  <c r="AA453" i="1"/>
  <c r="AT453" i="1" s="1"/>
  <c r="AD453" i="1"/>
  <c r="AN453" i="1" s="1"/>
  <c r="AF453" i="1"/>
  <c r="AO453" i="1"/>
  <c r="AP453" i="1"/>
  <c r="AQ453" i="1"/>
  <c r="AR453" i="1"/>
  <c r="AS453" i="1"/>
  <c r="AU453" i="1"/>
  <c r="AX453" i="1"/>
  <c r="AY453" i="1"/>
  <c r="CP453" i="1"/>
  <c r="DD453" i="1" s="1"/>
  <c r="CZ453" i="1"/>
  <c r="DA453" i="1"/>
  <c r="DB453" i="1" s="1"/>
  <c r="DM453" i="1"/>
  <c r="DP453" i="1"/>
  <c r="E454" i="1"/>
  <c r="H454" i="1"/>
  <c r="S454" i="1"/>
  <c r="T454" i="1"/>
  <c r="Y454" i="1"/>
  <c r="AA454" i="1"/>
  <c r="AT454" i="1" s="1"/>
  <c r="AD454" i="1"/>
  <c r="AN454" i="1" s="1"/>
  <c r="AF454" i="1"/>
  <c r="AO454" i="1"/>
  <c r="AP454" i="1"/>
  <c r="AQ454" i="1"/>
  <c r="AR454" i="1"/>
  <c r="AS454" i="1"/>
  <c r="AU454" i="1"/>
  <c r="AX454" i="1"/>
  <c r="AY454" i="1"/>
  <c r="CP454" i="1"/>
  <c r="DD454" i="1" s="1"/>
  <c r="CZ454" i="1"/>
  <c r="DA454" i="1"/>
  <c r="DB454" i="1" s="1"/>
  <c r="DM454" i="1"/>
  <c r="DP454" i="1"/>
  <c r="E455" i="1"/>
  <c r="H455" i="1"/>
  <c r="S455" i="1"/>
  <c r="T455" i="1"/>
  <c r="Y455" i="1"/>
  <c r="AA455" i="1"/>
  <c r="AT455" i="1" s="1"/>
  <c r="AD455" i="1"/>
  <c r="AN455" i="1" s="1"/>
  <c r="AF455" i="1"/>
  <c r="AO455" i="1"/>
  <c r="AP455" i="1"/>
  <c r="AQ455" i="1"/>
  <c r="AR455" i="1"/>
  <c r="AS455" i="1"/>
  <c r="AU455" i="1"/>
  <c r="AX455" i="1"/>
  <c r="AY455" i="1"/>
  <c r="CP455" i="1"/>
  <c r="DD455" i="1" s="1"/>
  <c r="CZ455" i="1"/>
  <c r="DA455" i="1"/>
  <c r="DB455" i="1" s="1"/>
  <c r="DM455" i="1"/>
  <c r="DP455" i="1"/>
  <c r="E456" i="1"/>
  <c r="H456" i="1"/>
  <c r="S456" i="1"/>
  <c r="T456" i="1"/>
  <c r="Y456" i="1"/>
  <c r="AA456" i="1"/>
  <c r="AD456" i="1"/>
  <c r="AN456" i="1" s="1"/>
  <c r="AF456" i="1"/>
  <c r="AO456" i="1"/>
  <c r="AP456" i="1"/>
  <c r="AQ456" i="1"/>
  <c r="AR456" i="1"/>
  <c r="AS456" i="1"/>
  <c r="AT456" i="1"/>
  <c r="AU456" i="1"/>
  <c r="AX456" i="1"/>
  <c r="AY456" i="1"/>
  <c r="CP456" i="1"/>
  <c r="DD456" i="1" s="1"/>
  <c r="CZ456" i="1"/>
  <c r="DA456" i="1"/>
  <c r="DB456" i="1" s="1"/>
  <c r="DM456" i="1"/>
  <c r="DP456" i="1"/>
  <c r="E457" i="1"/>
  <c r="H457" i="1"/>
  <c r="S457" i="1"/>
  <c r="T457" i="1"/>
  <c r="Y457" i="1"/>
  <c r="AA457" i="1"/>
  <c r="AT457" i="1" s="1"/>
  <c r="AD457" i="1"/>
  <c r="AN457" i="1" s="1"/>
  <c r="AF457" i="1"/>
  <c r="AO457" i="1"/>
  <c r="AP457" i="1"/>
  <c r="AQ457" i="1"/>
  <c r="AR457" i="1"/>
  <c r="AS457" i="1"/>
  <c r="AU457" i="1"/>
  <c r="AX457" i="1"/>
  <c r="AY457" i="1"/>
  <c r="CP457" i="1"/>
  <c r="DD457" i="1" s="1"/>
  <c r="CZ457" i="1"/>
  <c r="DA457" i="1"/>
  <c r="DB457" i="1" s="1"/>
  <c r="DM457" i="1"/>
  <c r="DP457" i="1"/>
  <c r="E458" i="1"/>
  <c r="H458" i="1"/>
  <c r="S458" i="1"/>
  <c r="Y458" i="1"/>
  <c r="AA458" i="1"/>
  <c r="AT458" i="1" s="1"/>
  <c r="AD458" i="1"/>
  <c r="AN458" i="1" s="1"/>
  <c r="AO458" i="1"/>
  <c r="AQ458" i="1"/>
  <c r="AR458" i="1"/>
  <c r="AS458" i="1"/>
  <c r="AX458" i="1"/>
  <c r="AY458" i="1"/>
  <c r="CP458" i="1"/>
  <c r="DD458" i="1" s="1"/>
  <c r="CZ458" i="1"/>
  <c r="DA458" i="1"/>
  <c r="DB458" i="1" s="1"/>
  <c r="DP458" i="1"/>
  <c r="E459" i="1"/>
  <c r="H459" i="1"/>
  <c r="S459" i="1"/>
  <c r="Y459" i="1"/>
  <c r="AA459" i="1"/>
  <c r="AT459" i="1" s="1"/>
  <c r="AD459" i="1"/>
  <c r="AN459" i="1" s="1"/>
  <c r="AO459" i="1"/>
  <c r="AQ459" i="1"/>
  <c r="AR459" i="1"/>
  <c r="AS459" i="1"/>
  <c r="AX459" i="1"/>
  <c r="AY459" i="1"/>
  <c r="CP459" i="1"/>
  <c r="DD459" i="1" s="1"/>
  <c r="CZ459" i="1"/>
  <c r="DA459" i="1"/>
  <c r="DB459" i="1" s="1"/>
  <c r="DP459" i="1"/>
  <c r="E460" i="1"/>
  <c r="H460" i="1"/>
  <c r="S460" i="1"/>
  <c r="Y460" i="1"/>
  <c r="AA460" i="1"/>
  <c r="AT460" i="1" s="1"/>
  <c r="AD460" i="1"/>
  <c r="AN460" i="1" s="1"/>
  <c r="AO460" i="1"/>
  <c r="AQ460" i="1"/>
  <c r="AR460" i="1"/>
  <c r="AS460" i="1"/>
  <c r="AX460" i="1"/>
  <c r="AY460" i="1"/>
  <c r="CP460" i="1"/>
  <c r="DD460" i="1" s="1"/>
  <c r="CZ460" i="1"/>
  <c r="DA460" i="1"/>
  <c r="DB460" i="1" s="1"/>
  <c r="DP460" i="1"/>
  <c r="E461" i="1"/>
  <c r="H461" i="1"/>
  <c r="S461" i="1"/>
  <c r="Y461" i="1"/>
  <c r="AA461" i="1"/>
  <c r="AT461" i="1" s="1"/>
  <c r="AD461" i="1"/>
  <c r="AN461" i="1" s="1"/>
  <c r="AO461" i="1"/>
  <c r="AQ461" i="1"/>
  <c r="AR461" i="1"/>
  <c r="AS461" i="1"/>
  <c r="AX461" i="1"/>
  <c r="AY461" i="1"/>
  <c r="CP461" i="1"/>
  <c r="DD461" i="1" s="1"/>
  <c r="CZ461" i="1"/>
  <c r="DA461" i="1"/>
  <c r="DB461" i="1" s="1"/>
  <c r="DP461" i="1"/>
  <c r="E462" i="1"/>
  <c r="H462" i="1"/>
  <c r="S462" i="1"/>
  <c r="T462" i="1"/>
  <c r="Y462" i="1"/>
  <c r="AA462" i="1"/>
  <c r="AT462" i="1" s="1"/>
  <c r="AD462" i="1"/>
  <c r="AN462" i="1" s="1"/>
  <c r="AF462" i="1"/>
  <c r="AO462" i="1"/>
  <c r="AP462" i="1"/>
  <c r="AQ462" i="1"/>
  <c r="AR462" i="1"/>
  <c r="AS462" i="1"/>
  <c r="AU462" i="1"/>
  <c r="AX462" i="1"/>
  <c r="AY462" i="1"/>
  <c r="CP462" i="1"/>
  <c r="DD462" i="1" s="1"/>
  <c r="CZ462" i="1"/>
  <c r="DA462" i="1"/>
  <c r="DB462" i="1" s="1"/>
  <c r="DM462" i="1"/>
  <c r="DP462" i="1"/>
  <c r="E463" i="1"/>
  <c r="H463" i="1"/>
  <c r="S463" i="1"/>
  <c r="T463" i="1"/>
  <c r="Y463" i="1"/>
  <c r="AA463" i="1"/>
  <c r="AT463" i="1" s="1"/>
  <c r="AD463" i="1"/>
  <c r="AN463" i="1" s="1"/>
  <c r="AF463" i="1"/>
  <c r="AO463" i="1"/>
  <c r="AP463" i="1"/>
  <c r="AQ463" i="1"/>
  <c r="AR463" i="1"/>
  <c r="AS463" i="1"/>
  <c r="AU463" i="1"/>
  <c r="AX463" i="1"/>
  <c r="AY463" i="1"/>
  <c r="CP463" i="1"/>
  <c r="DD463" i="1" s="1"/>
  <c r="CZ463" i="1"/>
  <c r="DA463" i="1"/>
  <c r="DB463" i="1" s="1"/>
  <c r="DM463" i="1"/>
  <c r="DP463" i="1"/>
  <c r="E464" i="1"/>
  <c r="H464" i="1"/>
  <c r="S464" i="1"/>
  <c r="T464" i="1"/>
  <c r="Y464" i="1"/>
  <c r="AA464" i="1"/>
  <c r="AT464" i="1" s="1"/>
  <c r="AD464" i="1"/>
  <c r="AN464" i="1" s="1"/>
  <c r="AF464" i="1"/>
  <c r="AO464" i="1"/>
  <c r="AP464" i="1"/>
  <c r="AQ464" i="1"/>
  <c r="AR464" i="1"/>
  <c r="AS464" i="1"/>
  <c r="AU464" i="1"/>
  <c r="AX464" i="1"/>
  <c r="AY464" i="1"/>
  <c r="CP464" i="1"/>
  <c r="DD464" i="1" s="1"/>
  <c r="CZ464" i="1"/>
  <c r="DA464" i="1"/>
  <c r="DB464" i="1" s="1"/>
  <c r="DM464" i="1"/>
  <c r="DP464" i="1"/>
  <c r="E465" i="1"/>
  <c r="H465" i="1"/>
  <c r="S465" i="1"/>
  <c r="T465" i="1"/>
  <c r="Y465" i="1"/>
  <c r="AA465" i="1"/>
  <c r="AT465" i="1" s="1"/>
  <c r="AD465" i="1"/>
  <c r="AN465" i="1" s="1"/>
  <c r="AF465" i="1"/>
  <c r="AO465" i="1"/>
  <c r="AP465" i="1"/>
  <c r="AQ465" i="1"/>
  <c r="AR465" i="1"/>
  <c r="AS465" i="1"/>
  <c r="AU465" i="1"/>
  <c r="AX465" i="1"/>
  <c r="AY465" i="1"/>
  <c r="CP465" i="1"/>
  <c r="DD465" i="1" s="1"/>
  <c r="CZ465" i="1"/>
  <c r="DA465" i="1"/>
  <c r="DB465" i="1" s="1"/>
  <c r="DM465" i="1"/>
  <c r="DP465" i="1"/>
  <c r="E466" i="1"/>
  <c r="H466" i="1"/>
  <c r="S466" i="1"/>
  <c r="T466" i="1"/>
  <c r="Y466" i="1"/>
  <c r="AA466" i="1"/>
  <c r="AT466" i="1" s="1"/>
  <c r="AD466" i="1"/>
  <c r="AN466" i="1" s="1"/>
  <c r="AF466" i="1"/>
  <c r="AO466" i="1"/>
  <c r="AP466" i="1"/>
  <c r="AQ466" i="1"/>
  <c r="AR466" i="1"/>
  <c r="AS466" i="1"/>
  <c r="AU466" i="1"/>
  <c r="AX466" i="1"/>
  <c r="AY466" i="1"/>
  <c r="CP466" i="1"/>
  <c r="DD466" i="1" s="1"/>
  <c r="CZ466" i="1"/>
  <c r="DA466" i="1"/>
  <c r="DB466" i="1" s="1"/>
  <c r="DM466" i="1"/>
  <c r="DP466" i="1"/>
  <c r="E467" i="1"/>
  <c r="H467" i="1"/>
  <c r="S467" i="1"/>
  <c r="T467" i="1"/>
  <c r="Y467" i="1"/>
  <c r="AA467" i="1"/>
  <c r="AT467" i="1" s="1"/>
  <c r="AD467" i="1"/>
  <c r="AN467" i="1" s="1"/>
  <c r="AF467" i="1"/>
  <c r="AO467" i="1"/>
  <c r="AP467" i="1"/>
  <c r="AQ467" i="1"/>
  <c r="AR467" i="1"/>
  <c r="AS467" i="1"/>
  <c r="AU467" i="1"/>
  <c r="AX467" i="1"/>
  <c r="AY467" i="1"/>
  <c r="CP467" i="1"/>
  <c r="DD467" i="1" s="1"/>
  <c r="CZ467" i="1"/>
  <c r="DA467" i="1"/>
  <c r="DB467" i="1" s="1"/>
  <c r="DM467" i="1"/>
  <c r="DP467" i="1"/>
  <c r="AF458" i="1" l="1"/>
  <c r="AP458" i="1" s="1"/>
  <c r="DC460" i="1"/>
  <c r="DC454" i="1"/>
  <c r="DC467" i="1"/>
  <c r="DC466" i="1"/>
  <c r="DC461" i="1"/>
  <c r="DC456" i="1"/>
  <c r="DC459" i="1"/>
  <c r="DC464" i="1"/>
  <c r="DC465" i="1"/>
  <c r="AU460" i="1"/>
  <c r="AF461" i="1"/>
  <c r="AP461" i="1" s="1"/>
  <c r="AU461" i="1"/>
  <c r="AF460" i="1"/>
  <c r="AP460" i="1" s="1"/>
  <c r="AU459" i="1"/>
  <c r="AF459" i="1"/>
  <c r="AP459" i="1" s="1"/>
  <c r="AU458" i="1"/>
  <c r="AU449" i="1"/>
  <c r="AU451" i="1"/>
  <c r="AU450" i="1"/>
  <c r="AN451" i="1"/>
  <c r="AN450" i="1"/>
  <c r="AN449" i="1"/>
  <c r="DC450" i="1"/>
  <c r="DC463" i="1"/>
  <c r="DC458" i="1"/>
  <c r="DC455" i="1"/>
  <c r="DC453" i="1"/>
  <c r="DC462" i="1"/>
  <c r="DC457" i="1"/>
  <c r="DC452" i="1"/>
  <c r="DC451" i="1"/>
  <c r="DC449" i="1"/>
  <c r="E443" i="1"/>
  <c r="H443" i="1"/>
  <c r="S443" i="1"/>
  <c r="T443" i="1"/>
  <c r="Y443" i="1"/>
  <c r="AA443" i="1"/>
  <c r="AT443" i="1" s="1"/>
  <c r="AD443" i="1"/>
  <c r="AF443" i="1" s="1"/>
  <c r="AP443" i="1" s="1"/>
  <c r="AO443" i="1"/>
  <c r="AQ443" i="1"/>
  <c r="AR443" i="1"/>
  <c r="AS443" i="1"/>
  <c r="AX443" i="1"/>
  <c r="AY443" i="1"/>
  <c r="CP443" i="1"/>
  <c r="DD443" i="1" s="1"/>
  <c r="CZ443" i="1"/>
  <c r="DA443" i="1"/>
  <c r="DB443" i="1" s="1"/>
  <c r="DP443" i="1"/>
  <c r="E444" i="1"/>
  <c r="H444" i="1"/>
  <c r="S444" i="1"/>
  <c r="T444" i="1"/>
  <c r="Y444" i="1"/>
  <c r="AA444" i="1"/>
  <c r="AT444" i="1" s="1"/>
  <c r="AD444" i="1"/>
  <c r="AF444" i="1" s="1"/>
  <c r="AP444" i="1" s="1"/>
  <c r="AO444" i="1"/>
  <c r="AQ444" i="1"/>
  <c r="AR444" i="1"/>
  <c r="AS444" i="1"/>
  <c r="AX444" i="1"/>
  <c r="AY444" i="1"/>
  <c r="CP444" i="1"/>
  <c r="DD444" i="1" s="1"/>
  <c r="CZ444" i="1"/>
  <c r="DA444" i="1"/>
  <c r="DB444" i="1" s="1"/>
  <c r="DP444" i="1"/>
  <c r="E445" i="1"/>
  <c r="H445" i="1"/>
  <c r="S445" i="1"/>
  <c r="T445" i="1"/>
  <c r="Y445" i="1"/>
  <c r="AA445" i="1"/>
  <c r="AT445" i="1" s="1"/>
  <c r="AD445" i="1"/>
  <c r="AN445" i="1" s="1"/>
  <c r="AF445" i="1"/>
  <c r="AO445" i="1"/>
  <c r="AP445" i="1"/>
  <c r="AQ445" i="1"/>
  <c r="AR445" i="1"/>
  <c r="AS445" i="1"/>
  <c r="AU445" i="1"/>
  <c r="AX445" i="1"/>
  <c r="AY445" i="1"/>
  <c r="CP445" i="1"/>
  <c r="DD445" i="1" s="1"/>
  <c r="CZ445" i="1"/>
  <c r="DA445" i="1"/>
  <c r="DB445" i="1" s="1"/>
  <c r="DM445" i="1"/>
  <c r="DP445" i="1"/>
  <c r="E446" i="1"/>
  <c r="H446" i="1"/>
  <c r="S446" i="1"/>
  <c r="T446" i="1"/>
  <c r="Y446" i="1"/>
  <c r="AA446" i="1"/>
  <c r="AT446" i="1" s="1"/>
  <c r="AD446" i="1"/>
  <c r="AN446" i="1" s="1"/>
  <c r="AF446" i="1"/>
  <c r="AO446" i="1"/>
  <c r="AP446" i="1"/>
  <c r="AQ446" i="1"/>
  <c r="AR446" i="1"/>
  <c r="AS446" i="1"/>
  <c r="AU446" i="1"/>
  <c r="AX446" i="1"/>
  <c r="AY446" i="1"/>
  <c r="CP446" i="1"/>
  <c r="DD446" i="1" s="1"/>
  <c r="CZ446" i="1"/>
  <c r="DA446" i="1"/>
  <c r="DB446" i="1" s="1"/>
  <c r="DM446" i="1"/>
  <c r="DP446" i="1"/>
  <c r="E447" i="1"/>
  <c r="H447" i="1"/>
  <c r="S447" i="1"/>
  <c r="T447" i="1"/>
  <c r="Y447" i="1"/>
  <c r="AA447" i="1"/>
  <c r="AT447" i="1" s="1"/>
  <c r="AD447" i="1"/>
  <c r="AN447" i="1" s="1"/>
  <c r="AF447" i="1"/>
  <c r="AO447" i="1"/>
  <c r="AP447" i="1"/>
  <c r="AQ447" i="1"/>
  <c r="AR447" i="1"/>
  <c r="AS447" i="1"/>
  <c r="AU447" i="1"/>
  <c r="AX447" i="1"/>
  <c r="AY447" i="1"/>
  <c r="CP447" i="1"/>
  <c r="DD447" i="1" s="1"/>
  <c r="CZ447" i="1"/>
  <c r="DA447" i="1"/>
  <c r="DB447" i="1" s="1"/>
  <c r="DM447" i="1"/>
  <c r="DP447" i="1"/>
  <c r="E448" i="1"/>
  <c r="H448" i="1"/>
  <c r="S448" i="1"/>
  <c r="T448" i="1"/>
  <c r="Y448" i="1"/>
  <c r="AA448" i="1"/>
  <c r="AT448" i="1" s="1"/>
  <c r="AD448" i="1"/>
  <c r="AN448" i="1" s="1"/>
  <c r="AF448" i="1"/>
  <c r="AO448" i="1"/>
  <c r="AP448" i="1"/>
  <c r="AQ448" i="1"/>
  <c r="AR448" i="1"/>
  <c r="AS448" i="1"/>
  <c r="AU448" i="1"/>
  <c r="AX448" i="1"/>
  <c r="AY448" i="1"/>
  <c r="CP448" i="1"/>
  <c r="DD448" i="1" s="1"/>
  <c r="CZ448" i="1"/>
  <c r="DA448" i="1"/>
  <c r="DB448" i="1" s="1"/>
  <c r="DM448" i="1"/>
  <c r="DP448" i="1"/>
  <c r="E468" i="1"/>
  <c r="H468" i="1"/>
  <c r="S468" i="1"/>
  <c r="T468" i="1"/>
  <c r="Y468" i="1"/>
  <c r="AA468" i="1"/>
  <c r="AT468" i="1" s="1"/>
  <c r="AD468" i="1"/>
  <c r="AN468" i="1" s="1"/>
  <c r="AF468" i="1"/>
  <c r="AO468" i="1"/>
  <c r="AP468" i="1"/>
  <c r="AQ468" i="1"/>
  <c r="AR468" i="1"/>
  <c r="AS468" i="1"/>
  <c r="AU468" i="1"/>
  <c r="AX468" i="1"/>
  <c r="AY468" i="1"/>
  <c r="CP468" i="1"/>
  <c r="DD468" i="1" s="1"/>
  <c r="CZ468" i="1"/>
  <c r="DA468" i="1"/>
  <c r="DB468" i="1" s="1"/>
  <c r="DM468" i="1"/>
  <c r="DP468" i="1"/>
  <c r="E490" i="1"/>
  <c r="H490" i="1"/>
  <c r="S490" i="1"/>
  <c r="T490" i="1"/>
  <c r="Y490" i="1"/>
  <c r="AT490" i="1"/>
  <c r="AD490" i="1"/>
  <c r="AN490" i="1" s="1"/>
  <c r="AO490" i="1"/>
  <c r="AQ490" i="1"/>
  <c r="AR490" i="1"/>
  <c r="AS490" i="1"/>
  <c r="AX490" i="1"/>
  <c r="AY490" i="1"/>
  <c r="CZ490" i="1"/>
  <c r="DA490" i="1"/>
  <c r="DB490" i="1" s="1"/>
  <c r="DD490" i="1"/>
  <c r="DP490" i="1"/>
  <c r="E431" i="1"/>
  <c r="H431" i="1"/>
  <c r="S431" i="1"/>
  <c r="Y431" i="1"/>
  <c r="AA431" i="1"/>
  <c r="AT431" i="1" s="1"/>
  <c r="AD431" i="1"/>
  <c r="AF431" i="1" s="1"/>
  <c r="AP431" i="1" s="1"/>
  <c r="AO431" i="1"/>
  <c r="AQ431" i="1"/>
  <c r="AR431" i="1"/>
  <c r="AS431" i="1"/>
  <c r="AX431" i="1"/>
  <c r="AY431" i="1"/>
  <c r="CP431" i="1"/>
  <c r="DD431" i="1" s="1"/>
  <c r="CZ431" i="1"/>
  <c r="DA431" i="1"/>
  <c r="DB431" i="1" s="1"/>
  <c r="DP431" i="1"/>
  <c r="E432" i="1"/>
  <c r="H432" i="1"/>
  <c r="S432" i="1"/>
  <c r="Y432" i="1"/>
  <c r="AA432" i="1"/>
  <c r="AT432" i="1" s="1"/>
  <c r="AD432" i="1"/>
  <c r="AN432" i="1" s="1"/>
  <c r="AO432" i="1"/>
  <c r="AQ432" i="1"/>
  <c r="AR432" i="1"/>
  <c r="AS432" i="1"/>
  <c r="AX432" i="1"/>
  <c r="AY432" i="1"/>
  <c r="CP432" i="1"/>
  <c r="DD432" i="1" s="1"/>
  <c r="CZ432" i="1"/>
  <c r="DA432" i="1"/>
  <c r="DB432" i="1" s="1"/>
  <c r="DP432" i="1"/>
  <c r="E433" i="1"/>
  <c r="H433" i="1"/>
  <c r="S433" i="1"/>
  <c r="Y433" i="1"/>
  <c r="AA433" i="1"/>
  <c r="AT433" i="1" s="1"/>
  <c r="AN433" i="1"/>
  <c r="AO433" i="1"/>
  <c r="AQ433" i="1"/>
  <c r="AR433" i="1"/>
  <c r="AS433" i="1"/>
  <c r="AX433" i="1"/>
  <c r="AY433" i="1"/>
  <c r="CP433" i="1"/>
  <c r="DD433" i="1" s="1"/>
  <c r="CZ433" i="1"/>
  <c r="DA433" i="1"/>
  <c r="DB433" i="1" s="1"/>
  <c r="DP433" i="1"/>
  <c r="E434" i="1"/>
  <c r="H434" i="1"/>
  <c r="S434" i="1"/>
  <c r="T434" i="1"/>
  <c r="Y434" i="1"/>
  <c r="AA434" i="1"/>
  <c r="AT434" i="1" s="1"/>
  <c r="AD434" i="1"/>
  <c r="AN434" i="1" s="1"/>
  <c r="AO434" i="1"/>
  <c r="AQ434" i="1"/>
  <c r="AR434" i="1"/>
  <c r="AS434" i="1"/>
  <c r="AX434" i="1"/>
  <c r="AY434" i="1"/>
  <c r="CP434" i="1"/>
  <c r="DD434" i="1" s="1"/>
  <c r="CZ434" i="1"/>
  <c r="DA434" i="1"/>
  <c r="DB434" i="1" s="1"/>
  <c r="DP434" i="1"/>
  <c r="E435" i="1"/>
  <c r="H435" i="1"/>
  <c r="S435" i="1"/>
  <c r="T435" i="1"/>
  <c r="Y435" i="1"/>
  <c r="AA435" i="1"/>
  <c r="AT435" i="1" s="1"/>
  <c r="AD435" i="1"/>
  <c r="AN435" i="1" s="1"/>
  <c r="AF435" i="1"/>
  <c r="AO435" i="1"/>
  <c r="AP435" i="1"/>
  <c r="AQ435" i="1"/>
  <c r="AR435" i="1"/>
  <c r="AS435" i="1"/>
  <c r="AU435" i="1"/>
  <c r="AX435" i="1"/>
  <c r="AY435" i="1"/>
  <c r="CP435" i="1"/>
  <c r="DD435" i="1" s="1"/>
  <c r="CZ435" i="1"/>
  <c r="DA435" i="1"/>
  <c r="DB435" i="1" s="1"/>
  <c r="DM435" i="1"/>
  <c r="DP435" i="1"/>
  <c r="E436" i="1"/>
  <c r="H436" i="1"/>
  <c r="S436" i="1"/>
  <c r="T436" i="1"/>
  <c r="Y436" i="1"/>
  <c r="AA436" i="1"/>
  <c r="AT436" i="1" s="1"/>
  <c r="AD436" i="1"/>
  <c r="AN436" i="1" s="1"/>
  <c r="AF436" i="1"/>
  <c r="AO436" i="1"/>
  <c r="AP436" i="1"/>
  <c r="AQ436" i="1"/>
  <c r="AR436" i="1"/>
  <c r="AS436" i="1"/>
  <c r="AU436" i="1"/>
  <c r="AX436" i="1"/>
  <c r="AY436" i="1"/>
  <c r="CP436" i="1"/>
  <c r="DD436" i="1" s="1"/>
  <c r="CZ436" i="1"/>
  <c r="DA436" i="1"/>
  <c r="DB436" i="1" s="1"/>
  <c r="DM436" i="1"/>
  <c r="DP436" i="1"/>
  <c r="E437" i="1"/>
  <c r="H437" i="1"/>
  <c r="S437" i="1"/>
  <c r="T437" i="1"/>
  <c r="Y437" i="1"/>
  <c r="AA437" i="1"/>
  <c r="AT437" i="1" s="1"/>
  <c r="AD437" i="1"/>
  <c r="AN437" i="1" s="1"/>
  <c r="AF437" i="1"/>
  <c r="AO437" i="1"/>
  <c r="AP437" i="1"/>
  <c r="AQ437" i="1"/>
  <c r="AR437" i="1"/>
  <c r="AS437" i="1"/>
  <c r="AU437" i="1"/>
  <c r="AX437" i="1"/>
  <c r="AY437" i="1"/>
  <c r="CP437" i="1"/>
  <c r="DD437" i="1" s="1"/>
  <c r="CZ437" i="1"/>
  <c r="DA437" i="1"/>
  <c r="DB437" i="1" s="1"/>
  <c r="DM437" i="1"/>
  <c r="DP437" i="1"/>
  <c r="E430" i="1"/>
  <c r="H430" i="1"/>
  <c r="S430" i="1"/>
  <c r="T430" i="1"/>
  <c r="Y430" i="1"/>
  <c r="AA430" i="1"/>
  <c r="AT430" i="1" s="1"/>
  <c r="AD430" i="1"/>
  <c r="AN430" i="1" s="1"/>
  <c r="AO430" i="1"/>
  <c r="AQ430" i="1"/>
  <c r="AR430" i="1"/>
  <c r="AS430" i="1"/>
  <c r="AX430" i="1"/>
  <c r="AY430" i="1"/>
  <c r="CP430" i="1"/>
  <c r="DD430" i="1" s="1"/>
  <c r="CZ430" i="1"/>
  <c r="DA430" i="1"/>
  <c r="DB430" i="1" s="1"/>
  <c r="DP430" i="1"/>
  <c r="E429" i="1"/>
  <c r="H429" i="1"/>
  <c r="S429" i="1"/>
  <c r="T429" i="1"/>
  <c r="Y429" i="1"/>
  <c r="AA429" i="1"/>
  <c r="AT429" i="1" s="1"/>
  <c r="AD429" i="1"/>
  <c r="AN429" i="1" s="1"/>
  <c r="AO429" i="1"/>
  <c r="AQ429" i="1"/>
  <c r="AR429" i="1"/>
  <c r="AS429" i="1"/>
  <c r="AX429" i="1"/>
  <c r="AY429" i="1"/>
  <c r="CP429" i="1"/>
  <c r="DD429" i="1" s="1"/>
  <c r="CZ429" i="1"/>
  <c r="DA429" i="1"/>
  <c r="DB429" i="1" s="1"/>
  <c r="DP429" i="1"/>
  <c r="E438" i="1"/>
  <c r="H438" i="1"/>
  <c r="S438" i="1"/>
  <c r="T438" i="1"/>
  <c r="Y438" i="1"/>
  <c r="AA438" i="1"/>
  <c r="AT438" i="1" s="1"/>
  <c r="AD438" i="1"/>
  <c r="AN438" i="1" s="1"/>
  <c r="AF438" i="1"/>
  <c r="AO438" i="1"/>
  <c r="AP438" i="1"/>
  <c r="AQ438" i="1"/>
  <c r="AR438" i="1"/>
  <c r="AS438" i="1"/>
  <c r="AU438" i="1"/>
  <c r="AX438" i="1"/>
  <c r="AY438" i="1"/>
  <c r="CP438" i="1"/>
  <c r="DD438" i="1" s="1"/>
  <c r="CZ438" i="1"/>
  <c r="DA438" i="1"/>
  <c r="DB438" i="1" s="1"/>
  <c r="DM438" i="1"/>
  <c r="DP438" i="1"/>
  <c r="E439" i="1"/>
  <c r="H439" i="1"/>
  <c r="S439" i="1"/>
  <c r="T439" i="1"/>
  <c r="Y439" i="1"/>
  <c r="AA439" i="1"/>
  <c r="AT439" i="1" s="1"/>
  <c r="AD439" i="1"/>
  <c r="AN439" i="1" s="1"/>
  <c r="AO439" i="1"/>
  <c r="AQ439" i="1"/>
  <c r="AR439" i="1"/>
  <c r="AS439" i="1"/>
  <c r="AX439" i="1"/>
  <c r="AY439" i="1"/>
  <c r="CP439" i="1"/>
  <c r="DD439" i="1" s="1"/>
  <c r="CZ439" i="1"/>
  <c r="DA439" i="1"/>
  <c r="DB439" i="1" s="1"/>
  <c r="DP439" i="1"/>
  <c r="E440" i="1"/>
  <c r="H440" i="1"/>
  <c r="S440" i="1"/>
  <c r="Y440" i="1"/>
  <c r="AA440" i="1"/>
  <c r="AT440" i="1" s="1"/>
  <c r="AD440" i="1"/>
  <c r="AN440" i="1" s="1"/>
  <c r="AO440" i="1"/>
  <c r="AQ440" i="1"/>
  <c r="AR440" i="1"/>
  <c r="AS440" i="1"/>
  <c r="AX440" i="1"/>
  <c r="AY440" i="1"/>
  <c r="CP440" i="1"/>
  <c r="DD440" i="1" s="1"/>
  <c r="CZ440" i="1"/>
  <c r="DA440" i="1"/>
  <c r="DB440" i="1" s="1"/>
  <c r="DP440" i="1"/>
  <c r="E441" i="1"/>
  <c r="H441" i="1"/>
  <c r="S441" i="1"/>
  <c r="Y441" i="1"/>
  <c r="AA441" i="1"/>
  <c r="AT441" i="1" s="1"/>
  <c r="AD441" i="1"/>
  <c r="AN441" i="1" s="1"/>
  <c r="AO441" i="1"/>
  <c r="AQ441" i="1"/>
  <c r="AR441" i="1"/>
  <c r="AS441" i="1"/>
  <c r="AX441" i="1"/>
  <c r="AY441" i="1"/>
  <c r="CP441" i="1"/>
  <c r="DD441" i="1" s="1"/>
  <c r="CZ441" i="1"/>
  <c r="DA441" i="1"/>
  <c r="DB441" i="1" s="1"/>
  <c r="DP441" i="1"/>
  <c r="DR383" i="1"/>
  <c r="DR384" i="1"/>
  <c r="DR387" i="1"/>
  <c r="DR388" i="1"/>
  <c r="DR389" i="1"/>
  <c r="DR390" i="1"/>
  <c r="DR391" i="1"/>
  <c r="DR392" i="1"/>
  <c r="DR393" i="1"/>
  <c r="E422" i="1"/>
  <c r="H422" i="1"/>
  <c r="S422" i="1"/>
  <c r="T422" i="1"/>
  <c r="Y422" i="1"/>
  <c r="AA422" i="1"/>
  <c r="AT422" i="1" s="1"/>
  <c r="AD422" i="1"/>
  <c r="AN422" i="1" s="1"/>
  <c r="AO422" i="1"/>
  <c r="AQ422" i="1"/>
  <c r="AR422" i="1"/>
  <c r="AS422" i="1"/>
  <c r="AX422" i="1"/>
  <c r="AY422" i="1"/>
  <c r="CP422" i="1"/>
  <c r="DD422" i="1" s="1"/>
  <c r="CZ422" i="1"/>
  <c r="DA422" i="1"/>
  <c r="DB422" i="1" s="1"/>
  <c r="DP422" i="1"/>
  <c r="E423" i="1"/>
  <c r="H423" i="1"/>
  <c r="S423" i="1"/>
  <c r="T423" i="1"/>
  <c r="Y423" i="1"/>
  <c r="AA423" i="1"/>
  <c r="AT423" i="1" s="1"/>
  <c r="AD423" i="1"/>
  <c r="AN423" i="1" s="1"/>
  <c r="AO423" i="1"/>
  <c r="AQ423" i="1"/>
  <c r="AR423" i="1"/>
  <c r="AS423" i="1"/>
  <c r="AX423" i="1"/>
  <c r="AY423" i="1"/>
  <c r="CP423" i="1"/>
  <c r="DD423" i="1" s="1"/>
  <c r="CZ423" i="1"/>
  <c r="DA423" i="1"/>
  <c r="DB423" i="1" s="1"/>
  <c r="DP423" i="1"/>
  <c r="E424" i="1"/>
  <c r="H424" i="1"/>
  <c r="S424" i="1"/>
  <c r="T424" i="1"/>
  <c r="Y424" i="1"/>
  <c r="AA424" i="1"/>
  <c r="AT424" i="1" s="1"/>
  <c r="AD424" i="1"/>
  <c r="AN424" i="1" s="1"/>
  <c r="AF424" i="1"/>
  <c r="AO424" i="1"/>
  <c r="AP424" i="1"/>
  <c r="AQ424" i="1"/>
  <c r="AR424" i="1"/>
  <c r="AS424" i="1"/>
  <c r="AU424" i="1"/>
  <c r="AX424" i="1"/>
  <c r="AY424" i="1"/>
  <c r="CP424" i="1"/>
  <c r="DD424" i="1" s="1"/>
  <c r="CZ424" i="1"/>
  <c r="DA424" i="1"/>
  <c r="DB424" i="1" s="1"/>
  <c r="DM424" i="1"/>
  <c r="DP424" i="1"/>
  <c r="E425" i="1"/>
  <c r="H425" i="1"/>
  <c r="S425" i="1"/>
  <c r="T425" i="1"/>
  <c r="Y425" i="1"/>
  <c r="AA425" i="1"/>
  <c r="AT425" i="1" s="1"/>
  <c r="AD425" i="1"/>
  <c r="AN425" i="1" s="1"/>
  <c r="AF425" i="1"/>
  <c r="AO425" i="1"/>
  <c r="AP425" i="1"/>
  <c r="AQ425" i="1"/>
  <c r="AR425" i="1"/>
  <c r="AS425" i="1"/>
  <c r="AU425" i="1"/>
  <c r="AX425" i="1"/>
  <c r="AY425" i="1"/>
  <c r="CP425" i="1"/>
  <c r="DD425" i="1" s="1"/>
  <c r="CZ425" i="1"/>
  <c r="DA425" i="1"/>
  <c r="DB425" i="1" s="1"/>
  <c r="DM425" i="1"/>
  <c r="DP425" i="1"/>
  <c r="E426" i="1"/>
  <c r="H426" i="1"/>
  <c r="S426" i="1"/>
  <c r="T426" i="1"/>
  <c r="Y426" i="1"/>
  <c r="AA426" i="1"/>
  <c r="AT426" i="1" s="1"/>
  <c r="AD426" i="1"/>
  <c r="AN426" i="1" s="1"/>
  <c r="AF426" i="1"/>
  <c r="AO426" i="1"/>
  <c r="AP426" i="1"/>
  <c r="AQ426" i="1"/>
  <c r="AR426" i="1"/>
  <c r="AS426" i="1"/>
  <c r="AU426" i="1"/>
  <c r="AX426" i="1"/>
  <c r="AY426" i="1"/>
  <c r="CP426" i="1"/>
  <c r="DD426" i="1" s="1"/>
  <c r="CZ426" i="1"/>
  <c r="DA426" i="1"/>
  <c r="DB426" i="1" s="1"/>
  <c r="DM426" i="1"/>
  <c r="DP426" i="1"/>
  <c r="E427" i="1"/>
  <c r="H427" i="1"/>
  <c r="S427" i="1"/>
  <c r="T427" i="1"/>
  <c r="Y427" i="1"/>
  <c r="AA427" i="1"/>
  <c r="AD427" i="1"/>
  <c r="AN427" i="1" s="1"/>
  <c r="AF427" i="1"/>
  <c r="AO427" i="1"/>
  <c r="AP427" i="1"/>
  <c r="AQ427" i="1"/>
  <c r="AR427" i="1"/>
  <c r="AS427" i="1"/>
  <c r="AT427" i="1"/>
  <c r="AU427" i="1"/>
  <c r="AX427" i="1"/>
  <c r="AY427" i="1"/>
  <c r="CP427" i="1"/>
  <c r="DD427" i="1" s="1"/>
  <c r="CZ427" i="1"/>
  <c r="DA427" i="1"/>
  <c r="DB427" i="1" s="1"/>
  <c r="DM427" i="1"/>
  <c r="DP427" i="1"/>
  <c r="DC490" i="1" l="1"/>
  <c r="AU490" i="1"/>
  <c r="AF490" i="1"/>
  <c r="AP490" i="1" s="1"/>
  <c r="DC468" i="1"/>
  <c r="AF440" i="1"/>
  <c r="AP440" i="1" s="1"/>
  <c r="AU439" i="1"/>
  <c r="AF439" i="1"/>
  <c r="AP439" i="1" s="1"/>
  <c r="AN444" i="1"/>
  <c r="AU444" i="1"/>
  <c r="AN443" i="1"/>
  <c r="AU443" i="1"/>
  <c r="AU441" i="1"/>
  <c r="AU440" i="1"/>
  <c r="AF441" i="1"/>
  <c r="AP441" i="1" s="1"/>
  <c r="DC445" i="1"/>
  <c r="DC448" i="1"/>
  <c r="DC446" i="1"/>
  <c r="DC447" i="1"/>
  <c r="DC444" i="1"/>
  <c r="DC443" i="1"/>
  <c r="AU431" i="1"/>
  <c r="AF429" i="1"/>
  <c r="AP429" i="1" s="1"/>
  <c r="AU430" i="1"/>
  <c r="AF434" i="1"/>
  <c r="AP434" i="1" s="1"/>
  <c r="AF432" i="1"/>
  <c r="AP432" i="1" s="1"/>
  <c r="AU434" i="1"/>
  <c r="AU433" i="1"/>
  <c r="AU432" i="1"/>
  <c r="AU429" i="1"/>
  <c r="AF433" i="1"/>
  <c r="AP433" i="1" s="1"/>
  <c r="AN431" i="1"/>
  <c r="AF430" i="1"/>
  <c r="AP430" i="1" s="1"/>
  <c r="DC432" i="1"/>
  <c r="DC431" i="1"/>
  <c r="DC429" i="1"/>
  <c r="DC435" i="1"/>
  <c r="DC430" i="1"/>
  <c r="DC441" i="1"/>
  <c r="DC440" i="1"/>
  <c r="DC439" i="1"/>
  <c r="DC438" i="1"/>
  <c r="DC436" i="1"/>
  <c r="DC437" i="1"/>
  <c r="DC434" i="1"/>
  <c r="DC433" i="1"/>
  <c r="DC423" i="1"/>
  <c r="DC427" i="1"/>
  <c r="AF423" i="1"/>
  <c r="AP423" i="1" s="1"/>
  <c r="DC426" i="1"/>
  <c r="DC425" i="1"/>
  <c r="DC424" i="1"/>
  <c r="AU423" i="1"/>
  <c r="AF422" i="1"/>
  <c r="AP422" i="1" s="1"/>
  <c r="AU422" i="1"/>
  <c r="DC422" i="1"/>
  <c r="E412" i="1" l="1"/>
  <c r="H412" i="1"/>
  <c r="S412" i="1"/>
  <c r="T412" i="1"/>
  <c r="Y412" i="1"/>
  <c r="AA412" i="1"/>
  <c r="AT412" i="1" s="1"/>
  <c r="AD412" i="1"/>
  <c r="AF412" i="1" s="1"/>
  <c r="AP412" i="1" s="1"/>
  <c r="AO412" i="1"/>
  <c r="AQ412" i="1"/>
  <c r="AR412" i="1"/>
  <c r="AS412" i="1"/>
  <c r="AX412" i="1"/>
  <c r="AY412" i="1"/>
  <c r="CP412" i="1"/>
  <c r="DD412" i="1" s="1"/>
  <c r="CZ412" i="1"/>
  <c r="DA412" i="1"/>
  <c r="DB412" i="1" s="1"/>
  <c r="DP412" i="1"/>
  <c r="E413" i="1"/>
  <c r="H413" i="1"/>
  <c r="S413" i="1"/>
  <c r="T413" i="1"/>
  <c r="Y413" i="1"/>
  <c r="AA413" i="1"/>
  <c r="AT413" i="1" s="1"/>
  <c r="AD413" i="1"/>
  <c r="AN413" i="1" s="1"/>
  <c r="AO413" i="1"/>
  <c r="AQ413" i="1"/>
  <c r="AR413" i="1"/>
  <c r="AS413" i="1"/>
  <c r="AX413" i="1"/>
  <c r="AY413" i="1"/>
  <c r="CP413" i="1"/>
  <c r="DD413" i="1" s="1"/>
  <c r="CZ413" i="1"/>
  <c r="DA413" i="1"/>
  <c r="DB413" i="1" s="1"/>
  <c r="DP413" i="1"/>
  <c r="E415" i="1"/>
  <c r="H415" i="1"/>
  <c r="S415" i="1"/>
  <c r="T415" i="1"/>
  <c r="Y415" i="1"/>
  <c r="AA415" i="1"/>
  <c r="AT415" i="1" s="1"/>
  <c r="AD415" i="1"/>
  <c r="AN415" i="1" s="1"/>
  <c r="AF415" i="1"/>
  <c r="AO415" i="1"/>
  <c r="AP415" i="1"/>
  <c r="AQ415" i="1"/>
  <c r="AR415" i="1"/>
  <c r="AS415" i="1"/>
  <c r="AU415" i="1"/>
  <c r="AX415" i="1"/>
  <c r="AY415" i="1"/>
  <c r="CP415" i="1"/>
  <c r="DD415" i="1" s="1"/>
  <c r="CZ415" i="1"/>
  <c r="DA415" i="1"/>
  <c r="DB415" i="1" s="1"/>
  <c r="DM415" i="1"/>
  <c r="DP415" i="1"/>
  <c r="E416" i="1"/>
  <c r="H416" i="1"/>
  <c r="S416" i="1"/>
  <c r="T416" i="1"/>
  <c r="Y416" i="1"/>
  <c r="AA416" i="1"/>
  <c r="AT416" i="1" s="1"/>
  <c r="AD416" i="1"/>
  <c r="AN416" i="1" s="1"/>
  <c r="AF416" i="1"/>
  <c r="AO416" i="1"/>
  <c r="AP416" i="1"/>
  <c r="AQ416" i="1"/>
  <c r="AR416" i="1"/>
  <c r="AS416" i="1"/>
  <c r="AU416" i="1"/>
  <c r="AX416" i="1"/>
  <c r="AY416" i="1"/>
  <c r="CP416" i="1"/>
  <c r="DD416" i="1" s="1"/>
  <c r="CZ416" i="1"/>
  <c r="DA416" i="1"/>
  <c r="DB416" i="1" s="1"/>
  <c r="DM416" i="1"/>
  <c r="DP416" i="1"/>
  <c r="E417" i="1"/>
  <c r="H417" i="1"/>
  <c r="S417" i="1"/>
  <c r="T417" i="1"/>
  <c r="Y417" i="1"/>
  <c r="AA417" i="1"/>
  <c r="AT417" i="1" s="1"/>
  <c r="AD417" i="1"/>
  <c r="AN417" i="1" s="1"/>
  <c r="AF417" i="1"/>
  <c r="AO417" i="1"/>
  <c r="AP417" i="1"/>
  <c r="AQ417" i="1"/>
  <c r="AR417" i="1"/>
  <c r="AS417" i="1"/>
  <c r="AU417" i="1"/>
  <c r="AX417" i="1"/>
  <c r="AY417" i="1"/>
  <c r="CP417" i="1"/>
  <c r="DD417" i="1" s="1"/>
  <c r="CZ417" i="1"/>
  <c r="DA417" i="1"/>
  <c r="DB417" i="1" s="1"/>
  <c r="DM417" i="1"/>
  <c r="DP417" i="1"/>
  <c r="E414" i="1"/>
  <c r="H414" i="1"/>
  <c r="S414" i="1"/>
  <c r="T414" i="1"/>
  <c r="Y414" i="1"/>
  <c r="AA414" i="1"/>
  <c r="AT414" i="1" s="1"/>
  <c r="AD414" i="1"/>
  <c r="AN414" i="1" s="1"/>
  <c r="AO414" i="1"/>
  <c r="AQ414" i="1"/>
  <c r="AR414" i="1"/>
  <c r="AS414" i="1"/>
  <c r="AX414" i="1"/>
  <c r="AY414" i="1"/>
  <c r="CP414" i="1"/>
  <c r="DD414" i="1" s="1"/>
  <c r="CZ414" i="1"/>
  <c r="DA414" i="1"/>
  <c r="DB414" i="1" s="1"/>
  <c r="DP414" i="1"/>
  <c r="E418" i="1"/>
  <c r="H418" i="1"/>
  <c r="S418" i="1"/>
  <c r="T418" i="1"/>
  <c r="Y418" i="1"/>
  <c r="AA418" i="1"/>
  <c r="AT418" i="1" s="1"/>
  <c r="AD418" i="1"/>
  <c r="AN418" i="1" s="1"/>
  <c r="AF418" i="1"/>
  <c r="AO418" i="1"/>
  <c r="AP418" i="1"/>
  <c r="AQ418" i="1"/>
  <c r="AR418" i="1"/>
  <c r="AS418" i="1"/>
  <c r="AU418" i="1"/>
  <c r="AX418" i="1"/>
  <c r="AY418" i="1"/>
  <c r="CP418" i="1"/>
  <c r="DD418" i="1" s="1"/>
  <c r="CZ418" i="1"/>
  <c r="DA418" i="1"/>
  <c r="DB418" i="1" s="1"/>
  <c r="DM418" i="1"/>
  <c r="DP418" i="1"/>
  <c r="E419" i="1"/>
  <c r="H419" i="1"/>
  <c r="S419" i="1"/>
  <c r="T419" i="1"/>
  <c r="Y419" i="1"/>
  <c r="AA419" i="1"/>
  <c r="AT419" i="1" s="1"/>
  <c r="AD419" i="1"/>
  <c r="AN419" i="1" s="1"/>
  <c r="AO419" i="1"/>
  <c r="AQ419" i="1"/>
  <c r="AR419" i="1"/>
  <c r="AS419" i="1"/>
  <c r="AX419" i="1"/>
  <c r="AY419" i="1"/>
  <c r="CP419" i="1"/>
  <c r="DD419" i="1" s="1"/>
  <c r="CZ419" i="1"/>
  <c r="DA419" i="1"/>
  <c r="DB419" i="1" s="1"/>
  <c r="DP419" i="1"/>
  <c r="E401" i="1"/>
  <c r="H401" i="1"/>
  <c r="S401" i="1"/>
  <c r="T401" i="1"/>
  <c r="Y401" i="1"/>
  <c r="AA401" i="1"/>
  <c r="AT401" i="1" s="1"/>
  <c r="AD401" i="1"/>
  <c r="AN401" i="1" s="1"/>
  <c r="AF401" i="1"/>
  <c r="AO401" i="1"/>
  <c r="AP401" i="1"/>
  <c r="AQ401" i="1"/>
  <c r="AR401" i="1"/>
  <c r="AS401" i="1"/>
  <c r="AU401" i="1"/>
  <c r="AX401" i="1"/>
  <c r="AY401" i="1"/>
  <c r="CP401" i="1"/>
  <c r="DD401" i="1" s="1"/>
  <c r="CZ401" i="1"/>
  <c r="DA401" i="1"/>
  <c r="DB401" i="1" s="1"/>
  <c r="DM401" i="1"/>
  <c r="E402" i="1"/>
  <c r="H402" i="1"/>
  <c r="S402" i="1"/>
  <c r="Y402" i="1"/>
  <c r="AA402" i="1"/>
  <c r="AT402" i="1" s="1"/>
  <c r="AD402" i="1"/>
  <c r="AN402" i="1" s="1"/>
  <c r="AO402" i="1"/>
  <c r="AQ402" i="1"/>
  <c r="AR402" i="1"/>
  <c r="AS402" i="1"/>
  <c r="AX402" i="1"/>
  <c r="AY402" i="1"/>
  <c r="CP402" i="1"/>
  <c r="DD402" i="1" s="1"/>
  <c r="CZ402" i="1"/>
  <c r="DA402" i="1"/>
  <c r="DB402" i="1" s="1"/>
  <c r="DP402" i="1"/>
  <c r="E403" i="1"/>
  <c r="H403" i="1"/>
  <c r="S403" i="1"/>
  <c r="Y403" i="1"/>
  <c r="AA403" i="1"/>
  <c r="AT403" i="1" s="1"/>
  <c r="AD403" i="1"/>
  <c r="AN403" i="1" s="1"/>
  <c r="AO403" i="1"/>
  <c r="AQ403" i="1"/>
  <c r="AR403" i="1"/>
  <c r="AS403" i="1"/>
  <c r="AX403" i="1"/>
  <c r="AY403" i="1"/>
  <c r="CP403" i="1"/>
  <c r="DD403" i="1" s="1"/>
  <c r="CZ403" i="1"/>
  <c r="DA403" i="1"/>
  <c r="DB403" i="1" s="1"/>
  <c r="DP403" i="1"/>
  <c r="E404" i="1"/>
  <c r="H404" i="1"/>
  <c r="S404" i="1"/>
  <c r="T404" i="1"/>
  <c r="Y404" i="1"/>
  <c r="AA404" i="1"/>
  <c r="AT404" i="1" s="1"/>
  <c r="AD404" i="1"/>
  <c r="AN404" i="1" s="1"/>
  <c r="AO404" i="1"/>
  <c r="AQ404" i="1"/>
  <c r="AR404" i="1"/>
  <c r="AS404" i="1"/>
  <c r="AX404" i="1"/>
  <c r="AY404" i="1"/>
  <c r="CP404" i="1"/>
  <c r="DD404" i="1" s="1"/>
  <c r="CZ404" i="1"/>
  <c r="DA404" i="1"/>
  <c r="DB404" i="1" s="1"/>
  <c r="DP404" i="1"/>
  <c r="E405" i="1"/>
  <c r="H405" i="1"/>
  <c r="S405" i="1"/>
  <c r="T405" i="1"/>
  <c r="Y405" i="1"/>
  <c r="AA405" i="1"/>
  <c r="AD405" i="1"/>
  <c r="AN405" i="1" s="1"/>
  <c r="AF405" i="1"/>
  <c r="AO405" i="1"/>
  <c r="AP405" i="1"/>
  <c r="AQ405" i="1"/>
  <c r="AR405" i="1"/>
  <c r="AS405" i="1"/>
  <c r="AT405" i="1"/>
  <c r="AU405" i="1"/>
  <c r="AX405" i="1"/>
  <c r="AY405" i="1"/>
  <c r="CP405" i="1"/>
  <c r="DD405" i="1" s="1"/>
  <c r="CZ405" i="1"/>
  <c r="DA405" i="1"/>
  <c r="DB405" i="1" s="1"/>
  <c r="DM405" i="1"/>
  <c r="E406" i="1"/>
  <c r="H406" i="1"/>
  <c r="S406" i="1"/>
  <c r="T406" i="1"/>
  <c r="Y406" i="1"/>
  <c r="AA406" i="1"/>
  <c r="AT406" i="1" s="1"/>
  <c r="AD406" i="1"/>
  <c r="AN406" i="1" s="1"/>
  <c r="AF406" i="1"/>
  <c r="AO406" i="1"/>
  <c r="AP406" i="1"/>
  <c r="AQ406" i="1"/>
  <c r="AR406" i="1"/>
  <c r="AS406" i="1"/>
  <c r="AU406" i="1"/>
  <c r="AX406" i="1"/>
  <c r="AY406" i="1"/>
  <c r="CP406" i="1"/>
  <c r="DD406" i="1" s="1"/>
  <c r="CZ406" i="1"/>
  <c r="DA406" i="1"/>
  <c r="DB406" i="1" s="1"/>
  <c r="DM406" i="1"/>
  <c r="DP406" i="1"/>
  <c r="E407" i="1"/>
  <c r="H407" i="1"/>
  <c r="S407" i="1"/>
  <c r="T407" i="1"/>
  <c r="Y407" i="1"/>
  <c r="AA407" i="1"/>
  <c r="AT407" i="1" s="1"/>
  <c r="AD407" i="1"/>
  <c r="AN407" i="1" s="1"/>
  <c r="AF407" i="1"/>
  <c r="AO407" i="1"/>
  <c r="AP407" i="1"/>
  <c r="AQ407" i="1"/>
  <c r="AR407" i="1"/>
  <c r="AS407" i="1"/>
  <c r="AU407" i="1"/>
  <c r="AX407" i="1"/>
  <c r="AY407" i="1"/>
  <c r="CP407" i="1"/>
  <c r="DD407" i="1" s="1"/>
  <c r="CZ407" i="1"/>
  <c r="DA407" i="1"/>
  <c r="DB407" i="1" s="1"/>
  <c r="DM407" i="1"/>
  <c r="DP407" i="1"/>
  <c r="E408" i="1"/>
  <c r="H408" i="1"/>
  <c r="S408" i="1"/>
  <c r="T408" i="1"/>
  <c r="Y408" i="1"/>
  <c r="AA408" i="1"/>
  <c r="AT408" i="1" s="1"/>
  <c r="AD408" i="1"/>
  <c r="AN408" i="1" s="1"/>
  <c r="AF408" i="1"/>
  <c r="AO408" i="1"/>
  <c r="AP408" i="1"/>
  <c r="AQ408" i="1"/>
  <c r="AR408" i="1"/>
  <c r="AS408" i="1"/>
  <c r="AU408" i="1"/>
  <c r="AX408" i="1"/>
  <c r="AY408" i="1"/>
  <c r="CP408" i="1"/>
  <c r="DD408" i="1" s="1"/>
  <c r="CZ408" i="1"/>
  <c r="DA408" i="1"/>
  <c r="DB408" i="1" s="1"/>
  <c r="DM408" i="1"/>
  <c r="DP408" i="1"/>
  <c r="E409" i="1"/>
  <c r="H409" i="1"/>
  <c r="S409" i="1"/>
  <c r="T409" i="1"/>
  <c r="Y409" i="1"/>
  <c r="AA409" i="1"/>
  <c r="AT409" i="1" s="1"/>
  <c r="AD409" i="1"/>
  <c r="AN409" i="1" s="1"/>
  <c r="AF409" i="1"/>
  <c r="AO409" i="1"/>
  <c r="AP409" i="1"/>
  <c r="AQ409" i="1"/>
  <c r="AR409" i="1"/>
  <c r="AS409" i="1"/>
  <c r="AU409" i="1"/>
  <c r="AX409" i="1"/>
  <c r="AY409" i="1"/>
  <c r="CP409" i="1"/>
  <c r="DD409" i="1" s="1"/>
  <c r="CZ409" i="1"/>
  <c r="DA409" i="1"/>
  <c r="DB409" i="1" s="1"/>
  <c r="DM409" i="1"/>
  <c r="DP409" i="1"/>
  <c r="E410" i="1"/>
  <c r="H410" i="1"/>
  <c r="S410" i="1"/>
  <c r="T410" i="1"/>
  <c r="Y410" i="1"/>
  <c r="AA410" i="1"/>
  <c r="AT410" i="1" s="1"/>
  <c r="AD410" i="1"/>
  <c r="AN410" i="1" s="1"/>
  <c r="AF410" i="1"/>
  <c r="AO410" i="1"/>
  <c r="AP410" i="1"/>
  <c r="AQ410" i="1"/>
  <c r="AR410" i="1"/>
  <c r="AS410" i="1"/>
  <c r="AU410" i="1"/>
  <c r="AX410" i="1"/>
  <c r="AY410" i="1"/>
  <c r="CP410" i="1"/>
  <c r="DD410" i="1" s="1"/>
  <c r="CZ410" i="1"/>
  <c r="DA410" i="1"/>
  <c r="DB410" i="1" s="1"/>
  <c r="DM410" i="1"/>
  <c r="E411" i="1"/>
  <c r="H411" i="1"/>
  <c r="S411" i="1"/>
  <c r="Y411" i="1"/>
  <c r="AA411" i="1"/>
  <c r="AT411" i="1" s="1"/>
  <c r="AD411" i="1"/>
  <c r="AN411" i="1" s="1"/>
  <c r="AF411" i="1"/>
  <c r="AO411" i="1"/>
  <c r="AP411" i="1"/>
  <c r="AQ411" i="1"/>
  <c r="AR411" i="1"/>
  <c r="AS411" i="1"/>
  <c r="AU411" i="1"/>
  <c r="AX411" i="1"/>
  <c r="AY411" i="1"/>
  <c r="CP411" i="1"/>
  <c r="DD411" i="1" s="1"/>
  <c r="CZ411" i="1"/>
  <c r="DA411" i="1"/>
  <c r="DB411" i="1" s="1"/>
  <c r="E420" i="1"/>
  <c r="H420" i="1"/>
  <c r="S420" i="1"/>
  <c r="T420" i="1"/>
  <c r="Y420" i="1"/>
  <c r="AA420" i="1"/>
  <c r="AT420" i="1" s="1"/>
  <c r="AD420" i="1"/>
  <c r="AN420" i="1" s="1"/>
  <c r="AO420" i="1"/>
  <c r="AQ420" i="1"/>
  <c r="AR420" i="1"/>
  <c r="AS420" i="1"/>
  <c r="AX420" i="1"/>
  <c r="AY420" i="1"/>
  <c r="CP420" i="1"/>
  <c r="DD420" i="1" s="1"/>
  <c r="CZ420" i="1"/>
  <c r="DA420" i="1"/>
  <c r="DB420" i="1" s="1"/>
  <c r="DP420" i="1"/>
  <c r="E421" i="1"/>
  <c r="H421" i="1"/>
  <c r="S421" i="1"/>
  <c r="T421" i="1"/>
  <c r="Y421" i="1"/>
  <c r="AA421" i="1"/>
  <c r="AT421" i="1" s="1"/>
  <c r="AD421" i="1"/>
  <c r="AN421" i="1" s="1"/>
  <c r="AO421" i="1"/>
  <c r="AQ421" i="1"/>
  <c r="AR421" i="1"/>
  <c r="AS421" i="1"/>
  <c r="AX421" i="1"/>
  <c r="AY421" i="1"/>
  <c r="CP421" i="1"/>
  <c r="DD421" i="1" s="1"/>
  <c r="CZ421" i="1"/>
  <c r="DA421" i="1"/>
  <c r="DB421" i="1" s="1"/>
  <c r="DP421" i="1"/>
  <c r="E428" i="1"/>
  <c r="H428" i="1"/>
  <c r="S428" i="1"/>
  <c r="T428" i="1"/>
  <c r="Y428" i="1"/>
  <c r="AA428" i="1"/>
  <c r="AT428" i="1" s="1"/>
  <c r="AD428" i="1"/>
  <c r="AN428" i="1" s="1"/>
  <c r="AF428" i="1"/>
  <c r="AO428" i="1"/>
  <c r="AP428" i="1"/>
  <c r="AQ428" i="1"/>
  <c r="AR428" i="1"/>
  <c r="AS428" i="1"/>
  <c r="AU428" i="1"/>
  <c r="AX428" i="1"/>
  <c r="AY428" i="1"/>
  <c r="CP428" i="1"/>
  <c r="DD428" i="1" s="1"/>
  <c r="CZ428" i="1"/>
  <c r="DA428" i="1"/>
  <c r="DB428" i="1" s="1"/>
  <c r="DM428" i="1"/>
  <c r="DP428" i="1"/>
  <c r="AU420" i="1" l="1"/>
  <c r="AU421" i="1"/>
  <c r="AU419" i="1"/>
  <c r="AF420" i="1"/>
  <c r="AP420" i="1" s="1"/>
  <c r="AF421" i="1"/>
  <c r="AP421" i="1" s="1"/>
  <c r="AF419" i="1"/>
  <c r="AP419" i="1" s="1"/>
  <c r="DC428" i="1"/>
  <c r="AU414" i="1"/>
  <c r="AF414" i="1"/>
  <c r="AP414" i="1" s="1"/>
  <c r="DC415" i="1"/>
  <c r="DC421" i="1"/>
  <c r="DC417" i="1"/>
  <c r="AF402" i="1"/>
  <c r="AP402" i="1" s="1"/>
  <c r="DC420" i="1"/>
  <c r="DC418" i="1"/>
  <c r="DC414" i="1"/>
  <c r="DC416" i="1"/>
  <c r="DC413" i="1"/>
  <c r="AU413" i="1"/>
  <c r="AU412" i="1"/>
  <c r="AF413" i="1"/>
  <c r="AP413" i="1" s="1"/>
  <c r="AN412" i="1"/>
  <c r="DC419" i="1"/>
  <c r="DC412" i="1"/>
  <c r="DC408" i="1"/>
  <c r="DC404" i="1"/>
  <c r="DC407" i="1"/>
  <c r="DC403" i="1"/>
  <c r="DC410" i="1"/>
  <c r="DC405" i="1"/>
  <c r="AU404" i="1"/>
  <c r="AF404" i="1"/>
  <c r="AP404" i="1" s="1"/>
  <c r="AU403" i="1"/>
  <c r="AU402" i="1"/>
  <c r="AF403" i="1"/>
  <c r="AP403" i="1" s="1"/>
  <c r="DC409" i="1"/>
  <c r="DC411" i="1"/>
  <c r="DC406" i="1"/>
  <c r="DC402" i="1"/>
  <c r="DC401" i="1"/>
  <c r="DR382" i="1"/>
  <c r="E393" i="1" l="1"/>
  <c r="H393" i="1"/>
  <c r="S393" i="1"/>
  <c r="T393" i="1"/>
  <c r="Y393" i="1"/>
  <c r="AA393" i="1"/>
  <c r="AT393" i="1" s="1"/>
  <c r="AD393" i="1"/>
  <c r="AN393" i="1" s="1"/>
  <c r="AF393" i="1"/>
  <c r="AO393" i="1"/>
  <c r="AP393" i="1"/>
  <c r="AQ393" i="1"/>
  <c r="AR393" i="1"/>
  <c r="AS393" i="1"/>
  <c r="AU393" i="1"/>
  <c r="AX393" i="1"/>
  <c r="AY393" i="1"/>
  <c r="CP393" i="1"/>
  <c r="DD393" i="1" s="1"/>
  <c r="CZ393" i="1"/>
  <c r="DA393" i="1"/>
  <c r="DB393" i="1" s="1"/>
  <c r="E394" i="1"/>
  <c r="H394" i="1"/>
  <c r="S394" i="1"/>
  <c r="T394" i="1"/>
  <c r="Y394" i="1"/>
  <c r="AA394" i="1"/>
  <c r="AT394" i="1" s="1"/>
  <c r="AD394" i="1"/>
  <c r="AN394" i="1" s="1"/>
  <c r="AO394" i="1"/>
  <c r="AQ394" i="1"/>
  <c r="AR394" i="1"/>
  <c r="AS394" i="1"/>
  <c r="AX394" i="1"/>
  <c r="AY394" i="1"/>
  <c r="CP394" i="1"/>
  <c r="DD394" i="1" s="1"/>
  <c r="CZ394" i="1"/>
  <c r="DA394" i="1"/>
  <c r="DB394" i="1" s="1"/>
  <c r="DP394" i="1"/>
  <c r="E395" i="1"/>
  <c r="H395" i="1"/>
  <c r="S395" i="1"/>
  <c r="T395" i="1"/>
  <c r="Y395" i="1"/>
  <c r="AA395" i="1"/>
  <c r="AT395" i="1" s="1"/>
  <c r="AD395" i="1"/>
  <c r="AN395" i="1" s="1"/>
  <c r="AO395" i="1"/>
  <c r="AQ395" i="1"/>
  <c r="AR395" i="1"/>
  <c r="AS395" i="1"/>
  <c r="AX395" i="1"/>
  <c r="AY395" i="1"/>
  <c r="CP395" i="1"/>
  <c r="DD395" i="1" s="1"/>
  <c r="CZ395" i="1"/>
  <c r="DA395" i="1"/>
  <c r="DB395" i="1" s="1"/>
  <c r="DP395" i="1"/>
  <c r="E396" i="1"/>
  <c r="H396" i="1"/>
  <c r="S396" i="1"/>
  <c r="T396" i="1"/>
  <c r="Y396" i="1"/>
  <c r="AA396" i="1"/>
  <c r="AT396" i="1" s="1"/>
  <c r="AD396" i="1"/>
  <c r="AN396" i="1" s="1"/>
  <c r="AF396" i="1"/>
  <c r="AO396" i="1"/>
  <c r="AP396" i="1"/>
  <c r="AQ396" i="1"/>
  <c r="AR396" i="1"/>
  <c r="AS396" i="1"/>
  <c r="AU396" i="1"/>
  <c r="AX396" i="1"/>
  <c r="AY396" i="1"/>
  <c r="CP396" i="1"/>
  <c r="DD396" i="1" s="1"/>
  <c r="CZ396" i="1"/>
  <c r="DA396" i="1"/>
  <c r="DB396" i="1" s="1"/>
  <c r="DM396" i="1"/>
  <c r="DP396" i="1"/>
  <c r="E397" i="1"/>
  <c r="H397" i="1"/>
  <c r="S397" i="1"/>
  <c r="T397" i="1"/>
  <c r="Y397" i="1"/>
  <c r="AA397" i="1"/>
  <c r="AT397" i="1" s="1"/>
  <c r="AD397" i="1"/>
  <c r="AN397" i="1" s="1"/>
  <c r="AF397" i="1"/>
  <c r="AO397" i="1"/>
  <c r="AP397" i="1"/>
  <c r="AQ397" i="1"/>
  <c r="AR397" i="1"/>
  <c r="AS397" i="1"/>
  <c r="AU397" i="1"/>
  <c r="AX397" i="1"/>
  <c r="AY397" i="1"/>
  <c r="CP397" i="1"/>
  <c r="DD397" i="1" s="1"/>
  <c r="CZ397" i="1"/>
  <c r="DA397" i="1"/>
  <c r="DB397" i="1" s="1"/>
  <c r="DM397" i="1"/>
  <c r="DP397" i="1"/>
  <c r="E398" i="1"/>
  <c r="H398" i="1"/>
  <c r="S398" i="1"/>
  <c r="T398" i="1"/>
  <c r="Y398" i="1"/>
  <c r="AA398" i="1"/>
  <c r="AT398" i="1" s="1"/>
  <c r="AD398" i="1"/>
  <c r="AN398" i="1" s="1"/>
  <c r="AF398" i="1"/>
  <c r="AO398" i="1"/>
  <c r="AP398" i="1"/>
  <c r="AQ398" i="1"/>
  <c r="AR398" i="1"/>
  <c r="AS398" i="1"/>
  <c r="AU398" i="1"/>
  <c r="AX398" i="1"/>
  <c r="AY398" i="1"/>
  <c r="CP398" i="1"/>
  <c r="DD398" i="1" s="1"/>
  <c r="CZ398" i="1"/>
  <c r="DA398" i="1"/>
  <c r="DB398" i="1" s="1"/>
  <c r="DM398" i="1"/>
  <c r="DP398" i="1"/>
  <c r="E399" i="1"/>
  <c r="H399" i="1"/>
  <c r="S399" i="1"/>
  <c r="T399" i="1"/>
  <c r="Y399" i="1"/>
  <c r="AA399" i="1"/>
  <c r="AT399" i="1" s="1"/>
  <c r="AD399" i="1"/>
  <c r="AN399" i="1" s="1"/>
  <c r="AF399" i="1"/>
  <c r="AO399" i="1"/>
  <c r="AP399" i="1"/>
  <c r="AQ399" i="1"/>
  <c r="AR399" i="1"/>
  <c r="AS399" i="1"/>
  <c r="AU399" i="1"/>
  <c r="AX399" i="1"/>
  <c r="AY399" i="1"/>
  <c r="CP399" i="1"/>
  <c r="DD399" i="1" s="1"/>
  <c r="CZ399" i="1"/>
  <c r="DA399" i="1"/>
  <c r="DB399" i="1" s="1"/>
  <c r="DM399" i="1"/>
  <c r="DP399" i="1"/>
  <c r="AU395" i="1" l="1"/>
  <c r="AF394" i="1"/>
  <c r="AP394" i="1" s="1"/>
  <c r="AU394" i="1"/>
  <c r="AF395" i="1"/>
  <c r="AP395" i="1" s="1"/>
  <c r="DC398" i="1"/>
  <c r="DC396" i="1"/>
  <c r="DC397" i="1"/>
  <c r="DC395" i="1"/>
  <c r="DC399" i="1"/>
  <c r="DC394" i="1"/>
  <c r="DC393" i="1"/>
  <c r="DO349" i="1"/>
  <c r="DO285" i="1" l="1"/>
  <c r="DO284" i="1"/>
  <c r="DO275" i="1"/>
  <c r="DO341" i="1"/>
  <c r="DQ351" i="1"/>
  <c r="DQ315" i="1"/>
  <c r="DQ307" i="1"/>
  <c r="DO352" i="1"/>
  <c r="DO351" i="1"/>
  <c r="DO315" i="1"/>
  <c r="DO307" i="1"/>
  <c r="DO304" i="1"/>
  <c r="DO295" i="1"/>
  <c r="DO294" i="1"/>
  <c r="DO276" i="1"/>
  <c r="DO386" i="1"/>
  <c r="DO376" i="1"/>
  <c r="DO333" i="1"/>
  <c r="DO350" i="1"/>
  <c r="DO332" i="1"/>
  <c r="AD376" i="1"/>
  <c r="DR352" i="1" l="1"/>
  <c r="DR342" i="1"/>
  <c r="DR333" i="1"/>
  <c r="DR315" i="1"/>
  <c r="DR304" i="1"/>
  <c r="DR295" i="1"/>
  <c r="DR294" i="1"/>
  <c r="DR293" i="1"/>
  <c r="DR288" i="1"/>
  <c r="DR276" i="1"/>
  <c r="DR259" i="1"/>
  <c r="DO348" i="1"/>
  <c r="DO383" i="1"/>
  <c r="DO384" i="1"/>
  <c r="DO286" i="1"/>
  <c r="DO313" i="1"/>
  <c r="DO305" i="1"/>
  <c r="DO375" i="1"/>
  <c r="DO323" i="1"/>
  <c r="DO339" i="1"/>
  <c r="DO368" i="1"/>
  <c r="DO360" i="1"/>
  <c r="Y359" i="1" l="1"/>
  <c r="Y358" i="1"/>
  <c r="DQ544" i="1" l="1"/>
  <c r="DR251" i="1"/>
  <c r="DR10" i="1" l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7" i="1"/>
  <c r="DR98" i="1"/>
  <c r="DR99" i="1"/>
  <c r="DR100" i="1"/>
  <c r="DR101" i="1"/>
  <c r="DR102" i="1"/>
  <c r="DR103" i="1"/>
  <c r="DR104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9" i="1"/>
  <c r="DR170" i="1"/>
  <c r="DR171" i="1"/>
  <c r="DR172" i="1"/>
  <c r="DR173" i="1"/>
  <c r="DR174" i="1"/>
  <c r="DR175" i="1"/>
  <c r="DR178" i="1"/>
  <c r="DR179" i="1"/>
  <c r="DR180" i="1"/>
  <c r="DR181" i="1"/>
  <c r="DR182" i="1"/>
  <c r="DR183" i="1"/>
  <c r="DR185" i="1"/>
  <c r="DR187" i="1"/>
  <c r="DR188" i="1"/>
  <c r="DR189" i="1"/>
  <c r="DR190" i="1"/>
  <c r="DR191" i="1"/>
  <c r="DR192" i="1"/>
  <c r="DR195" i="1"/>
  <c r="DR196" i="1"/>
  <c r="DR197" i="1"/>
  <c r="DR198" i="1"/>
  <c r="DR199" i="1"/>
  <c r="DR201" i="1"/>
  <c r="DR204" i="1"/>
  <c r="DR205" i="1"/>
  <c r="DR206" i="1"/>
  <c r="DR207" i="1"/>
  <c r="DR208" i="1"/>
  <c r="DR209" i="1"/>
  <c r="DR210" i="1"/>
  <c r="DR211" i="1"/>
  <c r="DR212" i="1"/>
  <c r="DR214" i="1"/>
  <c r="DR215" i="1"/>
  <c r="DR216" i="1"/>
  <c r="DR217" i="1"/>
  <c r="DR218" i="1"/>
  <c r="DR219" i="1"/>
  <c r="DR224" i="1"/>
  <c r="DR225" i="1"/>
  <c r="DR226" i="1"/>
  <c r="DR227" i="1"/>
  <c r="DR228" i="1"/>
  <c r="DR229" i="1"/>
  <c r="DR230" i="1"/>
  <c r="DR231" i="1"/>
  <c r="DR232" i="1"/>
  <c r="DR233" i="1"/>
  <c r="DR235" i="1"/>
  <c r="DR236" i="1"/>
  <c r="DR237" i="1"/>
  <c r="DR238" i="1"/>
  <c r="DR239" i="1"/>
  <c r="DR240" i="1"/>
  <c r="DR241" i="1"/>
  <c r="DR243" i="1"/>
  <c r="DR244" i="1"/>
  <c r="DR245" i="1"/>
  <c r="DR246" i="1"/>
  <c r="DR247" i="1"/>
  <c r="DR248" i="1"/>
  <c r="DR249" i="1"/>
  <c r="DR250" i="1"/>
  <c r="DR252" i="1"/>
  <c r="DR253" i="1"/>
  <c r="DR254" i="1"/>
  <c r="DR255" i="1"/>
  <c r="DR256" i="1"/>
  <c r="DR257" i="1"/>
  <c r="DR258" i="1"/>
  <c r="DR260" i="1"/>
  <c r="DR261" i="1"/>
  <c r="DR262" i="1"/>
  <c r="DR263" i="1"/>
  <c r="DR264" i="1"/>
  <c r="DR265" i="1"/>
  <c r="DR266" i="1"/>
  <c r="DR267" i="1"/>
  <c r="DR270" i="1"/>
  <c r="DR271" i="1"/>
  <c r="DR272" i="1"/>
  <c r="DR273" i="1"/>
  <c r="DR274" i="1"/>
  <c r="DR275" i="1"/>
  <c r="DR277" i="1"/>
  <c r="DR278" i="1"/>
  <c r="DR279" i="1"/>
  <c r="DR280" i="1"/>
  <c r="DR281" i="1"/>
  <c r="DR282" i="1"/>
  <c r="DR283" i="1"/>
  <c r="DR284" i="1"/>
  <c r="DR285" i="1"/>
  <c r="DR286" i="1"/>
  <c r="DR289" i="1"/>
  <c r="DR290" i="1"/>
  <c r="DR291" i="1"/>
  <c r="DR292" i="1"/>
  <c r="DR296" i="1"/>
  <c r="DR297" i="1"/>
  <c r="DR298" i="1"/>
  <c r="DR299" i="1"/>
  <c r="DR300" i="1"/>
  <c r="DR301" i="1"/>
  <c r="DR302" i="1"/>
  <c r="DR303" i="1"/>
  <c r="DR305" i="1"/>
  <c r="DR306" i="1"/>
  <c r="DR308" i="1"/>
  <c r="DR309" i="1"/>
  <c r="DR310" i="1"/>
  <c r="DR311" i="1"/>
  <c r="DR312" i="1"/>
  <c r="DR313" i="1"/>
  <c r="DR314" i="1"/>
  <c r="DR316" i="1"/>
  <c r="DR317" i="1"/>
  <c r="DR318" i="1"/>
  <c r="DR319" i="1"/>
  <c r="DR320" i="1"/>
  <c r="DR321" i="1"/>
  <c r="DR322" i="1"/>
  <c r="DR323" i="1"/>
  <c r="DR325" i="1"/>
  <c r="DR326" i="1"/>
  <c r="DR327" i="1"/>
  <c r="DR328" i="1"/>
  <c r="DR329" i="1"/>
  <c r="DR330" i="1"/>
  <c r="DR331" i="1"/>
  <c r="DR334" i="1"/>
  <c r="DR335" i="1"/>
  <c r="DR336" i="1"/>
  <c r="DR337" i="1"/>
  <c r="DR338" i="1"/>
  <c r="DR339" i="1"/>
  <c r="DR343" i="1"/>
  <c r="DR344" i="1"/>
  <c r="DR345" i="1"/>
  <c r="DR346" i="1"/>
  <c r="DR347" i="1"/>
  <c r="DR348" i="1"/>
  <c r="DR353" i="1"/>
  <c r="DR354" i="1"/>
  <c r="DR355" i="1"/>
  <c r="DR356" i="1"/>
  <c r="DR357" i="1"/>
  <c r="DR360" i="1"/>
  <c r="DR361" i="1"/>
  <c r="DR362" i="1"/>
  <c r="DR363" i="1"/>
  <c r="DR364" i="1"/>
  <c r="DR365" i="1"/>
  <c r="DR368" i="1"/>
  <c r="DR369" i="1"/>
  <c r="DR370" i="1"/>
  <c r="DR371" i="1"/>
  <c r="DR372" i="1"/>
  <c r="DR373" i="1"/>
  <c r="DR374" i="1"/>
  <c r="DR375" i="1"/>
  <c r="DR378" i="1"/>
  <c r="DR379" i="1"/>
  <c r="DR380" i="1"/>
  <c r="DR381" i="1"/>
  <c r="DI392" i="1"/>
  <c r="DL373" i="1"/>
  <c r="E377" i="1"/>
  <c r="H377" i="1"/>
  <c r="S377" i="1"/>
  <c r="T377" i="1"/>
  <c r="Y377" i="1"/>
  <c r="AA377" i="1"/>
  <c r="AT377" i="1" s="1"/>
  <c r="AF377" i="1"/>
  <c r="AP377" i="1" s="1"/>
  <c r="AO377" i="1"/>
  <c r="AQ377" i="1"/>
  <c r="AR377" i="1"/>
  <c r="AS377" i="1"/>
  <c r="AX377" i="1"/>
  <c r="AY377" i="1"/>
  <c r="CP377" i="1"/>
  <c r="DD377" i="1" s="1"/>
  <c r="CZ377" i="1"/>
  <c r="DA377" i="1"/>
  <c r="DB377" i="1" s="1"/>
  <c r="DP377" i="1"/>
  <c r="E375" i="1"/>
  <c r="H375" i="1"/>
  <c r="S375" i="1"/>
  <c r="T375" i="1"/>
  <c r="Y375" i="1"/>
  <c r="AA375" i="1"/>
  <c r="AT375" i="1" s="1"/>
  <c r="AD375" i="1"/>
  <c r="AF375" i="1" s="1"/>
  <c r="AP375" i="1" s="1"/>
  <c r="AO375" i="1"/>
  <c r="AQ375" i="1"/>
  <c r="AR375" i="1"/>
  <c r="AS375" i="1"/>
  <c r="AX375" i="1"/>
  <c r="AY375" i="1"/>
  <c r="CP375" i="1"/>
  <c r="DD375" i="1" s="1"/>
  <c r="CZ375" i="1"/>
  <c r="DA375" i="1"/>
  <c r="DB375" i="1" s="1"/>
  <c r="DP375" i="1"/>
  <c r="E374" i="1"/>
  <c r="H374" i="1"/>
  <c r="S374" i="1"/>
  <c r="T374" i="1"/>
  <c r="Y374" i="1"/>
  <c r="AA374" i="1"/>
  <c r="AT374" i="1" s="1"/>
  <c r="AD374" i="1"/>
  <c r="AN374" i="1" s="1"/>
  <c r="AO374" i="1"/>
  <c r="AQ374" i="1"/>
  <c r="AR374" i="1"/>
  <c r="AS374" i="1"/>
  <c r="AX374" i="1"/>
  <c r="AY374" i="1"/>
  <c r="CP374" i="1"/>
  <c r="DD374" i="1" s="1"/>
  <c r="CZ374" i="1"/>
  <c r="DA374" i="1"/>
  <c r="DB374" i="1" s="1"/>
  <c r="E376" i="1"/>
  <c r="H376" i="1"/>
  <c r="DI376" i="1"/>
  <c r="DR376" i="1" s="1"/>
  <c r="S376" i="1"/>
  <c r="T376" i="1"/>
  <c r="Y376" i="1"/>
  <c r="AA376" i="1"/>
  <c r="AT376" i="1" s="1"/>
  <c r="AN376" i="1"/>
  <c r="AO376" i="1"/>
  <c r="AQ376" i="1"/>
  <c r="AR376" i="1"/>
  <c r="AS376" i="1"/>
  <c r="AX376" i="1"/>
  <c r="AY376" i="1"/>
  <c r="CP376" i="1"/>
  <c r="DD376" i="1" s="1"/>
  <c r="CZ376" i="1"/>
  <c r="DA376" i="1"/>
  <c r="DB376" i="1" s="1"/>
  <c r="DP376" i="1"/>
  <c r="E378" i="1"/>
  <c r="H378" i="1"/>
  <c r="DI378" i="1"/>
  <c r="S378" i="1"/>
  <c r="T378" i="1"/>
  <c r="Y378" i="1"/>
  <c r="AA378" i="1"/>
  <c r="AT378" i="1" s="1"/>
  <c r="AD378" i="1"/>
  <c r="AN378" i="1" s="1"/>
  <c r="AO378" i="1"/>
  <c r="AQ378" i="1"/>
  <c r="AR378" i="1"/>
  <c r="AS378" i="1"/>
  <c r="AX378" i="1"/>
  <c r="AY378" i="1"/>
  <c r="CP378" i="1"/>
  <c r="DD378" i="1" s="1"/>
  <c r="CZ378" i="1"/>
  <c r="DA378" i="1"/>
  <c r="DB378" i="1" s="1"/>
  <c r="E379" i="1"/>
  <c r="H379" i="1"/>
  <c r="S379" i="1"/>
  <c r="T379" i="1"/>
  <c r="Y379" i="1"/>
  <c r="AA379" i="1"/>
  <c r="AT379" i="1" s="1"/>
  <c r="AD379" i="1"/>
  <c r="AN379" i="1" s="1"/>
  <c r="AF379" i="1"/>
  <c r="AO379" i="1"/>
  <c r="AP379" i="1"/>
  <c r="AQ379" i="1"/>
  <c r="AR379" i="1"/>
  <c r="AS379" i="1"/>
  <c r="AU379" i="1"/>
  <c r="AX379" i="1"/>
  <c r="AY379" i="1"/>
  <c r="CP379" i="1"/>
  <c r="DD379" i="1" s="1"/>
  <c r="CZ379" i="1"/>
  <c r="DA379" i="1"/>
  <c r="DB379" i="1" s="1"/>
  <c r="DM379" i="1"/>
  <c r="DP379" i="1"/>
  <c r="E380" i="1"/>
  <c r="H380" i="1"/>
  <c r="S380" i="1"/>
  <c r="T380" i="1"/>
  <c r="Y380" i="1"/>
  <c r="AA380" i="1"/>
  <c r="AT380" i="1" s="1"/>
  <c r="AD380" i="1"/>
  <c r="AN380" i="1" s="1"/>
  <c r="AF380" i="1"/>
  <c r="AO380" i="1"/>
  <c r="AP380" i="1"/>
  <c r="AQ380" i="1"/>
  <c r="AR380" i="1"/>
  <c r="AS380" i="1"/>
  <c r="AU380" i="1"/>
  <c r="AX380" i="1"/>
  <c r="AY380" i="1"/>
  <c r="CP380" i="1"/>
  <c r="DD380" i="1" s="1"/>
  <c r="CZ380" i="1"/>
  <c r="DA380" i="1"/>
  <c r="DB380" i="1" s="1"/>
  <c r="DM380" i="1"/>
  <c r="DP380" i="1"/>
  <c r="E381" i="1"/>
  <c r="H381" i="1"/>
  <c r="S381" i="1"/>
  <c r="T381" i="1"/>
  <c r="Y381" i="1"/>
  <c r="AA381" i="1"/>
  <c r="AT381" i="1" s="1"/>
  <c r="AD381" i="1"/>
  <c r="AN381" i="1" s="1"/>
  <c r="AF381" i="1"/>
  <c r="AO381" i="1"/>
  <c r="AP381" i="1"/>
  <c r="AQ381" i="1"/>
  <c r="AR381" i="1"/>
  <c r="AS381" i="1"/>
  <c r="AU381" i="1"/>
  <c r="AX381" i="1"/>
  <c r="AY381" i="1"/>
  <c r="CP381" i="1"/>
  <c r="DD381" i="1" s="1"/>
  <c r="CZ381" i="1"/>
  <c r="DA381" i="1"/>
  <c r="DB381" i="1" s="1"/>
  <c r="DM381" i="1"/>
  <c r="DP381" i="1"/>
  <c r="E382" i="1"/>
  <c r="H382" i="1"/>
  <c r="S382" i="1"/>
  <c r="T382" i="1"/>
  <c r="Y382" i="1"/>
  <c r="AA382" i="1"/>
  <c r="AT382" i="1" s="1"/>
  <c r="AD382" i="1"/>
  <c r="AN382" i="1" s="1"/>
  <c r="AF382" i="1"/>
  <c r="AO382" i="1"/>
  <c r="AP382" i="1"/>
  <c r="AQ382" i="1"/>
  <c r="AR382" i="1"/>
  <c r="AS382" i="1"/>
  <c r="AU382" i="1"/>
  <c r="AX382" i="1"/>
  <c r="AY382" i="1"/>
  <c r="CP382" i="1"/>
  <c r="DD382" i="1" s="1"/>
  <c r="CZ382" i="1"/>
  <c r="DA382" i="1"/>
  <c r="DB382" i="1" s="1"/>
  <c r="DM382" i="1"/>
  <c r="DP382" i="1"/>
  <c r="E383" i="1"/>
  <c r="H383" i="1"/>
  <c r="S383" i="1"/>
  <c r="T383" i="1"/>
  <c r="Y383" i="1"/>
  <c r="AA383" i="1"/>
  <c r="AT383" i="1" s="1"/>
  <c r="AD383" i="1"/>
  <c r="AN383" i="1" s="1"/>
  <c r="AO383" i="1"/>
  <c r="AQ383" i="1"/>
  <c r="AR383" i="1"/>
  <c r="AS383" i="1"/>
  <c r="AX383" i="1"/>
  <c r="AY383" i="1"/>
  <c r="CP383" i="1"/>
  <c r="DD383" i="1" s="1"/>
  <c r="CZ383" i="1"/>
  <c r="DA383" i="1"/>
  <c r="DB383" i="1" s="1"/>
  <c r="DP383" i="1"/>
  <c r="E384" i="1"/>
  <c r="H384" i="1"/>
  <c r="S384" i="1"/>
  <c r="T384" i="1"/>
  <c r="Y384" i="1"/>
  <c r="AA384" i="1"/>
  <c r="AT384" i="1" s="1"/>
  <c r="AD384" i="1"/>
  <c r="AN384" i="1" s="1"/>
  <c r="AO384" i="1"/>
  <c r="AQ384" i="1"/>
  <c r="AR384" i="1"/>
  <c r="AS384" i="1"/>
  <c r="AX384" i="1"/>
  <c r="AY384" i="1"/>
  <c r="CP384" i="1"/>
  <c r="DD384" i="1" s="1"/>
  <c r="CZ384" i="1"/>
  <c r="DA384" i="1"/>
  <c r="DB384" i="1" s="1"/>
  <c r="DP384" i="1"/>
  <c r="E385" i="1"/>
  <c r="H385" i="1"/>
  <c r="S385" i="1"/>
  <c r="T385" i="1"/>
  <c r="Y385" i="1"/>
  <c r="AA385" i="1"/>
  <c r="AT385" i="1" s="1"/>
  <c r="AD385" i="1"/>
  <c r="AN385" i="1" s="1"/>
  <c r="AO385" i="1"/>
  <c r="AQ385" i="1"/>
  <c r="AR385" i="1"/>
  <c r="AS385" i="1"/>
  <c r="AX385" i="1"/>
  <c r="AY385" i="1"/>
  <c r="CP385" i="1"/>
  <c r="DD385" i="1" s="1"/>
  <c r="CZ385" i="1"/>
  <c r="DA385" i="1"/>
  <c r="DB385" i="1" s="1"/>
  <c r="DP385" i="1"/>
  <c r="E386" i="1"/>
  <c r="H386" i="1"/>
  <c r="DM386" i="1"/>
  <c r="S386" i="1"/>
  <c r="T386" i="1"/>
  <c r="Y386" i="1"/>
  <c r="AA386" i="1"/>
  <c r="AT386" i="1" s="1"/>
  <c r="AD386" i="1"/>
  <c r="AN386" i="1" s="1"/>
  <c r="AO386" i="1"/>
  <c r="AQ386" i="1"/>
  <c r="AR386" i="1"/>
  <c r="AS386" i="1"/>
  <c r="AX386" i="1"/>
  <c r="AY386" i="1"/>
  <c r="CP386" i="1"/>
  <c r="DD386" i="1" s="1"/>
  <c r="CZ386" i="1"/>
  <c r="DA386" i="1"/>
  <c r="DB386" i="1" s="1"/>
  <c r="DP386" i="1"/>
  <c r="E387" i="1"/>
  <c r="H387" i="1"/>
  <c r="DI387" i="1"/>
  <c r="S387" i="1"/>
  <c r="T387" i="1"/>
  <c r="Y387" i="1"/>
  <c r="AA387" i="1"/>
  <c r="AT387" i="1" s="1"/>
  <c r="AD387" i="1"/>
  <c r="AN387" i="1" s="1"/>
  <c r="AF387" i="1"/>
  <c r="AO387" i="1"/>
  <c r="AP387" i="1"/>
  <c r="AQ387" i="1"/>
  <c r="AR387" i="1"/>
  <c r="AS387" i="1"/>
  <c r="AU387" i="1"/>
  <c r="AX387" i="1"/>
  <c r="AY387" i="1"/>
  <c r="CP387" i="1"/>
  <c r="DD387" i="1" s="1"/>
  <c r="CZ387" i="1"/>
  <c r="DA387" i="1"/>
  <c r="DB387" i="1" s="1"/>
  <c r="DM387" i="1"/>
  <c r="DP387" i="1"/>
  <c r="E388" i="1"/>
  <c r="H388" i="1"/>
  <c r="S388" i="1"/>
  <c r="T388" i="1"/>
  <c r="Y388" i="1"/>
  <c r="AA388" i="1"/>
  <c r="AT388" i="1" s="1"/>
  <c r="AD388" i="1"/>
  <c r="AN388" i="1" s="1"/>
  <c r="AF388" i="1"/>
  <c r="AO388" i="1"/>
  <c r="AP388" i="1"/>
  <c r="AQ388" i="1"/>
  <c r="AR388" i="1"/>
  <c r="AS388" i="1"/>
  <c r="AU388" i="1"/>
  <c r="AX388" i="1"/>
  <c r="AY388" i="1"/>
  <c r="CP388" i="1"/>
  <c r="DD388" i="1" s="1"/>
  <c r="CZ388" i="1"/>
  <c r="DA388" i="1"/>
  <c r="DB388" i="1" s="1"/>
  <c r="DM388" i="1"/>
  <c r="DP388" i="1"/>
  <c r="E389" i="1"/>
  <c r="H389" i="1"/>
  <c r="S389" i="1"/>
  <c r="T389" i="1"/>
  <c r="Y389" i="1"/>
  <c r="AA389" i="1"/>
  <c r="AT389" i="1" s="1"/>
  <c r="AD389" i="1"/>
  <c r="AN389" i="1" s="1"/>
  <c r="AF389" i="1"/>
  <c r="AO389" i="1"/>
  <c r="AP389" i="1"/>
  <c r="AQ389" i="1"/>
  <c r="AR389" i="1"/>
  <c r="AS389" i="1"/>
  <c r="AU389" i="1"/>
  <c r="AX389" i="1"/>
  <c r="AY389" i="1"/>
  <c r="CP389" i="1"/>
  <c r="DD389" i="1" s="1"/>
  <c r="CZ389" i="1"/>
  <c r="DA389" i="1"/>
  <c r="DB389" i="1" s="1"/>
  <c r="DM389" i="1"/>
  <c r="DP389" i="1"/>
  <c r="E390" i="1"/>
  <c r="H390" i="1"/>
  <c r="S390" i="1"/>
  <c r="T390" i="1"/>
  <c r="Y390" i="1"/>
  <c r="AA390" i="1"/>
  <c r="AT390" i="1" s="1"/>
  <c r="AD390" i="1"/>
  <c r="AN390" i="1" s="1"/>
  <c r="AF390" i="1"/>
  <c r="AO390" i="1"/>
  <c r="AP390" i="1"/>
  <c r="AQ390" i="1"/>
  <c r="AR390" i="1"/>
  <c r="AS390" i="1"/>
  <c r="AU390" i="1"/>
  <c r="AX390" i="1"/>
  <c r="AY390" i="1"/>
  <c r="CP390" i="1"/>
  <c r="DD390" i="1" s="1"/>
  <c r="CZ390" i="1"/>
  <c r="DA390" i="1"/>
  <c r="DB390" i="1" s="1"/>
  <c r="DM390" i="1"/>
  <c r="DP390" i="1"/>
  <c r="E391" i="1"/>
  <c r="H391" i="1"/>
  <c r="S391" i="1"/>
  <c r="T391" i="1"/>
  <c r="Y391" i="1"/>
  <c r="AA391" i="1"/>
  <c r="AT391" i="1" s="1"/>
  <c r="AD391" i="1"/>
  <c r="AN391" i="1" s="1"/>
  <c r="AF391" i="1"/>
  <c r="AO391" i="1"/>
  <c r="AP391" i="1"/>
  <c r="AQ391" i="1"/>
  <c r="AR391" i="1"/>
  <c r="AS391" i="1"/>
  <c r="AU391" i="1"/>
  <c r="AX391" i="1"/>
  <c r="AY391" i="1"/>
  <c r="CP391" i="1"/>
  <c r="DD391" i="1" s="1"/>
  <c r="CZ391" i="1"/>
  <c r="DA391" i="1"/>
  <c r="DB391" i="1" s="1"/>
  <c r="DM391" i="1"/>
  <c r="DP391" i="1"/>
  <c r="E392" i="1"/>
  <c r="H392" i="1"/>
  <c r="S392" i="1"/>
  <c r="T392" i="1"/>
  <c r="Y392" i="1"/>
  <c r="AA392" i="1"/>
  <c r="AT392" i="1" s="1"/>
  <c r="AD392" i="1"/>
  <c r="AN392" i="1" s="1"/>
  <c r="AF392" i="1"/>
  <c r="AO392" i="1"/>
  <c r="AP392" i="1"/>
  <c r="AQ392" i="1"/>
  <c r="AR392" i="1"/>
  <c r="AS392" i="1"/>
  <c r="AU392" i="1"/>
  <c r="AX392" i="1"/>
  <c r="AY392" i="1"/>
  <c r="CP392" i="1"/>
  <c r="DD392" i="1" s="1"/>
  <c r="CZ392" i="1"/>
  <c r="DA392" i="1"/>
  <c r="DB392" i="1" s="1"/>
  <c r="DM392" i="1"/>
  <c r="DP392" i="1"/>
  <c r="E400" i="1"/>
  <c r="H400" i="1"/>
  <c r="S400" i="1"/>
  <c r="T400" i="1"/>
  <c r="Y400" i="1"/>
  <c r="AA400" i="1"/>
  <c r="AT400" i="1" s="1"/>
  <c r="AD400" i="1"/>
  <c r="AN400" i="1" s="1"/>
  <c r="AF400" i="1"/>
  <c r="AO400" i="1"/>
  <c r="AP400" i="1"/>
  <c r="AQ400" i="1"/>
  <c r="AR400" i="1"/>
  <c r="AS400" i="1"/>
  <c r="AU400" i="1"/>
  <c r="AX400" i="1"/>
  <c r="AY400" i="1"/>
  <c r="CP400" i="1"/>
  <c r="DD400" i="1" s="1"/>
  <c r="CZ400" i="1"/>
  <c r="DA400" i="1"/>
  <c r="DB400" i="1" s="1"/>
  <c r="DM400" i="1"/>
  <c r="DP400" i="1"/>
  <c r="DC400" i="1" l="1"/>
  <c r="AF383" i="1"/>
  <c r="AP383" i="1" s="1"/>
  <c r="DC392" i="1"/>
  <c r="DC391" i="1"/>
  <c r="DC390" i="1"/>
  <c r="AU386" i="1"/>
  <c r="AU376" i="1"/>
  <c r="AU383" i="1"/>
  <c r="DI386" i="1"/>
  <c r="DR386" i="1" s="1"/>
  <c r="AU385" i="1"/>
  <c r="AF386" i="1"/>
  <c r="AP386" i="1" s="1"/>
  <c r="AF384" i="1"/>
  <c r="AP384" i="1" s="1"/>
  <c r="AU384" i="1"/>
  <c r="AF385" i="1"/>
  <c r="AP385" i="1" s="1"/>
  <c r="AU374" i="1"/>
  <c r="AU378" i="1"/>
  <c r="AN377" i="1"/>
  <c r="AU377" i="1"/>
  <c r="AF376" i="1"/>
  <c r="AP376" i="1" s="1"/>
  <c r="AN375" i="1"/>
  <c r="AU375" i="1"/>
  <c r="AF378" i="1"/>
  <c r="AP378" i="1" s="1"/>
  <c r="AF374" i="1"/>
  <c r="AP374" i="1" s="1"/>
  <c r="DC377" i="1"/>
  <c r="DL392" i="1"/>
  <c r="DM376" i="1"/>
  <c r="DC375" i="1"/>
  <c r="DC383" i="1"/>
  <c r="DC376" i="1"/>
  <c r="DC388" i="1"/>
  <c r="DC379" i="1"/>
  <c r="DC385" i="1"/>
  <c r="DC382" i="1"/>
  <c r="DC381" i="1"/>
  <c r="DC387" i="1"/>
  <c r="DC386" i="1"/>
  <c r="DC384" i="1"/>
  <c r="DC380" i="1"/>
  <c r="DC378" i="1"/>
  <c r="DN376" i="1"/>
  <c r="DC389" i="1"/>
  <c r="DC374" i="1"/>
  <c r="DL376" i="1"/>
  <c r="DL386" i="1"/>
  <c r="DN387" i="1"/>
  <c r="DL387" i="1"/>
  <c r="DN392" i="1"/>
  <c r="E365" i="1"/>
  <c r="H365" i="1"/>
  <c r="S365" i="1"/>
  <c r="T365" i="1"/>
  <c r="Y365" i="1"/>
  <c r="AA365" i="1"/>
  <c r="AT365" i="1" s="1"/>
  <c r="AD365" i="1"/>
  <c r="AN365" i="1" s="1"/>
  <c r="AO365" i="1"/>
  <c r="AQ365" i="1"/>
  <c r="AR365" i="1"/>
  <c r="AS365" i="1"/>
  <c r="AX365" i="1"/>
  <c r="AY365" i="1"/>
  <c r="CP365" i="1"/>
  <c r="DD365" i="1" s="1"/>
  <c r="CZ365" i="1"/>
  <c r="DA365" i="1"/>
  <c r="DB365" i="1" s="1"/>
  <c r="DP365" i="1"/>
  <c r="E366" i="1"/>
  <c r="H366" i="1"/>
  <c r="S366" i="1"/>
  <c r="T366" i="1"/>
  <c r="Y366" i="1"/>
  <c r="AA366" i="1"/>
  <c r="AT366" i="1" s="1"/>
  <c r="AF366" i="1"/>
  <c r="AP366" i="1" s="1"/>
  <c r="AO366" i="1"/>
  <c r="AQ366" i="1"/>
  <c r="AR366" i="1"/>
  <c r="AS366" i="1"/>
  <c r="AX366" i="1"/>
  <c r="AY366" i="1"/>
  <c r="CP366" i="1"/>
  <c r="DD366" i="1" s="1"/>
  <c r="CZ366" i="1"/>
  <c r="DA366" i="1"/>
  <c r="DB366" i="1" s="1"/>
  <c r="DP366" i="1"/>
  <c r="E367" i="1"/>
  <c r="H367" i="1"/>
  <c r="S367" i="1"/>
  <c r="T367" i="1"/>
  <c r="Y367" i="1"/>
  <c r="AA367" i="1"/>
  <c r="AT367" i="1" s="1"/>
  <c r="AD367" i="1"/>
  <c r="AF367" i="1" s="1"/>
  <c r="AP367" i="1" s="1"/>
  <c r="AO367" i="1"/>
  <c r="AQ367" i="1"/>
  <c r="AR367" i="1"/>
  <c r="AS367" i="1"/>
  <c r="AX367" i="1"/>
  <c r="AY367" i="1"/>
  <c r="CP367" i="1"/>
  <c r="DD367" i="1" s="1"/>
  <c r="CZ367" i="1"/>
  <c r="DA367" i="1"/>
  <c r="DB367" i="1" s="1"/>
  <c r="DP367" i="1"/>
  <c r="E368" i="1"/>
  <c r="H368" i="1"/>
  <c r="DI368" i="1"/>
  <c r="S368" i="1"/>
  <c r="T368" i="1"/>
  <c r="Y368" i="1"/>
  <c r="AA368" i="1"/>
  <c r="AT368" i="1" s="1"/>
  <c r="AD368" i="1"/>
  <c r="AN368" i="1" s="1"/>
  <c r="AO368" i="1"/>
  <c r="AQ368" i="1"/>
  <c r="AR368" i="1"/>
  <c r="AS368" i="1"/>
  <c r="AX368" i="1"/>
  <c r="AY368" i="1"/>
  <c r="CP368" i="1"/>
  <c r="DD368" i="1" s="1"/>
  <c r="CZ368" i="1"/>
  <c r="DA368" i="1"/>
  <c r="DB368" i="1" s="1"/>
  <c r="DP368" i="1"/>
  <c r="E369" i="1"/>
  <c r="H369" i="1"/>
  <c r="S369" i="1"/>
  <c r="T369" i="1"/>
  <c r="Y369" i="1"/>
  <c r="AA369" i="1"/>
  <c r="AT369" i="1" s="1"/>
  <c r="AD369" i="1"/>
  <c r="AN369" i="1" s="1"/>
  <c r="AF369" i="1"/>
  <c r="AO369" i="1"/>
  <c r="AP369" i="1"/>
  <c r="AQ369" i="1"/>
  <c r="AR369" i="1"/>
  <c r="AS369" i="1"/>
  <c r="AU369" i="1"/>
  <c r="AX369" i="1"/>
  <c r="AY369" i="1"/>
  <c r="CP369" i="1"/>
  <c r="DD369" i="1" s="1"/>
  <c r="CZ369" i="1"/>
  <c r="DA369" i="1"/>
  <c r="DB369" i="1" s="1"/>
  <c r="DM369" i="1"/>
  <c r="DP369" i="1"/>
  <c r="E370" i="1"/>
  <c r="H370" i="1"/>
  <c r="S370" i="1"/>
  <c r="T370" i="1"/>
  <c r="Y370" i="1"/>
  <c r="AA370" i="1"/>
  <c r="AT370" i="1" s="1"/>
  <c r="AD370" i="1"/>
  <c r="AN370" i="1" s="1"/>
  <c r="AF370" i="1"/>
  <c r="AO370" i="1"/>
  <c r="AP370" i="1"/>
  <c r="AQ370" i="1"/>
  <c r="AR370" i="1"/>
  <c r="AS370" i="1"/>
  <c r="AU370" i="1"/>
  <c r="AX370" i="1"/>
  <c r="AY370" i="1"/>
  <c r="CP370" i="1"/>
  <c r="DD370" i="1" s="1"/>
  <c r="CZ370" i="1"/>
  <c r="DA370" i="1"/>
  <c r="DB370" i="1" s="1"/>
  <c r="DM370" i="1"/>
  <c r="DP370" i="1"/>
  <c r="E371" i="1"/>
  <c r="H371" i="1"/>
  <c r="S371" i="1"/>
  <c r="T371" i="1"/>
  <c r="Y371" i="1"/>
  <c r="AA371" i="1"/>
  <c r="AT371" i="1" s="1"/>
  <c r="AD371" i="1"/>
  <c r="AN371" i="1" s="1"/>
  <c r="AF371" i="1"/>
  <c r="AO371" i="1"/>
  <c r="AP371" i="1"/>
  <c r="AQ371" i="1"/>
  <c r="AR371" i="1"/>
  <c r="AS371" i="1"/>
  <c r="AU371" i="1"/>
  <c r="AX371" i="1"/>
  <c r="AY371" i="1"/>
  <c r="CP371" i="1"/>
  <c r="DD371" i="1" s="1"/>
  <c r="CZ371" i="1"/>
  <c r="DA371" i="1"/>
  <c r="DB371" i="1" s="1"/>
  <c r="DM371" i="1"/>
  <c r="DP371" i="1"/>
  <c r="E372" i="1"/>
  <c r="H372" i="1"/>
  <c r="S372" i="1"/>
  <c r="T372" i="1"/>
  <c r="Y372" i="1"/>
  <c r="AA372" i="1"/>
  <c r="AT372" i="1" s="1"/>
  <c r="AD372" i="1"/>
  <c r="AN372" i="1" s="1"/>
  <c r="AF372" i="1"/>
  <c r="AO372" i="1"/>
  <c r="AP372" i="1"/>
  <c r="AQ372" i="1"/>
  <c r="AR372" i="1"/>
  <c r="AS372" i="1"/>
  <c r="AU372" i="1"/>
  <c r="AX372" i="1"/>
  <c r="AY372" i="1"/>
  <c r="CP372" i="1"/>
  <c r="DD372" i="1" s="1"/>
  <c r="CZ372" i="1"/>
  <c r="DA372" i="1"/>
  <c r="DB372" i="1" s="1"/>
  <c r="DM372" i="1"/>
  <c r="DP372" i="1"/>
  <c r="E373" i="1"/>
  <c r="H373" i="1"/>
  <c r="DI373" i="1"/>
  <c r="S373" i="1"/>
  <c r="T373" i="1"/>
  <c r="Y373" i="1"/>
  <c r="AA373" i="1"/>
  <c r="AT373" i="1" s="1"/>
  <c r="AD373" i="1"/>
  <c r="AN373" i="1" s="1"/>
  <c r="AF373" i="1"/>
  <c r="AO373" i="1"/>
  <c r="AP373" i="1"/>
  <c r="AQ373" i="1"/>
  <c r="AR373" i="1"/>
  <c r="AS373" i="1"/>
  <c r="AU373" i="1"/>
  <c r="AX373" i="1"/>
  <c r="AY373" i="1"/>
  <c r="CP373" i="1"/>
  <c r="DD373" i="1" s="1"/>
  <c r="CZ373" i="1"/>
  <c r="DA373" i="1"/>
  <c r="DB373" i="1" s="1"/>
  <c r="DM373" i="1"/>
  <c r="DP373" i="1"/>
  <c r="E357" i="1"/>
  <c r="H357" i="1"/>
  <c r="S357" i="1"/>
  <c r="T357" i="1"/>
  <c r="Y357" i="1"/>
  <c r="AA357" i="1"/>
  <c r="AT357" i="1" s="1"/>
  <c r="AD357" i="1"/>
  <c r="AF357" i="1" s="1"/>
  <c r="AP357" i="1" s="1"/>
  <c r="AO357" i="1"/>
  <c r="AQ357" i="1"/>
  <c r="AR357" i="1"/>
  <c r="AS357" i="1"/>
  <c r="AX357" i="1"/>
  <c r="AY357" i="1"/>
  <c r="CP357" i="1"/>
  <c r="DD357" i="1" s="1"/>
  <c r="CZ357" i="1"/>
  <c r="DA357" i="1"/>
  <c r="DB357" i="1" s="1"/>
  <c r="DP357" i="1"/>
  <c r="E358" i="1"/>
  <c r="H358" i="1"/>
  <c r="DI358" i="1"/>
  <c r="DR358" i="1" s="1"/>
  <c r="S358" i="1"/>
  <c r="T358" i="1"/>
  <c r="AA358" i="1"/>
  <c r="AT358" i="1" s="1"/>
  <c r="AD358" i="1"/>
  <c r="AN358" i="1" s="1"/>
  <c r="AO358" i="1"/>
  <c r="AQ358" i="1"/>
  <c r="AR358" i="1"/>
  <c r="AS358" i="1"/>
  <c r="AX358" i="1"/>
  <c r="AY358" i="1"/>
  <c r="CP358" i="1"/>
  <c r="DD358" i="1" s="1"/>
  <c r="CZ358" i="1"/>
  <c r="DA358" i="1"/>
  <c r="DB358" i="1" s="1"/>
  <c r="DP358" i="1"/>
  <c r="E359" i="1"/>
  <c r="H359" i="1"/>
  <c r="S359" i="1"/>
  <c r="T359" i="1"/>
  <c r="AA359" i="1"/>
  <c r="AT359" i="1" s="1"/>
  <c r="AN359" i="1"/>
  <c r="AO359" i="1"/>
  <c r="AQ359" i="1"/>
  <c r="AR359" i="1"/>
  <c r="AS359" i="1"/>
  <c r="AX359" i="1"/>
  <c r="AY359" i="1"/>
  <c r="CP359" i="1"/>
  <c r="DD359" i="1" s="1"/>
  <c r="CZ359" i="1"/>
  <c r="DA359" i="1"/>
  <c r="DB359" i="1" s="1"/>
  <c r="DP359" i="1"/>
  <c r="E360" i="1"/>
  <c r="H360" i="1"/>
  <c r="DI360" i="1"/>
  <c r="S360" i="1"/>
  <c r="T360" i="1"/>
  <c r="Y360" i="1"/>
  <c r="AA360" i="1"/>
  <c r="AT360" i="1" s="1"/>
  <c r="AD360" i="1"/>
  <c r="AN360" i="1" s="1"/>
  <c r="AO360" i="1"/>
  <c r="AQ360" i="1"/>
  <c r="AR360" i="1"/>
  <c r="AS360" i="1"/>
  <c r="AX360" i="1"/>
  <c r="AY360" i="1"/>
  <c r="CP360" i="1"/>
  <c r="DD360" i="1" s="1"/>
  <c r="CZ360" i="1"/>
  <c r="DA360" i="1"/>
  <c r="DB360" i="1" s="1"/>
  <c r="DP360" i="1"/>
  <c r="E361" i="1"/>
  <c r="H361" i="1"/>
  <c r="S361" i="1"/>
  <c r="T361" i="1"/>
  <c r="Y361" i="1"/>
  <c r="AA361" i="1"/>
  <c r="AT361" i="1" s="1"/>
  <c r="AD361" i="1"/>
  <c r="AN361" i="1" s="1"/>
  <c r="AF361" i="1"/>
  <c r="AO361" i="1"/>
  <c r="AP361" i="1"/>
  <c r="AQ361" i="1"/>
  <c r="AR361" i="1"/>
  <c r="AS361" i="1"/>
  <c r="AU361" i="1"/>
  <c r="AX361" i="1"/>
  <c r="AY361" i="1"/>
  <c r="CP361" i="1"/>
  <c r="DD361" i="1" s="1"/>
  <c r="CZ361" i="1"/>
  <c r="DA361" i="1"/>
  <c r="DB361" i="1" s="1"/>
  <c r="DM361" i="1"/>
  <c r="DP361" i="1"/>
  <c r="E362" i="1"/>
  <c r="H362" i="1"/>
  <c r="S362" i="1"/>
  <c r="T362" i="1"/>
  <c r="Y362" i="1"/>
  <c r="AA362" i="1"/>
  <c r="AT362" i="1" s="1"/>
  <c r="AD362" i="1"/>
  <c r="AN362" i="1" s="1"/>
  <c r="AF362" i="1"/>
  <c r="AO362" i="1"/>
  <c r="AP362" i="1"/>
  <c r="AQ362" i="1"/>
  <c r="AR362" i="1"/>
  <c r="AS362" i="1"/>
  <c r="AU362" i="1"/>
  <c r="AX362" i="1"/>
  <c r="AY362" i="1"/>
  <c r="CP362" i="1"/>
  <c r="DD362" i="1" s="1"/>
  <c r="CZ362" i="1"/>
  <c r="DA362" i="1"/>
  <c r="DB362" i="1" s="1"/>
  <c r="DM362" i="1"/>
  <c r="DP362" i="1"/>
  <c r="E363" i="1"/>
  <c r="H363" i="1"/>
  <c r="S363" i="1"/>
  <c r="T363" i="1"/>
  <c r="Y363" i="1"/>
  <c r="AA363" i="1"/>
  <c r="AT363" i="1" s="1"/>
  <c r="AD363" i="1"/>
  <c r="AN363" i="1" s="1"/>
  <c r="AF363" i="1"/>
  <c r="AO363" i="1"/>
  <c r="AP363" i="1"/>
  <c r="AQ363" i="1"/>
  <c r="AR363" i="1"/>
  <c r="AS363" i="1"/>
  <c r="AU363" i="1"/>
  <c r="AX363" i="1"/>
  <c r="AY363" i="1"/>
  <c r="CP363" i="1"/>
  <c r="DD363" i="1" s="1"/>
  <c r="CZ363" i="1"/>
  <c r="DA363" i="1"/>
  <c r="DB363" i="1" s="1"/>
  <c r="DM363" i="1"/>
  <c r="DP363" i="1"/>
  <c r="E364" i="1"/>
  <c r="H364" i="1"/>
  <c r="S364" i="1"/>
  <c r="T364" i="1"/>
  <c r="Y364" i="1"/>
  <c r="AA364" i="1"/>
  <c r="AT364" i="1" s="1"/>
  <c r="AD364" i="1"/>
  <c r="AN364" i="1" s="1"/>
  <c r="AF364" i="1"/>
  <c r="AO364" i="1"/>
  <c r="AP364" i="1"/>
  <c r="AQ364" i="1"/>
  <c r="AR364" i="1"/>
  <c r="AS364" i="1"/>
  <c r="AU364" i="1"/>
  <c r="AX364" i="1"/>
  <c r="AY364" i="1"/>
  <c r="CP364" i="1"/>
  <c r="DD364" i="1" s="1"/>
  <c r="CZ364" i="1"/>
  <c r="DA364" i="1"/>
  <c r="DB364" i="1" s="1"/>
  <c r="DM364" i="1"/>
  <c r="DP364" i="1"/>
  <c r="E442" i="1"/>
  <c r="H442" i="1"/>
  <c r="S442" i="1"/>
  <c r="T442" i="1"/>
  <c r="Y442" i="1"/>
  <c r="AA442" i="1"/>
  <c r="AT442" i="1" s="1"/>
  <c r="AD442" i="1"/>
  <c r="AN442" i="1" s="1"/>
  <c r="AO442" i="1"/>
  <c r="AQ442" i="1"/>
  <c r="AR442" i="1"/>
  <c r="AS442" i="1"/>
  <c r="AX442" i="1"/>
  <c r="AY442" i="1"/>
  <c r="CP442" i="1"/>
  <c r="DD442" i="1" s="1"/>
  <c r="CZ442" i="1"/>
  <c r="DA442" i="1"/>
  <c r="DB442" i="1" s="1"/>
  <c r="DP442" i="1"/>
  <c r="E348" i="1"/>
  <c r="H348" i="1"/>
  <c r="S348" i="1"/>
  <c r="T348" i="1"/>
  <c r="Y348" i="1"/>
  <c r="AA348" i="1"/>
  <c r="AT348" i="1" s="1"/>
  <c r="AD348" i="1"/>
  <c r="AO348" i="1"/>
  <c r="AQ348" i="1"/>
  <c r="AR348" i="1"/>
  <c r="AS348" i="1"/>
  <c r="AX348" i="1"/>
  <c r="AY348" i="1"/>
  <c r="CP348" i="1"/>
  <c r="DD348" i="1" s="1"/>
  <c r="CZ348" i="1"/>
  <c r="DA348" i="1"/>
  <c r="DB348" i="1" s="1"/>
  <c r="DP348" i="1"/>
  <c r="E349" i="1"/>
  <c r="H349" i="1"/>
  <c r="S349" i="1"/>
  <c r="T349" i="1"/>
  <c r="Y349" i="1"/>
  <c r="AA349" i="1"/>
  <c r="AT349" i="1" s="1"/>
  <c r="AD349" i="1"/>
  <c r="AF349" i="1" s="1"/>
  <c r="AP349" i="1" s="1"/>
  <c r="AO349" i="1"/>
  <c r="AQ349" i="1"/>
  <c r="AR349" i="1"/>
  <c r="AS349" i="1"/>
  <c r="AX349" i="1"/>
  <c r="AY349" i="1"/>
  <c r="CP349" i="1"/>
  <c r="DD349" i="1" s="1"/>
  <c r="CZ349" i="1"/>
  <c r="DA349" i="1"/>
  <c r="DB349" i="1" s="1"/>
  <c r="DP349" i="1"/>
  <c r="E350" i="1"/>
  <c r="H350" i="1"/>
  <c r="DI350" i="1"/>
  <c r="DR350" i="1" s="1"/>
  <c r="S350" i="1"/>
  <c r="T350" i="1"/>
  <c r="Y350" i="1"/>
  <c r="AA350" i="1"/>
  <c r="AT350" i="1" s="1"/>
  <c r="AD350" i="1"/>
  <c r="AF350" i="1" s="1"/>
  <c r="AP350" i="1" s="1"/>
  <c r="AO350" i="1"/>
  <c r="AQ350" i="1"/>
  <c r="AR350" i="1"/>
  <c r="AS350" i="1"/>
  <c r="AX350" i="1"/>
  <c r="AY350" i="1"/>
  <c r="CP350" i="1"/>
  <c r="DD350" i="1" s="1"/>
  <c r="CZ350" i="1"/>
  <c r="DA350" i="1"/>
  <c r="DB350" i="1" s="1"/>
  <c r="DP350" i="1"/>
  <c r="E351" i="1"/>
  <c r="H351" i="1"/>
  <c r="DI351" i="1"/>
  <c r="DR351" i="1" s="1"/>
  <c r="S351" i="1"/>
  <c r="T351" i="1"/>
  <c r="Y351" i="1"/>
  <c r="AA351" i="1"/>
  <c r="AT351" i="1" s="1"/>
  <c r="AD351" i="1"/>
  <c r="AN351" i="1" s="1"/>
  <c r="AO351" i="1"/>
  <c r="AQ351" i="1"/>
  <c r="AR351" i="1"/>
  <c r="AS351" i="1"/>
  <c r="AX351" i="1"/>
  <c r="AY351" i="1"/>
  <c r="CP351" i="1"/>
  <c r="DD351" i="1" s="1"/>
  <c r="CZ351" i="1"/>
  <c r="DA351" i="1"/>
  <c r="DB351" i="1" s="1"/>
  <c r="DP351" i="1"/>
  <c r="E352" i="1"/>
  <c r="H352" i="1"/>
  <c r="DI352" i="1"/>
  <c r="S352" i="1"/>
  <c r="T352" i="1"/>
  <c r="Y352" i="1"/>
  <c r="AA352" i="1"/>
  <c r="AT352" i="1" s="1"/>
  <c r="AD352" i="1"/>
  <c r="AN352" i="1" s="1"/>
  <c r="AO352" i="1"/>
  <c r="AQ352" i="1"/>
  <c r="AR352" i="1"/>
  <c r="AS352" i="1"/>
  <c r="AX352" i="1"/>
  <c r="AY352" i="1"/>
  <c r="CP352" i="1"/>
  <c r="DD352" i="1" s="1"/>
  <c r="CZ352" i="1"/>
  <c r="DA352" i="1"/>
  <c r="DB352" i="1" s="1"/>
  <c r="DP352" i="1"/>
  <c r="E353" i="1"/>
  <c r="H353" i="1"/>
  <c r="S353" i="1"/>
  <c r="T353" i="1"/>
  <c r="Y353" i="1"/>
  <c r="AA353" i="1"/>
  <c r="AT353" i="1" s="1"/>
  <c r="AD353" i="1"/>
  <c r="AN353" i="1" s="1"/>
  <c r="AF353" i="1"/>
  <c r="AO353" i="1"/>
  <c r="AP353" i="1"/>
  <c r="AQ353" i="1"/>
  <c r="AR353" i="1"/>
  <c r="AS353" i="1"/>
  <c r="AU353" i="1"/>
  <c r="AX353" i="1"/>
  <c r="AY353" i="1"/>
  <c r="CP353" i="1"/>
  <c r="DD353" i="1" s="1"/>
  <c r="CZ353" i="1"/>
  <c r="DA353" i="1"/>
  <c r="DB353" i="1" s="1"/>
  <c r="DM353" i="1"/>
  <c r="DP353" i="1"/>
  <c r="E354" i="1"/>
  <c r="H354" i="1"/>
  <c r="S354" i="1"/>
  <c r="T354" i="1"/>
  <c r="Y354" i="1"/>
  <c r="AA354" i="1"/>
  <c r="AT354" i="1" s="1"/>
  <c r="AD354" i="1"/>
  <c r="AN354" i="1" s="1"/>
  <c r="AF354" i="1"/>
  <c r="AO354" i="1"/>
  <c r="AP354" i="1"/>
  <c r="AQ354" i="1"/>
  <c r="AR354" i="1"/>
  <c r="AS354" i="1"/>
  <c r="AU354" i="1"/>
  <c r="AX354" i="1"/>
  <c r="AY354" i="1"/>
  <c r="CP354" i="1"/>
  <c r="DD354" i="1" s="1"/>
  <c r="CZ354" i="1"/>
  <c r="DA354" i="1"/>
  <c r="DB354" i="1" s="1"/>
  <c r="DM354" i="1"/>
  <c r="DP354" i="1"/>
  <c r="E339" i="1"/>
  <c r="H339" i="1"/>
  <c r="S339" i="1"/>
  <c r="T339" i="1"/>
  <c r="Y339" i="1"/>
  <c r="AA339" i="1"/>
  <c r="AT339" i="1" s="1"/>
  <c r="AD339" i="1"/>
  <c r="AO339" i="1"/>
  <c r="AQ339" i="1"/>
  <c r="AR339" i="1"/>
  <c r="AS339" i="1"/>
  <c r="AX339" i="1"/>
  <c r="AY339" i="1"/>
  <c r="CP339" i="1"/>
  <c r="DD339" i="1" s="1"/>
  <c r="CZ339" i="1"/>
  <c r="DA339" i="1"/>
  <c r="DB339" i="1" s="1"/>
  <c r="DP339" i="1"/>
  <c r="E340" i="1"/>
  <c r="H340" i="1"/>
  <c r="DI340" i="1"/>
  <c r="DR340" i="1" s="1"/>
  <c r="S340" i="1"/>
  <c r="T340" i="1"/>
  <c r="Y340" i="1"/>
  <c r="AA340" i="1"/>
  <c r="AT340" i="1" s="1"/>
  <c r="AD340" i="1"/>
  <c r="AF340" i="1" s="1"/>
  <c r="AP340" i="1" s="1"/>
  <c r="AO340" i="1"/>
  <c r="AQ340" i="1"/>
  <c r="AR340" i="1"/>
  <c r="AS340" i="1"/>
  <c r="AX340" i="1"/>
  <c r="AY340" i="1"/>
  <c r="CP340" i="1"/>
  <c r="DD340" i="1" s="1"/>
  <c r="CZ340" i="1"/>
  <c r="DA340" i="1"/>
  <c r="DB340" i="1" s="1"/>
  <c r="DM340" i="1"/>
  <c r="DP340" i="1"/>
  <c r="E341" i="1"/>
  <c r="H341" i="1"/>
  <c r="S341" i="1"/>
  <c r="T341" i="1"/>
  <c r="Y341" i="1"/>
  <c r="AA341" i="1"/>
  <c r="AT341" i="1" s="1"/>
  <c r="AN341" i="1"/>
  <c r="AO341" i="1"/>
  <c r="AQ341" i="1"/>
  <c r="AR341" i="1"/>
  <c r="AS341" i="1"/>
  <c r="AX341" i="1"/>
  <c r="AY341" i="1"/>
  <c r="CP341" i="1"/>
  <c r="DD341" i="1" s="1"/>
  <c r="CZ341" i="1"/>
  <c r="DA341" i="1"/>
  <c r="DB341" i="1" s="1"/>
  <c r="DP341" i="1"/>
  <c r="E342" i="1"/>
  <c r="H342" i="1"/>
  <c r="S342" i="1"/>
  <c r="T342" i="1"/>
  <c r="Y342" i="1"/>
  <c r="AA342" i="1"/>
  <c r="AT342" i="1" s="1"/>
  <c r="AD342" i="1"/>
  <c r="AN342" i="1" s="1"/>
  <c r="AO342" i="1"/>
  <c r="AQ342" i="1"/>
  <c r="AR342" i="1"/>
  <c r="AS342" i="1"/>
  <c r="AX342" i="1"/>
  <c r="AY342" i="1"/>
  <c r="CP342" i="1"/>
  <c r="DD342" i="1" s="1"/>
  <c r="CZ342" i="1"/>
  <c r="DA342" i="1"/>
  <c r="DB342" i="1" s="1"/>
  <c r="DP342" i="1"/>
  <c r="E343" i="1"/>
  <c r="H343" i="1"/>
  <c r="DI343" i="1"/>
  <c r="S343" i="1"/>
  <c r="T343" i="1"/>
  <c r="Y343" i="1"/>
  <c r="AA343" i="1"/>
  <c r="AT343" i="1" s="1"/>
  <c r="AD343" i="1"/>
  <c r="AN343" i="1" s="1"/>
  <c r="AF343" i="1"/>
  <c r="AO343" i="1"/>
  <c r="AP343" i="1"/>
  <c r="AQ343" i="1"/>
  <c r="AR343" i="1"/>
  <c r="AS343" i="1"/>
  <c r="AU343" i="1"/>
  <c r="AX343" i="1"/>
  <c r="AY343" i="1"/>
  <c r="CP343" i="1"/>
  <c r="DD343" i="1" s="1"/>
  <c r="CZ343" i="1"/>
  <c r="DA343" i="1"/>
  <c r="DB343" i="1" s="1"/>
  <c r="DM343" i="1"/>
  <c r="DP343" i="1"/>
  <c r="E344" i="1"/>
  <c r="H344" i="1"/>
  <c r="S344" i="1"/>
  <c r="T344" i="1"/>
  <c r="Y344" i="1"/>
  <c r="AA344" i="1"/>
  <c r="AT344" i="1" s="1"/>
  <c r="AD344" i="1"/>
  <c r="AN344" i="1" s="1"/>
  <c r="AF344" i="1"/>
  <c r="AO344" i="1"/>
  <c r="AP344" i="1"/>
  <c r="AQ344" i="1"/>
  <c r="AR344" i="1"/>
  <c r="AS344" i="1"/>
  <c r="AU344" i="1"/>
  <c r="AX344" i="1"/>
  <c r="AY344" i="1"/>
  <c r="CP344" i="1"/>
  <c r="DD344" i="1" s="1"/>
  <c r="CZ344" i="1"/>
  <c r="DA344" i="1"/>
  <c r="DB344" i="1" s="1"/>
  <c r="DM344" i="1"/>
  <c r="DP344" i="1"/>
  <c r="E345" i="1"/>
  <c r="H345" i="1"/>
  <c r="S345" i="1"/>
  <c r="T345" i="1"/>
  <c r="Y345" i="1"/>
  <c r="AA345" i="1"/>
  <c r="AT345" i="1" s="1"/>
  <c r="AD345" i="1"/>
  <c r="AN345" i="1" s="1"/>
  <c r="AF345" i="1"/>
  <c r="AO345" i="1"/>
  <c r="AP345" i="1"/>
  <c r="AQ345" i="1"/>
  <c r="AR345" i="1"/>
  <c r="AS345" i="1"/>
  <c r="AU345" i="1"/>
  <c r="AX345" i="1"/>
  <c r="AY345" i="1"/>
  <c r="CP345" i="1"/>
  <c r="DD345" i="1" s="1"/>
  <c r="CZ345" i="1"/>
  <c r="DA345" i="1"/>
  <c r="DB345" i="1" s="1"/>
  <c r="DM345" i="1"/>
  <c r="DP345" i="1"/>
  <c r="E346" i="1"/>
  <c r="H346" i="1"/>
  <c r="S346" i="1"/>
  <c r="T346" i="1"/>
  <c r="Y346" i="1"/>
  <c r="AA346" i="1"/>
  <c r="AT346" i="1" s="1"/>
  <c r="AD346" i="1"/>
  <c r="AN346" i="1" s="1"/>
  <c r="AF346" i="1"/>
  <c r="AO346" i="1"/>
  <c r="AP346" i="1"/>
  <c r="AQ346" i="1"/>
  <c r="AR346" i="1"/>
  <c r="AS346" i="1"/>
  <c r="AU346" i="1"/>
  <c r="AX346" i="1"/>
  <c r="AY346" i="1"/>
  <c r="CP346" i="1"/>
  <c r="DD346" i="1" s="1"/>
  <c r="CZ346" i="1"/>
  <c r="DA346" i="1"/>
  <c r="DB346" i="1" s="1"/>
  <c r="DM346" i="1"/>
  <c r="DP346" i="1"/>
  <c r="E347" i="1"/>
  <c r="H347" i="1"/>
  <c r="S347" i="1"/>
  <c r="T347" i="1"/>
  <c r="Y347" i="1"/>
  <c r="AA347" i="1"/>
  <c r="AT347" i="1" s="1"/>
  <c r="AD347" i="1"/>
  <c r="AN347" i="1" s="1"/>
  <c r="AF347" i="1"/>
  <c r="AO347" i="1"/>
  <c r="AP347" i="1"/>
  <c r="AQ347" i="1"/>
  <c r="AR347" i="1"/>
  <c r="AS347" i="1"/>
  <c r="AU347" i="1"/>
  <c r="AX347" i="1"/>
  <c r="AY347" i="1"/>
  <c r="CP347" i="1"/>
  <c r="DD347" i="1" s="1"/>
  <c r="CZ347" i="1"/>
  <c r="DA347" i="1"/>
  <c r="DB347" i="1" s="1"/>
  <c r="DM347" i="1"/>
  <c r="DP347" i="1"/>
  <c r="E355" i="1"/>
  <c r="H355" i="1"/>
  <c r="S355" i="1"/>
  <c r="T355" i="1"/>
  <c r="Y355" i="1"/>
  <c r="AA355" i="1"/>
  <c r="AT355" i="1" s="1"/>
  <c r="AD355" i="1"/>
  <c r="AN355" i="1" s="1"/>
  <c r="AF355" i="1"/>
  <c r="AO355" i="1"/>
  <c r="AP355" i="1"/>
  <c r="AQ355" i="1"/>
  <c r="AR355" i="1"/>
  <c r="AS355" i="1"/>
  <c r="AU355" i="1"/>
  <c r="AX355" i="1"/>
  <c r="AY355" i="1"/>
  <c r="CP355" i="1"/>
  <c r="DD355" i="1" s="1"/>
  <c r="CZ355" i="1"/>
  <c r="DA355" i="1"/>
  <c r="DB355" i="1" s="1"/>
  <c r="DM355" i="1"/>
  <c r="DP355" i="1"/>
  <c r="E356" i="1"/>
  <c r="H356" i="1"/>
  <c r="S356" i="1"/>
  <c r="T356" i="1"/>
  <c r="Y356" i="1"/>
  <c r="AA356" i="1"/>
  <c r="AT356" i="1" s="1"/>
  <c r="AD356" i="1"/>
  <c r="AN356" i="1" s="1"/>
  <c r="AF356" i="1"/>
  <c r="AO356" i="1"/>
  <c r="AP356" i="1"/>
  <c r="AQ356" i="1"/>
  <c r="AR356" i="1"/>
  <c r="AS356" i="1"/>
  <c r="AU356" i="1"/>
  <c r="AX356" i="1"/>
  <c r="AY356" i="1"/>
  <c r="CP356" i="1"/>
  <c r="DD356" i="1" s="1"/>
  <c r="CZ356" i="1"/>
  <c r="DA356" i="1"/>
  <c r="DB356" i="1" s="1"/>
  <c r="DM356" i="1"/>
  <c r="DP356" i="1"/>
  <c r="AU442" i="1" l="1"/>
  <c r="AF442" i="1"/>
  <c r="AP442" i="1" s="1"/>
  <c r="DC442" i="1"/>
  <c r="AF348" i="1"/>
  <c r="AP348" i="1" s="1"/>
  <c r="AF339" i="1"/>
  <c r="AP339" i="1" s="1"/>
  <c r="DL378" i="1"/>
  <c r="DM378" i="1" s="1"/>
  <c r="DN378" i="1" s="1"/>
  <c r="DN386" i="1"/>
  <c r="DI367" i="1"/>
  <c r="DR367" i="1" s="1"/>
  <c r="DL367" i="1"/>
  <c r="DM367" i="1"/>
  <c r="AU367" i="1"/>
  <c r="AF368" i="1"/>
  <c r="AF365" i="1"/>
  <c r="AP365" i="1" s="1"/>
  <c r="DC372" i="1"/>
  <c r="AU368" i="1"/>
  <c r="AN366" i="1"/>
  <c r="AU366" i="1"/>
  <c r="AU365" i="1"/>
  <c r="DC367" i="1"/>
  <c r="AN367" i="1"/>
  <c r="DC368" i="1"/>
  <c r="DC369" i="1"/>
  <c r="DN373" i="1"/>
  <c r="DC365" i="1"/>
  <c r="DC370" i="1"/>
  <c r="DC366" i="1"/>
  <c r="DC373" i="1"/>
  <c r="DC371" i="1"/>
  <c r="DC360" i="1"/>
  <c r="DC364" i="1"/>
  <c r="DC358" i="1"/>
  <c r="DN358" i="1"/>
  <c r="DC363" i="1"/>
  <c r="DC359" i="1"/>
  <c r="DC361" i="1"/>
  <c r="AU360" i="1"/>
  <c r="DM358" i="1"/>
  <c r="AU358" i="1"/>
  <c r="AU359" i="1"/>
  <c r="AU357" i="1"/>
  <c r="AF359" i="1"/>
  <c r="AP359" i="1" s="1"/>
  <c r="AF360" i="1"/>
  <c r="AP360" i="1" s="1"/>
  <c r="AF358" i="1"/>
  <c r="AP358" i="1" s="1"/>
  <c r="AN357" i="1"/>
  <c r="DC362" i="1"/>
  <c r="DC357" i="1"/>
  <c r="DL358" i="1"/>
  <c r="DC345" i="1"/>
  <c r="AN349" i="1"/>
  <c r="DC351" i="1"/>
  <c r="AU352" i="1"/>
  <c r="AF351" i="1"/>
  <c r="AP351" i="1" s="1"/>
  <c r="AU351" i="1"/>
  <c r="AN350" i="1"/>
  <c r="AU350" i="1"/>
  <c r="AU349" i="1"/>
  <c r="AU348" i="1"/>
  <c r="AF352" i="1"/>
  <c r="AP352" i="1" s="1"/>
  <c r="DM352" i="1"/>
  <c r="DM351" i="1"/>
  <c r="DM350" i="1"/>
  <c r="AN348" i="1"/>
  <c r="DC353" i="1"/>
  <c r="DC348" i="1"/>
  <c r="DN350" i="1"/>
  <c r="DC350" i="1"/>
  <c r="DC354" i="1"/>
  <c r="DN352" i="1"/>
  <c r="DC352" i="1"/>
  <c r="DC355" i="1"/>
  <c r="DC356" i="1"/>
  <c r="DC349" i="1"/>
  <c r="DL350" i="1"/>
  <c r="AF342" i="1"/>
  <c r="AP342" i="1" s="1"/>
  <c r="DN351" i="1"/>
  <c r="DL351" i="1"/>
  <c r="DL352" i="1"/>
  <c r="AU340" i="1"/>
  <c r="DC344" i="1"/>
  <c r="DC347" i="1"/>
  <c r="DC346" i="1"/>
  <c r="DC342" i="1"/>
  <c r="AF341" i="1"/>
  <c r="AP341" i="1" s="1"/>
  <c r="DC341" i="1"/>
  <c r="DC343" i="1"/>
  <c r="AU342" i="1"/>
  <c r="AU341" i="1"/>
  <c r="AN339" i="1"/>
  <c r="AU339" i="1"/>
  <c r="AN340" i="1"/>
  <c r="DN343" i="1"/>
  <c r="DC340" i="1"/>
  <c r="DC339" i="1"/>
  <c r="DN340" i="1"/>
  <c r="DL340" i="1"/>
  <c r="DL343" i="1"/>
  <c r="E338" i="1"/>
  <c r="H338" i="1"/>
  <c r="S338" i="1"/>
  <c r="T338" i="1"/>
  <c r="Y338" i="1"/>
  <c r="AA338" i="1"/>
  <c r="AT338" i="1" s="1"/>
  <c r="AD338" i="1"/>
  <c r="AN338" i="1" s="1"/>
  <c r="AF338" i="1"/>
  <c r="AO338" i="1"/>
  <c r="AP338" i="1"/>
  <c r="AQ338" i="1"/>
  <c r="AR338" i="1"/>
  <c r="AS338" i="1"/>
  <c r="AU338" i="1"/>
  <c r="AX338" i="1"/>
  <c r="AY338" i="1"/>
  <c r="CP338" i="1"/>
  <c r="DD338" i="1" s="1"/>
  <c r="CZ338" i="1"/>
  <c r="DA338" i="1"/>
  <c r="DB338" i="1" s="1"/>
  <c r="DM338" i="1"/>
  <c r="DP338" i="1"/>
  <c r="E542" i="1"/>
  <c r="H542" i="1"/>
  <c r="I542" i="1"/>
  <c r="J542" i="1"/>
  <c r="DI542" i="1" s="1"/>
  <c r="K542" i="1"/>
  <c r="S542" i="1"/>
  <c r="T542" i="1"/>
  <c r="Y542" i="1"/>
  <c r="AA542" i="1"/>
  <c r="AT542" i="1" s="1"/>
  <c r="AD542" i="1"/>
  <c r="AN542" i="1" s="1"/>
  <c r="AF542" i="1"/>
  <c r="AO542" i="1"/>
  <c r="AP542" i="1"/>
  <c r="AQ542" i="1"/>
  <c r="AR542" i="1"/>
  <c r="AS542" i="1"/>
  <c r="AU542" i="1"/>
  <c r="AX542" i="1"/>
  <c r="AY542" i="1"/>
  <c r="CP542" i="1"/>
  <c r="DD542" i="1" s="1"/>
  <c r="CZ542" i="1"/>
  <c r="DA542" i="1"/>
  <c r="DB542" i="1"/>
  <c r="DM542" i="1"/>
  <c r="DP542" i="1"/>
  <c r="E336" i="1"/>
  <c r="H336" i="1"/>
  <c r="S336" i="1"/>
  <c r="T336" i="1"/>
  <c r="Y336" i="1"/>
  <c r="AA336" i="1"/>
  <c r="AT336" i="1" s="1"/>
  <c r="AD336" i="1"/>
  <c r="AN336" i="1" s="1"/>
  <c r="AF336" i="1"/>
  <c r="AO336" i="1"/>
  <c r="AP336" i="1"/>
  <c r="AQ336" i="1"/>
  <c r="AR336" i="1"/>
  <c r="AS336" i="1"/>
  <c r="AU336" i="1"/>
  <c r="AX336" i="1"/>
  <c r="AY336" i="1"/>
  <c r="CP336" i="1"/>
  <c r="DD336" i="1" s="1"/>
  <c r="CZ336" i="1"/>
  <c r="DA336" i="1"/>
  <c r="DB336" i="1" s="1"/>
  <c r="DM336" i="1"/>
  <c r="DP336" i="1"/>
  <c r="E335" i="1"/>
  <c r="H335" i="1"/>
  <c r="S335" i="1"/>
  <c r="T335" i="1"/>
  <c r="Y335" i="1"/>
  <c r="AA335" i="1"/>
  <c r="AT335" i="1" s="1"/>
  <c r="AD335" i="1"/>
  <c r="AN335" i="1" s="1"/>
  <c r="AF335" i="1"/>
  <c r="AO335" i="1"/>
  <c r="AP335" i="1"/>
  <c r="AQ335" i="1"/>
  <c r="AR335" i="1"/>
  <c r="AS335" i="1"/>
  <c r="AU335" i="1"/>
  <c r="AX335" i="1"/>
  <c r="AY335" i="1"/>
  <c r="CP335" i="1"/>
  <c r="DD335" i="1" s="1"/>
  <c r="CZ335" i="1"/>
  <c r="DA335" i="1"/>
  <c r="DB335" i="1" s="1"/>
  <c r="DM335" i="1"/>
  <c r="DP335" i="1"/>
  <c r="DI324" i="1"/>
  <c r="DR324" i="1" s="1"/>
  <c r="DC542" i="1" l="1"/>
  <c r="DN367" i="1"/>
  <c r="AP368" i="1"/>
  <c r="DL368" i="1"/>
  <c r="DM368" i="1" s="1"/>
  <c r="DN368" i="1" s="1"/>
  <c r="DL360" i="1"/>
  <c r="DM360" i="1" s="1"/>
  <c r="DN360" i="1" s="1"/>
  <c r="DN542" i="1"/>
  <c r="DC338" i="1"/>
  <c r="DC335" i="1"/>
  <c r="DC336" i="1"/>
  <c r="DL542" i="1"/>
  <c r="E321" i="1" l="1"/>
  <c r="H321" i="1"/>
  <c r="S321" i="1"/>
  <c r="T321" i="1"/>
  <c r="Y321" i="1"/>
  <c r="AA321" i="1"/>
  <c r="AT321" i="1" s="1"/>
  <c r="AD321" i="1"/>
  <c r="AN321" i="1" s="1"/>
  <c r="AO321" i="1"/>
  <c r="AQ321" i="1"/>
  <c r="AR321" i="1"/>
  <c r="AS321" i="1"/>
  <c r="AX321" i="1"/>
  <c r="AY321" i="1"/>
  <c r="CP321" i="1"/>
  <c r="DD321" i="1" s="1"/>
  <c r="CZ321" i="1"/>
  <c r="DA321" i="1"/>
  <c r="DB321" i="1" s="1"/>
  <c r="DP321" i="1"/>
  <c r="E322" i="1"/>
  <c r="H322" i="1"/>
  <c r="S322" i="1"/>
  <c r="T322" i="1"/>
  <c r="Y322" i="1"/>
  <c r="AA322" i="1"/>
  <c r="AT322" i="1" s="1"/>
  <c r="AD322" i="1"/>
  <c r="AF322" i="1" s="1"/>
  <c r="AP322" i="1" s="1"/>
  <c r="AO322" i="1"/>
  <c r="AQ322" i="1"/>
  <c r="AR322" i="1"/>
  <c r="AS322" i="1"/>
  <c r="AX322" i="1"/>
  <c r="AY322" i="1"/>
  <c r="CP322" i="1"/>
  <c r="DD322" i="1" s="1"/>
  <c r="CZ322" i="1"/>
  <c r="DA322" i="1"/>
  <c r="DB322" i="1" s="1"/>
  <c r="DP322" i="1"/>
  <c r="E323" i="1"/>
  <c r="H323" i="1"/>
  <c r="S323" i="1"/>
  <c r="T323" i="1"/>
  <c r="Y323" i="1"/>
  <c r="AA323" i="1"/>
  <c r="AT323" i="1" s="1"/>
  <c r="AD323" i="1"/>
  <c r="AO323" i="1"/>
  <c r="AQ323" i="1"/>
  <c r="AR323" i="1"/>
  <c r="AS323" i="1"/>
  <c r="AX323" i="1"/>
  <c r="AY323" i="1"/>
  <c r="CP323" i="1"/>
  <c r="DD323" i="1" s="1"/>
  <c r="CZ323" i="1"/>
  <c r="DA323" i="1"/>
  <c r="DB323" i="1" s="1"/>
  <c r="DP323" i="1"/>
  <c r="E324" i="1"/>
  <c r="H324" i="1"/>
  <c r="S324" i="1"/>
  <c r="T324" i="1"/>
  <c r="Y324" i="1"/>
  <c r="AA324" i="1"/>
  <c r="AT324" i="1" s="1"/>
  <c r="AD324" i="1"/>
  <c r="AN324" i="1" s="1"/>
  <c r="AO324" i="1"/>
  <c r="AQ324" i="1"/>
  <c r="AR324" i="1"/>
  <c r="AS324" i="1"/>
  <c r="AX324" i="1"/>
  <c r="AY324" i="1"/>
  <c r="CP324" i="1"/>
  <c r="DD324" i="1" s="1"/>
  <c r="CZ324" i="1"/>
  <c r="DA324" i="1"/>
  <c r="DB324" i="1" s="1"/>
  <c r="DP324" i="1"/>
  <c r="E325" i="1"/>
  <c r="H325" i="1"/>
  <c r="S325" i="1"/>
  <c r="T325" i="1"/>
  <c r="Y325" i="1"/>
  <c r="AA325" i="1"/>
  <c r="AT325" i="1" s="1"/>
  <c r="AD325" i="1"/>
  <c r="AN325" i="1" s="1"/>
  <c r="AF325" i="1"/>
  <c r="AO325" i="1"/>
  <c r="AP325" i="1"/>
  <c r="AQ325" i="1"/>
  <c r="AR325" i="1"/>
  <c r="AS325" i="1"/>
  <c r="AU325" i="1"/>
  <c r="AX325" i="1"/>
  <c r="AY325" i="1"/>
  <c r="CP325" i="1"/>
  <c r="DD325" i="1" s="1"/>
  <c r="CZ325" i="1"/>
  <c r="DA325" i="1"/>
  <c r="DB325" i="1" s="1"/>
  <c r="DM325" i="1"/>
  <c r="DP325" i="1"/>
  <c r="E326" i="1"/>
  <c r="H326" i="1"/>
  <c r="S326" i="1"/>
  <c r="T326" i="1"/>
  <c r="Y326" i="1"/>
  <c r="AA326" i="1"/>
  <c r="AT326" i="1" s="1"/>
  <c r="AD326" i="1"/>
  <c r="AN326" i="1" s="1"/>
  <c r="AF326" i="1"/>
  <c r="AO326" i="1"/>
  <c r="AP326" i="1"/>
  <c r="AQ326" i="1"/>
  <c r="AR326" i="1"/>
  <c r="AS326" i="1"/>
  <c r="AU326" i="1"/>
  <c r="AX326" i="1"/>
  <c r="AY326" i="1"/>
  <c r="CP326" i="1"/>
  <c r="DD326" i="1" s="1"/>
  <c r="CZ326" i="1"/>
  <c r="DA326" i="1"/>
  <c r="DB326" i="1" s="1"/>
  <c r="DM326" i="1"/>
  <c r="DP326" i="1"/>
  <c r="E327" i="1"/>
  <c r="H327" i="1"/>
  <c r="S327" i="1"/>
  <c r="T327" i="1"/>
  <c r="Y327" i="1"/>
  <c r="AA327" i="1"/>
  <c r="AT327" i="1" s="1"/>
  <c r="AD327" i="1"/>
  <c r="AN327" i="1" s="1"/>
  <c r="AF327" i="1"/>
  <c r="AO327" i="1"/>
  <c r="AP327" i="1"/>
  <c r="AQ327" i="1"/>
  <c r="AR327" i="1"/>
  <c r="AS327" i="1"/>
  <c r="AU327" i="1"/>
  <c r="AX327" i="1"/>
  <c r="AY327" i="1"/>
  <c r="CP327" i="1"/>
  <c r="DD327" i="1" s="1"/>
  <c r="CZ327" i="1"/>
  <c r="DA327" i="1"/>
  <c r="DB327" i="1" s="1"/>
  <c r="DM327" i="1"/>
  <c r="DP327" i="1"/>
  <c r="E328" i="1"/>
  <c r="H328" i="1"/>
  <c r="S328" i="1"/>
  <c r="T328" i="1"/>
  <c r="Y328" i="1"/>
  <c r="AA328" i="1"/>
  <c r="AT328" i="1" s="1"/>
  <c r="AD328" i="1"/>
  <c r="AN328" i="1" s="1"/>
  <c r="AF328" i="1"/>
  <c r="AO328" i="1"/>
  <c r="AP328" i="1"/>
  <c r="AQ328" i="1"/>
  <c r="AR328" i="1"/>
  <c r="AS328" i="1"/>
  <c r="AU328" i="1"/>
  <c r="AX328" i="1"/>
  <c r="AY328" i="1"/>
  <c r="CP328" i="1"/>
  <c r="DD328" i="1" s="1"/>
  <c r="CZ328" i="1"/>
  <c r="DA328" i="1"/>
  <c r="DB328" i="1" s="1"/>
  <c r="DM328" i="1"/>
  <c r="DP328" i="1"/>
  <c r="E329" i="1"/>
  <c r="H329" i="1"/>
  <c r="S329" i="1"/>
  <c r="T329" i="1"/>
  <c r="Y329" i="1"/>
  <c r="AA329" i="1"/>
  <c r="AT329" i="1" s="1"/>
  <c r="AD329" i="1"/>
  <c r="AN329" i="1" s="1"/>
  <c r="AF329" i="1"/>
  <c r="AO329" i="1"/>
  <c r="AP329" i="1"/>
  <c r="AQ329" i="1"/>
  <c r="AR329" i="1"/>
  <c r="AS329" i="1"/>
  <c r="AU329" i="1"/>
  <c r="AX329" i="1"/>
  <c r="AY329" i="1"/>
  <c r="CP329" i="1"/>
  <c r="DD329" i="1" s="1"/>
  <c r="CZ329" i="1"/>
  <c r="DA329" i="1"/>
  <c r="DB329" i="1" s="1"/>
  <c r="DM329" i="1"/>
  <c r="DP329" i="1"/>
  <c r="E330" i="1"/>
  <c r="H330" i="1"/>
  <c r="S330" i="1"/>
  <c r="T330" i="1"/>
  <c r="Y330" i="1"/>
  <c r="AA330" i="1"/>
  <c r="AT330" i="1" s="1"/>
  <c r="AD330" i="1"/>
  <c r="AN330" i="1" s="1"/>
  <c r="AO330" i="1"/>
  <c r="AQ330" i="1"/>
  <c r="AR330" i="1"/>
  <c r="AS330" i="1"/>
  <c r="AX330" i="1"/>
  <c r="AY330" i="1"/>
  <c r="CP330" i="1"/>
  <c r="DD330" i="1" s="1"/>
  <c r="CZ330" i="1"/>
  <c r="DA330" i="1"/>
  <c r="DB330" i="1" s="1"/>
  <c r="DP330" i="1"/>
  <c r="E331" i="1"/>
  <c r="H331" i="1"/>
  <c r="S331" i="1"/>
  <c r="T331" i="1"/>
  <c r="Y331" i="1"/>
  <c r="AA331" i="1"/>
  <c r="AT331" i="1" s="1"/>
  <c r="AD331" i="1"/>
  <c r="AN331" i="1" s="1"/>
  <c r="AO331" i="1"/>
  <c r="AQ331" i="1"/>
  <c r="AR331" i="1"/>
  <c r="AS331" i="1"/>
  <c r="AX331" i="1"/>
  <c r="AY331" i="1"/>
  <c r="CP331" i="1"/>
  <c r="DD331" i="1" s="1"/>
  <c r="CZ331" i="1"/>
  <c r="DA331" i="1"/>
  <c r="DB331" i="1" s="1"/>
  <c r="DP331" i="1"/>
  <c r="E332" i="1"/>
  <c r="H332" i="1"/>
  <c r="DI332" i="1"/>
  <c r="DR332" i="1" s="1"/>
  <c r="S332" i="1"/>
  <c r="T332" i="1"/>
  <c r="Y332" i="1"/>
  <c r="AA332" i="1"/>
  <c r="AT332" i="1" s="1"/>
  <c r="AD332" i="1"/>
  <c r="AN332" i="1" s="1"/>
  <c r="AO332" i="1"/>
  <c r="AQ332" i="1"/>
  <c r="AR332" i="1"/>
  <c r="AS332" i="1"/>
  <c r="AX332" i="1"/>
  <c r="AY332" i="1"/>
  <c r="CP332" i="1"/>
  <c r="DD332" i="1" s="1"/>
  <c r="CZ332" i="1"/>
  <c r="DA332" i="1"/>
  <c r="DB332" i="1" s="1"/>
  <c r="DP332" i="1"/>
  <c r="E333" i="1"/>
  <c r="H333" i="1"/>
  <c r="DI333" i="1"/>
  <c r="S333" i="1"/>
  <c r="T333" i="1"/>
  <c r="Y333" i="1"/>
  <c r="AA333" i="1"/>
  <c r="AT333" i="1" s="1"/>
  <c r="AD333" i="1"/>
  <c r="AN333" i="1" s="1"/>
  <c r="AO333" i="1"/>
  <c r="AQ333" i="1"/>
  <c r="AR333" i="1"/>
  <c r="AS333" i="1"/>
  <c r="AX333" i="1"/>
  <c r="AY333" i="1"/>
  <c r="CP333" i="1"/>
  <c r="DD333" i="1" s="1"/>
  <c r="CZ333" i="1"/>
  <c r="DA333" i="1"/>
  <c r="DB333" i="1" s="1"/>
  <c r="DP333" i="1"/>
  <c r="E334" i="1"/>
  <c r="H334" i="1"/>
  <c r="DI334" i="1"/>
  <c r="S334" i="1"/>
  <c r="T334" i="1"/>
  <c r="Y334" i="1"/>
  <c r="AA334" i="1"/>
  <c r="AT334" i="1" s="1"/>
  <c r="AD334" i="1"/>
  <c r="AN334" i="1" s="1"/>
  <c r="AF334" i="1"/>
  <c r="AO334" i="1"/>
  <c r="AP334" i="1"/>
  <c r="AQ334" i="1"/>
  <c r="AR334" i="1"/>
  <c r="AS334" i="1"/>
  <c r="AU334" i="1"/>
  <c r="AX334" i="1"/>
  <c r="AY334" i="1"/>
  <c r="CP334" i="1"/>
  <c r="DD334" i="1" s="1"/>
  <c r="CZ334" i="1"/>
  <c r="DA334" i="1"/>
  <c r="DB334" i="1" s="1"/>
  <c r="DM334" i="1"/>
  <c r="DP334" i="1"/>
  <c r="E337" i="1"/>
  <c r="H337" i="1"/>
  <c r="S337" i="1"/>
  <c r="T337" i="1"/>
  <c r="Y337" i="1"/>
  <c r="AA337" i="1"/>
  <c r="AT337" i="1" s="1"/>
  <c r="AD337" i="1"/>
  <c r="AN337" i="1" s="1"/>
  <c r="AF337" i="1"/>
  <c r="AO337" i="1"/>
  <c r="AP337" i="1"/>
  <c r="AQ337" i="1"/>
  <c r="AR337" i="1"/>
  <c r="AS337" i="1"/>
  <c r="AU337" i="1"/>
  <c r="AX337" i="1"/>
  <c r="AY337" i="1"/>
  <c r="CP337" i="1"/>
  <c r="DD337" i="1" s="1"/>
  <c r="CZ337" i="1"/>
  <c r="DA337" i="1"/>
  <c r="DB337" i="1" s="1"/>
  <c r="DM337" i="1"/>
  <c r="DP337" i="1"/>
  <c r="AN323" i="1" l="1"/>
  <c r="AF323" i="1"/>
  <c r="AP323" i="1" s="1"/>
  <c r="AU331" i="1"/>
  <c r="AU333" i="1"/>
  <c r="AF332" i="1"/>
  <c r="AP332" i="1" s="1"/>
  <c r="AU332" i="1"/>
  <c r="AU330" i="1"/>
  <c r="AF331" i="1"/>
  <c r="AP331" i="1" s="1"/>
  <c r="AF333" i="1"/>
  <c r="AP333" i="1" s="1"/>
  <c r="AF330" i="1"/>
  <c r="AP330" i="1" s="1"/>
  <c r="DC325" i="1"/>
  <c r="DC334" i="1"/>
  <c r="DI325" i="1"/>
  <c r="DN325" i="1" s="1"/>
  <c r="DL325" i="1"/>
  <c r="DC329" i="1"/>
  <c r="AU324" i="1"/>
  <c r="AU323" i="1"/>
  <c r="AU322" i="1"/>
  <c r="AU321" i="1"/>
  <c r="AF324" i="1"/>
  <c r="AN322" i="1"/>
  <c r="AF321" i="1"/>
  <c r="AP321" i="1" s="1"/>
  <c r="DC328" i="1"/>
  <c r="DC324" i="1"/>
  <c r="DC330" i="1"/>
  <c r="DC323" i="1"/>
  <c r="DC333" i="1"/>
  <c r="DC332" i="1"/>
  <c r="DC326" i="1"/>
  <c r="DC337" i="1"/>
  <c r="DC331" i="1"/>
  <c r="DC327" i="1"/>
  <c r="DN334" i="1"/>
  <c r="DC322" i="1"/>
  <c r="DC321" i="1"/>
  <c r="DL334" i="1"/>
  <c r="E313" i="1"/>
  <c r="H313" i="1"/>
  <c r="S313" i="1"/>
  <c r="T313" i="1"/>
  <c r="Y313" i="1"/>
  <c r="AA313" i="1"/>
  <c r="AT313" i="1" s="1"/>
  <c r="AD313" i="1"/>
  <c r="AO313" i="1"/>
  <c r="AQ313" i="1"/>
  <c r="AR313" i="1"/>
  <c r="AS313" i="1"/>
  <c r="AX313" i="1"/>
  <c r="AY313" i="1"/>
  <c r="BS313" i="1"/>
  <c r="CP313" i="1"/>
  <c r="DD313" i="1" s="1"/>
  <c r="CZ313" i="1"/>
  <c r="DA313" i="1"/>
  <c r="DB313" i="1" s="1"/>
  <c r="DP313" i="1"/>
  <c r="AF313" i="1" l="1"/>
  <c r="AP313" i="1" s="1"/>
  <c r="DL333" i="1"/>
  <c r="DM333" i="1" s="1"/>
  <c r="DN333" i="1" s="1"/>
  <c r="DL332" i="1"/>
  <c r="DM332" i="1" s="1"/>
  <c r="DN332" i="1" s="1"/>
  <c r="DM331" i="1"/>
  <c r="AP324" i="1"/>
  <c r="DL324" i="1"/>
  <c r="DM324" i="1" s="1"/>
  <c r="DN324" i="1" s="1"/>
  <c r="AU313" i="1"/>
  <c r="AN313" i="1"/>
  <c r="DC313" i="1"/>
  <c r="E304" i="1" l="1"/>
  <c r="H304" i="1"/>
  <c r="S304" i="1"/>
  <c r="T304" i="1"/>
  <c r="Y304" i="1"/>
  <c r="AA304" i="1"/>
  <c r="AT304" i="1" s="1"/>
  <c r="AN304" i="1"/>
  <c r="AO304" i="1"/>
  <c r="AQ304" i="1"/>
  <c r="AR304" i="1"/>
  <c r="AS304" i="1"/>
  <c r="AX304" i="1"/>
  <c r="AY304" i="1"/>
  <c r="CP304" i="1"/>
  <c r="DD304" i="1" s="1"/>
  <c r="CZ304" i="1"/>
  <c r="DA304" i="1"/>
  <c r="DB304" i="1" s="1"/>
  <c r="DP304" i="1"/>
  <c r="E305" i="1"/>
  <c r="H305" i="1"/>
  <c r="S305" i="1"/>
  <c r="T305" i="1"/>
  <c r="Y305" i="1"/>
  <c r="AA305" i="1"/>
  <c r="AT305" i="1" s="1"/>
  <c r="AD305" i="1"/>
  <c r="AO305" i="1"/>
  <c r="AQ305" i="1"/>
  <c r="AR305" i="1"/>
  <c r="AS305" i="1"/>
  <c r="AX305" i="1"/>
  <c r="AY305" i="1"/>
  <c r="CP305" i="1"/>
  <c r="DD305" i="1" s="1"/>
  <c r="CZ305" i="1"/>
  <c r="DA305" i="1"/>
  <c r="DB305" i="1" s="1"/>
  <c r="DP305" i="1"/>
  <c r="E307" i="1"/>
  <c r="H307" i="1"/>
  <c r="DI307" i="1"/>
  <c r="DR307" i="1" s="1"/>
  <c r="S307" i="1"/>
  <c r="T307" i="1"/>
  <c r="Y307" i="1"/>
  <c r="AA307" i="1"/>
  <c r="AT307" i="1" s="1"/>
  <c r="AD307" i="1"/>
  <c r="AN307" i="1" s="1"/>
  <c r="AO307" i="1"/>
  <c r="AQ307" i="1"/>
  <c r="AR307" i="1"/>
  <c r="AS307" i="1"/>
  <c r="AX307" i="1"/>
  <c r="AY307" i="1"/>
  <c r="CP307" i="1"/>
  <c r="DD307" i="1" s="1"/>
  <c r="CZ307" i="1"/>
  <c r="DA307" i="1"/>
  <c r="DB307" i="1" s="1"/>
  <c r="DP307" i="1"/>
  <c r="E308" i="1"/>
  <c r="H308" i="1"/>
  <c r="S308" i="1"/>
  <c r="T308" i="1"/>
  <c r="Y308" i="1"/>
  <c r="AA308" i="1"/>
  <c r="AT308" i="1" s="1"/>
  <c r="AD308" i="1"/>
  <c r="AN308" i="1" s="1"/>
  <c r="AF308" i="1"/>
  <c r="AO308" i="1"/>
  <c r="AP308" i="1"/>
  <c r="AQ308" i="1"/>
  <c r="AR308" i="1"/>
  <c r="AS308" i="1"/>
  <c r="AU308" i="1"/>
  <c r="AX308" i="1"/>
  <c r="AY308" i="1"/>
  <c r="CP308" i="1"/>
  <c r="DD308" i="1" s="1"/>
  <c r="CZ308" i="1"/>
  <c r="DA308" i="1"/>
  <c r="DB308" i="1" s="1"/>
  <c r="DM308" i="1"/>
  <c r="DP308" i="1"/>
  <c r="E309" i="1"/>
  <c r="H309" i="1"/>
  <c r="S309" i="1"/>
  <c r="T309" i="1"/>
  <c r="Y309" i="1"/>
  <c r="AA309" i="1"/>
  <c r="AT309" i="1" s="1"/>
  <c r="AD309" i="1"/>
  <c r="AN309" i="1" s="1"/>
  <c r="AF309" i="1"/>
  <c r="AO309" i="1"/>
  <c r="AP309" i="1"/>
  <c r="AQ309" i="1"/>
  <c r="AR309" i="1"/>
  <c r="AS309" i="1"/>
  <c r="AU309" i="1"/>
  <c r="AX309" i="1"/>
  <c r="AY309" i="1"/>
  <c r="CP309" i="1"/>
  <c r="DD309" i="1" s="1"/>
  <c r="CZ309" i="1"/>
  <c r="DA309" i="1"/>
  <c r="DB309" i="1" s="1"/>
  <c r="DM309" i="1"/>
  <c r="DP309" i="1"/>
  <c r="E310" i="1"/>
  <c r="H310" i="1"/>
  <c r="S310" i="1"/>
  <c r="T310" i="1"/>
  <c r="Y310" i="1"/>
  <c r="AA310" i="1"/>
  <c r="AT310" i="1" s="1"/>
  <c r="AD310" i="1"/>
  <c r="AN310" i="1" s="1"/>
  <c r="AF310" i="1"/>
  <c r="AO310" i="1"/>
  <c r="AP310" i="1"/>
  <c r="AQ310" i="1"/>
  <c r="AR310" i="1"/>
  <c r="AS310" i="1"/>
  <c r="AU310" i="1"/>
  <c r="AX310" i="1"/>
  <c r="AY310" i="1"/>
  <c r="CP310" i="1"/>
  <c r="DD310" i="1" s="1"/>
  <c r="CZ310" i="1"/>
  <c r="DA310" i="1"/>
  <c r="DB310" i="1" s="1"/>
  <c r="DM310" i="1"/>
  <c r="DP310" i="1"/>
  <c r="E311" i="1"/>
  <c r="H311" i="1"/>
  <c r="S311" i="1"/>
  <c r="T311" i="1"/>
  <c r="Y311" i="1"/>
  <c r="AA311" i="1"/>
  <c r="AT311" i="1" s="1"/>
  <c r="AD311" i="1"/>
  <c r="AN311" i="1" s="1"/>
  <c r="AF311" i="1"/>
  <c r="AO311" i="1"/>
  <c r="AP311" i="1"/>
  <c r="AQ311" i="1"/>
  <c r="AR311" i="1"/>
  <c r="AS311" i="1"/>
  <c r="AU311" i="1"/>
  <c r="AX311" i="1"/>
  <c r="AY311" i="1"/>
  <c r="CP311" i="1"/>
  <c r="DD311" i="1" s="1"/>
  <c r="CZ311" i="1"/>
  <c r="DA311" i="1"/>
  <c r="DB311" i="1" s="1"/>
  <c r="DM311" i="1"/>
  <c r="DP311" i="1"/>
  <c r="E312" i="1"/>
  <c r="H312" i="1"/>
  <c r="S312" i="1"/>
  <c r="T312" i="1"/>
  <c r="Y312" i="1"/>
  <c r="AA312" i="1"/>
  <c r="AT312" i="1" s="1"/>
  <c r="AN312" i="1"/>
  <c r="AO312" i="1"/>
  <c r="AQ312" i="1"/>
  <c r="AR312" i="1"/>
  <c r="AS312" i="1"/>
  <c r="AX312" i="1"/>
  <c r="AY312" i="1"/>
  <c r="CP312" i="1"/>
  <c r="DD312" i="1" s="1"/>
  <c r="CZ312" i="1"/>
  <c r="DA312" i="1"/>
  <c r="DB312" i="1" s="1"/>
  <c r="DP312" i="1"/>
  <c r="E314" i="1"/>
  <c r="H314" i="1"/>
  <c r="S314" i="1"/>
  <c r="T314" i="1"/>
  <c r="Y314" i="1"/>
  <c r="AA314" i="1"/>
  <c r="AT314" i="1" s="1"/>
  <c r="AD314" i="1"/>
  <c r="AO314" i="1"/>
  <c r="AQ314" i="1"/>
  <c r="AR314" i="1"/>
  <c r="AS314" i="1"/>
  <c r="AX314" i="1"/>
  <c r="AY314" i="1"/>
  <c r="CP314" i="1"/>
  <c r="DD314" i="1" s="1"/>
  <c r="CZ314" i="1"/>
  <c r="DA314" i="1"/>
  <c r="DB314" i="1" s="1"/>
  <c r="DP314" i="1"/>
  <c r="E315" i="1"/>
  <c r="H315" i="1"/>
  <c r="DI315" i="1"/>
  <c r="S315" i="1"/>
  <c r="T315" i="1"/>
  <c r="Y315" i="1"/>
  <c r="AA315" i="1"/>
  <c r="AT315" i="1" s="1"/>
  <c r="AD315" i="1"/>
  <c r="AN315" i="1" s="1"/>
  <c r="AO315" i="1"/>
  <c r="AQ315" i="1"/>
  <c r="AR315" i="1"/>
  <c r="AS315" i="1"/>
  <c r="AX315" i="1"/>
  <c r="AY315" i="1"/>
  <c r="CP315" i="1"/>
  <c r="DD315" i="1" s="1"/>
  <c r="CZ315" i="1"/>
  <c r="DA315" i="1"/>
  <c r="DB315" i="1" s="1"/>
  <c r="DM315" i="1"/>
  <c r="DP315" i="1"/>
  <c r="E316" i="1"/>
  <c r="H316" i="1"/>
  <c r="S316" i="1"/>
  <c r="T316" i="1"/>
  <c r="Y316" i="1"/>
  <c r="AA316" i="1"/>
  <c r="AT316" i="1" s="1"/>
  <c r="AD316" i="1"/>
  <c r="AN316" i="1" s="1"/>
  <c r="AF316" i="1"/>
  <c r="AO316" i="1"/>
  <c r="AP316" i="1"/>
  <c r="AQ316" i="1"/>
  <c r="AR316" i="1"/>
  <c r="AS316" i="1"/>
  <c r="AU316" i="1"/>
  <c r="AX316" i="1"/>
  <c r="AY316" i="1"/>
  <c r="CP316" i="1"/>
  <c r="DD316" i="1" s="1"/>
  <c r="CZ316" i="1"/>
  <c r="DA316" i="1"/>
  <c r="DB316" i="1" s="1"/>
  <c r="DM316" i="1"/>
  <c r="DP316" i="1"/>
  <c r="E294" i="1"/>
  <c r="H294" i="1"/>
  <c r="S294" i="1"/>
  <c r="T294" i="1"/>
  <c r="Y294" i="1"/>
  <c r="AA294" i="1"/>
  <c r="AT294" i="1" s="1"/>
  <c r="AD294" i="1"/>
  <c r="AF294" i="1" s="1"/>
  <c r="AP294" i="1" s="1"/>
  <c r="AO294" i="1"/>
  <c r="AQ294" i="1"/>
  <c r="AR294" i="1"/>
  <c r="AS294" i="1"/>
  <c r="AX294" i="1"/>
  <c r="AY294" i="1"/>
  <c r="CP294" i="1"/>
  <c r="DD294" i="1" s="1"/>
  <c r="CZ294" i="1"/>
  <c r="DA294" i="1"/>
  <c r="DB294" i="1" s="1"/>
  <c r="DP294" i="1"/>
  <c r="E298" i="1"/>
  <c r="H298" i="1"/>
  <c r="S298" i="1"/>
  <c r="T298" i="1"/>
  <c r="Y298" i="1"/>
  <c r="AA298" i="1"/>
  <c r="AT298" i="1" s="1"/>
  <c r="AD298" i="1"/>
  <c r="AN298" i="1" s="1"/>
  <c r="AF298" i="1"/>
  <c r="AO298" i="1"/>
  <c r="AP298" i="1"/>
  <c r="AQ298" i="1"/>
  <c r="AR298" i="1"/>
  <c r="AS298" i="1"/>
  <c r="AU298" i="1"/>
  <c r="AX298" i="1"/>
  <c r="AY298" i="1"/>
  <c r="CP298" i="1"/>
  <c r="DD298" i="1" s="1"/>
  <c r="CZ298" i="1"/>
  <c r="DA298" i="1"/>
  <c r="DB298" i="1" s="1"/>
  <c r="DM298" i="1"/>
  <c r="DP298" i="1"/>
  <c r="E299" i="1"/>
  <c r="H299" i="1"/>
  <c r="S299" i="1"/>
  <c r="T299" i="1"/>
  <c r="Y299" i="1"/>
  <c r="AA299" i="1"/>
  <c r="AT299" i="1" s="1"/>
  <c r="AD299" i="1"/>
  <c r="AN299" i="1" s="1"/>
  <c r="AF299" i="1"/>
  <c r="AO299" i="1"/>
  <c r="AP299" i="1"/>
  <c r="AQ299" i="1"/>
  <c r="AR299" i="1"/>
  <c r="AS299" i="1"/>
  <c r="AU299" i="1"/>
  <c r="AX299" i="1"/>
  <c r="AY299" i="1"/>
  <c r="CP299" i="1"/>
  <c r="DD299" i="1" s="1"/>
  <c r="CZ299" i="1"/>
  <c r="DA299" i="1"/>
  <c r="DB299" i="1" s="1"/>
  <c r="DM299" i="1"/>
  <c r="DP299" i="1"/>
  <c r="E300" i="1"/>
  <c r="H300" i="1"/>
  <c r="S300" i="1"/>
  <c r="T300" i="1"/>
  <c r="Y300" i="1"/>
  <c r="AA300" i="1"/>
  <c r="AT300" i="1" s="1"/>
  <c r="AD300" i="1"/>
  <c r="AN300" i="1" s="1"/>
  <c r="AF300" i="1"/>
  <c r="AO300" i="1"/>
  <c r="AP300" i="1"/>
  <c r="AQ300" i="1"/>
  <c r="AR300" i="1"/>
  <c r="AS300" i="1"/>
  <c r="AU300" i="1"/>
  <c r="AX300" i="1"/>
  <c r="AY300" i="1"/>
  <c r="CP300" i="1"/>
  <c r="DD300" i="1" s="1"/>
  <c r="CZ300" i="1"/>
  <c r="DA300" i="1"/>
  <c r="DB300" i="1" s="1"/>
  <c r="DM300" i="1"/>
  <c r="DP300" i="1"/>
  <c r="E301" i="1"/>
  <c r="H301" i="1"/>
  <c r="S301" i="1"/>
  <c r="T301" i="1"/>
  <c r="Y301" i="1"/>
  <c r="AA301" i="1"/>
  <c r="AT301" i="1" s="1"/>
  <c r="AD301" i="1"/>
  <c r="AN301" i="1" s="1"/>
  <c r="AF301" i="1"/>
  <c r="AO301" i="1"/>
  <c r="AP301" i="1"/>
  <c r="AQ301" i="1"/>
  <c r="AR301" i="1"/>
  <c r="AS301" i="1"/>
  <c r="AU301" i="1"/>
  <c r="AX301" i="1"/>
  <c r="AY301" i="1"/>
  <c r="CP301" i="1"/>
  <c r="DD301" i="1" s="1"/>
  <c r="CZ301" i="1"/>
  <c r="DA301" i="1"/>
  <c r="DB301" i="1" s="1"/>
  <c r="DM301" i="1"/>
  <c r="DP301" i="1"/>
  <c r="E302" i="1"/>
  <c r="H302" i="1"/>
  <c r="S302" i="1"/>
  <c r="T302" i="1"/>
  <c r="Y302" i="1"/>
  <c r="AA302" i="1"/>
  <c r="AT302" i="1" s="1"/>
  <c r="AD302" i="1"/>
  <c r="AN302" i="1" s="1"/>
  <c r="AF302" i="1"/>
  <c r="AO302" i="1"/>
  <c r="AP302" i="1"/>
  <c r="AQ302" i="1"/>
  <c r="AR302" i="1"/>
  <c r="AS302" i="1"/>
  <c r="AU302" i="1"/>
  <c r="AX302" i="1"/>
  <c r="AY302" i="1"/>
  <c r="CP302" i="1"/>
  <c r="DD302" i="1" s="1"/>
  <c r="CZ302" i="1"/>
  <c r="DA302" i="1"/>
  <c r="DB302" i="1" s="1"/>
  <c r="DM302" i="1"/>
  <c r="DP302" i="1"/>
  <c r="E303" i="1"/>
  <c r="H303" i="1"/>
  <c r="S303" i="1"/>
  <c r="T303" i="1"/>
  <c r="Y303" i="1"/>
  <c r="AA303" i="1"/>
  <c r="AT303" i="1" s="1"/>
  <c r="AD303" i="1"/>
  <c r="AN303" i="1" s="1"/>
  <c r="AO303" i="1"/>
  <c r="AQ303" i="1"/>
  <c r="AR303" i="1"/>
  <c r="AS303" i="1"/>
  <c r="AX303" i="1"/>
  <c r="AY303" i="1"/>
  <c r="CP303" i="1"/>
  <c r="DD303" i="1" s="1"/>
  <c r="CZ303" i="1"/>
  <c r="DA303" i="1"/>
  <c r="DB303" i="1" s="1"/>
  <c r="DP303" i="1"/>
  <c r="E306" i="1"/>
  <c r="H306" i="1"/>
  <c r="S306" i="1"/>
  <c r="T306" i="1"/>
  <c r="Y306" i="1"/>
  <c r="AA306" i="1"/>
  <c r="AT306" i="1" s="1"/>
  <c r="AD306" i="1"/>
  <c r="AN306" i="1" s="1"/>
  <c r="AF306" i="1"/>
  <c r="AO306" i="1"/>
  <c r="AP306" i="1"/>
  <c r="AQ306" i="1"/>
  <c r="AR306" i="1"/>
  <c r="AS306" i="1"/>
  <c r="AU306" i="1"/>
  <c r="AX306" i="1"/>
  <c r="AY306" i="1"/>
  <c r="CP306" i="1"/>
  <c r="DD306" i="1" s="1"/>
  <c r="CZ306" i="1"/>
  <c r="DA306" i="1"/>
  <c r="DB306" i="1" s="1"/>
  <c r="DM306" i="1"/>
  <c r="DP306" i="1"/>
  <c r="E317" i="1"/>
  <c r="H317" i="1"/>
  <c r="S317" i="1"/>
  <c r="T317" i="1"/>
  <c r="Y317" i="1"/>
  <c r="AA317" i="1"/>
  <c r="AT317" i="1" s="1"/>
  <c r="AD317" i="1"/>
  <c r="AN317" i="1" s="1"/>
  <c r="AF317" i="1"/>
  <c r="AO317" i="1"/>
  <c r="AP317" i="1"/>
  <c r="AQ317" i="1"/>
  <c r="AR317" i="1"/>
  <c r="AS317" i="1"/>
  <c r="AU317" i="1"/>
  <c r="AX317" i="1"/>
  <c r="AY317" i="1"/>
  <c r="CP317" i="1"/>
  <c r="DD317" i="1" s="1"/>
  <c r="CZ317" i="1"/>
  <c r="DA317" i="1"/>
  <c r="DB317" i="1" s="1"/>
  <c r="DM317" i="1"/>
  <c r="DP317" i="1"/>
  <c r="E287" i="1"/>
  <c r="H287" i="1"/>
  <c r="S287" i="1"/>
  <c r="T287" i="1"/>
  <c r="Y287" i="1"/>
  <c r="AA287" i="1"/>
  <c r="AT287" i="1" s="1"/>
  <c r="AD287" i="1"/>
  <c r="AN287" i="1" s="1"/>
  <c r="AO287" i="1"/>
  <c r="AQ287" i="1"/>
  <c r="AR287" i="1"/>
  <c r="AS287" i="1"/>
  <c r="AX287" i="1"/>
  <c r="AY287" i="1"/>
  <c r="CP287" i="1"/>
  <c r="DD287" i="1" s="1"/>
  <c r="CZ287" i="1"/>
  <c r="DA287" i="1"/>
  <c r="DB287" i="1" s="1"/>
  <c r="DP287" i="1"/>
  <c r="E285" i="1"/>
  <c r="H285" i="1"/>
  <c r="S285" i="1"/>
  <c r="T285" i="1"/>
  <c r="Y285" i="1"/>
  <c r="AA285" i="1"/>
  <c r="AT285" i="1" s="1"/>
  <c r="AD285" i="1"/>
  <c r="AF285" i="1" s="1"/>
  <c r="AP285" i="1" s="1"/>
  <c r="AO285" i="1"/>
  <c r="AQ285" i="1"/>
  <c r="AR285" i="1"/>
  <c r="AS285" i="1"/>
  <c r="AX285" i="1"/>
  <c r="AY285" i="1"/>
  <c r="CP285" i="1"/>
  <c r="DD285" i="1" s="1"/>
  <c r="CZ285" i="1"/>
  <c r="DA285" i="1"/>
  <c r="DB285" i="1" s="1"/>
  <c r="DP285" i="1"/>
  <c r="E284" i="1"/>
  <c r="H284" i="1"/>
  <c r="S284" i="1"/>
  <c r="T284" i="1"/>
  <c r="Y284" i="1"/>
  <c r="AA284" i="1"/>
  <c r="AT284" i="1" s="1"/>
  <c r="AD284" i="1"/>
  <c r="AN284" i="1" s="1"/>
  <c r="AO284" i="1"/>
  <c r="AQ284" i="1"/>
  <c r="AR284" i="1"/>
  <c r="AS284" i="1"/>
  <c r="AX284" i="1"/>
  <c r="AY284" i="1"/>
  <c r="CP284" i="1"/>
  <c r="DD284" i="1" s="1"/>
  <c r="CZ284" i="1"/>
  <c r="DA284" i="1"/>
  <c r="DB284" i="1" s="1"/>
  <c r="DP284" i="1"/>
  <c r="E286" i="1"/>
  <c r="H286" i="1"/>
  <c r="S286" i="1"/>
  <c r="T286" i="1"/>
  <c r="Y286" i="1"/>
  <c r="AA286" i="1"/>
  <c r="AT286" i="1" s="1"/>
  <c r="AD286" i="1"/>
  <c r="AF286" i="1" s="1"/>
  <c r="AO286" i="1"/>
  <c r="AQ286" i="1"/>
  <c r="AR286" i="1"/>
  <c r="AS286" i="1"/>
  <c r="AX286" i="1"/>
  <c r="AY286" i="1"/>
  <c r="CP286" i="1"/>
  <c r="DD286" i="1" s="1"/>
  <c r="CZ286" i="1"/>
  <c r="DA286" i="1"/>
  <c r="DB286" i="1" s="1"/>
  <c r="DP286" i="1"/>
  <c r="E288" i="1"/>
  <c r="H288" i="1"/>
  <c r="S288" i="1"/>
  <c r="T288" i="1"/>
  <c r="Y288" i="1"/>
  <c r="AA288" i="1"/>
  <c r="AT288" i="1" s="1"/>
  <c r="AD288" i="1"/>
  <c r="AN288" i="1" s="1"/>
  <c r="AO288" i="1"/>
  <c r="AQ288" i="1"/>
  <c r="AR288" i="1"/>
  <c r="AS288" i="1"/>
  <c r="AX288" i="1"/>
  <c r="AY288" i="1"/>
  <c r="CP288" i="1"/>
  <c r="DD288" i="1" s="1"/>
  <c r="CZ288" i="1"/>
  <c r="DA288" i="1"/>
  <c r="DB288" i="1" s="1"/>
  <c r="DP288" i="1"/>
  <c r="E289" i="1"/>
  <c r="H289" i="1"/>
  <c r="S289" i="1"/>
  <c r="T289" i="1"/>
  <c r="Y289" i="1"/>
  <c r="AA289" i="1"/>
  <c r="AT289" i="1" s="1"/>
  <c r="AD289" i="1"/>
  <c r="AN289" i="1" s="1"/>
  <c r="AF289" i="1"/>
  <c r="AO289" i="1"/>
  <c r="AP289" i="1"/>
  <c r="AQ289" i="1"/>
  <c r="AR289" i="1"/>
  <c r="AS289" i="1"/>
  <c r="AU289" i="1"/>
  <c r="AX289" i="1"/>
  <c r="AY289" i="1"/>
  <c r="CP289" i="1"/>
  <c r="DD289" i="1" s="1"/>
  <c r="CZ289" i="1"/>
  <c r="DA289" i="1"/>
  <c r="DB289" i="1" s="1"/>
  <c r="DM289" i="1"/>
  <c r="DP289" i="1"/>
  <c r="E290" i="1"/>
  <c r="H290" i="1"/>
  <c r="S290" i="1"/>
  <c r="T290" i="1"/>
  <c r="Y290" i="1"/>
  <c r="AA290" i="1"/>
  <c r="AT290" i="1" s="1"/>
  <c r="AD290" i="1"/>
  <c r="AN290" i="1" s="1"/>
  <c r="AF290" i="1"/>
  <c r="AO290" i="1"/>
  <c r="AP290" i="1"/>
  <c r="AQ290" i="1"/>
  <c r="AR290" i="1"/>
  <c r="AS290" i="1"/>
  <c r="AU290" i="1"/>
  <c r="AX290" i="1"/>
  <c r="AY290" i="1"/>
  <c r="CP290" i="1"/>
  <c r="DD290" i="1" s="1"/>
  <c r="CZ290" i="1"/>
  <c r="DA290" i="1"/>
  <c r="DB290" i="1" s="1"/>
  <c r="DM290" i="1"/>
  <c r="DP290" i="1"/>
  <c r="E291" i="1"/>
  <c r="H291" i="1"/>
  <c r="S291" i="1"/>
  <c r="T291" i="1"/>
  <c r="Y291" i="1"/>
  <c r="AA291" i="1"/>
  <c r="AT291" i="1" s="1"/>
  <c r="AD291" i="1"/>
  <c r="AN291" i="1" s="1"/>
  <c r="AF291" i="1"/>
  <c r="AO291" i="1"/>
  <c r="AP291" i="1"/>
  <c r="AQ291" i="1"/>
  <c r="AR291" i="1"/>
  <c r="AS291" i="1"/>
  <c r="AU291" i="1"/>
  <c r="AX291" i="1"/>
  <c r="AY291" i="1"/>
  <c r="CP291" i="1"/>
  <c r="DD291" i="1" s="1"/>
  <c r="CZ291" i="1"/>
  <c r="DA291" i="1"/>
  <c r="DB291" i="1" s="1"/>
  <c r="DM291" i="1"/>
  <c r="DP291" i="1"/>
  <c r="E292" i="1"/>
  <c r="H292" i="1"/>
  <c r="S292" i="1"/>
  <c r="T292" i="1"/>
  <c r="Y292" i="1"/>
  <c r="AA292" i="1"/>
  <c r="AT292" i="1" s="1"/>
  <c r="AD292" i="1"/>
  <c r="AN292" i="1" s="1"/>
  <c r="AF292" i="1"/>
  <c r="AO292" i="1"/>
  <c r="AP292" i="1"/>
  <c r="AQ292" i="1"/>
  <c r="AR292" i="1"/>
  <c r="AS292" i="1"/>
  <c r="AU292" i="1"/>
  <c r="AX292" i="1"/>
  <c r="AY292" i="1"/>
  <c r="CP292" i="1"/>
  <c r="DD292" i="1" s="1"/>
  <c r="CZ292" i="1"/>
  <c r="DA292" i="1"/>
  <c r="DB292" i="1" s="1"/>
  <c r="DM292" i="1"/>
  <c r="DP292" i="1"/>
  <c r="E293" i="1"/>
  <c r="H293" i="1"/>
  <c r="S293" i="1"/>
  <c r="T293" i="1"/>
  <c r="Y293" i="1"/>
  <c r="AA293" i="1"/>
  <c r="AT293" i="1" s="1"/>
  <c r="AD293" i="1"/>
  <c r="AN293" i="1" s="1"/>
  <c r="AO293" i="1"/>
  <c r="AQ293" i="1"/>
  <c r="AR293" i="1"/>
  <c r="AS293" i="1"/>
  <c r="AX293" i="1"/>
  <c r="AY293" i="1"/>
  <c r="CP293" i="1"/>
  <c r="DD293" i="1" s="1"/>
  <c r="CZ293" i="1"/>
  <c r="DA293" i="1"/>
  <c r="DB293" i="1" s="1"/>
  <c r="DP293" i="1"/>
  <c r="E295" i="1"/>
  <c r="H295" i="1"/>
  <c r="S295" i="1"/>
  <c r="T295" i="1"/>
  <c r="Y295" i="1"/>
  <c r="AA295" i="1"/>
  <c r="AT295" i="1" s="1"/>
  <c r="AD295" i="1"/>
  <c r="AN295" i="1" s="1"/>
  <c r="AO295" i="1"/>
  <c r="AQ295" i="1"/>
  <c r="AR295" i="1"/>
  <c r="AS295" i="1"/>
  <c r="AX295" i="1"/>
  <c r="AY295" i="1"/>
  <c r="CP295" i="1"/>
  <c r="DD295" i="1" s="1"/>
  <c r="CZ295" i="1"/>
  <c r="DA295" i="1"/>
  <c r="DB295" i="1" s="1"/>
  <c r="DP295" i="1"/>
  <c r="E296" i="1"/>
  <c r="H296" i="1"/>
  <c r="S296" i="1"/>
  <c r="T296" i="1"/>
  <c r="Y296" i="1"/>
  <c r="AA296" i="1"/>
  <c r="AT296" i="1" s="1"/>
  <c r="AD296" i="1"/>
  <c r="AN296" i="1" s="1"/>
  <c r="AF296" i="1"/>
  <c r="AO296" i="1"/>
  <c r="AP296" i="1"/>
  <c r="AQ296" i="1"/>
  <c r="AR296" i="1"/>
  <c r="AS296" i="1"/>
  <c r="AU296" i="1"/>
  <c r="AX296" i="1"/>
  <c r="AY296" i="1"/>
  <c r="CP296" i="1"/>
  <c r="DD296" i="1" s="1"/>
  <c r="CZ296" i="1"/>
  <c r="DA296" i="1"/>
  <c r="DB296" i="1" s="1"/>
  <c r="DM296" i="1"/>
  <c r="DP296" i="1"/>
  <c r="E297" i="1"/>
  <c r="H297" i="1"/>
  <c r="S297" i="1"/>
  <c r="T297" i="1"/>
  <c r="Y297" i="1"/>
  <c r="AA297" i="1"/>
  <c r="AT297" i="1" s="1"/>
  <c r="AD297" i="1"/>
  <c r="AN297" i="1" s="1"/>
  <c r="AF297" i="1"/>
  <c r="AO297" i="1"/>
  <c r="AP297" i="1"/>
  <c r="AQ297" i="1"/>
  <c r="AR297" i="1"/>
  <c r="AS297" i="1"/>
  <c r="AU297" i="1"/>
  <c r="AX297" i="1"/>
  <c r="AY297" i="1"/>
  <c r="CP297" i="1"/>
  <c r="DD297" i="1" s="1"/>
  <c r="CZ297" i="1"/>
  <c r="DA297" i="1"/>
  <c r="DB297" i="1" s="1"/>
  <c r="DM297" i="1"/>
  <c r="DP297" i="1"/>
  <c r="E318" i="1"/>
  <c r="H318" i="1"/>
  <c r="S318" i="1"/>
  <c r="T318" i="1"/>
  <c r="Y318" i="1"/>
  <c r="AA318" i="1"/>
  <c r="AT318" i="1" s="1"/>
  <c r="AD318" i="1"/>
  <c r="AN318" i="1" s="1"/>
  <c r="AF318" i="1"/>
  <c r="AO318" i="1"/>
  <c r="AP318" i="1"/>
  <c r="AQ318" i="1"/>
  <c r="AR318" i="1"/>
  <c r="AS318" i="1"/>
  <c r="AU318" i="1"/>
  <c r="AX318" i="1"/>
  <c r="AY318" i="1"/>
  <c r="CP318" i="1"/>
  <c r="DD318" i="1" s="1"/>
  <c r="CZ318" i="1"/>
  <c r="DA318" i="1"/>
  <c r="DB318" i="1" s="1"/>
  <c r="DM318" i="1"/>
  <c r="DP318" i="1"/>
  <c r="E319" i="1"/>
  <c r="H319" i="1"/>
  <c r="S319" i="1"/>
  <c r="T319" i="1"/>
  <c r="Y319" i="1"/>
  <c r="AA319" i="1"/>
  <c r="AT319" i="1" s="1"/>
  <c r="AD319" i="1"/>
  <c r="AN319" i="1" s="1"/>
  <c r="AF319" i="1"/>
  <c r="AO319" i="1"/>
  <c r="AP319" i="1"/>
  <c r="AQ319" i="1"/>
  <c r="AR319" i="1"/>
  <c r="AS319" i="1"/>
  <c r="AU319" i="1"/>
  <c r="AX319" i="1"/>
  <c r="AY319" i="1"/>
  <c r="CP319" i="1"/>
  <c r="DD319" i="1" s="1"/>
  <c r="CZ319" i="1"/>
  <c r="DA319" i="1"/>
  <c r="DB319" i="1" s="1"/>
  <c r="DM319" i="1"/>
  <c r="DP319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" i="1"/>
  <c r="DP5" i="1"/>
  <c r="DP6" i="1"/>
  <c r="DP7" i="1"/>
  <c r="DP8" i="1"/>
  <c r="DP9" i="1"/>
  <c r="DP10" i="1"/>
  <c r="DP11" i="1"/>
  <c r="DR4" i="1"/>
  <c r="DR5" i="1"/>
  <c r="DR6" i="1"/>
  <c r="DR7" i="1"/>
  <c r="DR8" i="1"/>
  <c r="DR9" i="1"/>
  <c r="DP266" i="1"/>
  <c r="AN314" i="1" l="1"/>
  <c r="AF314" i="1"/>
  <c r="AP314" i="1" s="1"/>
  <c r="AF305" i="1"/>
  <c r="AP305" i="1" s="1"/>
  <c r="AN286" i="1"/>
  <c r="DC314" i="1"/>
  <c r="AN305" i="1"/>
  <c r="AU314" i="1"/>
  <c r="AU312" i="1"/>
  <c r="AU315" i="1"/>
  <c r="AF315" i="1"/>
  <c r="AP315" i="1" s="1"/>
  <c r="AF312" i="1"/>
  <c r="AP312" i="1" s="1"/>
  <c r="AU307" i="1"/>
  <c r="AU305" i="1"/>
  <c r="AU304" i="1"/>
  <c r="AU303" i="1"/>
  <c r="AF307" i="1"/>
  <c r="AP307" i="1" s="1"/>
  <c r="AF304" i="1"/>
  <c r="AP304" i="1" s="1"/>
  <c r="AF303" i="1"/>
  <c r="AP303" i="1" s="1"/>
  <c r="DC304" i="1"/>
  <c r="DC310" i="1"/>
  <c r="DC305" i="1"/>
  <c r="DM307" i="1"/>
  <c r="DC309" i="1"/>
  <c r="DC319" i="1"/>
  <c r="DC312" i="1"/>
  <c r="DC316" i="1"/>
  <c r="DC317" i="1"/>
  <c r="DC315" i="1"/>
  <c r="DC318" i="1"/>
  <c r="DC306" i="1"/>
  <c r="DC311" i="1"/>
  <c r="DC308" i="1"/>
  <c r="DC307" i="1"/>
  <c r="DN307" i="1"/>
  <c r="DL307" i="1"/>
  <c r="DC301" i="1"/>
  <c r="DC303" i="1"/>
  <c r="DN315" i="1"/>
  <c r="AU293" i="1"/>
  <c r="DL315" i="1"/>
  <c r="AU294" i="1"/>
  <c r="DC299" i="1"/>
  <c r="AU295" i="1"/>
  <c r="AF293" i="1"/>
  <c r="AP293" i="1" s="1"/>
  <c r="AN294" i="1"/>
  <c r="AF295" i="1"/>
  <c r="AP295" i="1" s="1"/>
  <c r="DC294" i="1"/>
  <c r="DC298" i="1"/>
  <c r="DC302" i="1"/>
  <c r="DC300" i="1"/>
  <c r="AU288" i="1"/>
  <c r="AU285" i="1"/>
  <c r="AU287" i="1"/>
  <c r="DC287" i="1"/>
  <c r="AU284" i="1"/>
  <c r="AU286" i="1"/>
  <c r="AF288" i="1"/>
  <c r="AP288" i="1" s="1"/>
  <c r="AF287" i="1"/>
  <c r="AP287" i="1" s="1"/>
  <c r="AP286" i="1"/>
  <c r="AN285" i="1"/>
  <c r="AF284" i="1"/>
  <c r="AP284" i="1" s="1"/>
  <c r="DC285" i="1"/>
  <c r="DC295" i="1"/>
  <c r="DC290" i="1"/>
  <c r="DC289" i="1"/>
  <c r="DC286" i="1"/>
  <c r="DC292" i="1"/>
  <c r="DC291" i="1"/>
  <c r="DC288" i="1"/>
  <c r="DC293" i="1"/>
  <c r="DC297" i="1"/>
  <c r="DC296" i="1"/>
  <c r="DC284" i="1"/>
  <c r="E266" i="1"/>
  <c r="H266" i="1"/>
  <c r="S266" i="1"/>
  <c r="T266" i="1"/>
  <c r="Y266" i="1"/>
  <c r="AA266" i="1"/>
  <c r="AT266" i="1" s="1"/>
  <c r="AD266" i="1"/>
  <c r="AN266" i="1" s="1"/>
  <c r="AF266" i="1"/>
  <c r="AO266" i="1"/>
  <c r="AP266" i="1"/>
  <c r="AQ266" i="1"/>
  <c r="AR266" i="1"/>
  <c r="AS266" i="1"/>
  <c r="AU266" i="1"/>
  <c r="AX266" i="1"/>
  <c r="AY266" i="1"/>
  <c r="CP266" i="1"/>
  <c r="DD266" i="1" s="1"/>
  <c r="CZ266" i="1"/>
  <c r="DA266" i="1"/>
  <c r="DB266" i="1" s="1"/>
  <c r="DM266" i="1"/>
  <c r="H267" i="1"/>
  <c r="S267" i="1"/>
  <c r="T267" i="1"/>
  <c r="Y267" i="1"/>
  <c r="AA267" i="1"/>
  <c r="AT267" i="1" s="1"/>
  <c r="AD267" i="1"/>
  <c r="AN267" i="1" s="1"/>
  <c r="AF267" i="1"/>
  <c r="AO267" i="1"/>
  <c r="AP267" i="1"/>
  <c r="AQ267" i="1"/>
  <c r="AR267" i="1"/>
  <c r="AS267" i="1"/>
  <c r="AU267" i="1"/>
  <c r="AX267" i="1"/>
  <c r="AY267" i="1"/>
  <c r="CP267" i="1"/>
  <c r="DD267" i="1" s="1"/>
  <c r="CZ267" i="1"/>
  <c r="DA267" i="1"/>
  <c r="DB267" i="1" s="1"/>
  <c r="DM267" i="1"/>
  <c r="DP267" i="1"/>
  <c r="E268" i="1"/>
  <c r="H268" i="1"/>
  <c r="S268" i="1"/>
  <c r="T268" i="1"/>
  <c r="Y268" i="1"/>
  <c r="AA268" i="1"/>
  <c r="AT268" i="1" s="1"/>
  <c r="AD268" i="1"/>
  <c r="AN268" i="1" s="1"/>
  <c r="AO268" i="1"/>
  <c r="AQ268" i="1"/>
  <c r="AR268" i="1"/>
  <c r="AS268" i="1"/>
  <c r="AX268" i="1"/>
  <c r="AY268" i="1"/>
  <c r="CP268" i="1"/>
  <c r="DD268" i="1" s="1"/>
  <c r="CZ268" i="1"/>
  <c r="DA268" i="1"/>
  <c r="DB268" i="1" s="1"/>
  <c r="DP268" i="1"/>
  <c r="E269" i="1"/>
  <c r="H269" i="1"/>
  <c r="S269" i="1"/>
  <c r="T269" i="1"/>
  <c r="Y269" i="1"/>
  <c r="AA269" i="1"/>
  <c r="AT269" i="1" s="1"/>
  <c r="AD269" i="1"/>
  <c r="AN269" i="1" s="1"/>
  <c r="AO269" i="1"/>
  <c r="AQ269" i="1"/>
  <c r="AR269" i="1"/>
  <c r="AS269" i="1"/>
  <c r="AX269" i="1"/>
  <c r="AY269" i="1"/>
  <c r="CP269" i="1"/>
  <c r="DD269" i="1" s="1"/>
  <c r="CZ269" i="1"/>
  <c r="DA269" i="1"/>
  <c r="DB269" i="1" s="1"/>
  <c r="DP269" i="1"/>
  <c r="E270" i="1"/>
  <c r="H270" i="1"/>
  <c r="S270" i="1"/>
  <c r="T270" i="1"/>
  <c r="Y270" i="1"/>
  <c r="AA270" i="1"/>
  <c r="AT270" i="1" s="1"/>
  <c r="AD270" i="1"/>
  <c r="AN270" i="1" s="1"/>
  <c r="AF270" i="1"/>
  <c r="AO270" i="1"/>
  <c r="AP270" i="1"/>
  <c r="AQ270" i="1"/>
  <c r="AR270" i="1"/>
  <c r="AS270" i="1"/>
  <c r="AU270" i="1"/>
  <c r="AX270" i="1"/>
  <c r="AY270" i="1"/>
  <c r="CP270" i="1"/>
  <c r="DD270" i="1" s="1"/>
  <c r="CZ270" i="1"/>
  <c r="DA270" i="1"/>
  <c r="DB270" i="1" s="1"/>
  <c r="DM270" i="1"/>
  <c r="DP270" i="1"/>
  <c r="E271" i="1"/>
  <c r="H271" i="1"/>
  <c r="S271" i="1"/>
  <c r="T271" i="1"/>
  <c r="Y271" i="1"/>
  <c r="AA271" i="1"/>
  <c r="AT271" i="1" s="1"/>
  <c r="AD271" i="1"/>
  <c r="AN271" i="1" s="1"/>
  <c r="AF271" i="1"/>
  <c r="AO271" i="1"/>
  <c r="AP271" i="1"/>
  <c r="AQ271" i="1"/>
  <c r="AR271" i="1"/>
  <c r="AS271" i="1"/>
  <c r="AU271" i="1"/>
  <c r="AX271" i="1"/>
  <c r="AY271" i="1"/>
  <c r="CP271" i="1"/>
  <c r="DD271" i="1" s="1"/>
  <c r="CZ271" i="1"/>
  <c r="DA271" i="1"/>
  <c r="DB271" i="1" s="1"/>
  <c r="DM271" i="1"/>
  <c r="DP271" i="1"/>
  <c r="E272" i="1"/>
  <c r="H272" i="1"/>
  <c r="S272" i="1"/>
  <c r="T272" i="1"/>
  <c r="Y272" i="1"/>
  <c r="AA272" i="1"/>
  <c r="AT272" i="1" s="1"/>
  <c r="AD272" i="1"/>
  <c r="AN272" i="1" s="1"/>
  <c r="AF272" i="1"/>
  <c r="AO272" i="1"/>
  <c r="AP272" i="1"/>
  <c r="AQ272" i="1"/>
  <c r="AR272" i="1"/>
  <c r="AS272" i="1"/>
  <c r="AU272" i="1"/>
  <c r="AX272" i="1"/>
  <c r="AY272" i="1"/>
  <c r="CP272" i="1"/>
  <c r="DD272" i="1" s="1"/>
  <c r="CZ272" i="1"/>
  <c r="DA272" i="1"/>
  <c r="DB272" i="1" s="1"/>
  <c r="DM272" i="1"/>
  <c r="DP272" i="1"/>
  <c r="E273" i="1"/>
  <c r="H273" i="1"/>
  <c r="S273" i="1"/>
  <c r="T273" i="1"/>
  <c r="Y273" i="1"/>
  <c r="AA273" i="1"/>
  <c r="AT273" i="1" s="1"/>
  <c r="AD273" i="1"/>
  <c r="AN273" i="1" s="1"/>
  <c r="AF273" i="1"/>
  <c r="AO273" i="1"/>
  <c r="AP273" i="1"/>
  <c r="AQ273" i="1"/>
  <c r="AR273" i="1"/>
  <c r="AS273" i="1"/>
  <c r="AU273" i="1"/>
  <c r="AX273" i="1"/>
  <c r="AY273" i="1"/>
  <c r="CP273" i="1"/>
  <c r="DD273" i="1" s="1"/>
  <c r="CZ273" i="1"/>
  <c r="DA273" i="1"/>
  <c r="DB273" i="1" s="1"/>
  <c r="DM273" i="1"/>
  <c r="DP273" i="1"/>
  <c r="E274" i="1"/>
  <c r="H274" i="1"/>
  <c r="S274" i="1"/>
  <c r="T274" i="1"/>
  <c r="Y274" i="1"/>
  <c r="AA274" i="1"/>
  <c r="AT274" i="1" s="1"/>
  <c r="AD274" i="1"/>
  <c r="AN274" i="1" s="1"/>
  <c r="AF274" i="1"/>
  <c r="AO274" i="1"/>
  <c r="AP274" i="1"/>
  <c r="AQ274" i="1"/>
  <c r="AR274" i="1"/>
  <c r="AS274" i="1"/>
  <c r="AU274" i="1"/>
  <c r="AX274" i="1"/>
  <c r="AY274" i="1"/>
  <c r="CP274" i="1"/>
  <c r="DD274" i="1" s="1"/>
  <c r="CZ274" i="1"/>
  <c r="DA274" i="1"/>
  <c r="DB274" i="1" s="1"/>
  <c r="DM274" i="1"/>
  <c r="DP274" i="1"/>
  <c r="E275" i="1"/>
  <c r="H275" i="1"/>
  <c r="S275" i="1"/>
  <c r="T275" i="1"/>
  <c r="Y275" i="1"/>
  <c r="AA275" i="1"/>
  <c r="AT275" i="1" s="1"/>
  <c r="AD275" i="1"/>
  <c r="AN275" i="1" s="1"/>
  <c r="AO275" i="1"/>
  <c r="AQ275" i="1"/>
  <c r="AR275" i="1"/>
  <c r="AS275" i="1"/>
  <c r="AX275" i="1"/>
  <c r="AY275" i="1"/>
  <c r="CP275" i="1"/>
  <c r="DD275" i="1" s="1"/>
  <c r="CZ275" i="1"/>
  <c r="DA275" i="1"/>
  <c r="DB275" i="1" s="1"/>
  <c r="DP275" i="1"/>
  <c r="E276" i="1"/>
  <c r="H276" i="1"/>
  <c r="S276" i="1"/>
  <c r="T276" i="1"/>
  <c r="Y276" i="1"/>
  <c r="AA276" i="1"/>
  <c r="AT276" i="1" s="1"/>
  <c r="AD276" i="1"/>
  <c r="AN276" i="1" s="1"/>
  <c r="AO276" i="1"/>
  <c r="AQ276" i="1"/>
  <c r="AR276" i="1"/>
  <c r="AS276" i="1"/>
  <c r="AX276" i="1"/>
  <c r="AY276" i="1"/>
  <c r="CP276" i="1"/>
  <c r="DD276" i="1" s="1"/>
  <c r="CZ276" i="1"/>
  <c r="DA276" i="1"/>
  <c r="DB276" i="1" s="1"/>
  <c r="DP276" i="1"/>
  <c r="E277" i="1"/>
  <c r="H277" i="1"/>
  <c r="S277" i="1"/>
  <c r="T277" i="1"/>
  <c r="Y277" i="1"/>
  <c r="AA277" i="1"/>
  <c r="AT277" i="1" s="1"/>
  <c r="AD277" i="1"/>
  <c r="AN277" i="1" s="1"/>
  <c r="AF277" i="1"/>
  <c r="AO277" i="1"/>
  <c r="AP277" i="1"/>
  <c r="AQ277" i="1"/>
  <c r="AR277" i="1"/>
  <c r="AS277" i="1"/>
  <c r="AU277" i="1"/>
  <c r="AX277" i="1"/>
  <c r="AY277" i="1"/>
  <c r="CP277" i="1"/>
  <c r="DD277" i="1" s="1"/>
  <c r="CZ277" i="1"/>
  <c r="DA277" i="1"/>
  <c r="DB277" i="1" s="1"/>
  <c r="DM277" i="1"/>
  <c r="DP277" i="1"/>
  <c r="E278" i="1"/>
  <c r="H278" i="1"/>
  <c r="S278" i="1"/>
  <c r="T278" i="1"/>
  <c r="Y278" i="1"/>
  <c r="AA278" i="1"/>
  <c r="AD278" i="1"/>
  <c r="AN278" i="1" s="1"/>
  <c r="AF278" i="1"/>
  <c r="AO278" i="1"/>
  <c r="AP278" i="1"/>
  <c r="AQ278" i="1"/>
  <c r="AR278" i="1"/>
  <c r="AS278" i="1"/>
  <c r="AT278" i="1"/>
  <c r="AU278" i="1"/>
  <c r="AX278" i="1"/>
  <c r="AY278" i="1"/>
  <c r="CP278" i="1"/>
  <c r="DD278" i="1" s="1"/>
  <c r="CZ278" i="1"/>
  <c r="DA278" i="1"/>
  <c r="DB278" i="1" s="1"/>
  <c r="DM278" i="1"/>
  <c r="DP278" i="1"/>
  <c r="E279" i="1"/>
  <c r="H279" i="1"/>
  <c r="S279" i="1"/>
  <c r="T279" i="1"/>
  <c r="Y279" i="1"/>
  <c r="AA279" i="1"/>
  <c r="AT279" i="1" s="1"/>
  <c r="AD279" i="1"/>
  <c r="AN279" i="1" s="1"/>
  <c r="AF279" i="1"/>
  <c r="AO279" i="1"/>
  <c r="AP279" i="1"/>
  <c r="AQ279" i="1"/>
  <c r="AR279" i="1"/>
  <c r="AS279" i="1"/>
  <c r="AU279" i="1"/>
  <c r="AX279" i="1"/>
  <c r="AY279" i="1"/>
  <c r="CP279" i="1"/>
  <c r="DD279" i="1" s="1"/>
  <c r="CZ279" i="1"/>
  <c r="DA279" i="1"/>
  <c r="DB279" i="1" s="1"/>
  <c r="DM279" i="1"/>
  <c r="DP279" i="1"/>
  <c r="E280" i="1"/>
  <c r="H280" i="1"/>
  <c r="S280" i="1"/>
  <c r="T280" i="1"/>
  <c r="Y280" i="1"/>
  <c r="AA280" i="1"/>
  <c r="AT280" i="1" s="1"/>
  <c r="AD280" i="1"/>
  <c r="AN280" i="1" s="1"/>
  <c r="AF280" i="1"/>
  <c r="AO280" i="1"/>
  <c r="AP280" i="1"/>
  <c r="AQ280" i="1"/>
  <c r="AR280" i="1"/>
  <c r="AS280" i="1"/>
  <c r="AU280" i="1"/>
  <c r="AX280" i="1"/>
  <c r="AY280" i="1"/>
  <c r="CP280" i="1"/>
  <c r="DD280" i="1" s="1"/>
  <c r="CZ280" i="1"/>
  <c r="DA280" i="1"/>
  <c r="DB280" i="1" s="1"/>
  <c r="DM280" i="1"/>
  <c r="DP280" i="1"/>
  <c r="E281" i="1"/>
  <c r="H281" i="1"/>
  <c r="S281" i="1"/>
  <c r="T281" i="1"/>
  <c r="Y281" i="1"/>
  <c r="AA281" i="1"/>
  <c r="AT281" i="1" s="1"/>
  <c r="AD281" i="1"/>
  <c r="AN281" i="1" s="1"/>
  <c r="AF281" i="1"/>
  <c r="AO281" i="1"/>
  <c r="AP281" i="1"/>
  <c r="AQ281" i="1"/>
  <c r="AR281" i="1"/>
  <c r="AS281" i="1"/>
  <c r="AU281" i="1"/>
  <c r="AX281" i="1"/>
  <c r="AY281" i="1"/>
  <c r="CP281" i="1"/>
  <c r="DD281" i="1" s="1"/>
  <c r="CZ281" i="1"/>
  <c r="DA281" i="1"/>
  <c r="DB281" i="1" s="1"/>
  <c r="DM281" i="1"/>
  <c r="DP281" i="1"/>
  <c r="E282" i="1"/>
  <c r="H282" i="1"/>
  <c r="S282" i="1"/>
  <c r="T282" i="1"/>
  <c r="Y282" i="1"/>
  <c r="AA282" i="1"/>
  <c r="AT282" i="1" s="1"/>
  <c r="AD282" i="1"/>
  <c r="AN282" i="1" s="1"/>
  <c r="AF282" i="1"/>
  <c r="AO282" i="1"/>
  <c r="AP282" i="1"/>
  <c r="AQ282" i="1"/>
  <c r="AR282" i="1"/>
  <c r="AS282" i="1"/>
  <c r="AU282" i="1"/>
  <c r="AX282" i="1"/>
  <c r="AY282" i="1"/>
  <c r="CP282" i="1"/>
  <c r="DD282" i="1" s="1"/>
  <c r="CZ282" i="1"/>
  <c r="DA282" i="1"/>
  <c r="DB282" i="1" s="1"/>
  <c r="DM282" i="1"/>
  <c r="DP282" i="1"/>
  <c r="E283" i="1"/>
  <c r="H283" i="1"/>
  <c r="S283" i="1"/>
  <c r="T283" i="1"/>
  <c r="Y283" i="1"/>
  <c r="AA283" i="1"/>
  <c r="AT283" i="1" s="1"/>
  <c r="AD283" i="1"/>
  <c r="AN283" i="1" s="1"/>
  <c r="AF283" i="1"/>
  <c r="AO283" i="1"/>
  <c r="AP283" i="1"/>
  <c r="AQ283" i="1"/>
  <c r="AR283" i="1"/>
  <c r="AS283" i="1"/>
  <c r="AU283" i="1"/>
  <c r="AX283" i="1"/>
  <c r="AY283" i="1"/>
  <c r="CP283" i="1"/>
  <c r="DD283" i="1" s="1"/>
  <c r="CZ283" i="1"/>
  <c r="DA283" i="1"/>
  <c r="DB283" i="1" s="1"/>
  <c r="DM283" i="1"/>
  <c r="DP283" i="1"/>
  <c r="E320" i="1"/>
  <c r="H320" i="1"/>
  <c r="S320" i="1"/>
  <c r="T320" i="1"/>
  <c r="Y320" i="1"/>
  <c r="AA320" i="1"/>
  <c r="AT320" i="1" s="1"/>
  <c r="AD320" i="1"/>
  <c r="AN320" i="1" s="1"/>
  <c r="AF320" i="1"/>
  <c r="AO320" i="1"/>
  <c r="AP320" i="1"/>
  <c r="AQ320" i="1"/>
  <c r="AR320" i="1"/>
  <c r="AS320" i="1"/>
  <c r="AU320" i="1"/>
  <c r="AX320" i="1"/>
  <c r="AY320" i="1"/>
  <c r="CP320" i="1"/>
  <c r="DD320" i="1" s="1"/>
  <c r="CZ320" i="1"/>
  <c r="DA320" i="1"/>
  <c r="DB320" i="1" s="1"/>
  <c r="DM320" i="1"/>
  <c r="DP320" i="1"/>
  <c r="DR543" i="1"/>
  <c r="DP543" i="1"/>
  <c r="DM543" i="1"/>
  <c r="DA543" i="1"/>
  <c r="DB543" i="1" s="1"/>
  <c r="CZ543" i="1"/>
  <c r="CP543" i="1"/>
  <c r="DD543" i="1" s="1"/>
  <c r="AY543" i="1"/>
  <c r="AX543" i="1"/>
  <c r="AU543" i="1"/>
  <c r="AS543" i="1"/>
  <c r="AR543" i="1"/>
  <c r="AQ543" i="1"/>
  <c r="AP543" i="1"/>
  <c r="AO543" i="1"/>
  <c r="AF543" i="1"/>
  <c r="AD543" i="1"/>
  <c r="AN543" i="1" s="1"/>
  <c r="AA543" i="1"/>
  <c r="AT543" i="1" s="1"/>
  <c r="Y543" i="1"/>
  <c r="T543" i="1"/>
  <c r="S543" i="1"/>
  <c r="K543" i="1"/>
  <c r="J543" i="1"/>
  <c r="DI543" i="1" s="1"/>
  <c r="I543" i="1"/>
  <c r="H543" i="1"/>
  <c r="E543" i="1"/>
  <c r="DC543" i="1" l="1"/>
  <c r="DC320" i="1"/>
  <c r="AF275" i="1"/>
  <c r="AP275" i="1" s="1"/>
  <c r="DC272" i="1"/>
  <c r="DC268" i="1"/>
  <c r="DC273" i="1"/>
  <c r="DC269" i="1"/>
  <c r="AU269" i="1"/>
  <c r="DC277" i="1"/>
  <c r="DC275" i="1"/>
  <c r="DC270" i="1"/>
  <c r="DC274" i="1"/>
  <c r="DC279" i="1"/>
  <c r="AU275" i="1"/>
  <c r="DC271" i="1"/>
  <c r="AF269" i="1"/>
  <c r="AP269" i="1" s="1"/>
  <c r="DC278" i="1"/>
  <c r="AF276" i="1"/>
  <c r="AP276" i="1" s="1"/>
  <c r="AU276" i="1"/>
  <c r="DC281" i="1"/>
  <c r="DC280" i="1"/>
  <c r="DC283" i="1"/>
  <c r="DC282" i="1"/>
  <c r="DC276" i="1"/>
  <c r="AU268" i="1"/>
  <c r="AF268" i="1"/>
  <c r="AP268" i="1" s="1"/>
  <c r="DC267" i="1"/>
  <c r="DC266" i="1"/>
  <c r="DL543" i="1"/>
  <c r="DN543" i="1"/>
  <c r="DP176" i="1"/>
  <c r="DO182" i="1" l="1"/>
  <c r="AR199" i="1" l="1"/>
  <c r="E263" i="1" l="1"/>
  <c r="H263" i="1"/>
  <c r="S263" i="1"/>
  <c r="T263" i="1"/>
  <c r="Y263" i="1"/>
  <c r="AA263" i="1"/>
  <c r="AT263" i="1" s="1"/>
  <c r="AD263" i="1"/>
  <c r="AN263" i="1" s="1"/>
  <c r="AF263" i="1"/>
  <c r="AO263" i="1"/>
  <c r="AP263" i="1"/>
  <c r="AQ263" i="1"/>
  <c r="AR263" i="1"/>
  <c r="AS263" i="1"/>
  <c r="AU263" i="1"/>
  <c r="AX263" i="1"/>
  <c r="AY263" i="1"/>
  <c r="CP263" i="1"/>
  <c r="DD263" i="1" s="1"/>
  <c r="CZ263" i="1"/>
  <c r="DA263" i="1"/>
  <c r="DB263" i="1" s="1"/>
  <c r="DM263" i="1"/>
  <c r="DP263" i="1"/>
  <c r="E264" i="1"/>
  <c r="H264" i="1"/>
  <c r="S264" i="1"/>
  <c r="T264" i="1"/>
  <c r="Y264" i="1"/>
  <c r="AA264" i="1"/>
  <c r="AT264" i="1" s="1"/>
  <c r="AD264" i="1"/>
  <c r="AN264" i="1" s="1"/>
  <c r="AF264" i="1"/>
  <c r="AO264" i="1"/>
  <c r="AP264" i="1"/>
  <c r="AQ264" i="1"/>
  <c r="AR264" i="1"/>
  <c r="AS264" i="1"/>
  <c r="AU264" i="1"/>
  <c r="AX264" i="1"/>
  <c r="AY264" i="1"/>
  <c r="CP264" i="1"/>
  <c r="DD264" i="1" s="1"/>
  <c r="CZ264" i="1"/>
  <c r="DA264" i="1"/>
  <c r="DB264" i="1" s="1"/>
  <c r="DM264" i="1"/>
  <c r="DP264" i="1"/>
  <c r="E265" i="1"/>
  <c r="H265" i="1"/>
  <c r="S265" i="1"/>
  <c r="T265" i="1"/>
  <c r="Y265" i="1"/>
  <c r="AA265" i="1"/>
  <c r="AT265" i="1" s="1"/>
  <c r="AD265" i="1"/>
  <c r="AN265" i="1" s="1"/>
  <c r="AF265" i="1"/>
  <c r="AO265" i="1"/>
  <c r="AP265" i="1"/>
  <c r="AQ265" i="1"/>
  <c r="AR265" i="1"/>
  <c r="AS265" i="1"/>
  <c r="AU265" i="1"/>
  <c r="AX265" i="1"/>
  <c r="AY265" i="1"/>
  <c r="CP265" i="1"/>
  <c r="DD265" i="1" s="1"/>
  <c r="CZ265" i="1"/>
  <c r="DA265" i="1"/>
  <c r="DB265" i="1" s="1"/>
  <c r="DM265" i="1"/>
  <c r="DP265" i="1"/>
  <c r="E247" i="1"/>
  <c r="E250" i="1"/>
  <c r="H250" i="1"/>
  <c r="S250" i="1"/>
  <c r="T250" i="1"/>
  <c r="Y250" i="1"/>
  <c r="AA250" i="1"/>
  <c r="AT250" i="1" s="1"/>
  <c r="AD250" i="1"/>
  <c r="AN250" i="1" s="1"/>
  <c r="AF250" i="1"/>
  <c r="AO250" i="1"/>
  <c r="AP250" i="1"/>
  <c r="AQ250" i="1"/>
  <c r="AR250" i="1"/>
  <c r="AS250" i="1"/>
  <c r="AU250" i="1"/>
  <c r="AX250" i="1"/>
  <c r="AY250" i="1"/>
  <c r="CP250" i="1"/>
  <c r="DD250" i="1" s="1"/>
  <c r="CZ250" i="1"/>
  <c r="DA250" i="1"/>
  <c r="DB250" i="1" s="1"/>
  <c r="DM250" i="1"/>
  <c r="DP250" i="1"/>
  <c r="E251" i="1"/>
  <c r="H251" i="1"/>
  <c r="S251" i="1"/>
  <c r="T251" i="1"/>
  <c r="Y251" i="1"/>
  <c r="AA251" i="1"/>
  <c r="AT251" i="1" s="1"/>
  <c r="AD251" i="1"/>
  <c r="AN251" i="1" s="1"/>
  <c r="AO251" i="1"/>
  <c r="AQ251" i="1"/>
  <c r="AR251" i="1"/>
  <c r="AS251" i="1"/>
  <c r="AX251" i="1"/>
  <c r="AY251" i="1"/>
  <c r="CP251" i="1"/>
  <c r="DD251" i="1" s="1"/>
  <c r="CZ251" i="1"/>
  <c r="DA251" i="1"/>
  <c r="DB251" i="1" s="1"/>
  <c r="DP251" i="1"/>
  <c r="E252" i="1"/>
  <c r="H252" i="1"/>
  <c r="S252" i="1"/>
  <c r="T252" i="1"/>
  <c r="Y252" i="1"/>
  <c r="AA252" i="1"/>
  <c r="AT252" i="1" s="1"/>
  <c r="AD252" i="1"/>
  <c r="AN252" i="1" s="1"/>
  <c r="AF252" i="1"/>
  <c r="AO252" i="1"/>
  <c r="AP252" i="1"/>
  <c r="AQ252" i="1"/>
  <c r="AR252" i="1"/>
  <c r="AS252" i="1"/>
  <c r="AU252" i="1"/>
  <c r="AX252" i="1"/>
  <c r="AY252" i="1"/>
  <c r="CP252" i="1"/>
  <c r="DD252" i="1" s="1"/>
  <c r="CZ252" i="1"/>
  <c r="DA252" i="1"/>
  <c r="DB252" i="1" s="1"/>
  <c r="DM252" i="1"/>
  <c r="DP252" i="1"/>
  <c r="E253" i="1"/>
  <c r="H253" i="1"/>
  <c r="S253" i="1"/>
  <c r="T253" i="1"/>
  <c r="Y253" i="1"/>
  <c r="AA253" i="1"/>
  <c r="AT253" i="1" s="1"/>
  <c r="AD253" i="1"/>
  <c r="AN253" i="1" s="1"/>
  <c r="AF253" i="1"/>
  <c r="AO253" i="1"/>
  <c r="AP253" i="1"/>
  <c r="AQ253" i="1"/>
  <c r="AR253" i="1"/>
  <c r="AS253" i="1"/>
  <c r="AU253" i="1"/>
  <c r="AX253" i="1"/>
  <c r="AY253" i="1"/>
  <c r="CP253" i="1"/>
  <c r="DD253" i="1" s="1"/>
  <c r="CZ253" i="1"/>
  <c r="DA253" i="1"/>
  <c r="DB253" i="1" s="1"/>
  <c r="DM253" i="1"/>
  <c r="DP253" i="1"/>
  <c r="E254" i="1"/>
  <c r="H254" i="1"/>
  <c r="S254" i="1"/>
  <c r="T254" i="1"/>
  <c r="Y254" i="1"/>
  <c r="AA254" i="1"/>
  <c r="AT254" i="1" s="1"/>
  <c r="AD254" i="1"/>
  <c r="AN254" i="1" s="1"/>
  <c r="AF254" i="1"/>
  <c r="AO254" i="1"/>
  <c r="AP254" i="1"/>
  <c r="AQ254" i="1"/>
  <c r="AR254" i="1"/>
  <c r="AS254" i="1"/>
  <c r="AU254" i="1"/>
  <c r="AX254" i="1"/>
  <c r="AY254" i="1"/>
  <c r="CP254" i="1"/>
  <c r="DD254" i="1" s="1"/>
  <c r="CZ254" i="1"/>
  <c r="DA254" i="1"/>
  <c r="DB254" i="1" s="1"/>
  <c r="DM254" i="1"/>
  <c r="DP254" i="1"/>
  <c r="E249" i="1"/>
  <c r="H249" i="1"/>
  <c r="S249" i="1"/>
  <c r="T249" i="1"/>
  <c r="Y249" i="1"/>
  <c r="AA249" i="1"/>
  <c r="AT249" i="1" s="1"/>
  <c r="AD249" i="1"/>
  <c r="AN249" i="1" s="1"/>
  <c r="AF249" i="1"/>
  <c r="AO249" i="1"/>
  <c r="AP249" i="1"/>
  <c r="AQ249" i="1"/>
  <c r="AR249" i="1"/>
  <c r="AS249" i="1"/>
  <c r="AU249" i="1"/>
  <c r="AX249" i="1"/>
  <c r="AY249" i="1"/>
  <c r="CP249" i="1"/>
  <c r="DD249" i="1" s="1"/>
  <c r="CZ249" i="1"/>
  <c r="DA249" i="1"/>
  <c r="DB249" i="1" s="1"/>
  <c r="DM249" i="1"/>
  <c r="DP249" i="1"/>
  <c r="E255" i="1"/>
  <c r="H255" i="1"/>
  <c r="S255" i="1"/>
  <c r="T255" i="1"/>
  <c r="Y255" i="1"/>
  <c r="AA255" i="1"/>
  <c r="AD255" i="1"/>
  <c r="AN255" i="1" s="1"/>
  <c r="AF255" i="1"/>
  <c r="AO255" i="1"/>
  <c r="AP255" i="1"/>
  <c r="AQ255" i="1"/>
  <c r="AR255" i="1"/>
  <c r="AS255" i="1"/>
  <c r="AT255" i="1"/>
  <c r="AU255" i="1"/>
  <c r="AX255" i="1"/>
  <c r="AY255" i="1"/>
  <c r="CP255" i="1"/>
  <c r="DD255" i="1" s="1"/>
  <c r="CZ255" i="1"/>
  <c r="DA255" i="1"/>
  <c r="DB255" i="1" s="1"/>
  <c r="DM255" i="1"/>
  <c r="DP255" i="1"/>
  <c r="E256" i="1"/>
  <c r="H256" i="1"/>
  <c r="S256" i="1"/>
  <c r="T256" i="1"/>
  <c r="Y256" i="1"/>
  <c r="AA256" i="1"/>
  <c r="AT256" i="1" s="1"/>
  <c r="AD256" i="1"/>
  <c r="AN256" i="1" s="1"/>
  <c r="AF256" i="1"/>
  <c r="AO256" i="1"/>
  <c r="AP256" i="1"/>
  <c r="AQ256" i="1"/>
  <c r="AR256" i="1"/>
  <c r="AS256" i="1"/>
  <c r="AU256" i="1"/>
  <c r="AX256" i="1"/>
  <c r="AY256" i="1"/>
  <c r="CP256" i="1"/>
  <c r="DD256" i="1" s="1"/>
  <c r="CZ256" i="1"/>
  <c r="DA256" i="1"/>
  <c r="DB256" i="1" s="1"/>
  <c r="DM256" i="1"/>
  <c r="DP256" i="1"/>
  <c r="E257" i="1"/>
  <c r="H257" i="1"/>
  <c r="S257" i="1"/>
  <c r="T257" i="1"/>
  <c r="Y257" i="1"/>
  <c r="AA257" i="1"/>
  <c r="AT257" i="1" s="1"/>
  <c r="AD257" i="1"/>
  <c r="AN257" i="1" s="1"/>
  <c r="AF257" i="1"/>
  <c r="AO257" i="1"/>
  <c r="AP257" i="1"/>
  <c r="AQ257" i="1"/>
  <c r="AR257" i="1"/>
  <c r="AS257" i="1"/>
  <c r="AU257" i="1"/>
  <c r="AX257" i="1"/>
  <c r="AY257" i="1"/>
  <c r="CP257" i="1"/>
  <c r="DD257" i="1" s="1"/>
  <c r="CZ257" i="1"/>
  <c r="DA257" i="1"/>
  <c r="DB257" i="1" s="1"/>
  <c r="DM257" i="1"/>
  <c r="DP257" i="1"/>
  <c r="E258" i="1"/>
  <c r="H258" i="1"/>
  <c r="DI258" i="1"/>
  <c r="S258" i="1"/>
  <c r="T258" i="1"/>
  <c r="Y258" i="1"/>
  <c r="AA258" i="1"/>
  <c r="AT258" i="1" s="1"/>
  <c r="AD258" i="1"/>
  <c r="AN258" i="1" s="1"/>
  <c r="AF258" i="1"/>
  <c r="AO258" i="1"/>
  <c r="AP258" i="1"/>
  <c r="AQ258" i="1"/>
  <c r="AR258" i="1"/>
  <c r="AS258" i="1"/>
  <c r="AU258" i="1"/>
  <c r="AX258" i="1"/>
  <c r="AY258" i="1"/>
  <c r="CP258" i="1"/>
  <c r="DD258" i="1" s="1"/>
  <c r="CZ258" i="1"/>
  <c r="DA258" i="1"/>
  <c r="DB258" i="1" s="1"/>
  <c r="DM258" i="1"/>
  <c r="DP258" i="1"/>
  <c r="E259" i="1"/>
  <c r="H259" i="1"/>
  <c r="S259" i="1"/>
  <c r="T259" i="1"/>
  <c r="Y259" i="1"/>
  <c r="AA259" i="1"/>
  <c r="AT259" i="1" s="1"/>
  <c r="AD259" i="1"/>
  <c r="AN259" i="1" s="1"/>
  <c r="AO259" i="1"/>
  <c r="AQ259" i="1"/>
  <c r="AR259" i="1"/>
  <c r="AS259" i="1"/>
  <c r="AX259" i="1"/>
  <c r="AY259" i="1"/>
  <c r="CP259" i="1"/>
  <c r="DD259" i="1" s="1"/>
  <c r="CZ259" i="1"/>
  <c r="DA259" i="1"/>
  <c r="DB259" i="1" s="1"/>
  <c r="E260" i="1"/>
  <c r="H260" i="1"/>
  <c r="S260" i="1"/>
  <c r="T260" i="1"/>
  <c r="Y260" i="1"/>
  <c r="AA260" i="1"/>
  <c r="AT260" i="1" s="1"/>
  <c r="AD260" i="1"/>
  <c r="AN260" i="1" s="1"/>
  <c r="AF260" i="1"/>
  <c r="AO260" i="1"/>
  <c r="AP260" i="1"/>
  <c r="AQ260" i="1"/>
  <c r="AR260" i="1"/>
  <c r="AS260" i="1"/>
  <c r="AU260" i="1"/>
  <c r="AX260" i="1"/>
  <c r="AY260" i="1"/>
  <c r="CP260" i="1"/>
  <c r="DD260" i="1" s="1"/>
  <c r="CZ260" i="1"/>
  <c r="DA260" i="1"/>
  <c r="DB260" i="1" s="1"/>
  <c r="DM260" i="1"/>
  <c r="DP260" i="1"/>
  <c r="E261" i="1"/>
  <c r="H261" i="1"/>
  <c r="S261" i="1"/>
  <c r="T261" i="1"/>
  <c r="Y261" i="1"/>
  <c r="AA261" i="1"/>
  <c r="AT261" i="1" s="1"/>
  <c r="AD261" i="1"/>
  <c r="AN261" i="1" s="1"/>
  <c r="AF261" i="1"/>
  <c r="AO261" i="1"/>
  <c r="AP261" i="1"/>
  <c r="AQ261" i="1"/>
  <c r="AR261" i="1"/>
  <c r="AS261" i="1"/>
  <c r="AU261" i="1"/>
  <c r="AX261" i="1"/>
  <c r="AY261" i="1"/>
  <c r="CP261" i="1"/>
  <c r="DD261" i="1" s="1"/>
  <c r="CZ261" i="1"/>
  <c r="DA261" i="1"/>
  <c r="DB261" i="1" s="1"/>
  <c r="DM261" i="1"/>
  <c r="DP261" i="1"/>
  <c r="AF259" i="1" l="1"/>
  <c r="AU259" i="1"/>
  <c r="DC265" i="1"/>
  <c r="DC264" i="1"/>
  <c r="DC263" i="1"/>
  <c r="DC249" i="1"/>
  <c r="AU251" i="1"/>
  <c r="AF251" i="1"/>
  <c r="AP251" i="1" s="1"/>
  <c r="DC251" i="1"/>
  <c r="DC257" i="1"/>
  <c r="DC255" i="1"/>
  <c r="DC261" i="1"/>
  <c r="DC253" i="1"/>
  <c r="DC254" i="1"/>
  <c r="DC252" i="1"/>
  <c r="DC260" i="1"/>
  <c r="DC259" i="1"/>
  <c r="DN258" i="1"/>
  <c r="DC258" i="1"/>
  <c r="DC256" i="1"/>
  <c r="DC250" i="1"/>
  <c r="DL258" i="1"/>
  <c r="AX242" i="1"/>
  <c r="AX241" i="1"/>
  <c r="E246" i="1"/>
  <c r="H246" i="1"/>
  <c r="S246" i="1"/>
  <c r="T246" i="1"/>
  <c r="Y246" i="1"/>
  <c r="AA246" i="1"/>
  <c r="AT246" i="1" s="1"/>
  <c r="AD246" i="1"/>
  <c r="AN246" i="1" s="1"/>
  <c r="AF246" i="1"/>
  <c r="AO246" i="1"/>
  <c r="AP246" i="1"/>
  <c r="AQ246" i="1"/>
  <c r="AR246" i="1"/>
  <c r="AS246" i="1"/>
  <c r="AU246" i="1"/>
  <c r="AX246" i="1"/>
  <c r="AY246" i="1"/>
  <c r="CP246" i="1"/>
  <c r="DD246" i="1" s="1"/>
  <c r="CZ246" i="1"/>
  <c r="DA246" i="1"/>
  <c r="DB246" i="1" s="1"/>
  <c r="DM246" i="1"/>
  <c r="DP246" i="1"/>
  <c r="H247" i="1"/>
  <c r="S247" i="1"/>
  <c r="T247" i="1"/>
  <c r="Y247" i="1"/>
  <c r="AA247" i="1"/>
  <c r="AT247" i="1" s="1"/>
  <c r="AD247" i="1"/>
  <c r="AN247" i="1" s="1"/>
  <c r="AF247" i="1"/>
  <c r="AO247" i="1"/>
  <c r="AP247" i="1"/>
  <c r="AQ247" i="1"/>
  <c r="AR247" i="1"/>
  <c r="AS247" i="1"/>
  <c r="AU247" i="1"/>
  <c r="AX247" i="1"/>
  <c r="AY247" i="1"/>
  <c r="CP247" i="1"/>
  <c r="DD247" i="1" s="1"/>
  <c r="CZ247" i="1"/>
  <c r="DA247" i="1"/>
  <c r="DB247" i="1" s="1"/>
  <c r="DM247" i="1"/>
  <c r="DP247" i="1"/>
  <c r="E248" i="1"/>
  <c r="H248" i="1"/>
  <c r="S248" i="1"/>
  <c r="T248" i="1"/>
  <c r="Y248" i="1"/>
  <c r="AA248" i="1"/>
  <c r="AT248" i="1" s="1"/>
  <c r="AD248" i="1"/>
  <c r="AN248" i="1" s="1"/>
  <c r="AF248" i="1"/>
  <c r="AO248" i="1"/>
  <c r="AP248" i="1"/>
  <c r="AQ248" i="1"/>
  <c r="AR248" i="1"/>
  <c r="AS248" i="1"/>
  <c r="AU248" i="1"/>
  <c r="AX248" i="1"/>
  <c r="AY248" i="1"/>
  <c r="CP248" i="1"/>
  <c r="DD248" i="1" s="1"/>
  <c r="CZ248" i="1"/>
  <c r="DA248" i="1"/>
  <c r="DB248" i="1" s="1"/>
  <c r="DM248" i="1"/>
  <c r="DP248" i="1"/>
  <c r="E235" i="1"/>
  <c r="H235" i="1"/>
  <c r="S235" i="1"/>
  <c r="T235" i="1"/>
  <c r="Y235" i="1"/>
  <c r="AA235" i="1"/>
  <c r="AT235" i="1" s="1"/>
  <c r="AD235" i="1"/>
  <c r="AN235" i="1" s="1"/>
  <c r="AF235" i="1"/>
  <c r="AO235" i="1"/>
  <c r="AP235" i="1"/>
  <c r="AQ235" i="1"/>
  <c r="AR235" i="1"/>
  <c r="AS235" i="1"/>
  <c r="AU235" i="1"/>
  <c r="AX235" i="1"/>
  <c r="AY235" i="1"/>
  <c r="BS235" i="1"/>
  <c r="BS544" i="1" s="1"/>
  <c r="CP235" i="1"/>
  <c r="DD235" i="1" s="1"/>
  <c r="CZ235" i="1"/>
  <c r="DA235" i="1"/>
  <c r="DB235" i="1" s="1"/>
  <c r="DM235" i="1"/>
  <c r="DP235" i="1"/>
  <c r="E230" i="1"/>
  <c r="H230" i="1"/>
  <c r="S230" i="1"/>
  <c r="T230" i="1"/>
  <c r="Y230" i="1"/>
  <c r="AA230" i="1"/>
  <c r="AT230" i="1" s="1"/>
  <c r="AD230" i="1"/>
  <c r="AO230" i="1"/>
  <c r="AQ230" i="1"/>
  <c r="AR230" i="1"/>
  <c r="AS230" i="1"/>
  <c r="AX230" i="1"/>
  <c r="AY230" i="1"/>
  <c r="CP230" i="1"/>
  <c r="DD230" i="1" s="1"/>
  <c r="CZ230" i="1"/>
  <c r="DA230" i="1"/>
  <c r="DB230" i="1" s="1"/>
  <c r="E231" i="1"/>
  <c r="H231" i="1"/>
  <c r="S231" i="1"/>
  <c r="T231" i="1"/>
  <c r="Y231" i="1"/>
  <c r="AA231" i="1"/>
  <c r="AT231" i="1" s="1"/>
  <c r="AD231" i="1"/>
  <c r="AO231" i="1"/>
  <c r="AQ231" i="1"/>
  <c r="AR231" i="1"/>
  <c r="AS231" i="1"/>
  <c r="AX231" i="1"/>
  <c r="AY231" i="1"/>
  <c r="CP231" i="1"/>
  <c r="DD231" i="1" s="1"/>
  <c r="CZ231" i="1"/>
  <c r="DA231" i="1"/>
  <c r="DB231" i="1" s="1"/>
  <c r="E232" i="1"/>
  <c r="H232" i="1"/>
  <c r="DI232" i="1"/>
  <c r="S232" i="1"/>
  <c r="T232" i="1"/>
  <c r="Y232" i="1"/>
  <c r="AA232" i="1"/>
  <c r="AT232" i="1" s="1"/>
  <c r="AD232" i="1"/>
  <c r="AO232" i="1"/>
  <c r="AQ232" i="1"/>
  <c r="AR232" i="1"/>
  <c r="AS232" i="1"/>
  <c r="AX232" i="1"/>
  <c r="AY232" i="1"/>
  <c r="CP232" i="1"/>
  <c r="DD232" i="1" s="1"/>
  <c r="CZ232" i="1"/>
  <c r="DA232" i="1"/>
  <c r="DB232" i="1" s="1"/>
  <c r="E233" i="1"/>
  <c r="H233" i="1"/>
  <c r="DI233" i="1"/>
  <c r="S233" i="1"/>
  <c r="T233" i="1"/>
  <c r="Y233" i="1"/>
  <c r="AA233" i="1"/>
  <c r="AT233" i="1" s="1"/>
  <c r="AD233" i="1"/>
  <c r="AN233" i="1" s="1"/>
  <c r="AO233" i="1"/>
  <c r="AQ233" i="1"/>
  <c r="AR233" i="1"/>
  <c r="AS233" i="1"/>
  <c r="AX233" i="1"/>
  <c r="AY233" i="1"/>
  <c r="CP233" i="1"/>
  <c r="DD233" i="1" s="1"/>
  <c r="CZ233" i="1"/>
  <c r="DA233" i="1"/>
  <c r="DB233" i="1" s="1"/>
  <c r="DM233" i="1"/>
  <c r="DP233" i="1"/>
  <c r="E234" i="1"/>
  <c r="H234" i="1"/>
  <c r="S234" i="1"/>
  <c r="T234" i="1"/>
  <c r="Y234" i="1"/>
  <c r="AA234" i="1"/>
  <c r="AT234" i="1" s="1"/>
  <c r="AD234" i="1"/>
  <c r="DO234" i="1" s="1"/>
  <c r="AO234" i="1"/>
  <c r="AQ234" i="1"/>
  <c r="AR234" i="1"/>
  <c r="AS234" i="1"/>
  <c r="AX234" i="1"/>
  <c r="AY234" i="1"/>
  <c r="CP234" i="1"/>
  <c r="DD234" i="1" s="1"/>
  <c r="CZ234" i="1"/>
  <c r="DA234" i="1"/>
  <c r="DB234" i="1" s="1"/>
  <c r="E236" i="1"/>
  <c r="H236" i="1"/>
  <c r="S236" i="1"/>
  <c r="T236" i="1"/>
  <c r="Y236" i="1"/>
  <c r="AA236" i="1"/>
  <c r="AT236" i="1" s="1"/>
  <c r="AD236" i="1"/>
  <c r="AN236" i="1" s="1"/>
  <c r="AF236" i="1"/>
  <c r="AO236" i="1"/>
  <c r="AP236" i="1"/>
  <c r="AQ236" i="1"/>
  <c r="AR236" i="1"/>
  <c r="AS236" i="1"/>
  <c r="AU236" i="1"/>
  <c r="AX236" i="1"/>
  <c r="AY236" i="1"/>
  <c r="CP236" i="1"/>
  <c r="DD236" i="1" s="1"/>
  <c r="CZ236" i="1"/>
  <c r="DA236" i="1"/>
  <c r="DB236" i="1" s="1"/>
  <c r="DM236" i="1"/>
  <c r="DP236" i="1"/>
  <c r="E237" i="1"/>
  <c r="H237" i="1"/>
  <c r="S237" i="1"/>
  <c r="T237" i="1"/>
  <c r="Y237" i="1"/>
  <c r="AA237" i="1"/>
  <c r="AT237" i="1" s="1"/>
  <c r="AD237" i="1"/>
  <c r="AN237" i="1" s="1"/>
  <c r="AF237" i="1"/>
  <c r="AO237" i="1"/>
  <c r="AP237" i="1"/>
  <c r="AQ237" i="1"/>
  <c r="AR237" i="1"/>
  <c r="AS237" i="1"/>
  <c r="AU237" i="1"/>
  <c r="AX237" i="1"/>
  <c r="AY237" i="1"/>
  <c r="CP237" i="1"/>
  <c r="DD237" i="1" s="1"/>
  <c r="CZ237" i="1"/>
  <c r="DA237" i="1"/>
  <c r="DB237" i="1" s="1"/>
  <c r="DM237" i="1"/>
  <c r="DP237" i="1"/>
  <c r="E238" i="1"/>
  <c r="H238" i="1"/>
  <c r="S238" i="1"/>
  <c r="T238" i="1"/>
  <c r="Y238" i="1"/>
  <c r="AA238" i="1"/>
  <c r="AT238" i="1" s="1"/>
  <c r="AD238" i="1"/>
  <c r="AN238" i="1" s="1"/>
  <c r="AF238" i="1"/>
  <c r="AO238" i="1"/>
  <c r="AP238" i="1"/>
  <c r="AQ238" i="1"/>
  <c r="AR238" i="1"/>
  <c r="AS238" i="1"/>
  <c r="AU238" i="1"/>
  <c r="AX238" i="1"/>
  <c r="AY238" i="1"/>
  <c r="CP238" i="1"/>
  <c r="DD238" i="1" s="1"/>
  <c r="CZ238" i="1"/>
  <c r="DA238" i="1"/>
  <c r="DB238" i="1" s="1"/>
  <c r="DM238" i="1"/>
  <c r="DP238" i="1"/>
  <c r="E239" i="1"/>
  <c r="H239" i="1"/>
  <c r="S239" i="1"/>
  <c r="T239" i="1"/>
  <c r="Y239" i="1"/>
  <c r="AA239" i="1"/>
  <c r="AT239" i="1" s="1"/>
  <c r="AD239" i="1"/>
  <c r="AN239" i="1" s="1"/>
  <c r="AF239" i="1"/>
  <c r="AO239" i="1"/>
  <c r="AP239" i="1"/>
  <c r="AQ239" i="1"/>
  <c r="AR239" i="1"/>
  <c r="AS239" i="1"/>
  <c r="AU239" i="1"/>
  <c r="AX239" i="1"/>
  <c r="AY239" i="1"/>
  <c r="CP239" i="1"/>
  <c r="DD239" i="1" s="1"/>
  <c r="CZ239" i="1"/>
  <c r="DA239" i="1"/>
  <c r="DB239" i="1" s="1"/>
  <c r="DM239" i="1"/>
  <c r="DP239" i="1"/>
  <c r="E240" i="1"/>
  <c r="H240" i="1"/>
  <c r="S240" i="1"/>
  <c r="T240" i="1"/>
  <c r="Y240" i="1"/>
  <c r="AA240" i="1"/>
  <c r="AT240" i="1" s="1"/>
  <c r="AD240" i="1"/>
  <c r="AN240" i="1" s="1"/>
  <c r="AF240" i="1"/>
  <c r="AO240" i="1"/>
  <c r="AP240" i="1"/>
  <c r="AQ240" i="1"/>
  <c r="AR240" i="1"/>
  <c r="AS240" i="1"/>
  <c r="AU240" i="1"/>
  <c r="AX240" i="1"/>
  <c r="AY240" i="1"/>
  <c r="CP240" i="1"/>
  <c r="DD240" i="1" s="1"/>
  <c r="CZ240" i="1"/>
  <c r="DA240" i="1"/>
  <c r="DB240" i="1" s="1"/>
  <c r="DM240" i="1"/>
  <c r="DP240" i="1"/>
  <c r="E241" i="1"/>
  <c r="H241" i="1"/>
  <c r="S241" i="1"/>
  <c r="T241" i="1"/>
  <c r="Y241" i="1"/>
  <c r="AA241" i="1"/>
  <c r="AT241" i="1" s="1"/>
  <c r="AD241" i="1"/>
  <c r="AN241" i="1" s="1"/>
  <c r="AF241" i="1"/>
  <c r="AO241" i="1"/>
  <c r="AP241" i="1"/>
  <c r="AQ241" i="1"/>
  <c r="AR241" i="1"/>
  <c r="AS241" i="1"/>
  <c r="AU241" i="1"/>
  <c r="AY241" i="1"/>
  <c r="CP241" i="1"/>
  <c r="DD241" i="1" s="1"/>
  <c r="CZ241" i="1"/>
  <c r="DA241" i="1"/>
  <c r="DB241" i="1" s="1"/>
  <c r="DM241" i="1"/>
  <c r="DP241" i="1"/>
  <c r="E242" i="1"/>
  <c r="H242" i="1"/>
  <c r="DI242" i="1"/>
  <c r="DR242" i="1" s="1"/>
  <c r="S242" i="1"/>
  <c r="T242" i="1"/>
  <c r="Y242" i="1"/>
  <c r="AA242" i="1"/>
  <c r="AT242" i="1" s="1"/>
  <c r="AD242" i="1"/>
  <c r="AN242" i="1" s="1"/>
  <c r="AO242" i="1"/>
  <c r="AQ242" i="1"/>
  <c r="AR242" i="1"/>
  <c r="AS242" i="1"/>
  <c r="AY242" i="1"/>
  <c r="CP242" i="1"/>
  <c r="DD242" i="1" s="1"/>
  <c r="CZ242" i="1"/>
  <c r="DA242" i="1"/>
  <c r="DB242" i="1" s="1"/>
  <c r="DM242" i="1"/>
  <c r="DP242" i="1"/>
  <c r="E243" i="1"/>
  <c r="H243" i="1"/>
  <c r="S243" i="1"/>
  <c r="T243" i="1"/>
  <c r="Y243" i="1"/>
  <c r="AA243" i="1"/>
  <c r="AT243" i="1" s="1"/>
  <c r="AD243" i="1"/>
  <c r="AN243" i="1" s="1"/>
  <c r="AF243" i="1"/>
  <c r="AO243" i="1"/>
  <c r="AP243" i="1"/>
  <c r="AQ243" i="1"/>
  <c r="AR243" i="1"/>
  <c r="AS243" i="1"/>
  <c r="AU243" i="1"/>
  <c r="AX243" i="1"/>
  <c r="AY243" i="1"/>
  <c r="CP243" i="1"/>
  <c r="DD243" i="1" s="1"/>
  <c r="CZ243" i="1"/>
  <c r="DA243" i="1"/>
  <c r="DB243" i="1" s="1"/>
  <c r="DM243" i="1"/>
  <c r="DP243" i="1"/>
  <c r="E244" i="1"/>
  <c r="H244" i="1"/>
  <c r="S244" i="1"/>
  <c r="T244" i="1"/>
  <c r="Y244" i="1"/>
  <c r="AA244" i="1"/>
  <c r="AT244" i="1" s="1"/>
  <c r="AD244" i="1"/>
  <c r="AN244" i="1" s="1"/>
  <c r="AF244" i="1"/>
  <c r="AO244" i="1"/>
  <c r="AP244" i="1"/>
  <c r="AQ244" i="1"/>
  <c r="AR244" i="1"/>
  <c r="AS244" i="1"/>
  <c r="AU244" i="1"/>
  <c r="AX244" i="1"/>
  <c r="AY244" i="1"/>
  <c r="CP244" i="1"/>
  <c r="DD244" i="1" s="1"/>
  <c r="CZ244" i="1"/>
  <c r="DA244" i="1"/>
  <c r="DB244" i="1" s="1"/>
  <c r="DM244" i="1"/>
  <c r="DP244" i="1"/>
  <c r="E245" i="1"/>
  <c r="H245" i="1"/>
  <c r="S245" i="1"/>
  <c r="T245" i="1"/>
  <c r="Y245" i="1"/>
  <c r="AA245" i="1"/>
  <c r="AT245" i="1" s="1"/>
  <c r="AD245" i="1"/>
  <c r="AN245" i="1" s="1"/>
  <c r="AF245" i="1"/>
  <c r="AO245" i="1"/>
  <c r="AP245" i="1"/>
  <c r="AQ245" i="1"/>
  <c r="AR245" i="1"/>
  <c r="AS245" i="1"/>
  <c r="AU245" i="1"/>
  <c r="AX245" i="1"/>
  <c r="AY245" i="1"/>
  <c r="CP245" i="1"/>
  <c r="DD245" i="1" s="1"/>
  <c r="CZ245" i="1"/>
  <c r="DA245" i="1"/>
  <c r="DB245" i="1" s="1"/>
  <c r="DM245" i="1"/>
  <c r="DP245" i="1"/>
  <c r="AP259" i="1" l="1"/>
  <c r="DO259" i="1"/>
  <c r="DP259" i="1" s="1"/>
  <c r="AN232" i="1"/>
  <c r="DO232" i="1"/>
  <c r="DP232" i="1" s="1"/>
  <c r="AN234" i="1"/>
  <c r="DP234" i="1"/>
  <c r="AN231" i="1"/>
  <c r="DO231" i="1"/>
  <c r="DP231" i="1" s="1"/>
  <c r="AF230" i="1"/>
  <c r="AP230" i="1" s="1"/>
  <c r="DO230" i="1"/>
  <c r="DP230" i="1" s="1"/>
  <c r="DC248" i="1"/>
  <c r="DC245" i="1"/>
  <c r="DC247" i="1"/>
  <c r="AF242" i="1"/>
  <c r="AP242" i="1" s="1"/>
  <c r="AN230" i="1"/>
  <c r="AU242" i="1"/>
  <c r="DC246" i="1"/>
  <c r="DC241" i="1"/>
  <c r="AF232" i="1"/>
  <c r="AP232" i="1" s="1"/>
  <c r="AU234" i="1"/>
  <c r="AU233" i="1"/>
  <c r="AU232" i="1"/>
  <c r="AU230" i="1"/>
  <c r="AU231" i="1"/>
  <c r="AF234" i="1"/>
  <c r="AP234" i="1" s="1"/>
  <c r="AF233" i="1"/>
  <c r="AP233" i="1" s="1"/>
  <c r="AF231" i="1"/>
  <c r="AP231" i="1" s="1"/>
  <c r="DC235" i="1"/>
  <c r="DC237" i="1"/>
  <c r="DC234" i="1"/>
  <c r="DC233" i="1"/>
  <c r="DC236" i="1"/>
  <c r="DN242" i="1"/>
  <c r="DC232" i="1"/>
  <c r="DC231" i="1"/>
  <c r="DC238" i="1"/>
  <c r="DN233" i="1"/>
  <c r="DC244" i="1"/>
  <c r="DC242" i="1"/>
  <c r="DC239" i="1"/>
  <c r="DC243" i="1"/>
  <c r="DC240" i="1"/>
  <c r="DC230" i="1"/>
  <c r="DL233" i="1"/>
  <c r="DL242" i="1"/>
  <c r="E262" i="1"/>
  <c r="H262" i="1"/>
  <c r="S262" i="1"/>
  <c r="T262" i="1"/>
  <c r="Y262" i="1"/>
  <c r="AA262" i="1"/>
  <c r="AD262" i="1"/>
  <c r="AN262" i="1" s="1"/>
  <c r="AF262" i="1"/>
  <c r="AO262" i="1"/>
  <c r="AP262" i="1"/>
  <c r="AQ262" i="1"/>
  <c r="AR262" i="1"/>
  <c r="AS262" i="1"/>
  <c r="AT262" i="1"/>
  <c r="AU262" i="1"/>
  <c r="AX262" i="1"/>
  <c r="AY262" i="1"/>
  <c r="CP262" i="1"/>
  <c r="DD262" i="1" s="1"/>
  <c r="CZ262" i="1"/>
  <c r="DA262" i="1"/>
  <c r="DB262" i="1" s="1"/>
  <c r="DM262" i="1"/>
  <c r="DP262" i="1"/>
  <c r="E227" i="1"/>
  <c r="H227" i="1"/>
  <c r="S227" i="1"/>
  <c r="T227" i="1"/>
  <c r="Y227" i="1"/>
  <c r="AA227" i="1"/>
  <c r="AT227" i="1" s="1"/>
  <c r="AD227" i="1"/>
  <c r="AN227" i="1" s="1"/>
  <c r="AF227" i="1"/>
  <c r="AO227" i="1"/>
  <c r="AP227" i="1"/>
  <c r="AQ227" i="1"/>
  <c r="AR227" i="1"/>
  <c r="AS227" i="1"/>
  <c r="AU227" i="1"/>
  <c r="AX227" i="1"/>
  <c r="AY227" i="1"/>
  <c r="CP227" i="1"/>
  <c r="DD227" i="1" s="1"/>
  <c r="CZ227" i="1"/>
  <c r="DA227" i="1"/>
  <c r="DB227" i="1" s="1"/>
  <c r="DM227" i="1"/>
  <c r="DP227" i="1"/>
  <c r="E228" i="1"/>
  <c r="H228" i="1"/>
  <c r="S228" i="1"/>
  <c r="T228" i="1"/>
  <c r="Y228" i="1"/>
  <c r="AA228" i="1"/>
  <c r="AT228" i="1" s="1"/>
  <c r="AD228" i="1"/>
  <c r="AN228" i="1" s="1"/>
  <c r="AF228" i="1"/>
  <c r="AO228" i="1"/>
  <c r="AP228" i="1"/>
  <c r="AQ228" i="1"/>
  <c r="AR228" i="1"/>
  <c r="AS228" i="1"/>
  <c r="AU228" i="1"/>
  <c r="AX228" i="1"/>
  <c r="AY228" i="1"/>
  <c r="CP228" i="1"/>
  <c r="DD228" i="1" s="1"/>
  <c r="CZ228" i="1"/>
  <c r="DA228" i="1"/>
  <c r="DB228" i="1" s="1"/>
  <c r="DM228" i="1"/>
  <c r="DP228" i="1"/>
  <c r="E229" i="1"/>
  <c r="H229" i="1"/>
  <c r="S229" i="1"/>
  <c r="T229" i="1"/>
  <c r="Y229" i="1"/>
  <c r="AA229" i="1"/>
  <c r="AT229" i="1" s="1"/>
  <c r="AD229" i="1"/>
  <c r="AN229" i="1" s="1"/>
  <c r="AF229" i="1"/>
  <c r="AO229" i="1"/>
  <c r="AP229" i="1"/>
  <c r="AQ229" i="1"/>
  <c r="AR229" i="1"/>
  <c r="AS229" i="1"/>
  <c r="AU229" i="1"/>
  <c r="AX229" i="1"/>
  <c r="AY229" i="1"/>
  <c r="CP229" i="1"/>
  <c r="DD229" i="1" s="1"/>
  <c r="CZ229" i="1"/>
  <c r="DA229" i="1"/>
  <c r="DB229" i="1" s="1"/>
  <c r="DM229" i="1"/>
  <c r="DP229" i="1"/>
  <c r="E220" i="1"/>
  <c r="H220" i="1"/>
  <c r="DI220" i="1"/>
  <c r="DR220" i="1" s="1"/>
  <c r="S220" i="1"/>
  <c r="T220" i="1"/>
  <c r="Y220" i="1"/>
  <c r="AA220" i="1"/>
  <c r="AT220" i="1" s="1"/>
  <c r="AD220" i="1"/>
  <c r="AN220" i="1" s="1"/>
  <c r="AO220" i="1"/>
  <c r="AQ220" i="1"/>
  <c r="AR220" i="1"/>
  <c r="AS220" i="1"/>
  <c r="AX220" i="1"/>
  <c r="AY220" i="1"/>
  <c r="CP220" i="1"/>
  <c r="DD220" i="1" s="1"/>
  <c r="CZ220" i="1"/>
  <c r="DA220" i="1"/>
  <c r="DB220" i="1" s="1"/>
  <c r="DM220" i="1"/>
  <c r="DP220" i="1"/>
  <c r="E221" i="1"/>
  <c r="H221" i="1"/>
  <c r="DI221" i="1"/>
  <c r="DR221" i="1" s="1"/>
  <c r="S221" i="1"/>
  <c r="T221" i="1"/>
  <c r="Y221" i="1"/>
  <c r="AA221" i="1"/>
  <c r="AT221" i="1" s="1"/>
  <c r="AD221" i="1"/>
  <c r="AN221" i="1" s="1"/>
  <c r="AO221" i="1"/>
  <c r="AQ221" i="1"/>
  <c r="AR221" i="1"/>
  <c r="AS221" i="1"/>
  <c r="AX221" i="1"/>
  <c r="AY221" i="1"/>
  <c r="CP221" i="1"/>
  <c r="DD221" i="1" s="1"/>
  <c r="CZ221" i="1"/>
  <c r="DA221" i="1"/>
  <c r="DB221" i="1" s="1"/>
  <c r="DM221" i="1"/>
  <c r="DP221" i="1"/>
  <c r="E222" i="1"/>
  <c r="H222" i="1"/>
  <c r="S222" i="1"/>
  <c r="T222" i="1"/>
  <c r="Y222" i="1"/>
  <c r="AA222" i="1"/>
  <c r="AT222" i="1" s="1"/>
  <c r="AD222" i="1"/>
  <c r="AO222" i="1"/>
  <c r="AQ222" i="1"/>
  <c r="AR222" i="1"/>
  <c r="AS222" i="1"/>
  <c r="AX222" i="1"/>
  <c r="AY222" i="1"/>
  <c r="CP222" i="1"/>
  <c r="DD222" i="1" s="1"/>
  <c r="CZ222" i="1"/>
  <c r="DA222" i="1"/>
  <c r="DB222" i="1" s="1"/>
  <c r="E223" i="1"/>
  <c r="H223" i="1"/>
  <c r="S223" i="1"/>
  <c r="T223" i="1"/>
  <c r="Y223" i="1"/>
  <c r="AA223" i="1"/>
  <c r="AT223" i="1" s="1"/>
  <c r="AD223" i="1"/>
  <c r="AO223" i="1"/>
  <c r="AQ223" i="1"/>
  <c r="AR223" i="1"/>
  <c r="AS223" i="1"/>
  <c r="AX223" i="1"/>
  <c r="AY223" i="1"/>
  <c r="CP223" i="1"/>
  <c r="DD223" i="1" s="1"/>
  <c r="CZ223" i="1"/>
  <c r="DA223" i="1"/>
  <c r="DB223" i="1" s="1"/>
  <c r="E224" i="1"/>
  <c r="H224" i="1"/>
  <c r="S224" i="1"/>
  <c r="T224" i="1"/>
  <c r="Y224" i="1"/>
  <c r="AA224" i="1"/>
  <c r="AT224" i="1" s="1"/>
  <c r="AD224" i="1"/>
  <c r="AN224" i="1" s="1"/>
  <c r="AF224" i="1"/>
  <c r="AO224" i="1"/>
  <c r="AP224" i="1"/>
  <c r="AQ224" i="1"/>
  <c r="AR224" i="1"/>
  <c r="AS224" i="1"/>
  <c r="AU224" i="1"/>
  <c r="AX224" i="1"/>
  <c r="AY224" i="1"/>
  <c r="CP224" i="1"/>
  <c r="DD224" i="1" s="1"/>
  <c r="CZ224" i="1"/>
  <c r="DA224" i="1"/>
  <c r="DB224" i="1" s="1"/>
  <c r="DM224" i="1"/>
  <c r="DP224" i="1"/>
  <c r="E225" i="1"/>
  <c r="H225" i="1"/>
  <c r="S225" i="1"/>
  <c r="T225" i="1"/>
  <c r="Y225" i="1"/>
  <c r="AA225" i="1"/>
  <c r="AT225" i="1" s="1"/>
  <c r="AD225" i="1"/>
  <c r="AN225" i="1" s="1"/>
  <c r="AF225" i="1"/>
  <c r="AO225" i="1"/>
  <c r="AP225" i="1"/>
  <c r="AQ225" i="1"/>
  <c r="AR225" i="1"/>
  <c r="AS225" i="1"/>
  <c r="AU225" i="1"/>
  <c r="AX225" i="1"/>
  <c r="AY225" i="1"/>
  <c r="CP225" i="1"/>
  <c r="DD225" i="1" s="1"/>
  <c r="CZ225" i="1"/>
  <c r="DA225" i="1"/>
  <c r="DB225" i="1" s="1"/>
  <c r="DM225" i="1"/>
  <c r="DP225" i="1"/>
  <c r="H211" i="1"/>
  <c r="DI211" i="1"/>
  <c r="S211" i="1"/>
  <c r="T211" i="1"/>
  <c r="Y211" i="1"/>
  <c r="AA211" i="1"/>
  <c r="AT211" i="1" s="1"/>
  <c r="AD211" i="1"/>
  <c r="AO211" i="1"/>
  <c r="AQ211" i="1"/>
  <c r="AR211" i="1"/>
  <c r="AS211" i="1"/>
  <c r="AX211" i="1"/>
  <c r="AY211" i="1"/>
  <c r="CP211" i="1"/>
  <c r="DD211" i="1" s="1"/>
  <c r="CZ211" i="1"/>
  <c r="DA211" i="1"/>
  <c r="DB211" i="1" s="1"/>
  <c r="E212" i="1"/>
  <c r="H212" i="1"/>
  <c r="DI212" i="1"/>
  <c r="S212" i="1"/>
  <c r="T212" i="1"/>
  <c r="Y212" i="1"/>
  <c r="AA212" i="1"/>
  <c r="AT212" i="1" s="1"/>
  <c r="AD212" i="1"/>
  <c r="AO212" i="1"/>
  <c r="AQ212" i="1"/>
  <c r="AR212" i="1"/>
  <c r="AS212" i="1"/>
  <c r="AX212" i="1"/>
  <c r="AY212" i="1"/>
  <c r="CP212" i="1"/>
  <c r="DD212" i="1" s="1"/>
  <c r="CZ212" i="1"/>
  <c r="DA212" i="1"/>
  <c r="DB212" i="1" s="1"/>
  <c r="E213" i="1"/>
  <c r="H213" i="1"/>
  <c r="S213" i="1"/>
  <c r="T213" i="1"/>
  <c r="Y213" i="1"/>
  <c r="AA213" i="1"/>
  <c r="AT213" i="1" s="1"/>
  <c r="AD213" i="1"/>
  <c r="AO213" i="1"/>
  <c r="AQ213" i="1"/>
  <c r="AR213" i="1"/>
  <c r="AS213" i="1"/>
  <c r="AX213" i="1"/>
  <c r="AY213" i="1"/>
  <c r="CP213" i="1"/>
  <c r="DD213" i="1" s="1"/>
  <c r="CZ213" i="1"/>
  <c r="DA213" i="1"/>
  <c r="DB213" i="1" s="1"/>
  <c r="E214" i="1"/>
  <c r="H214" i="1"/>
  <c r="DI214" i="1"/>
  <c r="S214" i="1"/>
  <c r="T214" i="1"/>
  <c r="Y214" i="1"/>
  <c r="AA214" i="1"/>
  <c r="AT214" i="1" s="1"/>
  <c r="AD214" i="1"/>
  <c r="AN214" i="1" s="1"/>
  <c r="AF214" i="1"/>
  <c r="AO214" i="1"/>
  <c r="AP214" i="1"/>
  <c r="AQ214" i="1"/>
  <c r="AR214" i="1"/>
  <c r="AS214" i="1"/>
  <c r="AU214" i="1"/>
  <c r="AX214" i="1"/>
  <c r="AY214" i="1"/>
  <c r="CP214" i="1"/>
  <c r="DD214" i="1" s="1"/>
  <c r="CZ214" i="1"/>
  <c r="DA214" i="1"/>
  <c r="DB214" i="1" s="1"/>
  <c r="DM214" i="1"/>
  <c r="DP214" i="1"/>
  <c r="E210" i="1"/>
  <c r="H210" i="1"/>
  <c r="DI210" i="1"/>
  <c r="S210" i="1"/>
  <c r="T210" i="1"/>
  <c r="Y210" i="1"/>
  <c r="AA210" i="1"/>
  <c r="AT210" i="1" s="1"/>
  <c r="AD210" i="1"/>
  <c r="AO210" i="1"/>
  <c r="AQ210" i="1"/>
  <c r="AR210" i="1"/>
  <c r="AS210" i="1"/>
  <c r="AX210" i="1"/>
  <c r="AY210" i="1"/>
  <c r="CP210" i="1"/>
  <c r="DD210" i="1" s="1"/>
  <c r="CZ210" i="1"/>
  <c r="DA210" i="1"/>
  <c r="DB210" i="1" s="1"/>
  <c r="E215" i="1"/>
  <c r="H215" i="1"/>
  <c r="S215" i="1"/>
  <c r="T215" i="1"/>
  <c r="Y215" i="1"/>
  <c r="AA215" i="1"/>
  <c r="AT215" i="1" s="1"/>
  <c r="AD215" i="1"/>
  <c r="AN215" i="1" s="1"/>
  <c r="AF215" i="1"/>
  <c r="AO215" i="1"/>
  <c r="AP215" i="1"/>
  <c r="AQ215" i="1"/>
  <c r="AR215" i="1"/>
  <c r="AS215" i="1"/>
  <c r="AU215" i="1"/>
  <c r="AX215" i="1"/>
  <c r="AY215" i="1"/>
  <c r="CP215" i="1"/>
  <c r="DD215" i="1" s="1"/>
  <c r="CZ215" i="1"/>
  <c r="DA215" i="1"/>
  <c r="DB215" i="1" s="1"/>
  <c r="DM215" i="1"/>
  <c r="DP215" i="1"/>
  <c r="E216" i="1"/>
  <c r="H216" i="1"/>
  <c r="S216" i="1"/>
  <c r="T216" i="1"/>
  <c r="Y216" i="1"/>
  <c r="AA216" i="1"/>
  <c r="AT216" i="1" s="1"/>
  <c r="AD216" i="1"/>
  <c r="AN216" i="1" s="1"/>
  <c r="AF216" i="1"/>
  <c r="AO216" i="1"/>
  <c r="AP216" i="1"/>
  <c r="AQ216" i="1"/>
  <c r="AR216" i="1"/>
  <c r="AS216" i="1"/>
  <c r="AU216" i="1"/>
  <c r="AX216" i="1"/>
  <c r="AY216" i="1"/>
  <c r="CP216" i="1"/>
  <c r="DD216" i="1" s="1"/>
  <c r="CZ216" i="1"/>
  <c r="DA216" i="1"/>
  <c r="DB216" i="1" s="1"/>
  <c r="DM216" i="1"/>
  <c r="DP216" i="1"/>
  <c r="E209" i="1"/>
  <c r="H209" i="1"/>
  <c r="DI209" i="1"/>
  <c r="S209" i="1"/>
  <c r="T209" i="1"/>
  <c r="Y209" i="1"/>
  <c r="AA209" i="1"/>
  <c r="AT209" i="1" s="1"/>
  <c r="AD209" i="1"/>
  <c r="AN209" i="1" s="1"/>
  <c r="AO209" i="1"/>
  <c r="AQ209" i="1"/>
  <c r="AR209" i="1"/>
  <c r="AS209" i="1"/>
  <c r="AX209" i="1"/>
  <c r="AY209" i="1"/>
  <c r="CP209" i="1"/>
  <c r="DD209" i="1" s="1"/>
  <c r="CZ209" i="1"/>
  <c r="DA209" i="1"/>
  <c r="DB209" i="1" s="1"/>
  <c r="E217" i="1"/>
  <c r="H217" i="1"/>
  <c r="S217" i="1"/>
  <c r="T217" i="1"/>
  <c r="Y217" i="1"/>
  <c r="AA217" i="1"/>
  <c r="AT217" i="1" s="1"/>
  <c r="AD217" i="1"/>
  <c r="AN217" i="1" s="1"/>
  <c r="AF217" i="1"/>
  <c r="AO217" i="1"/>
  <c r="AP217" i="1"/>
  <c r="AQ217" i="1"/>
  <c r="AR217" i="1"/>
  <c r="AS217" i="1"/>
  <c r="AU217" i="1"/>
  <c r="AX217" i="1"/>
  <c r="AY217" i="1"/>
  <c r="CP217" i="1"/>
  <c r="DD217" i="1" s="1"/>
  <c r="CZ217" i="1"/>
  <c r="DA217" i="1"/>
  <c r="DB217" i="1" s="1"/>
  <c r="DM217" i="1"/>
  <c r="DP217" i="1"/>
  <c r="E218" i="1"/>
  <c r="H218" i="1"/>
  <c r="S218" i="1"/>
  <c r="T218" i="1"/>
  <c r="Y218" i="1"/>
  <c r="AA218" i="1"/>
  <c r="AT218" i="1" s="1"/>
  <c r="AD218" i="1"/>
  <c r="AN218" i="1" s="1"/>
  <c r="AF218" i="1"/>
  <c r="AO218" i="1"/>
  <c r="AP218" i="1"/>
  <c r="AQ218" i="1"/>
  <c r="AR218" i="1"/>
  <c r="AS218" i="1"/>
  <c r="AU218" i="1"/>
  <c r="AX218" i="1"/>
  <c r="AY218" i="1"/>
  <c r="CP218" i="1"/>
  <c r="DD218" i="1" s="1"/>
  <c r="CZ218" i="1"/>
  <c r="DA218" i="1"/>
  <c r="DB218" i="1" s="1"/>
  <c r="DM218" i="1"/>
  <c r="DP218" i="1"/>
  <c r="AF212" i="1" l="1"/>
  <c r="AP212" i="1" s="1"/>
  <c r="DO212" i="1"/>
  <c r="DP212" i="1" s="1"/>
  <c r="AN211" i="1"/>
  <c r="AF213" i="1"/>
  <c r="AP213" i="1" s="1"/>
  <c r="DO213" i="1"/>
  <c r="DP213" i="1" s="1"/>
  <c r="AN223" i="1"/>
  <c r="AN222" i="1"/>
  <c r="DL232" i="1"/>
  <c r="DM232" i="1" s="1"/>
  <c r="DN232" i="1" s="1"/>
  <c r="AN210" i="1"/>
  <c r="DO210" i="1"/>
  <c r="DP210" i="1" s="1"/>
  <c r="DC262" i="1"/>
  <c r="AU223" i="1"/>
  <c r="AU221" i="1"/>
  <c r="AF221" i="1"/>
  <c r="AP221" i="1" s="1"/>
  <c r="AF222" i="1"/>
  <c r="AU222" i="1"/>
  <c r="AU220" i="1"/>
  <c r="AF223" i="1"/>
  <c r="AF220" i="1"/>
  <c r="AP220" i="1" s="1"/>
  <c r="DC227" i="1"/>
  <c r="DC229" i="1"/>
  <c r="DC228" i="1"/>
  <c r="DC223" i="1"/>
  <c r="DC224" i="1"/>
  <c r="DC220" i="1"/>
  <c r="DC218" i="1"/>
  <c r="DC222" i="1"/>
  <c r="DN221" i="1"/>
  <c r="DC225" i="1"/>
  <c r="DC221" i="1"/>
  <c r="DN220" i="1"/>
  <c r="DL220" i="1"/>
  <c r="DL221" i="1"/>
  <c r="DC213" i="1"/>
  <c r="AF211" i="1"/>
  <c r="AP211" i="1" s="1"/>
  <c r="DC215" i="1"/>
  <c r="DC209" i="1"/>
  <c r="DC216" i="1"/>
  <c r="AN212" i="1"/>
  <c r="AF209" i="1"/>
  <c r="AP209" i="1" s="1"/>
  <c r="AU209" i="1"/>
  <c r="AU213" i="1"/>
  <c r="AU210" i="1"/>
  <c r="AU212" i="1"/>
  <c r="AU211" i="1"/>
  <c r="AN213" i="1"/>
  <c r="AF210" i="1"/>
  <c r="AP210" i="1" s="1"/>
  <c r="DC210" i="1"/>
  <c r="DC217" i="1"/>
  <c r="DC212" i="1"/>
  <c r="DC211" i="1"/>
  <c r="DC214" i="1"/>
  <c r="DN214" i="1"/>
  <c r="DL214" i="1"/>
  <c r="DA203" i="1"/>
  <c r="DB203" i="1" s="1"/>
  <c r="CZ203" i="1"/>
  <c r="CP203" i="1"/>
  <c r="DD203" i="1" s="1"/>
  <c r="AY203" i="1"/>
  <c r="AX203" i="1"/>
  <c r="AS203" i="1"/>
  <c r="AR203" i="1"/>
  <c r="AQ203" i="1"/>
  <c r="AO203" i="1"/>
  <c r="AD203" i="1"/>
  <c r="AA203" i="1"/>
  <c r="AT203" i="1" s="1"/>
  <c r="Y203" i="1"/>
  <c r="T203" i="1"/>
  <c r="S203" i="1"/>
  <c r="H203" i="1"/>
  <c r="E203" i="1"/>
  <c r="AR113" i="1"/>
  <c r="AQ162" i="1"/>
  <c r="AP222" i="1" l="1"/>
  <c r="DO222" i="1"/>
  <c r="DP222" i="1" s="1"/>
  <c r="AP223" i="1"/>
  <c r="DO223" i="1"/>
  <c r="DP223" i="1" s="1"/>
  <c r="DL212" i="1"/>
  <c r="DM212" i="1" s="1"/>
  <c r="DN212" i="1" s="1"/>
  <c r="DL209" i="1"/>
  <c r="DM209" i="1" s="1"/>
  <c r="DN209" i="1" s="1"/>
  <c r="DL210" i="1"/>
  <c r="DM210" i="1" s="1"/>
  <c r="DN210" i="1" s="1"/>
  <c r="DL211" i="1"/>
  <c r="DM211" i="1" s="1"/>
  <c r="DN211" i="1" s="1"/>
  <c r="AN203" i="1"/>
  <c r="AU203" i="1"/>
  <c r="AF203" i="1"/>
  <c r="DC203" i="1"/>
  <c r="D5998" i="2"/>
  <c r="AP203" i="1" l="1"/>
  <c r="DO203" i="1"/>
  <c r="DP203" i="1" s="1"/>
  <c r="E191" i="1"/>
  <c r="H191" i="1"/>
  <c r="S191" i="1"/>
  <c r="T191" i="1"/>
  <c r="Y191" i="1"/>
  <c r="AA191" i="1"/>
  <c r="AT191" i="1" s="1"/>
  <c r="AD191" i="1"/>
  <c r="AN191" i="1" s="1"/>
  <c r="AF191" i="1"/>
  <c r="AO191" i="1"/>
  <c r="AP191" i="1"/>
  <c r="AQ191" i="1"/>
  <c r="AR191" i="1"/>
  <c r="AS191" i="1"/>
  <c r="AU191" i="1"/>
  <c r="AX191" i="1"/>
  <c r="AY191" i="1"/>
  <c r="CP191" i="1"/>
  <c r="DD191" i="1" s="1"/>
  <c r="CZ191" i="1"/>
  <c r="DA191" i="1"/>
  <c r="DB191" i="1" s="1"/>
  <c r="DM191" i="1"/>
  <c r="DP191" i="1"/>
  <c r="E192" i="1"/>
  <c r="H192" i="1"/>
  <c r="S192" i="1"/>
  <c r="T192" i="1"/>
  <c r="Y192" i="1"/>
  <c r="AA192" i="1"/>
  <c r="AT192" i="1" s="1"/>
  <c r="AD192" i="1"/>
  <c r="AN192" i="1" s="1"/>
  <c r="AF192" i="1"/>
  <c r="AO192" i="1"/>
  <c r="AP192" i="1"/>
  <c r="AQ192" i="1"/>
  <c r="AR192" i="1"/>
  <c r="AS192" i="1"/>
  <c r="AU192" i="1"/>
  <c r="AX192" i="1"/>
  <c r="AY192" i="1"/>
  <c r="CP192" i="1"/>
  <c r="DD192" i="1" s="1"/>
  <c r="CZ192" i="1"/>
  <c r="DA192" i="1"/>
  <c r="DB192" i="1" s="1"/>
  <c r="DM192" i="1"/>
  <c r="DP192" i="1"/>
  <c r="E193" i="1"/>
  <c r="H193" i="1"/>
  <c r="S193" i="1"/>
  <c r="T193" i="1"/>
  <c r="Y193" i="1"/>
  <c r="AA193" i="1"/>
  <c r="AT193" i="1" s="1"/>
  <c r="AD193" i="1"/>
  <c r="AO193" i="1"/>
  <c r="AQ193" i="1"/>
  <c r="AR193" i="1"/>
  <c r="AS193" i="1"/>
  <c r="AX193" i="1"/>
  <c r="AY193" i="1"/>
  <c r="CP193" i="1"/>
  <c r="DD193" i="1" s="1"/>
  <c r="CZ193" i="1"/>
  <c r="DA193" i="1"/>
  <c r="DB193" i="1" s="1"/>
  <c r="DM193" i="1"/>
  <c r="E194" i="1"/>
  <c r="H194" i="1"/>
  <c r="S194" i="1"/>
  <c r="T194" i="1"/>
  <c r="Y194" i="1"/>
  <c r="AA194" i="1"/>
  <c r="AT194" i="1" s="1"/>
  <c r="AD194" i="1"/>
  <c r="AO194" i="1"/>
  <c r="AQ194" i="1"/>
  <c r="AR194" i="1"/>
  <c r="AS194" i="1"/>
  <c r="AX194" i="1"/>
  <c r="AY194" i="1"/>
  <c r="CP194" i="1"/>
  <c r="DD194" i="1" s="1"/>
  <c r="CZ194" i="1"/>
  <c r="DA194" i="1"/>
  <c r="DB194" i="1" s="1"/>
  <c r="E195" i="1"/>
  <c r="H195" i="1"/>
  <c r="S195" i="1"/>
  <c r="T195" i="1"/>
  <c r="Y195" i="1"/>
  <c r="AA195" i="1"/>
  <c r="AT195" i="1" s="1"/>
  <c r="AD195" i="1"/>
  <c r="AN195" i="1" s="1"/>
  <c r="AF195" i="1"/>
  <c r="AO195" i="1"/>
  <c r="AP195" i="1"/>
  <c r="AQ195" i="1"/>
  <c r="AR195" i="1"/>
  <c r="AS195" i="1"/>
  <c r="AU195" i="1"/>
  <c r="AX195" i="1"/>
  <c r="AY195" i="1"/>
  <c r="CP195" i="1"/>
  <c r="DD195" i="1" s="1"/>
  <c r="CZ195" i="1"/>
  <c r="DA195" i="1"/>
  <c r="DB195" i="1" s="1"/>
  <c r="DM195" i="1"/>
  <c r="DP195" i="1"/>
  <c r="E196" i="1"/>
  <c r="H196" i="1"/>
  <c r="S196" i="1"/>
  <c r="T196" i="1"/>
  <c r="Y196" i="1"/>
  <c r="AA196" i="1"/>
  <c r="AT196" i="1" s="1"/>
  <c r="AD196" i="1"/>
  <c r="AN196" i="1" s="1"/>
  <c r="AF196" i="1"/>
  <c r="AO196" i="1"/>
  <c r="AP196" i="1"/>
  <c r="AQ196" i="1"/>
  <c r="AR196" i="1"/>
  <c r="AS196" i="1"/>
  <c r="AU196" i="1"/>
  <c r="AX196" i="1"/>
  <c r="AY196" i="1"/>
  <c r="CP196" i="1"/>
  <c r="DD196" i="1" s="1"/>
  <c r="CZ196" i="1"/>
  <c r="DA196" i="1"/>
  <c r="DB196" i="1" s="1"/>
  <c r="DM196" i="1"/>
  <c r="DP196" i="1"/>
  <c r="E197" i="1"/>
  <c r="H197" i="1"/>
  <c r="S197" i="1"/>
  <c r="T197" i="1"/>
  <c r="Y197" i="1"/>
  <c r="AA197" i="1"/>
  <c r="AT197" i="1" s="1"/>
  <c r="AD197" i="1"/>
  <c r="AN197" i="1" s="1"/>
  <c r="AF197" i="1"/>
  <c r="AO197" i="1"/>
  <c r="AP197" i="1"/>
  <c r="AQ197" i="1"/>
  <c r="AR197" i="1"/>
  <c r="AS197" i="1"/>
  <c r="AU197" i="1"/>
  <c r="AX197" i="1"/>
  <c r="AY197" i="1"/>
  <c r="CP197" i="1"/>
  <c r="DD197" i="1" s="1"/>
  <c r="CZ197" i="1"/>
  <c r="DA197" i="1"/>
  <c r="DB197" i="1" s="1"/>
  <c r="DM197" i="1"/>
  <c r="DP197" i="1"/>
  <c r="E198" i="1"/>
  <c r="H198" i="1"/>
  <c r="S198" i="1"/>
  <c r="T198" i="1"/>
  <c r="Y198" i="1"/>
  <c r="AA198" i="1"/>
  <c r="AT198" i="1" s="1"/>
  <c r="AD198" i="1"/>
  <c r="AN198" i="1" s="1"/>
  <c r="AF198" i="1"/>
  <c r="AO198" i="1"/>
  <c r="AP198" i="1"/>
  <c r="AQ198" i="1"/>
  <c r="AR198" i="1"/>
  <c r="AS198" i="1"/>
  <c r="AU198" i="1"/>
  <c r="AX198" i="1"/>
  <c r="AY198" i="1"/>
  <c r="CP198" i="1"/>
  <c r="DD198" i="1" s="1"/>
  <c r="CZ198" i="1"/>
  <c r="DA198" i="1"/>
  <c r="DB198" i="1" s="1"/>
  <c r="DM198" i="1"/>
  <c r="DP198" i="1"/>
  <c r="E199" i="1"/>
  <c r="H199" i="1"/>
  <c r="S199" i="1"/>
  <c r="T199" i="1"/>
  <c r="Y199" i="1"/>
  <c r="AA199" i="1"/>
  <c r="AT199" i="1" s="1"/>
  <c r="AD199" i="1"/>
  <c r="DO199" i="1" s="1"/>
  <c r="AO199" i="1"/>
  <c r="AQ199" i="1"/>
  <c r="AS199" i="1"/>
  <c r="AX199" i="1"/>
  <c r="AY199" i="1"/>
  <c r="CP199" i="1"/>
  <c r="DD199" i="1" s="1"/>
  <c r="CZ199" i="1"/>
  <c r="DA199" i="1"/>
  <c r="DB199" i="1" s="1"/>
  <c r="E200" i="1"/>
  <c r="H200" i="1"/>
  <c r="S200" i="1"/>
  <c r="T200" i="1"/>
  <c r="Y200" i="1"/>
  <c r="AA200" i="1"/>
  <c r="AT200" i="1" s="1"/>
  <c r="AD200" i="1"/>
  <c r="AN200" i="1" s="1"/>
  <c r="AO200" i="1"/>
  <c r="AQ200" i="1"/>
  <c r="AR200" i="1"/>
  <c r="AS200" i="1"/>
  <c r="AX200" i="1"/>
  <c r="AY200" i="1"/>
  <c r="CP200" i="1"/>
  <c r="DD200" i="1" s="1"/>
  <c r="CZ200" i="1"/>
  <c r="DA200" i="1"/>
  <c r="DB200" i="1" s="1"/>
  <c r="DP200" i="1"/>
  <c r="E201" i="1"/>
  <c r="H201" i="1"/>
  <c r="S201" i="1"/>
  <c r="T201" i="1"/>
  <c r="Y201" i="1"/>
  <c r="AA201" i="1"/>
  <c r="AT201" i="1" s="1"/>
  <c r="AD201" i="1"/>
  <c r="AN201" i="1" s="1"/>
  <c r="AF201" i="1"/>
  <c r="AO201" i="1"/>
  <c r="AP201" i="1"/>
  <c r="AQ201" i="1"/>
  <c r="AR201" i="1"/>
  <c r="AS201" i="1"/>
  <c r="AU201" i="1"/>
  <c r="AX201" i="1"/>
  <c r="AY201" i="1"/>
  <c r="CP201" i="1"/>
  <c r="DD201" i="1" s="1"/>
  <c r="CZ201" i="1"/>
  <c r="DA201" i="1"/>
  <c r="DB201" i="1" s="1"/>
  <c r="DM201" i="1"/>
  <c r="DP201" i="1"/>
  <c r="E202" i="1"/>
  <c r="H202" i="1"/>
  <c r="S202" i="1"/>
  <c r="T202" i="1"/>
  <c r="Y202" i="1"/>
  <c r="AA202" i="1"/>
  <c r="AT202" i="1" s="1"/>
  <c r="AD202" i="1"/>
  <c r="AO202" i="1"/>
  <c r="AQ202" i="1"/>
  <c r="AR202" i="1"/>
  <c r="AS202" i="1"/>
  <c r="AX202" i="1"/>
  <c r="AY202" i="1"/>
  <c r="CP202" i="1"/>
  <c r="DD202" i="1" s="1"/>
  <c r="CZ202" i="1"/>
  <c r="DA202" i="1"/>
  <c r="DB202" i="1" s="1"/>
  <c r="E204" i="1"/>
  <c r="H204" i="1"/>
  <c r="S204" i="1"/>
  <c r="T204" i="1"/>
  <c r="Y204" i="1"/>
  <c r="AA204" i="1"/>
  <c r="AT204" i="1" s="1"/>
  <c r="AD204" i="1"/>
  <c r="AN204" i="1" s="1"/>
  <c r="AF204" i="1"/>
  <c r="AO204" i="1"/>
  <c r="AP204" i="1"/>
  <c r="AQ204" i="1"/>
  <c r="AR204" i="1"/>
  <c r="AS204" i="1"/>
  <c r="AU204" i="1"/>
  <c r="AX204" i="1"/>
  <c r="AY204" i="1"/>
  <c r="CP204" i="1"/>
  <c r="DD204" i="1" s="1"/>
  <c r="CZ204" i="1"/>
  <c r="DA204" i="1"/>
  <c r="DB204" i="1" s="1"/>
  <c r="DM204" i="1"/>
  <c r="DP204" i="1"/>
  <c r="E205" i="1"/>
  <c r="H205" i="1"/>
  <c r="S205" i="1"/>
  <c r="T205" i="1"/>
  <c r="Y205" i="1"/>
  <c r="AA205" i="1"/>
  <c r="AT205" i="1" s="1"/>
  <c r="AD205" i="1"/>
  <c r="AN205" i="1" s="1"/>
  <c r="AF205" i="1"/>
  <c r="AO205" i="1"/>
  <c r="AP205" i="1"/>
  <c r="AQ205" i="1"/>
  <c r="AR205" i="1"/>
  <c r="AS205" i="1"/>
  <c r="AU205" i="1"/>
  <c r="AX205" i="1"/>
  <c r="AY205" i="1"/>
  <c r="CP205" i="1"/>
  <c r="DD205" i="1" s="1"/>
  <c r="CZ205" i="1"/>
  <c r="DA205" i="1"/>
  <c r="DB205" i="1" s="1"/>
  <c r="DM205" i="1"/>
  <c r="DP205" i="1"/>
  <c r="E206" i="1"/>
  <c r="H206" i="1"/>
  <c r="S206" i="1"/>
  <c r="T206" i="1"/>
  <c r="Y206" i="1"/>
  <c r="AA206" i="1"/>
  <c r="AT206" i="1" s="1"/>
  <c r="AD206" i="1"/>
  <c r="AN206" i="1" s="1"/>
  <c r="AF206" i="1"/>
  <c r="AO206" i="1"/>
  <c r="AP206" i="1"/>
  <c r="AQ206" i="1"/>
  <c r="AR206" i="1"/>
  <c r="AS206" i="1"/>
  <c r="AU206" i="1"/>
  <c r="AX206" i="1"/>
  <c r="AY206" i="1"/>
  <c r="CP206" i="1"/>
  <c r="DD206" i="1" s="1"/>
  <c r="CZ206" i="1"/>
  <c r="DA206" i="1"/>
  <c r="DB206" i="1" s="1"/>
  <c r="DM206" i="1"/>
  <c r="DP206" i="1"/>
  <c r="E207" i="1"/>
  <c r="H207" i="1"/>
  <c r="S207" i="1"/>
  <c r="T207" i="1"/>
  <c r="Y207" i="1"/>
  <c r="AA207" i="1"/>
  <c r="AT207" i="1" s="1"/>
  <c r="AD207" i="1"/>
  <c r="AN207" i="1" s="1"/>
  <c r="AF207" i="1"/>
  <c r="AO207" i="1"/>
  <c r="AP207" i="1"/>
  <c r="AQ207" i="1"/>
  <c r="AR207" i="1"/>
  <c r="AS207" i="1"/>
  <c r="AU207" i="1"/>
  <c r="AX207" i="1"/>
  <c r="AY207" i="1"/>
  <c r="CP207" i="1"/>
  <c r="DD207" i="1" s="1"/>
  <c r="CZ207" i="1"/>
  <c r="DA207" i="1"/>
  <c r="DB207" i="1" s="1"/>
  <c r="DM207" i="1"/>
  <c r="DP207" i="1"/>
  <c r="E208" i="1"/>
  <c r="H208" i="1"/>
  <c r="S208" i="1"/>
  <c r="T208" i="1"/>
  <c r="Y208" i="1"/>
  <c r="AA208" i="1"/>
  <c r="AT208" i="1" s="1"/>
  <c r="AD208" i="1"/>
  <c r="AN208" i="1" s="1"/>
  <c r="AF208" i="1"/>
  <c r="AO208" i="1"/>
  <c r="AP208" i="1"/>
  <c r="AQ208" i="1"/>
  <c r="AR208" i="1"/>
  <c r="AS208" i="1"/>
  <c r="AU208" i="1"/>
  <c r="AX208" i="1"/>
  <c r="AY208" i="1"/>
  <c r="CP208" i="1"/>
  <c r="DD208" i="1" s="1"/>
  <c r="CZ208" i="1"/>
  <c r="DA208" i="1"/>
  <c r="DB208" i="1" s="1"/>
  <c r="DM208" i="1"/>
  <c r="DP208" i="1"/>
  <c r="AN194" i="1" l="1"/>
  <c r="DP194" i="1"/>
  <c r="AN193" i="1"/>
  <c r="DP193" i="1"/>
  <c r="AN202" i="1"/>
  <c r="AN199" i="1"/>
  <c r="AF199" i="1"/>
  <c r="AP199" i="1" s="1"/>
  <c r="AU199" i="1"/>
  <c r="AU202" i="1"/>
  <c r="AF202" i="1"/>
  <c r="AU200" i="1"/>
  <c r="AF200" i="1"/>
  <c r="AP200" i="1" s="1"/>
  <c r="DC207" i="1"/>
  <c r="DC193" i="1"/>
  <c r="DC199" i="1"/>
  <c r="DC208" i="1"/>
  <c r="DC201" i="1"/>
  <c r="AF193" i="1"/>
  <c r="AP193" i="1" s="1"/>
  <c r="AF194" i="1"/>
  <c r="AP194" i="1" s="1"/>
  <c r="DC205" i="1"/>
  <c r="DC204" i="1"/>
  <c r="AU194" i="1"/>
  <c r="AU193" i="1"/>
  <c r="DC202" i="1"/>
  <c r="DC206" i="1"/>
  <c r="DC200" i="1"/>
  <c r="DC191" i="1"/>
  <c r="DC192" i="1"/>
  <c r="DC198" i="1"/>
  <c r="DC196" i="1"/>
  <c r="DC197" i="1"/>
  <c r="DC195" i="1"/>
  <c r="DC194" i="1"/>
  <c r="T182" i="1"/>
  <c r="T183" i="1"/>
  <c r="T184" i="1"/>
  <c r="T185" i="1"/>
  <c r="T186" i="1"/>
  <c r="T187" i="1"/>
  <c r="T188" i="1"/>
  <c r="T189" i="1"/>
  <c r="T190" i="1"/>
  <c r="DP190" i="1"/>
  <c r="DA190" i="1"/>
  <c r="DB190" i="1" s="1"/>
  <c r="CZ190" i="1"/>
  <c r="CP190" i="1"/>
  <c r="DD190" i="1" s="1"/>
  <c r="AY190" i="1"/>
  <c r="AX190" i="1"/>
  <c r="AS190" i="1"/>
  <c r="AR190" i="1"/>
  <c r="AQ190" i="1"/>
  <c r="AO190" i="1"/>
  <c r="AD190" i="1"/>
  <c r="AN190" i="1" s="1"/>
  <c r="AA190" i="1"/>
  <c r="AT190" i="1" s="1"/>
  <c r="AU190" i="1" s="1"/>
  <c r="S190" i="1"/>
  <c r="H190" i="1"/>
  <c r="E190" i="1"/>
  <c r="DP189" i="1"/>
  <c r="DM189" i="1"/>
  <c r="DA189" i="1"/>
  <c r="DB189" i="1" s="1"/>
  <c r="CZ189" i="1"/>
  <c r="CP189" i="1"/>
  <c r="DD189" i="1" s="1"/>
  <c r="AY189" i="1"/>
  <c r="AX189" i="1"/>
  <c r="AS189" i="1"/>
  <c r="AR189" i="1"/>
  <c r="AQ189" i="1"/>
  <c r="AO189" i="1"/>
  <c r="AD189" i="1"/>
  <c r="AN189" i="1" s="1"/>
  <c r="AA189" i="1"/>
  <c r="AT189" i="1" s="1"/>
  <c r="AU189" i="1" s="1"/>
  <c r="S189" i="1"/>
  <c r="H189" i="1"/>
  <c r="E189" i="1"/>
  <c r="DP188" i="1"/>
  <c r="DA188" i="1"/>
  <c r="DB188" i="1" s="1"/>
  <c r="CZ188" i="1"/>
  <c r="CP188" i="1"/>
  <c r="DD188" i="1" s="1"/>
  <c r="AY188" i="1"/>
  <c r="AX188" i="1"/>
  <c r="AS188" i="1"/>
  <c r="AR188" i="1"/>
  <c r="AQ188" i="1"/>
  <c r="AO188" i="1"/>
  <c r="AD188" i="1"/>
  <c r="AN188" i="1" s="1"/>
  <c r="AA188" i="1"/>
  <c r="AT188" i="1" s="1"/>
  <c r="AU188" i="1" s="1"/>
  <c r="S188" i="1"/>
  <c r="H188" i="1"/>
  <c r="E188" i="1"/>
  <c r="DP187" i="1"/>
  <c r="DA187" i="1"/>
  <c r="DB187" i="1" s="1"/>
  <c r="CZ187" i="1"/>
  <c r="CP187" i="1"/>
  <c r="DD187" i="1" s="1"/>
  <c r="AY187" i="1"/>
  <c r="AX187" i="1"/>
  <c r="AS187" i="1"/>
  <c r="AR187" i="1"/>
  <c r="AQ187" i="1"/>
  <c r="AO187" i="1"/>
  <c r="AD187" i="1"/>
  <c r="AN187" i="1" s="1"/>
  <c r="AA187" i="1"/>
  <c r="AT187" i="1" s="1"/>
  <c r="AU187" i="1" s="1"/>
  <c r="S187" i="1"/>
  <c r="H187" i="1"/>
  <c r="E187" i="1"/>
  <c r="DA186" i="1"/>
  <c r="DB186" i="1" s="1"/>
  <c r="CZ186" i="1"/>
  <c r="CP186" i="1"/>
  <c r="DD186" i="1" s="1"/>
  <c r="AY186" i="1"/>
  <c r="AX186" i="1"/>
  <c r="AS186" i="1"/>
  <c r="AR186" i="1"/>
  <c r="AQ186" i="1"/>
  <c r="AO186" i="1"/>
  <c r="AD186" i="1"/>
  <c r="AA186" i="1"/>
  <c r="AT186" i="1" s="1"/>
  <c r="S186" i="1"/>
  <c r="H186" i="1"/>
  <c r="E186" i="1"/>
  <c r="DP185" i="1"/>
  <c r="DA185" i="1"/>
  <c r="DB185" i="1" s="1"/>
  <c r="CZ185" i="1"/>
  <c r="CP185" i="1"/>
  <c r="DD185" i="1" s="1"/>
  <c r="AY185" i="1"/>
  <c r="AX185" i="1"/>
  <c r="AS185" i="1"/>
  <c r="AR185" i="1"/>
  <c r="AQ185" i="1"/>
  <c r="AO185" i="1"/>
  <c r="AD185" i="1"/>
  <c r="AN185" i="1" s="1"/>
  <c r="AA185" i="1"/>
  <c r="AT185" i="1" s="1"/>
  <c r="AU185" i="1" s="1"/>
  <c r="S185" i="1"/>
  <c r="H185" i="1"/>
  <c r="E185" i="1"/>
  <c r="DA184" i="1"/>
  <c r="DB184" i="1" s="1"/>
  <c r="CZ184" i="1"/>
  <c r="CP184" i="1"/>
  <c r="DD184" i="1" s="1"/>
  <c r="AY184" i="1"/>
  <c r="AX184" i="1"/>
  <c r="AS184" i="1"/>
  <c r="AR184" i="1"/>
  <c r="AQ184" i="1"/>
  <c r="AO184" i="1"/>
  <c r="AD184" i="1"/>
  <c r="AA184" i="1"/>
  <c r="AT184" i="1" s="1"/>
  <c r="S184" i="1"/>
  <c r="H184" i="1"/>
  <c r="E184" i="1"/>
  <c r="DP183" i="1"/>
  <c r="DA183" i="1"/>
  <c r="DB183" i="1" s="1"/>
  <c r="CZ183" i="1"/>
  <c r="CP183" i="1"/>
  <c r="DD183" i="1" s="1"/>
  <c r="AY183" i="1"/>
  <c r="AX183" i="1"/>
  <c r="AS183" i="1"/>
  <c r="AR183" i="1"/>
  <c r="AQ183" i="1"/>
  <c r="AO183" i="1"/>
  <c r="AD183" i="1"/>
  <c r="AF183" i="1" s="1"/>
  <c r="AP183" i="1" s="1"/>
  <c r="AA183" i="1"/>
  <c r="AT183" i="1" s="1"/>
  <c r="AU183" i="1" s="1"/>
  <c r="S183" i="1"/>
  <c r="H183" i="1"/>
  <c r="E183" i="1"/>
  <c r="DP182" i="1"/>
  <c r="DA182" i="1"/>
  <c r="DB182" i="1" s="1"/>
  <c r="CZ182" i="1"/>
  <c r="CP182" i="1"/>
  <c r="DD182" i="1" s="1"/>
  <c r="AY182" i="1"/>
  <c r="AX182" i="1"/>
  <c r="AS182" i="1"/>
  <c r="AR182" i="1"/>
  <c r="AQ182" i="1"/>
  <c r="AO182" i="1"/>
  <c r="AD182" i="1"/>
  <c r="AN182" i="1" s="1"/>
  <c r="AA182" i="1"/>
  <c r="AT182" i="1" s="1"/>
  <c r="S182" i="1"/>
  <c r="H182" i="1"/>
  <c r="E182" i="1"/>
  <c r="AD129" i="1"/>
  <c r="E162" i="1"/>
  <c r="H162" i="1"/>
  <c r="S162" i="1"/>
  <c r="T162" i="1"/>
  <c r="Y162" i="1"/>
  <c r="AA162" i="1"/>
  <c r="AT162" i="1" s="1"/>
  <c r="AD162" i="1"/>
  <c r="AO162" i="1"/>
  <c r="AR162" i="1"/>
  <c r="AS162" i="1"/>
  <c r="AX162" i="1"/>
  <c r="AY162" i="1"/>
  <c r="CP162" i="1"/>
  <c r="DD162" i="1" s="1"/>
  <c r="CZ162" i="1"/>
  <c r="DA162" i="1"/>
  <c r="DB162" i="1" s="1"/>
  <c r="E175" i="1"/>
  <c r="H175" i="1"/>
  <c r="S175" i="1"/>
  <c r="T175" i="1"/>
  <c r="Y175" i="1"/>
  <c r="AA175" i="1"/>
  <c r="AT175" i="1" s="1"/>
  <c r="AD175" i="1"/>
  <c r="AO175" i="1"/>
  <c r="AQ175" i="1"/>
  <c r="AR175" i="1"/>
  <c r="AS175" i="1"/>
  <c r="AX175" i="1"/>
  <c r="AY175" i="1"/>
  <c r="CP175" i="1"/>
  <c r="DD175" i="1" s="1"/>
  <c r="CZ175" i="1"/>
  <c r="DA175" i="1"/>
  <c r="DB175" i="1" s="1"/>
  <c r="E176" i="1"/>
  <c r="H176" i="1"/>
  <c r="S176" i="1"/>
  <c r="T176" i="1"/>
  <c r="Y176" i="1"/>
  <c r="AA176" i="1"/>
  <c r="AT176" i="1" s="1"/>
  <c r="AD176" i="1"/>
  <c r="AO176" i="1"/>
  <c r="AQ176" i="1"/>
  <c r="AR176" i="1"/>
  <c r="AS176" i="1"/>
  <c r="AX176" i="1"/>
  <c r="AY176" i="1"/>
  <c r="CP176" i="1"/>
  <c r="DD176" i="1" s="1"/>
  <c r="CZ176" i="1"/>
  <c r="DA176" i="1"/>
  <c r="DB176" i="1" s="1"/>
  <c r="E177" i="1"/>
  <c r="H177" i="1"/>
  <c r="S177" i="1"/>
  <c r="T177" i="1"/>
  <c r="Y177" i="1"/>
  <c r="AA177" i="1"/>
  <c r="AT177" i="1" s="1"/>
  <c r="AD177" i="1"/>
  <c r="AO177" i="1"/>
  <c r="AQ177" i="1"/>
  <c r="AR177" i="1"/>
  <c r="AS177" i="1"/>
  <c r="AX177" i="1"/>
  <c r="AY177" i="1"/>
  <c r="CP177" i="1"/>
  <c r="DD177" i="1" s="1"/>
  <c r="CZ177" i="1"/>
  <c r="DA177" i="1"/>
  <c r="DB177" i="1" s="1"/>
  <c r="E178" i="1"/>
  <c r="H178" i="1"/>
  <c r="S178" i="1"/>
  <c r="T178" i="1"/>
  <c r="Y178" i="1"/>
  <c r="AA178" i="1"/>
  <c r="AT178" i="1" s="1"/>
  <c r="AD178" i="1"/>
  <c r="AN178" i="1" s="1"/>
  <c r="AF178" i="1"/>
  <c r="AO178" i="1"/>
  <c r="AP178" i="1"/>
  <c r="AQ178" i="1"/>
  <c r="AR178" i="1"/>
  <c r="AS178" i="1"/>
  <c r="AU178" i="1"/>
  <c r="AX178" i="1"/>
  <c r="AY178" i="1"/>
  <c r="CP178" i="1"/>
  <c r="DD178" i="1" s="1"/>
  <c r="CZ178" i="1"/>
  <c r="DA178" i="1"/>
  <c r="DB178" i="1" s="1"/>
  <c r="DM178" i="1"/>
  <c r="DP178" i="1"/>
  <c r="E179" i="1"/>
  <c r="H179" i="1"/>
  <c r="S179" i="1"/>
  <c r="T179" i="1"/>
  <c r="Y179" i="1"/>
  <c r="AA179" i="1"/>
  <c r="AT179" i="1" s="1"/>
  <c r="AD179" i="1"/>
  <c r="AN179" i="1" s="1"/>
  <c r="AF179" i="1"/>
  <c r="AO179" i="1"/>
  <c r="AP179" i="1"/>
  <c r="AQ179" i="1"/>
  <c r="AR179" i="1"/>
  <c r="AS179" i="1"/>
  <c r="AU179" i="1"/>
  <c r="AX179" i="1"/>
  <c r="AY179" i="1"/>
  <c r="CP179" i="1"/>
  <c r="DD179" i="1" s="1"/>
  <c r="CZ179" i="1"/>
  <c r="DA179" i="1"/>
  <c r="DB179" i="1" s="1"/>
  <c r="DM179" i="1"/>
  <c r="DP179" i="1"/>
  <c r="E180" i="1"/>
  <c r="H180" i="1"/>
  <c r="S180" i="1"/>
  <c r="T180" i="1"/>
  <c r="Y180" i="1"/>
  <c r="AA180" i="1"/>
  <c r="AT180" i="1" s="1"/>
  <c r="AD180" i="1"/>
  <c r="AN180" i="1" s="1"/>
  <c r="AF180" i="1"/>
  <c r="AO180" i="1"/>
  <c r="AP180" i="1"/>
  <c r="AQ180" i="1"/>
  <c r="AR180" i="1"/>
  <c r="AS180" i="1"/>
  <c r="AU180" i="1"/>
  <c r="AX180" i="1"/>
  <c r="AY180" i="1"/>
  <c r="CP180" i="1"/>
  <c r="DD180" i="1" s="1"/>
  <c r="CZ180" i="1"/>
  <c r="DA180" i="1"/>
  <c r="DB180" i="1" s="1"/>
  <c r="DM180" i="1"/>
  <c r="DP180" i="1"/>
  <c r="E181" i="1"/>
  <c r="H181" i="1"/>
  <c r="S181" i="1"/>
  <c r="T181" i="1"/>
  <c r="Y181" i="1"/>
  <c r="AA181" i="1"/>
  <c r="AT181" i="1" s="1"/>
  <c r="AD181" i="1"/>
  <c r="AN181" i="1" s="1"/>
  <c r="AF181" i="1"/>
  <c r="AO181" i="1"/>
  <c r="AP181" i="1"/>
  <c r="AQ181" i="1"/>
  <c r="AR181" i="1"/>
  <c r="AS181" i="1"/>
  <c r="AU181" i="1"/>
  <c r="AX181" i="1"/>
  <c r="AY181" i="1"/>
  <c r="CP181" i="1"/>
  <c r="DD181" i="1" s="1"/>
  <c r="CZ181" i="1"/>
  <c r="DA181" i="1"/>
  <c r="DB181" i="1" s="1"/>
  <c r="DM181" i="1"/>
  <c r="DP181" i="1"/>
  <c r="E174" i="1"/>
  <c r="H174" i="1"/>
  <c r="S174" i="1"/>
  <c r="T174" i="1"/>
  <c r="Y174" i="1"/>
  <c r="AA174" i="1"/>
  <c r="AT174" i="1" s="1"/>
  <c r="AD174" i="1"/>
  <c r="AN174" i="1" s="1"/>
  <c r="AF174" i="1"/>
  <c r="AO174" i="1"/>
  <c r="AP174" i="1"/>
  <c r="AQ174" i="1"/>
  <c r="AR174" i="1"/>
  <c r="AS174" i="1"/>
  <c r="AU174" i="1"/>
  <c r="AX174" i="1"/>
  <c r="AY174" i="1"/>
  <c r="CP174" i="1"/>
  <c r="DD174" i="1" s="1"/>
  <c r="CZ174" i="1"/>
  <c r="DA174" i="1"/>
  <c r="DB174" i="1" s="1"/>
  <c r="DM174" i="1"/>
  <c r="DP174" i="1"/>
  <c r="E219" i="1"/>
  <c r="H219" i="1"/>
  <c r="DI219" i="1"/>
  <c r="S219" i="1"/>
  <c r="T219" i="1"/>
  <c r="Y219" i="1"/>
  <c r="AA219" i="1"/>
  <c r="AT219" i="1" s="1"/>
  <c r="AD219" i="1"/>
  <c r="AO219" i="1"/>
  <c r="AQ219" i="1"/>
  <c r="AR219" i="1"/>
  <c r="AS219" i="1"/>
  <c r="AX219" i="1"/>
  <c r="AY219" i="1"/>
  <c r="CP219" i="1"/>
  <c r="DD219" i="1" s="1"/>
  <c r="CZ219" i="1"/>
  <c r="DA219" i="1"/>
  <c r="DB219" i="1" s="1"/>
  <c r="AP202" i="1" l="1"/>
  <c r="DO202" i="1"/>
  <c r="DP202" i="1" s="1"/>
  <c r="AN175" i="1"/>
  <c r="DO175" i="1"/>
  <c r="DP175" i="1" s="1"/>
  <c r="AF162" i="1"/>
  <c r="AP162" i="1" s="1"/>
  <c r="DO162" i="1"/>
  <c r="DP162" i="1" s="1"/>
  <c r="AN186" i="1"/>
  <c r="AF186" i="1"/>
  <c r="AN177" i="1"/>
  <c r="DO177" i="1"/>
  <c r="DP177" i="1" s="1"/>
  <c r="AF184" i="1"/>
  <c r="AN176" i="1"/>
  <c r="DP199" i="1"/>
  <c r="AN219" i="1"/>
  <c r="DO219" i="1"/>
  <c r="DP219" i="1" s="1"/>
  <c r="AU219" i="1"/>
  <c r="AF219" i="1"/>
  <c r="AP219" i="1" s="1"/>
  <c r="DC219" i="1"/>
  <c r="DC184" i="1"/>
  <c r="DC186" i="1"/>
  <c r="DC176" i="1"/>
  <c r="DC183" i="1"/>
  <c r="DC185" i="1"/>
  <c r="AU186" i="1"/>
  <c r="DC187" i="1"/>
  <c r="DC190" i="1"/>
  <c r="DC189" i="1"/>
  <c r="AU175" i="1"/>
  <c r="DC188" i="1"/>
  <c r="AU177" i="1"/>
  <c r="AU176" i="1"/>
  <c r="AU162" i="1"/>
  <c r="DC182" i="1"/>
  <c r="AU184" i="1"/>
  <c r="AU182" i="1"/>
  <c r="Y182" i="1"/>
  <c r="Y185" i="1"/>
  <c r="Y186" i="1"/>
  <c r="Y190" i="1"/>
  <c r="Y187" i="1"/>
  <c r="Y183" i="1"/>
  <c r="Y189" i="1"/>
  <c r="DM190" i="1"/>
  <c r="DM188" i="1"/>
  <c r="DM187" i="1"/>
  <c r="DM185" i="1"/>
  <c r="AF190" i="1"/>
  <c r="AP190" i="1" s="1"/>
  <c r="AF189" i="1"/>
  <c r="AP189" i="1" s="1"/>
  <c r="AF188" i="1"/>
  <c r="AP188" i="1" s="1"/>
  <c r="AF187" i="1"/>
  <c r="AP187" i="1" s="1"/>
  <c r="AF185" i="1"/>
  <c r="AP185" i="1" s="1"/>
  <c r="AN184" i="1"/>
  <c r="AN183" i="1"/>
  <c r="AF182" i="1"/>
  <c r="AP182" i="1" s="1"/>
  <c r="AF177" i="1"/>
  <c r="AP177" i="1" s="1"/>
  <c r="AF175" i="1"/>
  <c r="AP175" i="1" s="1"/>
  <c r="AF176" i="1"/>
  <c r="AP176" i="1" s="1"/>
  <c r="DC181" i="1"/>
  <c r="DC178" i="1"/>
  <c r="DC180" i="1"/>
  <c r="DC175" i="1"/>
  <c r="DC177" i="1"/>
  <c r="DC179" i="1"/>
  <c r="AN162" i="1"/>
  <c r="DC162" i="1"/>
  <c r="DC174" i="1"/>
  <c r="AD166" i="1"/>
  <c r="E166" i="1"/>
  <c r="H166" i="1"/>
  <c r="S166" i="1"/>
  <c r="T166" i="1"/>
  <c r="Y166" i="1"/>
  <c r="AA166" i="1"/>
  <c r="AT166" i="1" s="1"/>
  <c r="AO166" i="1"/>
  <c r="AQ166" i="1"/>
  <c r="AR166" i="1"/>
  <c r="AS166" i="1"/>
  <c r="AX166" i="1"/>
  <c r="AY166" i="1"/>
  <c r="CP166" i="1"/>
  <c r="DD166" i="1" s="1"/>
  <c r="CZ166" i="1"/>
  <c r="DA166" i="1"/>
  <c r="DB166" i="1" s="1"/>
  <c r="E167" i="1"/>
  <c r="H167" i="1"/>
  <c r="S167" i="1"/>
  <c r="T167" i="1"/>
  <c r="Y167" i="1"/>
  <c r="AA167" i="1"/>
  <c r="AT167" i="1" s="1"/>
  <c r="AD167" i="1"/>
  <c r="AO167" i="1"/>
  <c r="AQ167" i="1"/>
  <c r="AR167" i="1"/>
  <c r="AS167" i="1"/>
  <c r="AX167" i="1"/>
  <c r="AY167" i="1"/>
  <c r="CP167" i="1"/>
  <c r="DD167" i="1" s="1"/>
  <c r="CZ167" i="1"/>
  <c r="DA167" i="1"/>
  <c r="DB167" i="1" s="1"/>
  <c r="E159" i="1"/>
  <c r="H159" i="1"/>
  <c r="S159" i="1"/>
  <c r="T159" i="1"/>
  <c r="Y159" i="1"/>
  <c r="AA159" i="1"/>
  <c r="AT159" i="1" s="1"/>
  <c r="AD159" i="1"/>
  <c r="AN159" i="1" s="1"/>
  <c r="AF159" i="1"/>
  <c r="AO159" i="1"/>
  <c r="AP159" i="1"/>
  <c r="AQ159" i="1"/>
  <c r="AR159" i="1"/>
  <c r="AS159" i="1"/>
  <c r="AU159" i="1"/>
  <c r="AX159" i="1"/>
  <c r="AY159" i="1"/>
  <c r="CP159" i="1"/>
  <c r="DD159" i="1" s="1"/>
  <c r="CZ159" i="1"/>
  <c r="DA159" i="1"/>
  <c r="DB159" i="1" s="1"/>
  <c r="DM159" i="1"/>
  <c r="DP159" i="1"/>
  <c r="E160" i="1"/>
  <c r="H160" i="1"/>
  <c r="S160" i="1"/>
  <c r="T160" i="1"/>
  <c r="Y160" i="1"/>
  <c r="AA160" i="1"/>
  <c r="AT160" i="1" s="1"/>
  <c r="AD160" i="1"/>
  <c r="AN160" i="1" s="1"/>
  <c r="AF160" i="1"/>
  <c r="AO160" i="1"/>
  <c r="AP160" i="1"/>
  <c r="AQ160" i="1"/>
  <c r="AR160" i="1"/>
  <c r="AS160" i="1"/>
  <c r="AU160" i="1"/>
  <c r="AX160" i="1"/>
  <c r="AY160" i="1"/>
  <c r="CP160" i="1"/>
  <c r="DD160" i="1" s="1"/>
  <c r="CZ160" i="1"/>
  <c r="DA160" i="1"/>
  <c r="DB160" i="1" s="1"/>
  <c r="DM160" i="1"/>
  <c r="DP160" i="1"/>
  <c r="E158" i="1"/>
  <c r="H158" i="1"/>
  <c r="S158" i="1"/>
  <c r="T158" i="1"/>
  <c r="Y158" i="1"/>
  <c r="AA158" i="1"/>
  <c r="AT158" i="1" s="1"/>
  <c r="AD158" i="1"/>
  <c r="AN158" i="1" s="1"/>
  <c r="AF158" i="1"/>
  <c r="AO158" i="1"/>
  <c r="AP158" i="1"/>
  <c r="AQ158" i="1"/>
  <c r="AR158" i="1"/>
  <c r="AS158" i="1"/>
  <c r="AU158" i="1"/>
  <c r="AX158" i="1"/>
  <c r="AY158" i="1"/>
  <c r="CP158" i="1"/>
  <c r="DD158" i="1" s="1"/>
  <c r="CZ158" i="1"/>
  <c r="DA158" i="1"/>
  <c r="DB158" i="1" s="1"/>
  <c r="DM158" i="1"/>
  <c r="DP158" i="1"/>
  <c r="E161" i="1"/>
  <c r="H161" i="1"/>
  <c r="S161" i="1"/>
  <c r="T161" i="1"/>
  <c r="Y161" i="1"/>
  <c r="AT161" i="1"/>
  <c r="AD161" i="1"/>
  <c r="AO161" i="1"/>
  <c r="AQ161" i="1"/>
  <c r="AR161" i="1"/>
  <c r="AS161" i="1"/>
  <c r="AX161" i="1"/>
  <c r="AY161" i="1"/>
  <c r="CP161" i="1"/>
  <c r="DD161" i="1" s="1"/>
  <c r="CZ161" i="1"/>
  <c r="DA161" i="1"/>
  <c r="DB161" i="1" s="1"/>
  <c r="E163" i="1"/>
  <c r="H163" i="1"/>
  <c r="S163" i="1"/>
  <c r="T163" i="1"/>
  <c r="Y163" i="1"/>
  <c r="AA163" i="1"/>
  <c r="AT163" i="1" s="1"/>
  <c r="AD163" i="1"/>
  <c r="AN163" i="1" s="1"/>
  <c r="AF163" i="1"/>
  <c r="AO163" i="1"/>
  <c r="AP163" i="1"/>
  <c r="AQ163" i="1"/>
  <c r="AR163" i="1"/>
  <c r="AS163" i="1"/>
  <c r="AU163" i="1"/>
  <c r="AX163" i="1"/>
  <c r="AY163" i="1"/>
  <c r="CP163" i="1"/>
  <c r="DD163" i="1" s="1"/>
  <c r="CZ163" i="1"/>
  <c r="DA163" i="1"/>
  <c r="DB163" i="1" s="1"/>
  <c r="DM163" i="1"/>
  <c r="DP163" i="1"/>
  <c r="E164" i="1"/>
  <c r="H164" i="1"/>
  <c r="S164" i="1"/>
  <c r="T164" i="1"/>
  <c r="Y164" i="1"/>
  <c r="AA164" i="1"/>
  <c r="AT164" i="1" s="1"/>
  <c r="AD164" i="1"/>
  <c r="AN164" i="1" s="1"/>
  <c r="AF164" i="1"/>
  <c r="AO164" i="1"/>
  <c r="AP164" i="1"/>
  <c r="AQ164" i="1"/>
  <c r="AR164" i="1"/>
  <c r="AS164" i="1"/>
  <c r="AU164" i="1"/>
  <c r="AX164" i="1"/>
  <c r="AY164" i="1"/>
  <c r="CP164" i="1"/>
  <c r="DD164" i="1" s="1"/>
  <c r="CZ164" i="1"/>
  <c r="DA164" i="1"/>
  <c r="DB164" i="1" s="1"/>
  <c r="DM164" i="1"/>
  <c r="DP164" i="1"/>
  <c r="E165" i="1"/>
  <c r="H165" i="1"/>
  <c r="S165" i="1"/>
  <c r="T165" i="1"/>
  <c r="Y165" i="1"/>
  <c r="AA165" i="1"/>
  <c r="AT165" i="1" s="1"/>
  <c r="AD165" i="1"/>
  <c r="AN165" i="1" s="1"/>
  <c r="AF165" i="1"/>
  <c r="AO165" i="1"/>
  <c r="AP165" i="1"/>
  <c r="AQ165" i="1"/>
  <c r="AR165" i="1"/>
  <c r="AS165" i="1"/>
  <c r="AU165" i="1"/>
  <c r="AX165" i="1"/>
  <c r="AY165" i="1"/>
  <c r="CP165" i="1"/>
  <c r="DD165" i="1" s="1"/>
  <c r="CZ165" i="1"/>
  <c r="DA165" i="1"/>
  <c r="DB165" i="1" s="1"/>
  <c r="DM165" i="1"/>
  <c r="DP165" i="1"/>
  <c r="E168" i="1"/>
  <c r="H168" i="1"/>
  <c r="S168" i="1"/>
  <c r="T168" i="1"/>
  <c r="Y168" i="1"/>
  <c r="AA168" i="1"/>
  <c r="AT168" i="1" s="1"/>
  <c r="AD168" i="1"/>
  <c r="AN168" i="1" s="1"/>
  <c r="AO168" i="1"/>
  <c r="AQ168" i="1"/>
  <c r="AR168" i="1"/>
  <c r="AS168" i="1"/>
  <c r="AX168" i="1"/>
  <c r="AY168" i="1"/>
  <c r="CP168" i="1"/>
  <c r="DD168" i="1" s="1"/>
  <c r="CZ168" i="1"/>
  <c r="DA168" i="1"/>
  <c r="DB168" i="1" s="1"/>
  <c r="E169" i="1"/>
  <c r="H169" i="1"/>
  <c r="S169" i="1"/>
  <c r="T169" i="1"/>
  <c r="Y169" i="1"/>
  <c r="AA169" i="1"/>
  <c r="AT169" i="1" s="1"/>
  <c r="AD169" i="1"/>
  <c r="AN169" i="1" s="1"/>
  <c r="AF169" i="1"/>
  <c r="AO169" i="1"/>
  <c r="AP169" i="1"/>
  <c r="AQ169" i="1"/>
  <c r="AR169" i="1"/>
  <c r="AS169" i="1"/>
  <c r="AU169" i="1"/>
  <c r="AX169" i="1"/>
  <c r="AY169" i="1"/>
  <c r="CP169" i="1"/>
  <c r="DD169" i="1" s="1"/>
  <c r="CZ169" i="1"/>
  <c r="DA169" i="1"/>
  <c r="DB169" i="1" s="1"/>
  <c r="DM169" i="1"/>
  <c r="DP169" i="1"/>
  <c r="AP184" i="1" l="1"/>
  <c r="DO184" i="1"/>
  <c r="DP184" i="1" s="1"/>
  <c r="AP186" i="1"/>
  <c r="DO186" i="1"/>
  <c r="DP186" i="1" s="1"/>
  <c r="DL219" i="1"/>
  <c r="DM219" i="1" s="1"/>
  <c r="DN219" i="1" s="1"/>
  <c r="AN167" i="1"/>
  <c r="DO167" i="1"/>
  <c r="DP167" i="1" s="1"/>
  <c r="AF161" i="1"/>
  <c r="AP161" i="1" s="1"/>
  <c r="DO161" i="1"/>
  <c r="DP161" i="1" s="1"/>
  <c r="AF166" i="1"/>
  <c r="AP166" i="1" s="1"/>
  <c r="DO166" i="1"/>
  <c r="Y188" i="1"/>
  <c r="Y184" i="1"/>
  <c r="DM183" i="1"/>
  <c r="AN161" i="1"/>
  <c r="DC168" i="1"/>
  <c r="AU168" i="1"/>
  <c r="AU166" i="1"/>
  <c r="AU167" i="1"/>
  <c r="AF167" i="1"/>
  <c r="AP167" i="1" s="1"/>
  <c r="AN166" i="1"/>
  <c r="AF168" i="1"/>
  <c r="DC169" i="1"/>
  <c r="DC167" i="1"/>
  <c r="DC166" i="1"/>
  <c r="DC164" i="1"/>
  <c r="DC165" i="1"/>
  <c r="AU161" i="1"/>
  <c r="DC163" i="1"/>
  <c r="DC161" i="1"/>
  <c r="DC159" i="1"/>
  <c r="DC158" i="1"/>
  <c r="DC160" i="1"/>
  <c r="DQ545" i="1"/>
  <c r="AP168" i="1" l="1"/>
  <c r="DO168" i="1"/>
  <c r="DP168" i="1" s="1"/>
  <c r="AD63" i="1"/>
  <c r="AD105" i="1"/>
  <c r="AD149" i="1"/>
  <c r="DO149" i="1" s="1"/>
  <c r="AD150" i="1"/>
  <c r="DO150" i="1" s="1"/>
  <c r="Y153" i="1"/>
  <c r="Y154" i="1"/>
  <c r="Y155" i="1"/>
  <c r="Y156" i="1"/>
  <c r="Y157" i="1"/>
  <c r="E155" i="1"/>
  <c r="H155" i="1"/>
  <c r="S155" i="1"/>
  <c r="T155" i="1"/>
  <c r="AA155" i="1"/>
  <c r="AT155" i="1" s="1"/>
  <c r="AD155" i="1"/>
  <c r="AN155" i="1" s="1"/>
  <c r="AF155" i="1"/>
  <c r="AO155" i="1"/>
  <c r="AP155" i="1"/>
  <c r="AQ155" i="1"/>
  <c r="AR155" i="1"/>
  <c r="AS155" i="1"/>
  <c r="AU155" i="1"/>
  <c r="AX155" i="1"/>
  <c r="AY155" i="1"/>
  <c r="CP155" i="1"/>
  <c r="DD155" i="1" s="1"/>
  <c r="CZ155" i="1"/>
  <c r="DA155" i="1"/>
  <c r="DB155" i="1" s="1"/>
  <c r="DM155" i="1"/>
  <c r="DP155" i="1"/>
  <c r="E154" i="1"/>
  <c r="H154" i="1"/>
  <c r="S154" i="1"/>
  <c r="T154" i="1"/>
  <c r="AA154" i="1"/>
  <c r="AT154" i="1" s="1"/>
  <c r="AD154" i="1"/>
  <c r="AN154" i="1" s="1"/>
  <c r="AF154" i="1"/>
  <c r="AO154" i="1"/>
  <c r="AP154" i="1"/>
  <c r="AQ154" i="1"/>
  <c r="AR154" i="1"/>
  <c r="AS154" i="1"/>
  <c r="AU154" i="1"/>
  <c r="AX154" i="1"/>
  <c r="AY154" i="1"/>
  <c r="CP154" i="1"/>
  <c r="DD154" i="1" s="1"/>
  <c r="CZ154" i="1"/>
  <c r="DA154" i="1"/>
  <c r="DB154" i="1" s="1"/>
  <c r="DM154" i="1"/>
  <c r="DP154" i="1"/>
  <c r="E153" i="1"/>
  <c r="H153" i="1"/>
  <c r="S153" i="1"/>
  <c r="T153" i="1"/>
  <c r="AA153" i="1"/>
  <c r="AT153" i="1" s="1"/>
  <c r="AD153" i="1"/>
  <c r="AN153" i="1" s="1"/>
  <c r="AF153" i="1"/>
  <c r="AO153" i="1"/>
  <c r="AP153" i="1"/>
  <c r="AQ153" i="1"/>
  <c r="AR153" i="1"/>
  <c r="AS153" i="1"/>
  <c r="AU153" i="1"/>
  <c r="AX153" i="1"/>
  <c r="AY153" i="1"/>
  <c r="CP153" i="1"/>
  <c r="DD153" i="1" s="1"/>
  <c r="CZ153" i="1"/>
  <c r="DA153" i="1"/>
  <c r="DB153" i="1" s="1"/>
  <c r="DM153" i="1"/>
  <c r="DP153" i="1"/>
  <c r="E152" i="1"/>
  <c r="H152" i="1"/>
  <c r="S152" i="1"/>
  <c r="T152" i="1"/>
  <c r="Y152" i="1"/>
  <c r="AA152" i="1"/>
  <c r="AT152" i="1" s="1"/>
  <c r="AD152" i="1"/>
  <c r="AN152" i="1" s="1"/>
  <c r="AF152" i="1"/>
  <c r="AO152" i="1"/>
  <c r="AP152" i="1"/>
  <c r="AQ152" i="1"/>
  <c r="AR152" i="1"/>
  <c r="AS152" i="1"/>
  <c r="AU152" i="1"/>
  <c r="AX152" i="1"/>
  <c r="AY152" i="1"/>
  <c r="CP152" i="1"/>
  <c r="DD152" i="1" s="1"/>
  <c r="CZ152" i="1"/>
  <c r="DA152" i="1"/>
  <c r="DB152" i="1" s="1"/>
  <c r="DM152" i="1"/>
  <c r="DP152" i="1"/>
  <c r="E151" i="1"/>
  <c r="H151" i="1"/>
  <c r="S151" i="1"/>
  <c r="T151" i="1"/>
  <c r="Y151" i="1"/>
  <c r="AA151" i="1"/>
  <c r="AT151" i="1" s="1"/>
  <c r="AD151" i="1"/>
  <c r="AN151" i="1" s="1"/>
  <c r="AF151" i="1"/>
  <c r="AO151" i="1"/>
  <c r="AP151" i="1"/>
  <c r="AQ151" i="1"/>
  <c r="AR151" i="1"/>
  <c r="AS151" i="1"/>
  <c r="AU151" i="1"/>
  <c r="AX151" i="1"/>
  <c r="AY151" i="1"/>
  <c r="CP151" i="1"/>
  <c r="DD151" i="1" s="1"/>
  <c r="CZ151" i="1"/>
  <c r="DA151" i="1"/>
  <c r="DB151" i="1" s="1"/>
  <c r="DM151" i="1"/>
  <c r="DP151" i="1"/>
  <c r="E156" i="1"/>
  <c r="H156" i="1"/>
  <c r="S156" i="1"/>
  <c r="T156" i="1"/>
  <c r="AA156" i="1"/>
  <c r="AT156" i="1" s="1"/>
  <c r="AD156" i="1"/>
  <c r="AN156" i="1" s="1"/>
  <c r="AF156" i="1"/>
  <c r="AO156" i="1"/>
  <c r="AP156" i="1"/>
  <c r="AQ156" i="1"/>
  <c r="AR156" i="1"/>
  <c r="AS156" i="1"/>
  <c r="AU156" i="1"/>
  <c r="AX156" i="1"/>
  <c r="AY156" i="1"/>
  <c r="CP156" i="1"/>
  <c r="DD156" i="1" s="1"/>
  <c r="CZ156" i="1"/>
  <c r="DA156" i="1"/>
  <c r="DB156" i="1" s="1"/>
  <c r="DM156" i="1"/>
  <c r="DP156" i="1"/>
  <c r="E157" i="1"/>
  <c r="H157" i="1"/>
  <c r="S157" i="1"/>
  <c r="T157" i="1"/>
  <c r="AA157" i="1"/>
  <c r="AT157" i="1" s="1"/>
  <c r="AD157" i="1"/>
  <c r="AN157" i="1" s="1"/>
  <c r="AF157" i="1"/>
  <c r="AO157" i="1"/>
  <c r="AP157" i="1"/>
  <c r="AQ157" i="1"/>
  <c r="AR157" i="1"/>
  <c r="AS157" i="1"/>
  <c r="AU157" i="1"/>
  <c r="AX157" i="1"/>
  <c r="AY157" i="1"/>
  <c r="CP157" i="1"/>
  <c r="DD157" i="1" s="1"/>
  <c r="CZ157" i="1"/>
  <c r="DA157" i="1"/>
  <c r="DB157" i="1" s="1"/>
  <c r="DM157" i="1"/>
  <c r="DP157" i="1"/>
  <c r="E170" i="1"/>
  <c r="H170" i="1"/>
  <c r="S170" i="1"/>
  <c r="T170" i="1"/>
  <c r="Y170" i="1"/>
  <c r="AA170" i="1"/>
  <c r="AT170" i="1" s="1"/>
  <c r="AD170" i="1"/>
  <c r="AN170" i="1" s="1"/>
  <c r="AF170" i="1"/>
  <c r="AO170" i="1"/>
  <c r="AP170" i="1"/>
  <c r="AQ170" i="1"/>
  <c r="AR170" i="1"/>
  <c r="AS170" i="1"/>
  <c r="AU170" i="1"/>
  <c r="AX170" i="1"/>
  <c r="AY170" i="1"/>
  <c r="CP170" i="1"/>
  <c r="DD170" i="1" s="1"/>
  <c r="CZ170" i="1"/>
  <c r="DA170" i="1"/>
  <c r="DB170" i="1" s="1"/>
  <c r="DM170" i="1"/>
  <c r="DP170" i="1"/>
  <c r="E171" i="1"/>
  <c r="H171" i="1"/>
  <c r="S171" i="1"/>
  <c r="T171" i="1"/>
  <c r="Y171" i="1"/>
  <c r="AA171" i="1"/>
  <c r="AT171" i="1" s="1"/>
  <c r="AD171" i="1"/>
  <c r="AN171" i="1" s="1"/>
  <c r="AF171" i="1"/>
  <c r="AO171" i="1"/>
  <c r="AP171" i="1"/>
  <c r="AQ171" i="1"/>
  <c r="AR171" i="1"/>
  <c r="AS171" i="1"/>
  <c r="AU171" i="1"/>
  <c r="AX171" i="1"/>
  <c r="AY171" i="1"/>
  <c r="CP171" i="1"/>
  <c r="DD171" i="1" s="1"/>
  <c r="CZ171" i="1"/>
  <c r="DA171" i="1"/>
  <c r="DB171" i="1" s="1"/>
  <c r="DM171" i="1"/>
  <c r="DP171" i="1"/>
  <c r="E172" i="1"/>
  <c r="H172" i="1"/>
  <c r="S172" i="1"/>
  <c r="T172" i="1"/>
  <c r="Y172" i="1"/>
  <c r="AA172" i="1"/>
  <c r="AT172" i="1" s="1"/>
  <c r="AD172" i="1"/>
  <c r="AN172" i="1" s="1"/>
  <c r="AF172" i="1"/>
  <c r="AO172" i="1"/>
  <c r="AP172" i="1"/>
  <c r="AQ172" i="1"/>
  <c r="AR172" i="1"/>
  <c r="AS172" i="1"/>
  <c r="AU172" i="1"/>
  <c r="AX172" i="1"/>
  <c r="AY172" i="1"/>
  <c r="CP172" i="1"/>
  <c r="DD172" i="1" s="1"/>
  <c r="CZ172" i="1"/>
  <c r="DA172" i="1"/>
  <c r="DB172" i="1" s="1"/>
  <c r="DM172" i="1"/>
  <c r="DP172" i="1"/>
  <c r="E173" i="1"/>
  <c r="H173" i="1"/>
  <c r="S173" i="1"/>
  <c r="T173" i="1"/>
  <c r="Y173" i="1"/>
  <c r="AD173" i="1" s="1"/>
  <c r="AA173" i="1"/>
  <c r="AT173" i="1" s="1"/>
  <c r="AO173" i="1"/>
  <c r="AR173" i="1"/>
  <c r="AS173" i="1"/>
  <c r="AX173" i="1"/>
  <c r="AY173" i="1"/>
  <c r="CP173" i="1"/>
  <c r="DD173" i="1" s="1"/>
  <c r="CZ173" i="1"/>
  <c r="DA173" i="1"/>
  <c r="DB173" i="1" s="1"/>
  <c r="DM173" i="1"/>
  <c r="DP173" i="1"/>
  <c r="E226" i="1"/>
  <c r="H226" i="1"/>
  <c r="S226" i="1"/>
  <c r="T226" i="1"/>
  <c r="AA226" i="1"/>
  <c r="AT226" i="1" s="1"/>
  <c r="AD226" i="1"/>
  <c r="AN226" i="1" s="1"/>
  <c r="AF226" i="1"/>
  <c r="AO226" i="1"/>
  <c r="AP226" i="1"/>
  <c r="AQ226" i="1"/>
  <c r="AR226" i="1"/>
  <c r="AS226" i="1"/>
  <c r="AU226" i="1"/>
  <c r="AX226" i="1"/>
  <c r="AY226" i="1"/>
  <c r="CP226" i="1"/>
  <c r="DD226" i="1" s="1"/>
  <c r="CZ226" i="1"/>
  <c r="DA226" i="1"/>
  <c r="DB226" i="1" s="1"/>
  <c r="DM226" i="1"/>
  <c r="DP226" i="1"/>
  <c r="DO544" i="1" l="1"/>
  <c r="DC226" i="1"/>
  <c r="DC170" i="1"/>
  <c r="DC172" i="1"/>
  <c r="AN173" i="1"/>
  <c r="AF173" i="1"/>
  <c r="AP173" i="1" s="1"/>
  <c r="AQ173" i="1"/>
  <c r="AU173" i="1" s="1"/>
  <c r="DC173" i="1"/>
  <c r="DC171" i="1"/>
  <c r="DC153" i="1"/>
  <c r="DC157" i="1"/>
  <c r="DC151" i="1"/>
  <c r="DC152" i="1"/>
  <c r="DC156" i="1"/>
  <c r="DC155" i="1"/>
  <c r="DC154" i="1"/>
  <c r="E145" i="1"/>
  <c r="E114" i="1" l="1"/>
  <c r="H114" i="1"/>
  <c r="S114" i="1"/>
  <c r="Y114" i="1"/>
  <c r="AA114" i="1"/>
  <c r="AT114" i="1" s="1"/>
  <c r="AD114" i="1"/>
  <c r="AN114" i="1" s="1"/>
  <c r="AO114" i="1"/>
  <c r="AQ114" i="1"/>
  <c r="AR114" i="1"/>
  <c r="AS114" i="1"/>
  <c r="AX114" i="1"/>
  <c r="AY114" i="1"/>
  <c r="CP114" i="1"/>
  <c r="DD114" i="1" s="1"/>
  <c r="CZ114" i="1"/>
  <c r="DA114" i="1"/>
  <c r="DB114" i="1" s="1"/>
  <c r="DP114" i="1"/>
  <c r="AU114" i="1" l="1"/>
  <c r="AF114" i="1"/>
  <c r="DC114" i="1"/>
  <c r="AP114" i="1" l="1"/>
  <c r="E130" i="1" l="1"/>
  <c r="H130" i="1"/>
  <c r="S130" i="1"/>
  <c r="T130" i="1"/>
  <c r="Y130" i="1"/>
  <c r="AA130" i="1"/>
  <c r="AT130" i="1" s="1"/>
  <c r="AD130" i="1"/>
  <c r="AN130" i="1" s="1"/>
  <c r="AF130" i="1"/>
  <c r="AO130" i="1"/>
  <c r="AP130" i="1"/>
  <c r="AQ130" i="1"/>
  <c r="AR130" i="1"/>
  <c r="AS130" i="1"/>
  <c r="AU130" i="1"/>
  <c r="AX130" i="1"/>
  <c r="AY130" i="1"/>
  <c r="CP130" i="1"/>
  <c r="DD130" i="1" s="1"/>
  <c r="CZ130" i="1"/>
  <c r="DA130" i="1"/>
  <c r="DB130" i="1" s="1"/>
  <c r="DM130" i="1"/>
  <c r="DP130" i="1"/>
  <c r="E131" i="1"/>
  <c r="H131" i="1"/>
  <c r="S131" i="1"/>
  <c r="T131" i="1"/>
  <c r="Y131" i="1"/>
  <c r="AA131" i="1"/>
  <c r="AT131" i="1" s="1"/>
  <c r="AD131" i="1"/>
  <c r="AN131" i="1" s="1"/>
  <c r="AF131" i="1"/>
  <c r="AO131" i="1"/>
  <c r="AP131" i="1"/>
  <c r="AQ131" i="1"/>
  <c r="AR131" i="1"/>
  <c r="AS131" i="1"/>
  <c r="AU131" i="1"/>
  <c r="AX131" i="1"/>
  <c r="AY131" i="1"/>
  <c r="CP131" i="1"/>
  <c r="DD131" i="1" s="1"/>
  <c r="CZ131" i="1"/>
  <c r="DA131" i="1"/>
  <c r="DB131" i="1" s="1"/>
  <c r="DM131" i="1"/>
  <c r="DP131" i="1"/>
  <c r="E132" i="1"/>
  <c r="H132" i="1"/>
  <c r="S132" i="1"/>
  <c r="T132" i="1"/>
  <c r="Y132" i="1"/>
  <c r="AA132" i="1"/>
  <c r="AT132" i="1" s="1"/>
  <c r="AD132" i="1"/>
  <c r="AN132" i="1" s="1"/>
  <c r="AF132" i="1"/>
  <c r="AO132" i="1"/>
  <c r="AP132" i="1"/>
  <c r="AQ132" i="1"/>
  <c r="AR132" i="1"/>
  <c r="AS132" i="1"/>
  <c r="AU132" i="1"/>
  <c r="AX132" i="1"/>
  <c r="AY132" i="1"/>
  <c r="CP132" i="1"/>
  <c r="DD132" i="1" s="1"/>
  <c r="CZ132" i="1"/>
  <c r="DA132" i="1"/>
  <c r="DB132" i="1" s="1"/>
  <c r="DM132" i="1"/>
  <c r="DP132" i="1"/>
  <c r="E133" i="1"/>
  <c r="H133" i="1"/>
  <c r="S133" i="1"/>
  <c r="T133" i="1"/>
  <c r="Y133" i="1"/>
  <c r="AA133" i="1"/>
  <c r="AT133" i="1" s="1"/>
  <c r="AD133" i="1"/>
  <c r="AN133" i="1" s="1"/>
  <c r="AF133" i="1"/>
  <c r="AO133" i="1"/>
  <c r="AP133" i="1"/>
  <c r="AQ133" i="1"/>
  <c r="AR133" i="1"/>
  <c r="AS133" i="1"/>
  <c r="AU133" i="1"/>
  <c r="AX133" i="1"/>
  <c r="AY133" i="1"/>
  <c r="CP133" i="1"/>
  <c r="DD133" i="1" s="1"/>
  <c r="CZ133" i="1"/>
  <c r="DA133" i="1"/>
  <c r="DB133" i="1" s="1"/>
  <c r="DM133" i="1"/>
  <c r="DP133" i="1"/>
  <c r="E134" i="1"/>
  <c r="H134" i="1"/>
  <c r="S134" i="1"/>
  <c r="T134" i="1"/>
  <c r="Y134" i="1"/>
  <c r="AA134" i="1"/>
  <c r="AT134" i="1" s="1"/>
  <c r="AD134" i="1"/>
  <c r="AN134" i="1" s="1"/>
  <c r="AO134" i="1"/>
  <c r="AQ134" i="1"/>
  <c r="AR134" i="1"/>
  <c r="AS134" i="1"/>
  <c r="AX134" i="1"/>
  <c r="AY134" i="1"/>
  <c r="CP134" i="1"/>
  <c r="DD134" i="1" s="1"/>
  <c r="CZ134" i="1"/>
  <c r="DA134" i="1"/>
  <c r="DB134" i="1" s="1"/>
  <c r="DP134" i="1"/>
  <c r="E135" i="1"/>
  <c r="H135" i="1"/>
  <c r="S135" i="1"/>
  <c r="T135" i="1"/>
  <c r="Y135" i="1"/>
  <c r="AA135" i="1"/>
  <c r="AT135" i="1" s="1"/>
  <c r="AD135" i="1"/>
  <c r="AN135" i="1" s="1"/>
  <c r="AF135" i="1"/>
  <c r="AO135" i="1"/>
  <c r="AP135" i="1"/>
  <c r="AQ135" i="1"/>
  <c r="AR135" i="1"/>
  <c r="AS135" i="1"/>
  <c r="AU135" i="1"/>
  <c r="AX135" i="1"/>
  <c r="AY135" i="1"/>
  <c r="CP135" i="1"/>
  <c r="DD135" i="1" s="1"/>
  <c r="CZ135" i="1"/>
  <c r="DA135" i="1"/>
  <c r="DB135" i="1" s="1"/>
  <c r="DM135" i="1"/>
  <c r="DP135" i="1"/>
  <c r="E136" i="1"/>
  <c r="H136" i="1"/>
  <c r="S136" i="1"/>
  <c r="T136" i="1"/>
  <c r="Y136" i="1"/>
  <c r="AA136" i="1"/>
  <c r="AT136" i="1" s="1"/>
  <c r="AD136" i="1"/>
  <c r="AN136" i="1" s="1"/>
  <c r="AF136" i="1"/>
  <c r="AO136" i="1"/>
  <c r="AP136" i="1"/>
  <c r="AQ136" i="1"/>
  <c r="AR136" i="1"/>
  <c r="AS136" i="1"/>
  <c r="AU136" i="1"/>
  <c r="AX136" i="1"/>
  <c r="AY136" i="1"/>
  <c r="CP136" i="1"/>
  <c r="DD136" i="1" s="1"/>
  <c r="CZ136" i="1"/>
  <c r="DA136" i="1"/>
  <c r="DB136" i="1" s="1"/>
  <c r="DM136" i="1"/>
  <c r="DP136" i="1"/>
  <c r="E137" i="1"/>
  <c r="H137" i="1"/>
  <c r="S137" i="1"/>
  <c r="T137" i="1"/>
  <c r="Y137" i="1"/>
  <c r="AA137" i="1"/>
  <c r="AT137" i="1" s="1"/>
  <c r="AD137" i="1"/>
  <c r="AN137" i="1" s="1"/>
  <c r="AF137" i="1"/>
  <c r="AO137" i="1"/>
  <c r="AP137" i="1"/>
  <c r="AQ137" i="1"/>
  <c r="AR137" i="1"/>
  <c r="AS137" i="1"/>
  <c r="AU137" i="1"/>
  <c r="AX137" i="1"/>
  <c r="AY137" i="1"/>
  <c r="CP137" i="1"/>
  <c r="DD137" i="1" s="1"/>
  <c r="CZ137" i="1"/>
  <c r="DA137" i="1"/>
  <c r="DB137" i="1" s="1"/>
  <c r="DM137" i="1"/>
  <c r="DP137" i="1"/>
  <c r="E138" i="1"/>
  <c r="H138" i="1"/>
  <c r="S138" i="1"/>
  <c r="T138" i="1"/>
  <c r="Y138" i="1"/>
  <c r="AA138" i="1"/>
  <c r="AT138" i="1" s="1"/>
  <c r="AD138" i="1"/>
  <c r="AN138" i="1" s="1"/>
  <c r="AF138" i="1"/>
  <c r="AO138" i="1"/>
  <c r="AP138" i="1"/>
  <c r="AQ138" i="1"/>
  <c r="AR138" i="1"/>
  <c r="AS138" i="1"/>
  <c r="AU138" i="1"/>
  <c r="AX138" i="1"/>
  <c r="AY138" i="1"/>
  <c r="CP138" i="1"/>
  <c r="DD138" i="1" s="1"/>
  <c r="CZ138" i="1"/>
  <c r="DA138" i="1"/>
  <c r="DB138" i="1" s="1"/>
  <c r="DM138" i="1"/>
  <c r="DP138" i="1"/>
  <c r="E139" i="1"/>
  <c r="H139" i="1"/>
  <c r="S139" i="1"/>
  <c r="T139" i="1"/>
  <c r="Y139" i="1"/>
  <c r="AA139" i="1"/>
  <c r="AT139" i="1" s="1"/>
  <c r="AD139" i="1"/>
  <c r="AN139" i="1" s="1"/>
  <c r="AF139" i="1"/>
  <c r="AO139" i="1"/>
  <c r="AP139" i="1"/>
  <c r="AQ139" i="1"/>
  <c r="AR139" i="1"/>
  <c r="AS139" i="1"/>
  <c r="AU139" i="1"/>
  <c r="AX139" i="1"/>
  <c r="AY139" i="1"/>
  <c r="CP139" i="1"/>
  <c r="DD139" i="1" s="1"/>
  <c r="CZ139" i="1"/>
  <c r="DA139" i="1"/>
  <c r="DB139" i="1" s="1"/>
  <c r="DM139" i="1"/>
  <c r="DP139" i="1"/>
  <c r="E140" i="1"/>
  <c r="H140" i="1"/>
  <c r="S140" i="1"/>
  <c r="T140" i="1"/>
  <c r="Y140" i="1"/>
  <c r="AA140" i="1"/>
  <c r="AT140" i="1" s="1"/>
  <c r="AD140" i="1"/>
  <c r="AN140" i="1" s="1"/>
  <c r="AF140" i="1"/>
  <c r="AO140" i="1"/>
  <c r="AP140" i="1"/>
  <c r="AQ140" i="1"/>
  <c r="AR140" i="1"/>
  <c r="AS140" i="1"/>
  <c r="AU140" i="1"/>
  <c r="AX140" i="1"/>
  <c r="AY140" i="1"/>
  <c r="CP140" i="1"/>
  <c r="DD140" i="1" s="1"/>
  <c r="CZ140" i="1"/>
  <c r="DA140" i="1"/>
  <c r="DB140" i="1" s="1"/>
  <c r="DM140" i="1"/>
  <c r="DP140" i="1"/>
  <c r="E141" i="1"/>
  <c r="H141" i="1"/>
  <c r="S141" i="1"/>
  <c r="T141" i="1"/>
  <c r="Y141" i="1"/>
  <c r="AA141" i="1"/>
  <c r="AT141" i="1" s="1"/>
  <c r="AD141" i="1"/>
  <c r="AN141" i="1" s="1"/>
  <c r="AF141" i="1"/>
  <c r="AO141" i="1"/>
  <c r="AP141" i="1"/>
  <c r="AQ141" i="1"/>
  <c r="AR141" i="1"/>
  <c r="AS141" i="1"/>
  <c r="AU141" i="1"/>
  <c r="AX141" i="1"/>
  <c r="AY141" i="1"/>
  <c r="CP141" i="1"/>
  <c r="DD141" i="1" s="1"/>
  <c r="CZ141" i="1"/>
  <c r="DA141" i="1"/>
  <c r="DB141" i="1" s="1"/>
  <c r="DM141" i="1"/>
  <c r="DP141" i="1"/>
  <c r="E142" i="1"/>
  <c r="H142" i="1"/>
  <c r="S142" i="1"/>
  <c r="T142" i="1"/>
  <c r="Y142" i="1"/>
  <c r="AA142" i="1"/>
  <c r="AT142" i="1" s="1"/>
  <c r="AD142" i="1"/>
  <c r="AN142" i="1" s="1"/>
  <c r="AF142" i="1"/>
  <c r="AO142" i="1"/>
  <c r="AP142" i="1"/>
  <c r="AQ142" i="1"/>
  <c r="AR142" i="1"/>
  <c r="AS142" i="1"/>
  <c r="AU142" i="1"/>
  <c r="AX142" i="1"/>
  <c r="AY142" i="1"/>
  <c r="CP142" i="1"/>
  <c r="DD142" i="1" s="1"/>
  <c r="CZ142" i="1"/>
  <c r="DA142" i="1"/>
  <c r="DB142" i="1" s="1"/>
  <c r="DM142" i="1"/>
  <c r="DP142" i="1"/>
  <c r="E143" i="1"/>
  <c r="H143" i="1"/>
  <c r="S143" i="1"/>
  <c r="T143" i="1"/>
  <c r="Y143" i="1"/>
  <c r="AA143" i="1"/>
  <c r="AT143" i="1" s="1"/>
  <c r="AU143" i="1" s="1"/>
  <c r="AD143" i="1"/>
  <c r="AN143" i="1" s="1"/>
  <c r="AO143" i="1"/>
  <c r="AQ143" i="1"/>
  <c r="AR143" i="1"/>
  <c r="AS143" i="1"/>
  <c r="AX143" i="1"/>
  <c r="AY143" i="1"/>
  <c r="CP143" i="1"/>
  <c r="DD143" i="1" s="1"/>
  <c r="CZ143" i="1"/>
  <c r="DA143" i="1"/>
  <c r="DB143" i="1" s="1"/>
  <c r="DM143" i="1"/>
  <c r="DP143" i="1"/>
  <c r="E144" i="1"/>
  <c r="H144" i="1"/>
  <c r="S144" i="1"/>
  <c r="T144" i="1"/>
  <c r="Y144" i="1"/>
  <c r="AA144" i="1"/>
  <c r="AT144" i="1" s="1"/>
  <c r="AD144" i="1"/>
  <c r="AN144" i="1" s="1"/>
  <c r="AF144" i="1"/>
  <c r="AP144" i="1" s="1"/>
  <c r="AO144" i="1"/>
  <c r="AQ144" i="1"/>
  <c r="AR144" i="1"/>
  <c r="AS144" i="1"/>
  <c r="AU144" i="1" s="1"/>
  <c r="AX144" i="1"/>
  <c r="AY144" i="1"/>
  <c r="CP144" i="1"/>
  <c r="DD144" i="1" s="1"/>
  <c r="CZ144" i="1"/>
  <c r="DA144" i="1"/>
  <c r="DB144" i="1" s="1"/>
  <c r="DM144" i="1"/>
  <c r="DP144" i="1"/>
  <c r="H145" i="1"/>
  <c r="S145" i="1"/>
  <c r="T145" i="1"/>
  <c r="Y145" i="1"/>
  <c r="AA145" i="1"/>
  <c r="AT145" i="1" s="1"/>
  <c r="AD145" i="1"/>
  <c r="AN145" i="1" s="1"/>
  <c r="AF145" i="1"/>
  <c r="AO145" i="1"/>
  <c r="AP145" i="1"/>
  <c r="AQ145" i="1"/>
  <c r="AR145" i="1"/>
  <c r="AS145" i="1"/>
  <c r="AU145" i="1"/>
  <c r="AX145" i="1"/>
  <c r="AY145" i="1"/>
  <c r="CP145" i="1"/>
  <c r="DD145" i="1" s="1"/>
  <c r="CZ145" i="1"/>
  <c r="DA145" i="1"/>
  <c r="DB145" i="1" s="1"/>
  <c r="DM145" i="1"/>
  <c r="DP145" i="1"/>
  <c r="E146" i="1"/>
  <c r="H146" i="1"/>
  <c r="S146" i="1"/>
  <c r="T146" i="1"/>
  <c r="Y146" i="1"/>
  <c r="AA146" i="1"/>
  <c r="AT146" i="1" s="1"/>
  <c r="AD146" i="1"/>
  <c r="AN146" i="1" s="1"/>
  <c r="AF146" i="1"/>
  <c r="AO146" i="1"/>
  <c r="AP146" i="1"/>
  <c r="AQ146" i="1"/>
  <c r="AR146" i="1"/>
  <c r="AS146" i="1"/>
  <c r="AU146" i="1"/>
  <c r="AX146" i="1"/>
  <c r="AY146" i="1"/>
  <c r="CP146" i="1"/>
  <c r="DD146" i="1" s="1"/>
  <c r="CZ146" i="1"/>
  <c r="DA146" i="1"/>
  <c r="DB146" i="1" s="1"/>
  <c r="DM146" i="1"/>
  <c r="DP146" i="1"/>
  <c r="E147" i="1"/>
  <c r="H147" i="1"/>
  <c r="S147" i="1"/>
  <c r="T147" i="1"/>
  <c r="Y147" i="1"/>
  <c r="AA147" i="1"/>
  <c r="AT147" i="1" s="1"/>
  <c r="AD147" i="1"/>
  <c r="AN147" i="1" s="1"/>
  <c r="AF147" i="1"/>
  <c r="AO147" i="1"/>
  <c r="AP147" i="1"/>
  <c r="AQ147" i="1"/>
  <c r="AR147" i="1"/>
  <c r="AS147" i="1"/>
  <c r="AU147" i="1"/>
  <c r="AX147" i="1"/>
  <c r="AY147" i="1"/>
  <c r="CP147" i="1"/>
  <c r="DD147" i="1" s="1"/>
  <c r="CZ147" i="1"/>
  <c r="DA147" i="1"/>
  <c r="DB147" i="1" s="1"/>
  <c r="DM147" i="1"/>
  <c r="DP147" i="1"/>
  <c r="E118" i="1"/>
  <c r="H118" i="1"/>
  <c r="S118" i="1"/>
  <c r="T118" i="1"/>
  <c r="Y118" i="1"/>
  <c r="AA118" i="1"/>
  <c r="AT118" i="1" s="1"/>
  <c r="AD118" i="1"/>
  <c r="AN118" i="1" s="1"/>
  <c r="AF118" i="1"/>
  <c r="AO118" i="1"/>
  <c r="AP118" i="1"/>
  <c r="AQ118" i="1"/>
  <c r="AR118" i="1"/>
  <c r="AS118" i="1"/>
  <c r="AU118" i="1"/>
  <c r="AX118" i="1"/>
  <c r="AY118" i="1"/>
  <c r="CP118" i="1"/>
  <c r="DD118" i="1" s="1"/>
  <c r="CZ118" i="1"/>
  <c r="DA118" i="1"/>
  <c r="DB118" i="1" s="1"/>
  <c r="DM118" i="1"/>
  <c r="DP118" i="1"/>
  <c r="E119" i="1"/>
  <c r="H119" i="1"/>
  <c r="S119" i="1"/>
  <c r="T119" i="1"/>
  <c r="Y119" i="1"/>
  <c r="AA119" i="1"/>
  <c r="AT119" i="1" s="1"/>
  <c r="AD119" i="1"/>
  <c r="AN119" i="1" s="1"/>
  <c r="AO119" i="1"/>
  <c r="AQ119" i="1"/>
  <c r="AR119" i="1"/>
  <c r="AS119" i="1"/>
  <c r="AX119" i="1"/>
  <c r="AY119" i="1"/>
  <c r="CP119" i="1"/>
  <c r="DD119" i="1" s="1"/>
  <c r="CZ119" i="1"/>
  <c r="DA119" i="1"/>
  <c r="DB119" i="1" s="1"/>
  <c r="DP119" i="1"/>
  <c r="E120" i="1"/>
  <c r="H120" i="1"/>
  <c r="S120" i="1"/>
  <c r="T120" i="1"/>
  <c r="Y120" i="1"/>
  <c r="AA120" i="1"/>
  <c r="AT120" i="1" s="1"/>
  <c r="AD120" i="1"/>
  <c r="AN120" i="1" s="1"/>
  <c r="AO120" i="1"/>
  <c r="AQ120" i="1"/>
  <c r="AR120" i="1"/>
  <c r="AS120" i="1"/>
  <c r="AX120" i="1"/>
  <c r="AY120" i="1"/>
  <c r="CP120" i="1"/>
  <c r="DD120" i="1" s="1"/>
  <c r="CZ120" i="1"/>
  <c r="DA120" i="1"/>
  <c r="DB120" i="1" s="1"/>
  <c r="DP120" i="1"/>
  <c r="E121" i="1"/>
  <c r="H121" i="1"/>
  <c r="S121" i="1"/>
  <c r="T121" i="1"/>
  <c r="Y121" i="1"/>
  <c r="AA121" i="1"/>
  <c r="AT121" i="1" s="1"/>
  <c r="AD121" i="1"/>
  <c r="AN121" i="1" s="1"/>
  <c r="AF121" i="1"/>
  <c r="AO121" i="1"/>
  <c r="AP121" i="1"/>
  <c r="AQ121" i="1"/>
  <c r="AR121" i="1"/>
  <c r="AS121" i="1"/>
  <c r="AU121" i="1"/>
  <c r="AX121" i="1"/>
  <c r="AY121" i="1"/>
  <c r="CP121" i="1"/>
  <c r="DD121" i="1" s="1"/>
  <c r="CZ121" i="1"/>
  <c r="DA121" i="1"/>
  <c r="DB121" i="1" s="1"/>
  <c r="DM121" i="1"/>
  <c r="DP121" i="1"/>
  <c r="E122" i="1"/>
  <c r="H122" i="1"/>
  <c r="S122" i="1"/>
  <c r="T122" i="1"/>
  <c r="Y122" i="1"/>
  <c r="AA122" i="1"/>
  <c r="AT122" i="1" s="1"/>
  <c r="AD122" i="1"/>
  <c r="AN122" i="1" s="1"/>
  <c r="AF122" i="1"/>
  <c r="AO122" i="1"/>
  <c r="AP122" i="1"/>
  <c r="AQ122" i="1"/>
  <c r="AR122" i="1"/>
  <c r="AS122" i="1"/>
  <c r="AU122" i="1"/>
  <c r="AX122" i="1"/>
  <c r="AY122" i="1"/>
  <c r="CP122" i="1"/>
  <c r="DD122" i="1" s="1"/>
  <c r="CZ122" i="1"/>
  <c r="DA122" i="1"/>
  <c r="DB122" i="1" s="1"/>
  <c r="DM122" i="1"/>
  <c r="DP122" i="1"/>
  <c r="E123" i="1"/>
  <c r="H123" i="1"/>
  <c r="S123" i="1"/>
  <c r="T123" i="1"/>
  <c r="Y123" i="1"/>
  <c r="AA123" i="1"/>
  <c r="AT123" i="1" s="1"/>
  <c r="AD123" i="1"/>
  <c r="AN123" i="1" s="1"/>
  <c r="AF123" i="1"/>
  <c r="AO123" i="1"/>
  <c r="AP123" i="1"/>
  <c r="AQ123" i="1"/>
  <c r="AR123" i="1"/>
  <c r="AS123" i="1"/>
  <c r="AU123" i="1"/>
  <c r="AX123" i="1"/>
  <c r="AY123" i="1"/>
  <c r="CP123" i="1"/>
  <c r="DD123" i="1" s="1"/>
  <c r="CZ123" i="1"/>
  <c r="DA123" i="1"/>
  <c r="DB123" i="1" s="1"/>
  <c r="DM123" i="1"/>
  <c r="DP123" i="1"/>
  <c r="E124" i="1"/>
  <c r="H124" i="1"/>
  <c r="S124" i="1"/>
  <c r="T124" i="1"/>
  <c r="Y124" i="1"/>
  <c r="AA124" i="1"/>
  <c r="AT124" i="1" s="1"/>
  <c r="AD124" i="1"/>
  <c r="AN124" i="1" s="1"/>
  <c r="AF124" i="1"/>
  <c r="AO124" i="1"/>
  <c r="AP124" i="1"/>
  <c r="AQ124" i="1"/>
  <c r="AR124" i="1"/>
  <c r="AS124" i="1"/>
  <c r="AU124" i="1"/>
  <c r="AX124" i="1"/>
  <c r="AY124" i="1"/>
  <c r="CP124" i="1"/>
  <c r="DD124" i="1" s="1"/>
  <c r="CZ124" i="1"/>
  <c r="DA124" i="1"/>
  <c r="DB124" i="1" s="1"/>
  <c r="DM124" i="1"/>
  <c r="DP124" i="1"/>
  <c r="E125" i="1"/>
  <c r="H125" i="1"/>
  <c r="S125" i="1"/>
  <c r="T125" i="1"/>
  <c r="Y125" i="1"/>
  <c r="AA125" i="1"/>
  <c r="AT125" i="1" s="1"/>
  <c r="AD125" i="1"/>
  <c r="AN125" i="1" s="1"/>
  <c r="AF125" i="1"/>
  <c r="AO125" i="1"/>
  <c r="AP125" i="1"/>
  <c r="AQ125" i="1"/>
  <c r="AR125" i="1"/>
  <c r="AS125" i="1"/>
  <c r="AU125" i="1"/>
  <c r="AX125" i="1"/>
  <c r="AY125" i="1"/>
  <c r="CP125" i="1"/>
  <c r="DD125" i="1" s="1"/>
  <c r="CZ125" i="1"/>
  <c r="DA125" i="1"/>
  <c r="DB125" i="1" s="1"/>
  <c r="DM125" i="1"/>
  <c r="DP125" i="1"/>
  <c r="E126" i="1"/>
  <c r="H126" i="1"/>
  <c r="S126" i="1"/>
  <c r="T126" i="1"/>
  <c r="Y126" i="1"/>
  <c r="AA126" i="1"/>
  <c r="AT126" i="1" s="1"/>
  <c r="AD126" i="1"/>
  <c r="AN126" i="1" s="1"/>
  <c r="AF126" i="1"/>
  <c r="AO126" i="1"/>
  <c r="AP126" i="1"/>
  <c r="AQ126" i="1"/>
  <c r="AR126" i="1"/>
  <c r="AS126" i="1"/>
  <c r="AU126" i="1"/>
  <c r="AX126" i="1"/>
  <c r="AY126" i="1"/>
  <c r="CP126" i="1"/>
  <c r="DD126" i="1" s="1"/>
  <c r="CZ126" i="1"/>
  <c r="DA126" i="1"/>
  <c r="DB126" i="1" s="1"/>
  <c r="DM126" i="1"/>
  <c r="DP126" i="1"/>
  <c r="E127" i="1"/>
  <c r="H127" i="1"/>
  <c r="S127" i="1"/>
  <c r="T127" i="1"/>
  <c r="Y127" i="1"/>
  <c r="AA127" i="1"/>
  <c r="AT127" i="1" s="1"/>
  <c r="AD127" i="1"/>
  <c r="AN127" i="1" s="1"/>
  <c r="AF127" i="1"/>
  <c r="AO127" i="1"/>
  <c r="AP127" i="1"/>
  <c r="AQ127" i="1"/>
  <c r="AR127" i="1"/>
  <c r="AS127" i="1"/>
  <c r="AU127" i="1"/>
  <c r="AX127" i="1"/>
  <c r="AY127" i="1"/>
  <c r="CP127" i="1"/>
  <c r="DD127" i="1" s="1"/>
  <c r="CZ127" i="1"/>
  <c r="DA127" i="1"/>
  <c r="DB127" i="1" s="1"/>
  <c r="DM127" i="1"/>
  <c r="DP127" i="1"/>
  <c r="DC147" i="1" l="1"/>
  <c r="DC145" i="1"/>
  <c r="DC146" i="1"/>
  <c r="DC144" i="1"/>
  <c r="AF143" i="1"/>
  <c r="AP143" i="1" s="1"/>
  <c r="DC142" i="1"/>
  <c r="DC141" i="1"/>
  <c r="DC140" i="1"/>
  <c r="DC130" i="1"/>
  <c r="AF134" i="1"/>
  <c r="AP134" i="1" s="1"/>
  <c r="AU134" i="1"/>
  <c r="DC137" i="1"/>
  <c r="AF120" i="1"/>
  <c r="AP120" i="1" s="1"/>
  <c r="DC136" i="1"/>
  <c r="DC135" i="1"/>
  <c r="DC132" i="1"/>
  <c r="DC139" i="1"/>
  <c r="DC134" i="1"/>
  <c r="DC133" i="1"/>
  <c r="DC143" i="1"/>
  <c r="DC138" i="1"/>
  <c r="AU119" i="1"/>
  <c r="AU120" i="1"/>
  <c r="AF119" i="1"/>
  <c r="AP119" i="1" s="1"/>
  <c r="DC131" i="1"/>
  <c r="DC124" i="1"/>
  <c r="DC123" i="1"/>
  <c r="DC119" i="1"/>
  <c r="DC126" i="1"/>
  <c r="DC121" i="1"/>
  <c r="DC125" i="1"/>
  <c r="DC122" i="1"/>
  <c r="DC120" i="1"/>
  <c r="DC118" i="1"/>
  <c r="DC127" i="1"/>
  <c r="E98" i="1"/>
  <c r="H98" i="1"/>
  <c r="S98" i="1"/>
  <c r="T98" i="1"/>
  <c r="Y98" i="1"/>
  <c r="AA98" i="1"/>
  <c r="AT98" i="1" s="1"/>
  <c r="AD98" i="1"/>
  <c r="AN98" i="1" s="1"/>
  <c r="AF98" i="1"/>
  <c r="AO98" i="1"/>
  <c r="AP98" i="1"/>
  <c r="AQ98" i="1"/>
  <c r="AR98" i="1"/>
  <c r="AS98" i="1"/>
  <c r="AU98" i="1"/>
  <c r="AX98" i="1"/>
  <c r="AY98" i="1"/>
  <c r="CP98" i="1"/>
  <c r="DD98" i="1" s="1"/>
  <c r="CZ98" i="1"/>
  <c r="DA98" i="1"/>
  <c r="DB98" i="1" s="1"/>
  <c r="DM98" i="1"/>
  <c r="DP98" i="1"/>
  <c r="E99" i="1"/>
  <c r="H99" i="1"/>
  <c r="S99" i="1"/>
  <c r="T99" i="1"/>
  <c r="Y99" i="1"/>
  <c r="AA99" i="1"/>
  <c r="AT99" i="1" s="1"/>
  <c r="AD99" i="1"/>
  <c r="AN99" i="1" s="1"/>
  <c r="AF99" i="1"/>
  <c r="AO99" i="1"/>
  <c r="AP99" i="1"/>
  <c r="AQ99" i="1"/>
  <c r="AR99" i="1"/>
  <c r="AS99" i="1"/>
  <c r="AU99" i="1"/>
  <c r="AX99" i="1"/>
  <c r="AY99" i="1"/>
  <c r="CP99" i="1"/>
  <c r="DD99" i="1" s="1"/>
  <c r="CZ99" i="1"/>
  <c r="DA99" i="1"/>
  <c r="DB99" i="1" s="1"/>
  <c r="DM99" i="1"/>
  <c r="DP99" i="1"/>
  <c r="E100" i="1"/>
  <c r="H100" i="1"/>
  <c r="S100" i="1"/>
  <c r="T100" i="1"/>
  <c r="Y100" i="1"/>
  <c r="AA100" i="1"/>
  <c r="AT100" i="1" s="1"/>
  <c r="AD100" i="1"/>
  <c r="AN100" i="1" s="1"/>
  <c r="AF100" i="1"/>
  <c r="AO100" i="1"/>
  <c r="AP100" i="1"/>
  <c r="AQ100" i="1"/>
  <c r="AR100" i="1"/>
  <c r="AS100" i="1"/>
  <c r="AU100" i="1"/>
  <c r="AX100" i="1"/>
  <c r="AY100" i="1"/>
  <c r="CP100" i="1"/>
  <c r="DD100" i="1" s="1"/>
  <c r="CZ100" i="1"/>
  <c r="DA100" i="1"/>
  <c r="DB100" i="1" s="1"/>
  <c r="DM100" i="1"/>
  <c r="DP100" i="1"/>
  <c r="E101" i="1"/>
  <c r="H101" i="1"/>
  <c r="S101" i="1"/>
  <c r="T101" i="1"/>
  <c r="Y101" i="1"/>
  <c r="AA101" i="1"/>
  <c r="AT101" i="1" s="1"/>
  <c r="AD101" i="1"/>
  <c r="AN101" i="1" s="1"/>
  <c r="AF101" i="1"/>
  <c r="AO101" i="1"/>
  <c r="AP101" i="1"/>
  <c r="AQ101" i="1"/>
  <c r="AR101" i="1"/>
  <c r="AS101" i="1"/>
  <c r="AU101" i="1"/>
  <c r="AX101" i="1"/>
  <c r="AY101" i="1"/>
  <c r="CP101" i="1"/>
  <c r="DD101" i="1" s="1"/>
  <c r="CZ101" i="1"/>
  <c r="DA101" i="1"/>
  <c r="DB101" i="1" s="1"/>
  <c r="DM101" i="1"/>
  <c r="DP101" i="1"/>
  <c r="E102" i="1"/>
  <c r="H102" i="1"/>
  <c r="S102" i="1"/>
  <c r="T102" i="1"/>
  <c r="Y102" i="1"/>
  <c r="AA102" i="1"/>
  <c r="AT102" i="1" s="1"/>
  <c r="AD102" i="1"/>
  <c r="AN102" i="1" s="1"/>
  <c r="AF102" i="1"/>
  <c r="AO102" i="1"/>
  <c r="AP102" i="1"/>
  <c r="AQ102" i="1"/>
  <c r="AR102" i="1"/>
  <c r="AS102" i="1"/>
  <c r="AU102" i="1"/>
  <c r="AX102" i="1"/>
  <c r="AY102" i="1"/>
  <c r="CP102" i="1"/>
  <c r="DD102" i="1" s="1"/>
  <c r="CZ102" i="1"/>
  <c r="DA102" i="1"/>
  <c r="DB102" i="1" s="1"/>
  <c r="DM102" i="1"/>
  <c r="DP102" i="1"/>
  <c r="E103" i="1"/>
  <c r="H103" i="1"/>
  <c r="S103" i="1"/>
  <c r="T103" i="1"/>
  <c r="Y103" i="1"/>
  <c r="AA103" i="1"/>
  <c r="AT103" i="1" s="1"/>
  <c r="AD103" i="1"/>
  <c r="AN103" i="1" s="1"/>
  <c r="AF103" i="1"/>
  <c r="AO103" i="1"/>
  <c r="AP103" i="1"/>
  <c r="AQ103" i="1"/>
  <c r="AR103" i="1"/>
  <c r="AS103" i="1"/>
  <c r="AU103" i="1"/>
  <c r="AX103" i="1"/>
  <c r="AY103" i="1"/>
  <c r="CP103" i="1"/>
  <c r="DD103" i="1" s="1"/>
  <c r="CZ103" i="1"/>
  <c r="DA103" i="1"/>
  <c r="DB103" i="1" s="1"/>
  <c r="DM103" i="1"/>
  <c r="DP103" i="1"/>
  <c r="E104" i="1"/>
  <c r="H104" i="1"/>
  <c r="S104" i="1"/>
  <c r="T104" i="1"/>
  <c r="Y104" i="1"/>
  <c r="AA104" i="1"/>
  <c r="AT104" i="1" s="1"/>
  <c r="AD104" i="1"/>
  <c r="AN104" i="1" s="1"/>
  <c r="AF104" i="1"/>
  <c r="AO104" i="1"/>
  <c r="AP104" i="1"/>
  <c r="AQ104" i="1"/>
  <c r="AR104" i="1"/>
  <c r="AS104" i="1"/>
  <c r="AU104" i="1"/>
  <c r="AX104" i="1"/>
  <c r="AY104" i="1"/>
  <c r="CP104" i="1"/>
  <c r="DD104" i="1" s="1"/>
  <c r="CZ104" i="1"/>
  <c r="DA104" i="1"/>
  <c r="DB104" i="1" s="1"/>
  <c r="DM104" i="1"/>
  <c r="DP104" i="1"/>
  <c r="E105" i="1"/>
  <c r="H105" i="1"/>
  <c r="S105" i="1"/>
  <c r="T105" i="1"/>
  <c r="Y105" i="1"/>
  <c r="AA105" i="1"/>
  <c r="AT105" i="1" s="1"/>
  <c r="AN105" i="1"/>
  <c r="AO105" i="1"/>
  <c r="AQ105" i="1"/>
  <c r="AR105" i="1"/>
  <c r="AS105" i="1"/>
  <c r="AX105" i="1"/>
  <c r="AY105" i="1"/>
  <c r="CP105" i="1"/>
  <c r="DD105" i="1" s="1"/>
  <c r="CZ105" i="1"/>
  <c r="DA105" i="1"/>
  <c r="DB105" i="1" s="1"/>
  <c r="E106" i="1"/>
  <c r="H106" i="1"/>
  <c r="S106" i="1"/>
  <c r="T106" i="1"/>
  <c r="Y106" i="1"/>
  <c r="AA106" i="1"/>
  <c r="AT106" i="1" s="1"/>
  <c r="AD106" i="1"/>
  <c r="AN106" i="1" s="1"/>
  <c r="AF106" i="1"/>
  <c r="AO106" i="1"/>
  <c r="AP106" i="1"/>
  <c r="AQ106" i="1"/>
  <c r="AR106" i="1"/>
  <c r="AS106" i="1"/>
  <c r="AU106" i="1"/>
  <c r="AX106" i="1"/>
  <c r="AY106" i="1"/>
  <c r="CP106" i="1"/>
  <c r="DD106" i="1" s="1"/>
  <c r="CZ106" i="1"/>
  <c r="DA106" i="1"/>
  <c r="DB106" i="1" s="1"/>
  <c r="DM106" i="1"/>
  <c r="DP106" i="1"/>
  <c r="E107" i="1"/>
  <c r="H107" i="1"/>
  <c r="S107" i="1"/>
  <c r="T107" i="1"/>
  <c r="Y107" i="1"/>
  <c r="AA107" i="1"/>
  <c r="AT107" i="1" s="1"/>
  <c r="AD107" i="1"/>
  <c r="AN107" i="1" s="1"/>
  <c r="AF107" i="1"/>
  <c r="AO107" i="1"/>
  <c r="AP107" i="1"/>
  <c r="AQ107" i="1"/>
  <c r="AR107" i="1"/>
  <c r="AS107" i="1"/>
  <c r="AU107" i="1"/>
  <c r="AX107" i="1"/>
  <c r="AY107" i="1"/>
  <c r="CP107" i="1"/>
  <c r="DD107" i="1" s="1"/>
  <c r="CZ107" i="1"/>
  <c r="DA107" i="1"/>
  <c r="DB107" i="1" s="1"/>
  <c r="DM107" i="1"/>
  <c r="DP107" i="1"/>
  <c r="E108" i="1"/>
  <c r="H108" i="1"/>
  <c r="S108" i="1"/>
  <c r="T108" i="1"/>
  <c r="Y108" i="1"/>
  <c r="AA108" i="1"/>
  <c r="AT108" i="1" s="1"/>
  <c r="AD108" i="1"/>
  <c r="AN108" i="1" s="1"/>
  <c r="AF108" i="1"/>
  <c r="AO108" i="1"/>
  <c r="AP108" i="1"/>
  <c r="AQ108" i="1"/>
  <c r="AR108" i="1"/>
  <c r="AS108" i="1"/>
  <c r="AU108" i="1"/>
  <c r="AX108" i="1"/>
  <c r="AY108" i="1"/>
  <c r="CP108" i="1"/>
  <c r="DD108" i="1" s="1"/>
  <c r="CZ108" i="1"/>
  <c r="DA108" i="1"/>
  <c r="DB108" i="1" s="1"/>
  <c r="DM108" i="1"/>
  <c r="DP108" i="1"/>
  <c r="E109" i="1"/>
  <c r="H109" i="1"/>
  <c r="S109" i="1"/>
  <c r="T109" i="1"/>
  <c r="Y109" i="1"/>
  <c r="AA109" i="1"/>
  <c r="AT109" i="1" s="1"/>
  <c r="AD109" i="1"/>
  <c r="AN109" i="1" s="1"/>
  <c r="AF109" i="1"/>
  <c r="AO109" i="1"/>
  <c r="AP109" i="1"/>
  <c r="AQ109" i="1"/>
  <c r="AR109" i="1"/>
  <c r="AS109" i="1"/>
  <c r="AU109" i="1"/>
  <c r="AX109" i="1"/>
  <c r="AY109" i="1"/>
  <c r="CP109" i="1"/>
  <c r="DD109" i="1" s="1"/>
  <c r="CZ109" i="1"/>
  <c r="DA109" i="1"/>
  <c r="DB109" i="1" s="1"/>
  <c r="DM109" i="1"/>
  <c r="DP109" i="1"/>
  <c r="E110" i="1"/>
  <c r="H110" i="1"/>
  <c r="S110" i="1"/>
  <c r="T110" i="1"/>
  <c r="Y110" i="1"/>
  <c r="AA110" i="1"/>
  <c r="AT110" i="1" s="1"/>
  <c r="AD110" i="1"/>
  <c r="AN110" i="1" s="1"/>
  <c r="AF110" i="1"/>
  <c r="AO110" i="1"/>
  <c r="AP110" i="1"/>
  <c r="AQ110" i="1"/>
  <c r="AR110" i="1"/>
  <c r="AS110" i="1"/>
  <c r="AU110" i="1"/>
  <c r="AX110" i="1"/>
  <c r="AY110" i="1"/>
  <c r="CP110" i="1"/>
  <c r="DD110" i="1" s="1"/>
  <c r="CZ110" i="1"/>
  <c r="DA110" i="1"/>
  <c r="DB110" i="1" s="1"/>
  <c r="DM110" i="1"/>
  <c r="DP110" i="1"/>
  <c r="E111" i="1"/>
  <c r="H111" i="1"/>
  <c r="S111" i="1"/>
  <c r="T111" i="1"/>
  <c r="Y111" i="1"/>
  <c r="AA111" i="1"/>
  <c r="AT111" i="1" s="1"/>
  <c r="AD111" i="1"/>
  <c r="AN111" i="1" s="1"/>
  <c r="AF111" i="1"/>
  <c r="AO111" i="1"/>
  <c r="AP111" i="1"/>
  <c r="AQ111" i="1"/>
  <c r="AR111" i="1"/>
  <c r="AS111" i="1"/>
  <c r="AU111" i="1"/>
  <c r="AX111" i="1"/>
  <c r="AY111" i="1"/>
  <c r="CP111" i="1"/>
  <c r="DD111" i="1" s="1"/>
  <c r="CZ111" i="1"/>
  <c r="DA111" i="1"/>
  <c r="DB111" i="1" s="1"/>
  <c r="DM111" i="1"/>
  <c r="DP111" i="1"/>
  <c r="E112" i="1"/>
  <c r="H112" i="1"/>
  <c r="S112" i="1"/>
  <c r="T112" i="1"/>
  <c r="Y112" i="1"/>
  <c r="AA112" i="1"/>
  <c r="AT112" i="1" s="1"/>
  <c r="AD112" i="1"/>
  <c r="AN112" i="1" s="1"/>
  <c r="AF112" i="1"/>
  <c r="AO112" i="1"/>
  <c r="AP112" i="1"/>
  <c r="AQ112" i="1"/>
  <c r="AR112" i="1"/>
  <c r="AS112" i="1"/>
  <c r="AU112" i="1"/>
  <c r="AX112" i="1"/>
  <c r="AY112" i="1"/>
  <c r="CP112" i="1"/>
  <c r="DD112" i="1" s="1"/>
  <c r="CZ112" i="1"/>
  <c r="DA112" i="1"/>
  <c r="DB112" i="1" s="1"/>
  <c r="DM112" i="1"/>
  <c r="DP112" i="1"/>
  <c r="E113" i="1"/>
  <c r="H113" i="1"/>
  <c r="S113" i="1"/>
  <c r="Y113" i="1"/>
  <c r="AA113" i="1"/>
  <c r="AT113" i="1" s="1"/>
  <c r="AD113" i="1"/>
  <c r="AN113" i="1" s="1"/>
  <c r="AO113" i="1"/>
  <c r="AQ113" i="1"/>
  <c r="AS113" i="1"/>
  <c r="AX113" i="1"/>
  <c r="AY113" i="1"/>
  <c r="CP113" i="1"/>
  <c r="DD113" i="1" s="1"/>
  <c r="CZ113" i="1"/>
  <c r="DA113" i="1"/>
  <c r="DB113" i="1" s="1"/>
  <c r="DP113" i="1"/>
  <c r="E115" i="1"/>
  <c r="H115" i="1"/>
  <c r="S115" i="1"/>
  <c r="T115" i="1"/>
  <c r="Y115" i="1"/>
  <c r="AA115" i="1"/>
  <c r="AT115" i="1" s="1"/>
  <c r="AD115" i="1"/>
  <c r="AN115" i="1" s="1"/>
  <c r="AF115" i="1"/>
  <c r="AO115" i="1"/>
  <c r="AP115" i="1"/>
  <c r="AQ115" i="1"/>
  <c r="AR115" i="1"/>
  <c r="AS115" i="1"/>
  <c r="AU115" i="1"/>
  <c r="AX115" i="1"/>
  <c r="AY115" i="1"/>
  <c r="CP115" i="1"/>
  <c r="DD115" i="1" s="1"/>
  <c r="CZ115" i="1"/>
  <c r="DA115" i="1"/>
  <c r="DB115" i="1" s="1"/>
  <c r="DM115" i="1"/>
  <c r="DP115" i="1"/>
  <c r="E62" i="1"/>
  <c r="H62" i="1"/>
  <c r="S62" i="1"/>
  <c r="T62" i="1"/>
  <c r="Y62" i="1"/>
  <c r="AA62" i="1"/>
  <c r="AT62" i="1" s="1"/>
  <c r="AD62" i="1"/>
  <c r="AN62" i="1" s="1"/>
  <c r="AO62" i="1"/>
  <c r="AQ62" i="1"/>
  <c r="AR62" i="1"/>
  <c r="AS62" i="1"/>
  <c r="AX62" i="1"/>
  <c r="AY62" i="1"/>
  <c r="CP62" i="1"/>
  <c r="DD62" i="1" s="1"/>
  <c r="CZ62" i="1"/>
  <c r="DA62" i="1"/>
  <c r="DB62" i="1" s="1"/>
  <c r="DP62" i="1"/>
  <c r="E63" i="1"/>
  <c r="H63" i="1"/>
  <c r="S63" i="1"/>
  <c r="T63" i="1"/>
  <c r="Y63" i="1"/>
  <c r="AA63" i="1"/>
  <c r="AT63" i="1" s="1"/>
  <c r="AN63" i="1"/>
  <c r="AO63" i="1"/>
  <c r="AQ63" i="1"/>
  <c r="AR63" i="1"/>
  <c r="AS63" i="1"/>
  <c r="AX63" i="1"/>
  <c r="AY63" i="1"/>
  <c r="CP63" i="1"/>
  <c r="DD63" i="1" s="1"/>
  <c r="CZ63" i="1"/>
  <c r="DA63" i="1"/>
  <c r="DB63" i="1" s="1"/>
  <c r="E64" i="1"/>
  <c r="H64" i="1"/>
  <c r="S64" i="1"/>
  <c r="T64" i="1"/>
  <c r="Y64" i="1"/>
  <c r="AA64" i="1"/>
  <c r="AT64" i="1" s="1"/>
  <c r="AD64" i="1"/>
  <c r="AN64" i="1" s="1"/>
  <c r="AF64" i="1"/>
  <c r="AO64" i="1"/>
  <c r="AP64" i="1"/>
  <c r="AQ64" i="1"/>
  <c r="AR64" i="1"/>
  <c r="AS64" i="1"/>
  <c r="AU64" i="1"/>
  <c r="AX64" i="1"/>
  <c r="AY64" i="1"/>
  <c r="CP64" i="1"/>
  <c r="DD64" i="1" s="1"/>
  <c r="CZ64" i="1"/>
  <c r="DA64" i="1"/>
  <c r="DB64" i="1" s="1"/>
  <c r="DM64" i="1"/>
  <c r="DP64" i="1"/>
  <c r="E65" i="1"/>
  <c r="H65" i="1"/>
  <c r="S65" i="1"/>
  <c r="T65" i="1"/>
  <c r="Y65" i="1"/>
  <c r="AA65" i="1"/>
  <c r="AT65" i="1" s="1"/>
  <c r="AD65" i="1"/>
  <c r="AN65" i="1" s="1"/>
  <c r="AF65" i="1"/>
  <c r="AO65" i="1"/>
  <c r="AP65" i="1"/>
  <c r="AQ65" i="1"/>
  <c r="AR65" i="1"/>
  <c r="AS65" i="1"/>
  <c r="AU65" i="1"/>
  <c r="AX65" i="1"/>
  <c r="AY65" i="1"/>
  <c r="CP65" i="1"/>
  <c r="DD65" i="1" s="1"/>
  <c r="CZ65" i="1"/>
  <c r="DA65" i="1"/>
  <c r="DB65" i="1" s="1"/>
  <c r="DM65" i="1"/>
  <c r="DP65" i="1"/>
  <c r="E66" i="1"/>
  <c r="H66" i="1"/>
  <c r="S66" i="1"/>
  <c r="T66" i="1"/>
  <c r="Y66" i="1"/>
  <c r="AA66" i="1"/>
  <c r="AT66" i="1" s="1"/>
  <c r="AD66" i="1"/>
  <c r="AN66" i="1" s="1"/>
  <c r="AF66" i="1"/>
  <c r="AO66" i="1"/>
  <c r="AP66" i="1"/>
  <c r="AQ66" i="1"/>
  <c r="AR66" i="1"/>
  <c r="AS66" i="1"/>
  <c r="AU66" i="1"/>
  <c r="AX66" i="1"/>
  <c r="AY66" i="1"/>
  <c r="CP66" i="1"/>
  <c r="DD66" i="1" s="1"/>
  <c r="CZ66" i="1"/>
  <c r="DA66" i="1"/>
  <c r="DB66" i="1" s="1"/>
  <c r="DM66" i="1"/>
  <c r="DP66" i="1"/>
  <c r="E67" i="1"/>
  <c r="H67" i="1"/>
  <c r="S67" i="1"/>
  <c r="T67" i="1"/>
  <c r="Y67" i="1"/>
  <c r="AA67" i="1"/>
  <c r="AT67" i="1" s="1"/>
  <c r="AD67" i="1"/>
  <c r="AN67" i="1" s="1"/>
  <c r="AF67" i="1"/>
  <c r="AO67" i="1"/>
  <c r="AP67" i="1"/>
  <c r="AQ67" i="1"/>
  <c r="AR67" i="1"/>
  <c r="AS67" i="1"/>
  <c r="AU67" i="1"/>
  <c r="AX67" i="1"/>
  <c r="AY67" i="1"/>
  <c r="CP67" i="1"/>
  <c r="DD67" i="1" s="1"/>
  <c r="CZ67" i="1"/>
  <c r="DA67" i="1"/>
  <c r="DB67" i="1" s="1"/>
  <c r="DM67" i="1"/>
  <c r="DP67" i="1"/>
  <c r="E68" i="1"/>
  <c r="H68" i="1"/>
  <c r="S68" i="1"/>
  <c r="T68" i="1"/>
  <c r="Y68" i="1"/>
  <c r="AA68" i="1"/>
  <c r="AT68" i="1" s="1"/>
  <c r="AD68" i="1"/>
  <c r="AN68" i="1" s="1"/>
  <c r="AF68" i="1"/>
  <c r="AO68" i="1"/>
  <c r="AP68" i="1"/>
  <c r="AQ68" i="1"/>
  <c r="AR68" i="1"/>
  <c r="AS68" i="1"/>
  <c r="AU68" i="1"/>
  <c r="AX68" i="1"/>
  <c r="AY68" i="1"/>
  <c r="CP68" i="1"/>
  <c r="DD68" i="1" s="1"/>
  <c r="CZ68" i="1"/>
  <c r="DA68" i="1"/>
  <c r="DB68" i="1" s="1"/>
  <c r="DM68" i="1"/>
  <c r="DP68" i="1"/>
  <c r="E69" i="1"/>
  <c r="H69" i="1"/>
  <c r="S69" i="1"/>
  <c r="T69" i="1"/>
  <c r="Y69" i="1"/>
  <c r="AA69" i="1"/>
  <c r="AT69" i="1" s="1"/>
  <c r="AD69" i="1"/>
  <c r="AN69" i="1" s="1"/>
  <c r="AF69" i="1"/>
  <c r="AO69" i="1"/>
  <c r="AP69" i="1"/>
  <c r="AQ69" i="1"/>
  <c r="AR69" i="1"/>
  <c r="AS69" i="1"/>
  <c r="AU69" i="1"/>
  <c r="AX69" i="1"/>
  <c r="AY69" i="1"/>
  <c r="CP69" i="1"/>
  <c r="DD69" i="1" s="1"/>
  <c r="CZ69" i="1"/>
  <c r="DA69" i="1"/>
  <c r="DB69" i="1" s="1"/>
  <c r="DM69" i="1"/>
  <c r="DP69" i="1"/>
  <c r="E70" i="1"/>
  <c r="H70" i="1"/>
  <c r="S70" i="1"/>
  <c r="T70" i="1"/>
  <c r="Y70" i="1"/>
  <c r="AA70" i="1"/>
  <c r="AT70" i="1" s="1"/>
  <c r="AD70" i="1"/>
  <c r="AN70" i="1" s="1"/>
  <c r="AF70" i="1"/>
  <c r="AO70" i="1"/>
  <c r="AP70" i="1"/>
  <c r="AQ70" i="1"/>
  <c r="AR70" i="1"/>
  <c r="AS70" i="1"/>
  <c r="AU70" i="1"/>
  <c r="AX70" i="1"/>
  <c r="AY70" i="1"/>
  <c r="CP70" i="1"/>
  <c r="DD70" i="1" s="1"/>
  <c r="CZ70" i="1"/>
  <c r="DA70" i="1"/>
  <c r="DB70" i="1" s="1"/>
  <c r="DM70" i="1"/>
  <c r="DP70" i="1"/>
  <c r="E71" i="1"/>
  <c r="H71" i="1"/>
  <c r="S71" i="1"/>
  <c r="T71" i="1"/>
  <c r="Y71" i="1"/>
  <c r="AA71" i="1"/>
  <c r="AT71" i="1" s="1"/>
  <c r="AD71" i="1"/>
  <c r="AN71" i="1" s="1"/>
  <c r="AF71" i="1"/>
  <c r="AO71" i="1"/>
  <c r="AP71" i="1"/>
  <c r="AQ71" i="1"/>
  <c r="AR71" i="1"/>
  <c r="AS71" i="1"/>
  <c r="AU71" i="1"/>
  <c r="AX71" i="1"/>
  <c r="AY71" i="1"/>
  <c r="CP71" i="1"/>
  <c r="DD71" i="1" s="1"/>
  <c r="CZ71" i="1"/>
  <c r="DA71" i="1"/>
  <c r="DB71" i="1" s="1"/>
  <c r="DM71" i="1"/>
  <c r="DP71" i="1"/>
  <c r="E72" i="1"/>
  <c r="H72" i="1"/>
  <c r="S72" i="1"/>
  <c r="T72" i="1"/>
  <c r="Y72" i="1"/>
  <c r="AA72" i="1"/>
  <c r="AT72" i="1" s="1"/>
  <c r="AD72" i="1"/>
  <c r="AN72" i="1" s="1"/>
  <c r="AF72" i="1"/>
  <c r="AO72" i="1"/>
  <c r="AP72" i="1"/>
  <c r="AQ72" i="1"/>
  <c r="AR72" i="1"/>
  <c r="AS72" i="1"/>
  <c r="AU72" i="1"/>
  <c r="AX72" i="1"/>
  <c r="AY72" i="1"/>
  <c r="CP72" i="1"/>
  <c r="DD72" i="1" s="1"/>
  <c r="CZ72" i="1"/>
  <c r="DA72" i="1"/>
  <c r="DB72" i="1" s="1"/>
  <c r="DM72" i="1"/>
  <c r="DP72" i="1"/>
  <c r="E73" i="1"/>
  <c r="H73" i="1"/>
  <c r="S73" i="1"/>
  <c r="T73" i="1"/>
  <c r="Y73" i="1"/>
  <c r="AA73" i="1"/>
  <c r="AT73" i="1" s="1"/>
  <c r="AD73" i="1"/>
  <c r="AN73" i="1" s="1"/>
  <c r="AF73" i="1"/>
  <c r="AO73" i="1"/>
  <c r="AP73" i="1"/>
  <c r="AQ73" i="1"/>
  <c r="AR73" i="1"/>
  <c r="AS73" i="1"/>
  <c r="AU73" i="1"/>
  <c r="AX73" i="1"/>
  <c r="AY73" i="1"/>
  <c r="CP73" i="1"/>
  <c r="DD73" i="1" s="1"/>
  <c r="CZ73" i="1"/>
  <c r="DA73" i="1"/>
  <c r="DB73" i="1" s="1"/>
  <c r="DM73" i="1"/>
  <c r="DP73" i="1"/>
  <c r="E74" i="1"/>
  <c r="H74" i="1"/>
  <c r="S74" i="1"/>
  <c r="T74" i="1"/>
  <c r="Y74" i="1"/>
  <c r="AA74" i="1"/>
  <c r="AT74" i="1" s="1"/>
  <c r="AD74" i="1"/>
  <c r="AN74" i="1" s="1"/>
  <c r="AF74" i="1"/>
  <c r="AO74" i="1"/>
  <c r="AP74" i="1"/>
  <c r="AQ74" i="1"/>
  <c r="AR74" i="1"/>
  <c r="AS74" i="1"/>
  <c r="AU74" i="1"/>
  <c r="AX74" i="1"/>
  <c r="AY74" i="1"/>
  <c r="CP74" i="1"/>
  <c r="DD74" i="1" s="1"/>
  <c r="CZ74" i="1"/>
  <c r="DA74" i="1"/>
  <c r="DB74" i="1" s="1"/>
  <c r="DM74" i="1"/>
  <c r="DP74" i="1"/>
  <c r="E75" i="1"/>
  <c r="H75" i="1"/>
  <c r="S75" i="1"/>
  <c r="T75" i="1"/>
  <c r="Y75" i="1"/>
  <c r="AA75" i="1"/>
  <c r="AT75" i="1" s="1"/>
  <c r="AD75" i="1"/>
  <c r="AN75" i="1" s="1"/>
  <c r="AF75" i="1"/>
  <c r="AO75" i="1"/>
  <c r="AP75" i="1"/>
  <c r="AQ75" i="1"/>
  <c r="AR75" i="1"/>
  <c r="AS75" i="1"/>
  <c r="AU75" i="1"/>
  <c r="AX75" i="1"/>
  <c r="AY75" i="1"/>
  <c r="CP75" i="1"/>
  <c r="DD75" i="1" s="1"/>
  <c r="CZ75" i="1"/>
  <c r="DA75" i="1"/>
  <c r="DB75" i="1" s="1"/>
  <c r="DM75" i="1"/>
  <c r="DP75" i="1"/>
  <c r="E76" i="1"/>
  <c r="H76" i="1"/>
  <c r="S76" i="1"/>
  <c r="T76" i="1"/>
  <c r="Y76" i="1"/>
  <c r="AA76" i="1"/>
  <c r="AT76" i="1" s="1"/>
  <c r="AD76" i="1"/>
  <c r="AN76" i="1" s="1"/>
  <c r="AF76" i="1"/>
  <c r="AO76" i="1"/>
  <c r="AP76" i="1"/>
  <c r="AQ76" i="1"/>
  <c r="AR76" i="1"/>
  <c r="AS76" i="1"/>
  <c r="AU76" i="1"/>
  <c r="AX76" i="1"/>
  <c r="AY76" i="1"/>
  <c r="CP76" i="1"/>
  <c r="DD76" i="1" s="1"/>
  <c r="CZ76" i="1"/>
  <c r="DA76" i="1"/>
  <c r="DB76" i="1" s="1"/>
  <c r="DM76" i="1"/>
  <c r="DP76" i="1"/>
  <c r="E77" i="1"/>
  <c r="H77" i="1"/>
  <c r="S77" i="1"/>
  <c r="T77" i="1"/>
  <c r="Y77" i="1"/>
  <c r="AA77" i="1"/>
  <c r="AT77" i="1" s="1"/>
  <c r="AD77" i="1"/>
  <c r="AN77" i="1" s="1"/>
  <c r="AO77" i="1"/>
  <c r="AQ77" i="1"/>
  <c r="AR77" i="1"/>
  <c r="AS77" i="1"/>
  <c r="AX77" i="1"/>
  <c r="AY77" i="1"/>
  <c r="CP77" i="1"/>
  <c r="DD77" i="1" s="1"/>
  <c r="CZ77" i="1"/>
  <c r="DA77" i="1"/>
  <c r="DB77" i="1" s="1"/>
  <c r="DP77" i="1"/>
  <c r="E78" i="1"/>
  <c r="H78" i="1"/>
  <c r="S78" i="1"/>
  <c r="T78" i="1"/>
  <c r="Y78" i="1"/>
  <c r="AA78" i="1"/>
  <c r="AT78" i="1" s="1"/>
  <c r="AD78" i="1"/>
  <c r="AN78" i="1" s="1"/>
  <c r="AF78" i="1"/>
  <c r="AO78" i="1"/>
  <c r="AP78" i="1"/>
  <c r="AQ78" i="1"/>
  <c r="AR78" i="1"/>
  <c r="AS78" i="1"/>
  <c r="AU78" i="1"/>
  <c r="AX78" i="1"/>
  <c r="AY78" i="1"/>
  <c r="CP78" i="1"/>
  <c r="DD78" i="1" s="1"/>
  <c r="CZ78" i="1"/>
  <c r="DA78" i="1"/>
  <c r="DB78" i="1" s="1"/>
  <c r="DM78" i="1"/>
  <c r="DP78" i="1"/>
  <c r="E79" i="1"/>
  <c r="H79" i="1"/>
  <c r="S79" i="1"/>
  <c r="T79" i="1"/>
  <c r="Y79" i="1"/>
  <c r="AA79" i="1"/>
  <c r="AT79" i="1" s="1"/>
  <c r="AD79" i="1"/>
  <c r="AN79" i="1" s="1"/>
  <c r="AO79" i="1"/>
  <c r="AQ79" i="1"/>
  <c r="AR79" i="1"/>
  <c r="AS79" i="1"/>
  <c r="AX79" i="1"/>
  <c r="AY79" i="1"/>
  <c r="CP79" i="1"/>
  <c r="DD79" i="1" s="1"/>
  <c r="CZ79" i="1"/>
  <c r="DA79" i="1"/>
  <c r="DB79" i="1" s="1"/>
  <c r="DP79" i="1"/>
  <c r="E80" i="1"/>
  <c r="H80" i="1"/>
  <c r="S80" i="1"/>
  <c r="T80" i="1"/>
  <c r="Y80" i="1"/>
  <c r="AA80" i="1"/>
  <c r="AT80" i="1" s="1"/>
  <c r="AD80" i="1"/>
  <c r="AN80" i="1" s="1"/>
  <c r="AF80" i="1"/>
  <c r="AO80" i="1"/>
  <c r="AP80" i="1"/>
  <c r="AQ80" i="1"/>
  <c r="AR80" i="1"/>
  <c r="AS80" i="1"/>
  <c r="AU80" i="1"/>
  <c r="AX80" i="1"/>
  <c r="AY80" i="1"/>
  <c r="CP80" i="1"/>
  <c r="DD80" i="1" s="1"/>
  <c r="CZ80" i="1"/>
  <c r="DA80" i="1"/>
  <c r="DB80" i="1" s="1"/>
  <c r="DM80" i="1"/>
  <c r="DP80" i="1"/>
  <c r="E81" i="1"/>
  <c r="H81" i="1"/>
  <c r="S81" i="1"/>
  <c r="T81" i="1"/>
  <c r="Y81" i="1"/>
  <c r="AA81" i="1"/>
  <c r="AT81" i="1" s="1"/>
  <c r="AD81" i="1"/>
  <c r="AN81" i="1" s="1"/>
  <c r="AF81" i="1"/>
  <c r="AO81" i="1"/>
  <c r="AP81" i="1"/>
  <c r="AQ81" i="1"/>
  <c r="AR81" i="1"/>
  <c r="AS81" i="1"/>
  <c r="AU81" i="1"/>
  <c r="AX81" i="1"/>
  <c r="AY81" i="1"/>
  <c r="CP81" i="1"/>
  <c r="DD81" i="1" s="1"/>
  <c r="CZ81" i="1"/>
  <c r="DA81" i="1"/>
  <c r="DB81" i="1" s="1"/>
  <c r="DM81" i="1"/>
  <c r="DP81" i="1"/>
  <c r="E82" i="1"/>
  <c r="H82" i="1"/>
  <c r="S82" i="1"/>
  <c r="T82" i="1"/>
  <c r="Y82" i="1"/>
  <c r="AA82" i="1"/>
  <c r="AT82" i="1" s="1"/>
  <c r="AD82" i="1"/>
  <c r="AN82" i="1" s="1"/>
  <c r="AF82" i="1"/>
  <c r="AO82" i="1"/>
  <c r="AP82" i="1"/>
  <c r="AQ82" i="1"/>
  <c r="AR82" i="1"/>
  <c r="AS82" i="1"/>
  <c r="AU82" i="1"/>
  <c r="AX82" i="1"/>
  <c r="AY82" i="1"/>
  <c r="CP82" i="1"/>
  <c r="DD82" i="1" s="1"/>
  <c r="CZ82" i="1"/>
  <c r="DA82" i="1"/>
  <c r="DB82" i="1" s="1"/>
  <c r="DM82" i="1"/>
  <c r="DP82" i="1"/>
  <c r="E83" i="1"/>
  <c r="H83" i="1"/>
  <c r="S83" i="1"/>
  <c r="T83" i="1"/>
  <c r="Y83" i="1"/>
  <c r="AA83" i="1"/>
  <c r="AT83" i="1" s="1"/>
  <c r="AD83" i="1"/>
  <c r="AN83" i="1" s="1"/>
  <c r="AF83" i="1"/>
  <c r="AO83" i="1"/>
  <c r="AP83" i="1"/>
  <c r="AQ83" i="1"/>
  <c r="AR83" i="1"/>
  <c r="AS83" i="1"/>
  <c r="AU83" i="1"/>
  <c r="AX83" i="1"/>
  <c r="AY83" i="1"/>
  <c r="CP83" i="1"/>
  <c r="DD83" i="1" s="1"/>
  <c r="CZ83" i="1"/>
  <c r="DA83" i="1"/>
  <c r="DB83" i="1" s="1"/>
  <c r="DM83" i="1"/>
  <c r="DP83" i="1"/>
  <c r="E84" i="1"/>
  <c r="H84" i="1"/>
  <c r="S84" i="1"/>
  <c r="T84" i="1"/>
  <c r="Y84" i="1"/>
  <c r="AA84" i="1"/>
  <c r="AT84" i="1" s="1"/>
  <c r="AD84" i="1"/>
  <c r="AN84" i="1" s="1"/>
  <c r="AF84" i="1"/>
  <c r="AO84" i="1"/>
  <c r="AP84" i="1"/>
  <c r="AQ84" i="1"/>
  <c r="AR84" i="1"/>
  <c r="AS84" i="1"/>
  <c r="AU84" i="1"/>
  <c r="AX84" i="1"/>
  <c r="AY84" i="1"/>
  <c r="CP84" i="1"/>
  <c r="DD84" i="1" s="1"/>
  <c r="CZ84" i="1"/>
  <c r="DA84" i="1"/>
  <c r="DB84" i="1" s="1"/>
  <c r="DM84" i="1"/>
  <c r="DP84" i="1"/>
  <c r="E85" i="1"/>
  <c r="H85" i="1"/>
  <c r="S85" i="1"/>
  <c r="T85" i="1"/>
  <c r="Y85" i="1"/>
  <c r="AA85" i="1"/>
  <c r="AT85" i="1" s="1"/>
  <c r="AD85" i="1"/>
  <c r="AN85" i="1" s="1"/>
  <c r="AF85" i="1"/>
  <c r="AO85" i="1"/>
  <c r="AP85" i="1"/>
  <c r="AQ85" i="1"/>
  <c r="AR85" i="1"/>
  <c r="AS85" i="1"/>
  <c r="AU85" i="1"/>
  <c r="AX85" i="1"/>
  <c r="AY85" i="1"/>
  <c r="CP85" i="1"/>
  <c r="DD85" i="1" s="1"/>
  <c r="CZ85" i="1"/>
  <c r="DA85" i="1"/>
  <c r="DB85" i="1" s="1"/>
  <c r="DM85" i="1"/>
  <c r="DP85" i="1"/>
  <c r="E86" i="1"/>
  <c r="H86" i="1"/>
  <c r="S86" i="1"/>
  <c r="T86" i="1"/>
  <c r="Y86" i="1"/>
  <c r="AA86" i="1"/>
  <c r="AT86" i="1" s="1"/>
  <c r="AD86" i="1"/>
  <c r="AN86" i="1" s="1"/>
  <c r="AF86" i="1"/>
  <c r="AO86" i="1"/>
  <c r="AP86" i="1"/>
  <c r="AQ86" i="1"/>
  <c r="AR86" i="1"/>
  <c r="AS86" i="1"/>
  <c r="AU86" i="1"/>
  <c r="AX86" i="1"/>
  <c r="AY86" i="1"/>
  <c r="CP86" i="1"/>
  <c r="DD86" i="1" s="1"/>
  <c r="CZ86" i="1"/>
  <c r="DA86" i="1"/>
  <c r="DB86" i="1" s="1"/>
  <c r="DM86" i="1"/>
  <c r="DP86" i="1"/>
  <c r="E87" i="1"/>
  <c r="H87" i="1"/>
  <c r="S87" i="1"/>
  <c r="T87" i="1"/>
  <c r="Y87" i="1"/>
  <c r="AA87" i="1"/>
  <c r="AT87" i="1" s="1"/>
  <c r="AD87" i="1"/>
  <c r="AN87" i="1" s="1"/>
  <c r="AF87" i="1"/>
  <c r="AO87" i="1"/>
  <c r="AP87" i="1"/>
  <c r="AQ87" i="1"/>
  <c r="AR87" i="1"/>
  <c r="AS87" i="1"/>
  <c r="AU87" i="1"/>
  <c r="AX87" i="1"/>
  <c r="AY87" i="1"/>
  <c r="CP87" i="1"/>
  <c r="DD87" i="1" s="1"/>
  <c r="CZ87" i="1"/>
  <c r="DA87" i="1"/>
  <c r="DB87" i="1" s="1"/>
  <c r="DM87" i="1"/>
  <c r="DP87" i="1"/>
  <c r="E88" i="1"/>
  <c r="H88" i="1"/>
  <c r="S88" i="1"/>
  <c r="T88" i="1"/>
  <c r="Y88" i="1"/>
  <c r="AA88" i="1"/>
  <c r="AT88" i="1" s="1"/>
  <c r="AD88" i="1"/>
  <c r="AN88" i="1" s="1"/>
  <c r="AF88" i="1"/>
  <c r="AO88" i="1"/>
  <c r="AP88" i="1"/>
  <c r="AQ88" i="1"/>
  <c r="AR88" i="1"/>
  <c r="AS88" i="1"/>
  <c r="AU88" i="1"/>
  <c r="AX88" i="1"/>
  <c r="AY88" i="1"/>
  <c r="CP88" i="1"/>
  <c r="DD88" i="1" s="1"/>
  <c r="CZ88" i="1"/>
  <c r="DA88" i="1"/>
  <c r="DB88" i="1" s="1"/>
  <c r="DM88" i="1"/>
  <c r="DP88" i="1"/>
  <c r="E89" i="1"/>
  <c r="H89" i="1"/>
  <c r="S89" i="1"/>
  <c r="T89" i="1"/>
  <c r="Y89" i="1"/>
  <c r="AA89" i="1"/>
  <c r="AT89" i="1" s="1"/>
  <c r="AD89" i="1"/>
  <c r="AN89" i="1" s="1"/>
  <c r="AF89" i="1"/>
  <c r="AO89" i="1"/>
  <c r="AP89" i="1"/>
  <c r="AQ89" i="1"/>
  <c r="AR89" i="1"/>
  <c r="AS89" i="1"/>
  <c r="AU89" i="1"/>
  <c r="AX89" i="1"/>
  <c r="AY89" i="1"/>
  <c r="CP89" i="1"/>
  <c r="DD89" i="1" s="1"/>
  <c r="CZ89" i="1"/>
  <c r="DA89" i="1"/>
  <c r="DB89" i="1" s="1"/>
  <c r="DM89" i="1"/>
  <c r="DP89" i="1"/>
  <c r="E90" i="1"/>
  <c r="H90" i="1"/>
  <c r="S90" i="1"/>
  <c r="T90" i="1"/>
  <c r="Y90" i="1"/>
  <c r="AA90" i="1"/>
  <c r="AT90" i="1" s="1"/>
  <c r="AD90" i="1"/>
  <c r="AN90" i="1" s="1"/>
  <c r="AF90" i="1"/>
  <c r="AO90" i="1"/>
  <c r="AP90" i="1"/>
  <c r="AQ90" i="1"/>
  <c r="AR90" i="1"/>
  <c r="AS90" i="1"/>
  <c r="AU90" i="1"/>
  <c r="AX90" i="1"/>
  <c r="AY90" i="1"/>
  <c r="CP90" i="1"/>
  <c r="DD90" i="1" s="1"/>
  <c r="CZ90" i="1"/>
  <c r="DA90" i="1"/>
  <c r="DB90" i="1" s="1"/>
  <c r="DM90" i="1"/>
  <c r="DP90" i="1"/>
  <c r="E91" i="1"/>
  <c r="H91" i="1"/>
  <c r="S91" i="1"/>
  <c r="T91" i="1"/>
  <c r="Y91" i="1"/>
  <c r="AA91" i="1"/>
  <c r="AT91" i="1" s="1"/>
  <c r="AD91" i="1"/>
  <c r="AN91" i="1" s="1"/>
  <c r="AF91" i="1"/>
  <c r="AO91" i="1"/>
  <c r="AP91" i="1"/>
  <c r="AQ91" i="1"/>
  <c r="AR91" i="1"/>
  <c r="AS91" i="1"/>
  <c r="AU91" i="1"/>
  <c r="AX91" i="1"/>
  <c r="AY91" i="1"/>
  <c r="CP91" i="1"/>
  <c r="DD91" i="1" s="1"/>
  <c r="CZ91" i="1"/>
  <c r="DA91" i="1"/>
  <c r="DB91" i="1" s="1"/>
  <c r="DM91" i="1"/>
  <c r="DP91" i="1"/>
  <c r="E92" i="1"/>
  <c r="H92" i="1"/>
  <c r="S92" i="1"/>
  <c r="T92" i="1"/>
  <c r="Y92" i="1"/>
  <c r="AA92" i="1"/>
  <c r="AT92" i="1" s="1"/>
  <c r="AD92" i="1"/>
  <c r="AN92" i="1" s="1"/>
  <c r="AF92" i="1"/>
  <c r="AO92" i="1"/>
  <c r="AP92" i="1"/>
  <c r="AQ92" i="1"/>
  <c r="AR92" i="1"/>
  <c r="AS92" i="1"/>
  <c r="AU92" i="1"/>
  <c r="AX92" i="1"/>
  <c r="AY92" i="1"/>
  <c r="CP92" i="1"/>
  <c r="DD92" i="1" s="1"/>
  <c r="CZ92" i="1"/>
  <c r="DA92" i="1"/>
  <c r="DB92" i="1" s="1"/>
  <c r="DM92" i="1"/>
  <c r="DP92" i="1"/>
  <c r="E93" i="1"/>
  <c r="H93" i="1"/>
  <c r="S93" i="1"/>
  <c r="T93" i="1"/>
  <c r="Y93" i="1"/>
  <c r="AA93" i="1"/>
  <c r="AT93" i="1" s="1"/>
  <c r="AD93" i="1"/>
  <c r="AN93" i="1" s="1"/>
  <c r="AF93" i="1"/>
  <c r="AO93" i="1"/>
  <c r="AP93" i="1"/>
  <c r="AQ93" i="1"/>
  <c r="AR93" i="1"/>
  <c r="AS93" i="1"/>
  <c r="AU93" i="1"/>
  <c r="AX93" i="1"/>
  <c r="AY93" i="1"/>
  <c r="CP93" i="1"/>
  <c r="DD93" i="1" s="1"/>
  <c r="CZ93" i="1"/>
  <c r="DA93" i="1"/>
  <c r="DB93" i="1" s="1"/>
  <c r="DM93" i="1"/>
  <c r="DP93" i="1"/>
  <c r="E94" i="1"/>
  <c r="H94" i="1"/>
  <c r="S94" i="1"/>
  <c r="T94" i="1"/>
  <c r="Y94" i="1"/>
  <c r="AA94" i="1"/>
  <c r="AT94" i="1" s="1"/>
  <c r="AD94" i="1"/>
  <c r="AN94" i="1" s="1"/>
  <c r="AF94" i="1"/>
  <c r="AO94" i="1"/>
  <c r="AP94" i="1"/>
  <c r="AQ94" i="1"/>
  <c r="AR94" i="1"/>
  <c r="AS94" i="1"/>
  <c r="AU94" i="1"/>
  <c r="AX94" i="1"/>
  <c r="AY94" i="1"/>
  <c r="CP94" i="1"/>
  <c r="DD94" i="1" s="1"/>
  <c r="CZ94" i="1"/>
  <c r="DA94" i="1"/>
  <c r="DB94" i="1" s="1"/>
  <c r="DM94" i="1"/>
  <c r="DP94" i="1"/>
  <c r="E95" i="1"/>
  <c r="H95" i="1"/>
  <c r="S95" i="1"/>
  <c r="T95" i="1"/>
  <c r="Y95" i="1"/>
  <c r="AA95" i="1"/>
  <c r="AT95" i="1" s="1"/>
  <c r="AD95" i="1"/>
  <c r="AN95" i="1" s="1"/>
  <c r="AF95" i="1"/>
  <c r="AO95" i="1"/>
  <c r="AP95" i="1"/>
  <c r="AQ95" i="1"/>
  <c r="AR95" i="1"/>
  <c r="AS95" i="1"/>
  <c r="AU95" i="1"/>
  <c r="AX95" i="1"/>
  <c r="AY95" i="1"/>
  <c r="CP95" i="1"/>
  <c r="DD95" i="1" s="1"/>
  <c r="CZ95" i="1"/>
  <c r="DA95" i="1"/>
  <c r="DB95" i="1" s="1"/>
  <c r="DM95" i="1"/>
  <c r="DP95" i="1"/>
  <c r="E96" i="1"/>
  <c r="H96" i="1"/>
  <c r="S96" i="1"/>
  <c r="T96" i="1"/>
  <c r="Y96" i="1"/>
  <c r="AA96" i="1"/>
  <c r="AT96" i="1" s="1"/>
  <c r="AD96" i="1"/>
  <c r="AN96" i="1" s="1"/>
  <c r="AO96" i="1"/>
  <c r="AQ96" i="1"/>
  <c r="AR96" i="1"/>
  <c r="AS96" i="1"/>
  <c r="AX96" i="1"/>
  <c r="AY96" i="1"/>
  <c r="CP96" i="1"/>
  <c r="DD96" i="1" s="1"/>
  <c r="CZ96" i="1"/>
  <c r="DA96" i="1"/>
  <c r="DB96" i="1" s="1"/>
  <c r="E43" i="1"/>
  <c r="H43" i="1"/>
  <c r="S43" i="1"/>
  <c r="Y43" i="1"/>
  <c r="AA43" i="1"/>
  <c r="AT43" i="1" s="1"/>
  <c r="AD43" i="1"/>
  <c r="AF43" i="1" s="1"/>
  <c r="AP43" i="1" s="1"/>
  <c r="AO43" i="1"/>
  <c r="AQ43" i="1"/>
  <c r="AR43" i="1"/>
  <c r="AS43" i="1"/>
  <c r="AX43" i="1"/>
  <c r="AY43" i="1"/>
  <c r="CP43" i="1"/>
  <c r="DD43" i="1" s="1"/>
  <c r="CZ43" i="1"/>
  <c r="DA43" i="1"/>
  <c r="DB43" i="1" s="1"/>
  <c r="DP43" i="1"/>
  <c r="E44" i="1"/>
  <c r="H44" i="1"/>
  <c r="S44" i="1"/>
  <c r="T44" i="1"/>
  <c r="Y44" i="1"/>
  <c r="AA44" i="1"/>
  <c r="AT44" i="1" s="1"/>
  <c r="AD44" i="1"/>
  <c r="AN44" i="1" s="1"/>
  <c r="AF44" i="1"/>
  <c r="AO44" i="1"/>
  <c r="AP44" i="1"/>
  <c r="AQ44" i="1"/>
  <c r="AR44" i="1"/>
  <c r="AS44" i="1"/>
  <c r="AU44" i="1"/>
  <c r="AX44" i="1"/>
  <c r="AY44" i="1"/>
  <c r="CP44" i="1"/>
  <c r="DD44" i="1" s="1"/>
  <c r="CZ44" i="1"/>
  <c r="DA44" i="1"/>
  <c r="DB44" i="1" s="1"/>
  <c r="DM44" i="1"/>
  <c r="DP44" i="1"/>
  <c r="E45" i="1"/>
  <c r="H45" i="1"/>
  <c r="S45" i="1"/>
  <c r="T45" i="1"/>
  <c r="Y45" i="1"/>
  <c r="AA45" i="1"/>
  <c r="AT45" i="1" s="1"/>
  <c r="AD45" i="1"/>
  <c r="AN45" i="1" s="1"/>
  <c r="AF45" i="1"/>
  <c r="AO45" i="1"/>
  <c r="AP45" i="1"/>
  <c r="AQ45" i="1"/>
  <c r="AR45" i="1"/>
  <c r="AS45" i="1"/>
  <c r="AU45" i="1"/>
  <c r="AX45" i="1"/>
  <c r="AY45" i="1"/>
  <c r="CP45" i="1"/>
  <c r="DD45" i="1" s="1"/>
  <c r="CZ45" i="1"/>
  <c r="DA45" i="1"/>
  <c r="DB45" i="1" s="1"/>
  <c r="DM45" i="1"/>
  <c r="DP45" i="1"/>
  <c r="E46" i="1"/>
  <c r="H46" i="1"/>
  <c r="S46" i="1"/>
  <c r="T46" i="1"/>
  <c r="Y46" i="1"/>
  <c r="AA46" i="1"/>
  <c r="AT46" i="1" s="1"/>
  <c r="AD46" i="1"/>
  <c r="AN46" i="1" s="1"/>
  <c r="AF46" i="1"/>
  <c r="AO46" i="1"/>
  <c r="AP46" i="1"/>
  <c r="AQ46" i="1"/>
  <c r="AR46" i="1"/>
  <c r="AS46" i="1"/>
  <c r="AU46" i="1"/>
  <c r="AX46" i="1"/>
  <c r="AY46" i="1"/>
  <c r="CP46" i="1"/>
  <c r="DD46" i="1" s="1"/>
  <c r="CZ46" i="1"/>
  <c r="DA46" i="1"/>
  <c r="DB46" i="1" s="1"/>
  <c r="DP46" i="1"/>
  <c r="E47" i="1"/>
  <c r="H47" i="1"/>
  <c r="S47" i="1"/>
  <c r="T47" i="1"/>
  <c r="Y47" i="1"/>
  <c r="AA47" i="1"/>
  <c r="AT47" i="1" s="1"/>
  <c r="AD47" i="1"/>
  <c r="AN47" i="1" s="1"/>
  <c r="AO47" i="1"/>
  <c r="AQ47" i="1"/>
  <c r="AR47" i="1"/>
  <c r="AS47" i="1"/>
  <c r="AX47" i="1"/>
  <c r="AY47" i="1"/>
  <c r="CP47" i="1"/>
  <c r="DD47" i="1" s="1"/>
  <c r="CZ47" i="1"/>
  <c r="DA47" i="1"/>
  <c r="DB47" i="1" s="1"/>
  <c r="DP47" i="1"/>
  <c r="E48" i="1"/>
  <c r="H48" i="1"/>
  <c r="S48" i="1"/>
  <c r="T48" i="1"/>
  <c r="Y48" i="1"/>
  <c r="AA48" i="1"/>
  <c r="AT48" i="1" s="1"/>
  <c r="AD48" i="1"/>
  <c r="AN48" i="1" s="1"/>
  <c r="AF48" i="1"/>
  <c r="AO48" i="1"/>
  <c r="AP48" i="1"/>
  <c r="AQ48" i="1"/>
  <c r="AR48" i="1"/>
  <c r="AS48" i="1"/>
  <c r="AU48" i="1"/>
  <c r="AX48" i="1"/>
  <c r="AY48" i="1"/>
  <c r="CP48" i="1"/>
  <c r="DD48" i="1" s="1"/>
  <c r="CZ48" i="1"/>
  <c r="DA48" i="1"/>
  <c r="DB48" i="1" s="1"/>
  <c r="DM48" i="1"/>
  <c r="DP48" i="1"/>
  <c r="E49" i="1"/>
  <c r="H49" i="1"/>
  <c r="S49" i="1"/>
  <c r="T49" i="1"/>
  <c r="Y49" i="1"/>
  <c r="AA49" i="1"/>
  <c r="AT49" i="1" s="1"/>
  <c r="AD49" i="1"/>
  <c r="AN49" i="1" s="1"/>
  <c r="AF49" i="1"/>
  <c r="AO49" i="1"/>
  <c r="AP49" i="1"/>
  <c r="AQ49" i="1"/>
  <c r="AR49" i="1"/>
  <c r="AS49" i="1"/>
  <c r="AU49" i="1"/>
  <c r="AX49" i="1"/>
  <c r="AY49" i="1"/>
  <c r="CP49" i="1"/>
  <c r="DD49" i="1" s="1"/>
  <c r="CZ49" i="1"/>
  <c r="DA49" i="1"/>
  <c r="DB49" i="1" s="1"/>
  <c r="DM49" i="1"/>
  <c r="DP49" i="1"/>
  <c r="E50" i="1"/>
  <c r="H50" i="1"/>
  <c r="S50" i="1"/>
  <c r="T50" i="1"/>
  <c r="Y50" i="1"/>
  <c r="AA50" i="1"/>
  <c r="AT50" i="1" s="1"/>
  <c r="AD50" i="1"/>
  <c r="AN50" i="1" s="1"/>
  <c r="AF50" i="1"/>
  <c r="AO50" i="1"/>
  <c r="AP50" i="1"/>
  <c r="AQ50" i="1"/>
  <c r="AR50" i="1"/>
  <c r="AS50" i="1"/>
  <c r="AU50" i="1"/>
  <c r="AX50" i="1"/>
  <c r="AY50" i="1"/>
  <c r="CP50" i="1"/>
  <c r="DD50" i="1" s="1"/>
  <c r="CZ50" i="1"/>
  <c r="DA50" i="1"/>
  <c r="DB50" i="1" s="1"/>
  <c r="DM50" i="1"/>
  <c r="DP50" i="1"/>
  <c r="E51" i="1"/>
  <c r="H51" i="1"/>
  <c r="S51" i="1"/>
  <c r="T51" i="1"/>
  <c r="Y51" i="1"/>
  <c r="AA51" i="1"/>
  <c r="AT51" i="1" s="1"/>
  <c r="AD51" i="1"/>
  <c r="AN51" i="1" s="1"/>
  <c r="AO51" i="1"/>
  <c r="AQ51" i="1"/>
  <c r="AR51" i="1"/>
  <c r="AS51" i="1"/>
  <c r="AX51" i="1"/>
  <c r="AY51" i="1"/>
  <c r="CP51" i="1"/>
  <c r="DD51" i="1" s="1"/>
  <c r="CZ51" i="1"/>
  <c r="DA51" i="1"/>
  <c r="DB51" i="1" s="1"/>
  <c r="DP51" i="1"/>
  <c r="E52" i="1"/>
  <c r="H52" i="1"/>
  <c r="S52" i="1"/>
  <c r="T52" i="1"/>
  <c r="Y52" i="1"/>
  <c r="AA52" i="1"/>
  <c r="AT52" i="1" s="1"/>
  <c r="AD52" i="1"/>
  <c r="AN52" i="1" s="1"/>
  <c r="AF52" i="1"/>
  <c r="AO52" i="1"/>
  <c r="AP52" i="1"/>
  <c r="AQ52" i="1"/>
  <c r="AR52" i="1"/>
  <c r="AS52" i="1"/>
  <c r="AU52" i="1"/>
  <c r="AX52" i="1"/>
  <c r="AY52" i="1"/>
  <c r="CP52" i="1"/>
  <c r="DD52" i="1" s="1"/>
  <c r="CZ52" i="1"/>
  <c r="DA52" i="1"/>
  <c r="DB52" i="1" s="1"/>
  <c r="DM52" i="1"/>
  <c r="DP52" i="1"/>
  <c r="E53" i="1"/>
  <c r="H53" i="1"/>
  <c r="S53" i="1"/>
  <c r="T53" i="1"/>
  <c r="Y53" i="1"/>
  <c r="AA53" i="1"/>
  <c r="AT53" i="1" s="1"/>
  <c r="AD53" i="1"/>
  <c r="AN53" i="1" s="1"/>
  <c r="AF53" i="1"/>
  <c r="AO53" i="1"/>
  <c r="AP53" i="1"/>
  <c r="AQ53" i="1"/>
  <c r="AR53" i="1"/>
  <c r="AS53" i="1"/>
  <c r="AU53" i="1"/>
  <c r="AX53" i="1"/>
  <c r="AY53" i="1"/>
  <c r="CP53" i="1"/>
  <c r="DD53" i="1" s="1"/>
  <c r="CZ53" i="1"/>
  <c r="DA53" i="1"/>
  <c r="DB53" i="1" s="1"/>
  <c r="DM53" i="1"/>
  <c r="DP53" i="1"/>
  <c r="E54" i="1"/>
  <c r="H54" i="1"/>
  <c r="S54" i="1"/>
  <c r="T54" i="1"/>
  <c r="Y54" i="1"/>
  <c r="AA54" i="1"/>
  <c r="AT54" i="1" s="1"/>
  <c r="AD54" i="1"/>
  <c r="AN54" i="1" s="1"/>
  <c r="AF54" i="1"/>
  <c r="AO54" i="1"/>
  <c r="AP54" i="1"/>
  <c r="AQ54" i="1"/>
  <c r="AR54" i="1"/>
  <c r="AS54" i="1"/>
  <c r="AU54" i="1"/>
  <c r="AX54" i="1"/>
  <c r="AY54" i="1"/>
  <c r="CP54" i="1"/>
  <c r="DD54" i="1" s="1"/>
  <c r="CZ54" i="1"/>
  <c r="DA54" i="1"/>
  <c r="DB54" i="1" s="1"/>
  <c r="DM54" i="1"/>
  <c r="DP54" i="1"/>
  <c r="E55" i="1"/>
  <c r="H55" i="1"/>
  <c r="S55" i="1"/>
  <c r="T55" i="1"/>
  <c r="Y55" i="1"/>
  <c r="AA55" i="1"/>
  <c r="AT55" i="1" s="1"/>
  <c r="AD55" i="1"/>
  <c r="AN55" i="1" s="1"/>
  <c r="AF55" i="1"/>
  <c r="AO55" i="1"/>
  <c r="AP55" i="1"/>
  <c r="AQ55" i="1"/>
  <c r="AR55" i="1"/>
  <c r="AS55" i="1"/>
  <c r="AU55" i="1"/>
  <c r="AX55" i="1"/>
  <c r="AY55" i="1"/>
  <c r="CP55" i="1"/>
  <c r="DD55" i="1" s="1"/>
  <c r="CZ55" i="1"/>
  <c r="DA55" i="1"/>
  <c r="DB55" i="1" s="1"/>
  <c r="DM55" i="1"/>
  <c r="DP55" i="1"/>
  <c r="E56" i="1"/>
  <c r="H56" i="1"/>
  <c r="S56" i="1"/>
  <c r="T56" i="1"/>
  <c r="Y56" i="1"/>
  <c r="AA56" i="1"/>
  <c r="AT56" i="1" s="1"/>
  <c r="AD56" i="1"/>
  <c r="AN56" i="1" s="1"/>
  <c r="AF56" i="1"/>
  <c r="AO56" i="1"/>
  <c r="AP56" i="1"/>
  <c r="AQ56" i="1"/>
  <c r="AR56" i="1"/>
  <c r="AS56" i="1"/>
  <c r="AU56" i="1"/>
  <c r="AX56" i="1"/>
  <c r="AY56" i="1"/>
  <c r="CP56" i="1"/>
  <c r="DD56" i="1" s="1"/>
  <c r="CZ56" i="1"/>
  <c r="DA56" i="1"/>
  <c r="DB56" i="1" s="1"/>
  <c r="DM56" i="1"/>
  <c r="DP56" i="1"/>
  <c r="E57" i="1"/>
  <c r="H57" i="1"/>
  <c r="S57" i="1"/>
  <c r="T57" i="1"/>
  <c r="Y57" i="1"/>
  <c r="AA57" i="1"/>
  <c r="AT57" i="1" s="1"/>
  <c r="AD57" i="1"/>
  <c r="AN57" i="1" s="1"/>
  <c r="AF57" i="1"/>
  <c r="AO57" i="1"/>
  <c r="AP57" i="1"/>
  <c r="AQ57" i="1"/>
  <c r="AR57" i="1"/>
  <c r="AS57" i="1"/>
  <c r="AU57" i="1"/>
  <c r="AX57" i="1"/>
  <c r="AY57" i="1"/>
  <c r="CP57" i="1"/>
  <c r="DD57" i="1" s="1"/>
  <c r="CZ57" i="1"/>
  <c r="DA57" i="1"/>
  <c r="DB57" i="1" s="1"/>
  <c r="DM57" i="1"/>
  <c r="DP57" i="1"/>
  <c r="E26" i="1"/>
  <c r="H26" i="1"/>
  <c r="S26" i="1"/>
  <c r="Y26" i="1"/>
  <c r="AA26" i="1"/>
  <c r="AT26" i="1" s="1"/>
  <c r="AD26" i="1"/>
  <c r="AN26" i="1" s="1"/>
  <c r="AO26" i="1"/>
  <c r="AQ26" i="1"/>
  <c r="AR26" i="1"/>
  <c r="AS26" i="1"/>
  <c r="AX26" i="1"/>
  <c r="AY26" i="1"/>
  <c r="CP26" i="1"/>
  <c r="DD26" i="1" s="1"/>
  <c r="CZ26" i="1"/>
  <c r="DA26" i="1"/>
  <c r="DB26" i="1" s="1"/>
  <c r="AU47" i="1" l="1"/>
  <c r="AF47" i="1"/>
  <c r="AP47" i="1" s="1"/>
  <c r="AU113" i="1"/>
  <c r="AF113" i="1"/>
  <c r="AP113" i="1" s="1"/>
  <c r="DC103" i="1"/>
  <c r="DC113" i="1"/>
  <c r="DC115" i="1"/>
  <c r="DC112" i="1"/>
  <c r="DC107" i="1"/>
  <c r="DC111" i="1"/>
  <c r="DC101" i="1"/>
  <c r="DC108" i="1"/>
  <c r="DC102" i="1"/>
  <c r="AU105" i="1"/>
  <c r="AF105" i="1"/>
  <c r="AP105" i="1" s="1"/>
  <c r="AU96" i="1"/>
  <c r="AF96" i="1"/>
  <c r="AP96" i="1" s="1"/>
  <c r="DC104" i="1"/>
  <c r="DC100" i="1"/>
  <c r="DC96" i="1"/>
  <c r="DC98" i="1"/>
  <c r="DC99" i="1"/>
  <c r="DC105" i="1"/>
  <c r="DC106" i="1"/>
  <c r="DC109" i="1"/>
  <c r="DC82" i="1"/>
  <c r="DC110" i="1"/>
  <c r="DC71" i="1"/>
  <c r="DC89" i="1"/>
  <c r="DC93" i="1"/>
  <c r="DC88" i="1"/>
  <c r="DC92" i="1"/>
  <c r="DC84" i="1"/>
  <c r="DC77" i="1"/>
  <c r="DC79" i="1"/>
  <c r="DC70" i="1"/>
  <c r="DC81" i="1"/>
  <c r="DC76" i="1"/>
  <c r="AU63" i="1"/>
  <c r="DC87" i="1"/>
  <c r="DC78" i="1"/>
  <c r="DC80" i="1"/>
  <c r="DC75" i="1"/>
  <c r="AF62" i="1"/>
  <c r="AP62" i="1" s="1"/>
  <c r="DC90" i="1"/>
  <c r="DC83" i="1"/>
  <c r="AF77" i="1"/>
  <c r="AP77" i="1" s="1"/>
  <c r="DC74" i="1"/>
  <c r="DC69" i="1"/>
  <c r="AF63" i="1"/>
  <c r="AP63" i="1" s="1"/>
  <c r="DC86" i="1"/>
  <c r="DC85" i="1"/>
  <c r="AF79" i="1"/>
  <c r="AP79" i="1" s="1"/>
  <c r="DC72" i="1"/>
  <c r="DC94" i="1"/>
  <c r="DC91" i="1"/>
  <c r="AU79" i="1"/>
  <c r="AU77" i="1"/>
  <c r="DC73" i="1"/>
  <c r="AU62" i="1"/>
  <c r="DC66" i="1"/>
  <c r="DC67" i="1"/>
  <c r="DC64" i="1"/>
  <c r="DC65" i="1"/>
  <c r="DC62" i="1"/>
  <c r="DC63" i="1"/>
  <c r="DC68" i="1"/>
  <c r="DC45" i="1"/>
  <c r="DC55" i="1"/>
  <c r="DC50" i="1"/>
  <c r="AU51" i="1"/>
  <c r="DC51" i="1"/>
  <c r="DC95" i="1"/>
  <c r="DC57" i="1"/>
  <c r="AF51" i="1"/>
  <c r="AP51" i="1" s="1"/>
  <c r="DC48" i="1"/>
  <c r="DC47" i="1"/>
  <c r="DC56" i="1"/>
  <c r="AU43" i="1"/>
  <c r="AN43" i="1"/>
  <c r="DC46" i="1"/>
  <c r="DC49" i="1"/>
  <c r="DC44" i="1"/>
  <c r="DC43" i="1"/>
  <c r="DC52" i="1"/>
  <c r="DC53" i="1"/>
  <c r="DC54" i="1"/>
  <c r="AU26" i="1"/>
  <c r="AF26" i="1"/>
  <c r="AP26" i="1" s="1"/>
  <c r="DC26" i="1"/>
  <c r="A5997" i="2"/>
  <c r="A5998" i="2"/>
  <c r="A5999" i="2"/>
  <c r="A6000" i="2"/>
  <c r="A6001" i="2"/>
  <c r="A6002" i="2"/>
  <c r="A6003" i="2"/>
  <c r="A6004" i="2"/>
  <c r="A6005" i="2"/>
  <c r="A6006" i="2"/>
  <c r="C5997" i="2"/>
  <c r="B5997" i="2" s="1"/>
  <c r="C5998" i="2"/>
  <c r="B5998" i="2" s="1"/>
  <c r="C5999" i="2"/>
  <c r="B5999" i="2" s="1"/>
  <c r="C6000" i="2"/>
  <c r="B6000" i="2" s="1"/>
  <c r="C6001" i="2"/>
  <c r="B6001" i="2" s="1"/>
  <c r="C6002" i="2"/>
  <c r="B6002" i="2" s="1"/>
  <c r="C6003" i="2"/>
  <c r="B6003" i="2" s="1"/>
  <c r="C6004" i="2"/>
  <c r="B6004" i="2" s="1"/>
  <c r="C6005" i="2"/>
  <c r="B6005" i="2" s="1"/>
  <c r="C6006" i="2"/>
  <c r="B6006" i="2" s="1"/>
  <c r="D5997" i="2"/>
  <c r="D5999" i="2"/>
  <c r="D6000" i="2"/>
  <c r="D6001" i="2"/>
  <c r="D6002" i="2"/>
  <c r="D6003" i="2"/>
  <c r="D6004" i="2"/>
  <c r="D6005" i="2"/>
  <c r="D6006" i="2"/>
  <c r="E5997" i="2"/>
  <c r="E5998" i="2"/>
  <c r="E5999" i="2"/>
  <c r="E6000" i="2"/>
  <c r="E6001" i="2"/>
  <c r="E6002" i="2"/>
  <c r="E6003" i="2"/>
  <c r="E6004" i="2"/>
  <c r="E6005" i="2"/>
  <c r="E6006" i="2"/>
  <c r="H6001" i="2" l="1"/>
  <c r="H5997" i="2"/>
  <c r="H6005" i="2"/>
  <c r="H6003" i="2"/>
  <c r="H5999" i="2"/>
  <c r="H6000" i="2"/>
  <c r="H6002" i="2"/>
  <c r="H5998" i="2"/>
  <c r="H6006" i="2"/>
  <c r="H6004" i="2"/>
  <c r="E22" i="1"/>
  <c r="H22" i="1"/>
  <c r="S22" i="1"/>
  <c r="T22" i="1"/>
  <c r="Y22" i="1"/>
  <c r="AA22" i="1"/>
  <c r="AT22" i="1" s="1"/>
  <c r="AD22" i="1"/>
  <c r="AN22" i="1" s="1"/>
  <c r="AF22" i="1"/>
  <c r="AO22" i="1"/>
  <c r="AP22" i="1"/>
  <c r="AQ22" i="1"/>
  <c r="AR22" i="1"/>
  <c r="AS22" i="1"/>
  <c r="AU22" i="1"/>
  <c r="AX22" i="1"/>
  <c r="AY22" i="1"/>
  <c r="CP22" i="1"/>
  <c r="DD22" i="1" s="1"/>
  <c r="CZ22" i="1"/>
  <c r="DA22" i="1"/>
  <c r="DB22" i="1" s="1"/>
  <c r="DM22" i="1"/>
  <c r="E23" i="1"/>
  <c r="H23" i="1"/>
  <c r="S23" i="1"/>
  <c r="T23" i="1"/>
  <c r="Y23" i="1"/>
  <c r="AA23" i="1"/>
  <c r="AT23" i="1" s="1"/>
  <c r="AD23" i="1"/>
  <c r="AN23" i="1" s="1"/>
  <c r="AF23" i="1"/>
  <c r="AO23" i="1"/>
  <c r="AP23" i="1"/>
  <c r="AQ23" i="1"/>
  <c r="AR23" i="1"/>
  <c r="AS23" i="1"/>
  <c r="AU23" i="1"/>
  <c r="AX23" i="1"/>
  <c r="AY23" i="1"/>
  <c r="CP23" i="1"/>
  <c r="DD23" i="1" s="1"/>
  <c r="CZ23" i="1"/>
  <c r="DA23" i="1"/>
  <c r="DB23" i="1" s="1"/>
  <c r="DM23" i="1"/>
  <c r="E24" i="1"/>
  <c r="H24" i="1"/>
  <c r="S24" i="1"/>
  <c r="T24" i="1"/>
  <c r="Y24" i="1"/>
  <c r="AA24" i="1"/>
  <c r="AT24" i="1" s="1"/>
  <c r="AU24" i="1" s="1"/>
  <c r="AD24" i="1"/>
  <c r="AN24" i="1" s="1"/>
  <c r="AO24" i="1"/>
  <c r="AQ24" i="1"/>
  <c r="AR24" i="1"/>
  <c r="AS24" i="1"/>
  <c r="AX24" i="1"/>
  <c r="AY24" i="1"/>
  <c r="CP24" i="1"/>
  <c r="DD24" i="1" s="1"/>
  <c r="CZ24" i="1"/>
  <c r="DA24" i="1"/>
  <c r="DB24" i="1" s="1"/>
  <c r="DM24" i="1"/>
  <c r="E25" i="1"/>
  <c r="H25" i="1"/>
  <c r="S25" i="1"/>
  <c r="T25" i="1"/>
  <c r="Y25" i="1"/>
  <c r="AA25" i="1"/>
  <c r="AT25" i="1" s="1"/>
  <c r="AD25" i="1"/>
  <c r="AO25" i="1"/>
  <c r="AQ25" i="1"/>
  <c r="AR25" i="1"/>
  <c r="AS25" i="1"/>
  <c r="AX25" i="1"/>
  <c r="AY25" i="1"/>
  <c r="CP25" i="1"/>
  <c r="DD25" i="1" s="1"/>
  <c r="CZ25" i="1"/>
  <c r="DA25" i="1"/>
  <c r="DB25" i="1" s="1"/>
  <c r="E27" i="1"/>
  <c r="H27" i="1"/>
  <c r="S27" i="1"/>
  <c r="Y27" i="1"/>
  <c r="AA27" i="1"/>
  <c r="AT27" i="1" s="1"/>
  <c r="AD27" i="1"/>
  <c r="AO27" i="1"/>
  <c r="AQ27" i="1"/>
  <c r="AR27" i="1"/>
  <c r="AS27" i="1"/>
  <c r="AX27" i="1"/>
  <c r="AY27" i="1"/>
  <c r="CP27" i="1"/>
  <c r="DD27" i="1" s="1"/>
  <c r="CZ27" i="1"/>
  <c r="DA27" i="1"/>
  <c r="DB27" i="1" s="1"/>
  <c r="E28" i="1"/>
  <c r="H28" i="1"/>
  <c r="S28" i="1"/>
  <c r="T28" i="1"/>
  <c r="Y28" i="1"/>
  <c r="AA28" i="1"/>
  <c r="AT28" i="1" s="1"/>
  <c r="AD28" i="1"/>
  <c r="AN28" i="1" s="1"/>
  <c r="AF28" i="1"/>
  <c r="AO28" i="1"/>
  <c r="AP28" i="1"/>
  <c r="AQ28" i="1"/>
  <c r="AR28" i="1"/>
  <c r="AS28" i="1"/>
  <c r="AU28" i="1"/>
  <c r="AX28" i="1"/>
  <c r="AY28" i="1"/>
  <c r="CP28" i="1"/>
  <c r="DD28" i="1" s="1"/>
  <c r="CZ28" i="1"/>
  <c r="DA28" i="1"/>
  <c r="DB28" i="1" s="1"/>
  <c r="DM28" i="1"/>
  <c r="E29" i="1"/>
  <c r="H29" i="1"/>
  <c r="S29" i="1"/>
  <c r="T29" i="1"/>
  <c r="Y29" i="1"/>
  <c r="AA29" i="1"/>
  <c r="AT29" i="1" s="1"/>
  <c r="AD29" i="1"/>
  <c r="AN29" i="1" s="1"/>
  <c r="AF29" i="1"/>
  <c r="AO29" i="1"/>
  <c r="AP29" i="1"/>
  <c r="AQ29" i="1"/>
  <c r="AR29" i="1"/>
  <c r="AS29" i="1"/>
  <c r="AU29" i="1"/>
  <c r="AX29" i="1"/>
  <c r="AY29" i="1"/>
  <c r="CP29" i="1"/>
  <c r="DD29" i="1" s="1"/>
  <c r="CZ29" i="1"/>
  <c r="DA29" i="1"/>
  <c r="DB29" i="1" s="1"/>
  <c r="DM29" i="1"/>
  <c r="E30" i="1"/>
  <c r="H30" i="1"/>
  <c r="S30" i="1"/>
  <c r="T30" i="1"/>
  <c r="Y30" i="1"/>
  <c r="AA30" i="1"/>
  <c r="AT30" i="1" s="1"/>
  <c r="AD30" i="1"/>
  <c r="AN30" i="1" s="1"/>
  <c r="AF30" i="1"/>
  <c r="AO30" i="1"/>
  <c r="AP30" i="1"/>
  <c r="AQ30" i="1"/>
  <c r="AR30" i="1"/>
  <c r="AS30" i="1"/>
  <c r="AU30" i="1"/>
  <c r="AX30" i="1"/>
  <c r="AY30" i="1"/>
  <c r="CP30" i="1"/>
  <c r="DD30" i="1" s="1"/>
  <c r="CZ30" i="1"/>
  <c r="DA30" i="1"/>
  <c r="DB30" i="1" s="1"/>
  <c r="DM30" i="1"/>
  <c r="E31" i="1"/>
  <c r="H31" i="1"/>
  <c r="S31" i="1"/>
  <c r="T31" i="1"/>
  <c r="Y31" i="1"/>
  <c r="AA31" i="1"/>
  <c r="AT31" i="1" s="1"/>
  <c r="AD31" i="1"/>
  <c r="AN31" i="1" s="1"/>
  <c r="AF31" i="1"/>
  <c r="AO31" i="1"/>
  <c r="AP31" i="1"/>
  <c r="AQ31" i="1"/>
  <c r="AR31" i="1"/>
  <c r="AS31" i="1"/>
  <c r="AU31" i="1"/>
  <c r="AX31" i="1"/>
  <c r="AY31" i="1"/>
  <c r="CP31" i="1"/>
  <c r="DD31" i="1" s="1"/>
  <c r="CZ31" i="1"/>
  <c r="DA31" i="1"/>
  <c r="DB31" i="1" s="1"/>
  <c r="DM31" i="1"/>
  <c r="E32" i="1"/>
  <c r="H32" i="1"/>
  <c r="S32" i="1"/>
  <c r="T32" i="1"/>
  <c r="Y32" i="1"/>
  <c r="AA32" i="1"/>
  <c r="AT32" i="1" s="1"/>
  <c r="AD32" i="1"/>
  <c r="AN32" i="1" s="1"/>
  <c r="AF32" i="1"/>
  <c r="AO32" i="1"/>
  <c r="AP32" i="1"/>
  <c r="AQ32" i="1"/>
  <c r="AR32" i="1"/>
  <c r="AS32" i="1"/>
  <c r="AU32" i="1"/>
  <c r="AX32" i="1"/>
  <c r="AY32" i="1"/>
  <c r="CP32" i="1"/>
  <c r="DD32" i="1" s="1"/>
  <c r="CZ32" i="1"/>
  <c r="DA32" i="1"/>
  <c r="DB32" i="1" s="1"/>
  <c r="DM32" i="1"/>
  <c r="E33" i="1"/>
  <c r="H33" i="1"/>
  <c r="S33" i="1"/>
  <c r="T33" i="1"/>
  <c r="Y33" i="1"/>
  <c r="AA33" i="1"/>
  <c r="AT33" i="1" s="1"/>
  <c r="AD33" i="1"/>
  <c r="AN33" i="1" s="1"/>
  <c r="AF33" i="1"/>
  <c r="AO33" i="1"/>
  <c r="AP33" i="1"/>
  <c r="AQ33" i="1"/>
  <c r="AR33" i="1"/>
  <c r="AS33" i="1"/>
  <c r="AU33" i="1"/>
  <c r="AX33" i="1"/>
  <c r="AY33" i="1"/>
  <c r="CP33" i="1"/>
  <c r="DD33" i="1" s="1"/>
  <c r="CZ33" i="1"/>
  <c r="DA33" i="1"/>
  <c r="DB33" i="1" s="1"/>
  <c r="DM33" i="1"/>
  <c r="E34" i="1"/>
  <c r="H34" i="1"/>
  <c r="S34" i="1"/>
  <c r="T34" i="1"/>
  <c r="Y34" i="1"/>
  <c r="AA34" i="1"/>
  <c r="AT34" i="1" s="1"/>
  <c r="AD34" i="1"/>
  <c r="AN34" i="1" s="1"/>
  <c r="AF34" i="1"/>
  <c r="AO34" i="1"/>
  <c r="AP34" i="1"/>
  <c r="AQ34" i="1"/>
  <c r="AR34" i="1"/>
  <c r="AS34" i="1"/>
  <c r="AU34" i="1"/>
  <c r="AX34" i="1"/>
  <c r="AY34" i="1"/>
  <c r="CP34" i="1"/>
  <c r="DD34" i="1" s="1"/>
  <c r="CZ34" i="1"/>
  <c r="DA34" i="1"/>
  <c r="DB34" i="1" s="1"/>
  <c r="DM34" i="1"/>
  <c r="E35" i="1"/>
  <c r="H35" i="1"/>
  <c r="S35" i="1"/>
  <c r="T35" i="1"/>
  <c r="Y35" i="1"/>
  <c r="AA35" i="1"/>
  <c r="AT35" i="1" s="1"/>
  <c r="AD35" i="1"/>
  <c r="AN35" i="1" s="1"/>
  <c r="AF35" i="1"/>
  <c r="AO35" i="1"/>
  <c r="AP35" i="1"/>
  <c r="AQ35" i="1"/>
  <c r="AR35" i="1"/>
  <c r="AS35" i="1"/>
  <c r="AU35" i="1"/>
  <c r="AX35" i="1"/>
  <c r="AY35" i="1"/>
  <c r="CP35" i="1"/>
  <c r="DD35" i="1" s="1"/>
  <c r="CZ35" i="1"/>
  <c r="DA35" i="1"/>
  <c r="DB35" i="1" s="1"/>
  <c r="DM35" i="1"/>
  <c r="E36" i="1"/>
  <c r="H36" i="1"/>
  <c r="S36" i="1"/>
  <c r="T36" i="1"/>
  <c r="Y36" i="1"/>
  <c r="AA36" i="1"/>
  <c r="AT36" i="1" s="1"/>
  <c r="AD36" i="1"/>
  <c r="AN36" i="1" s="1"/>
  <c r="AF36" i="1"/>
  <c r="AO36" i="1"/>
  <c r="AP36" i="1"/>
  <c r="AQ36" i="1"/>
  <c r="AR36" i="1"/>
  <c r="AS36" i="1"/>
  <c r="AU36" i="1"/>
  <c r="AX36" i="1"/>
  <c r="AY36" i="1"/>
  <c r="CP36" i="1"/>
  <c r="DD36" i="1" s="1"/>
  <c r="CZ36" i="1"/>
  <c r="DA36" i="1"/>
  <c r="DB36" i="1" s="1"/>
  <c r="DM36" i="1"/>
  <c r="E37" i="1"/>
  <c r="H37" i="1"/>
  <c r="S37" i="1"/>
  <c r="T37" i="1"/>
  <c r="Y37" i="1"/>
  <c r="AA37" i="1"/>
  <c r="AT37" i="1" s="1"/>
  <c r="AD37" i="1"/>
  <c r="AN37" i="1" s="1"/>
  <c r="AF37" i="1"/>
  <c r="AO37" i="1"/>
  <c r="AP37" i="1"/>
  <c r="AQ37" i="1"/>
  <c r="AR37" i="1"/>
  <c r="AS37" i="1"/>
  <c r="AU37" i="1"/>
  <c r="AX37" i="1"/>
  <c r="AY37" i="1"/>
  <c r="CP37" i="1"/>
  <c r="DD37" i="1" s="1"/>
  <c r="CZ37" i="1"/>
  <c r="DA37" i="1"/>
  <c r="DB37" i="1" s="1"/>
  <c r="DM37" i="1"/>
  <c r="E38" i="1"/>
  <c r="H38" i="1"/>
  <c r="S38" i="1"/>
  <c r="T38" i="1"/>
  <c r="Y38" i="1"/>
  <c r="AA38" i="1"/>
  <c r="AT38" i="1" s="1"/>
  <c r="AD38" i="1"/>
  <c r="AN38" i="1" s="1"/>
  <c r="AF38" i="1"/>
  <c r="AO38" i="1"/>
  <c r="AP38" i="1"/>
  <c r="AQ38" i="1"/>
  <c r="AR38" i="1"/>
  <c r="AS38" i="1"/>
  <c r="AU38" i="1"/>
  <c r="AX38" i="1"/>
  <c r="AY38" i="1"/>
  <c r="CP38" i="1"/>
  <c r="DD38" i="1" s="1"/>
  <c r="CZ38" i="1"/>
  <c r="DA38" i="1"/>
  <c r="DB38" i="1" s="1"/>
  <c r="DM38" i="1"/>
  <c r="E39" i="1"/>
  <c r="H39" i="1"/>
  <c r="S39" i="1"/>
  <c r="T39" i="1"/>
  <c r="Y39" i="1"/>
  <c r="AA39" i="1"/>
  <c r="AT39" i="1" s="1"/>
  <c r="AD39" i="1"/>
  <c r="AN39" i="1" s="1"/>
  <c r="AF39" i="1"/>
  <c r="AO39" i="1"/>
  <c r="AP39" i="1"/>
  <c r="AQ39" i="1"/>
  <c r="AR39" i="1"/>
  <c r="AS39" i="1"/>
  <c r="AU39" i="1"/>
  <c r="AX39" i="1"/>
  <c r="AY39" i="1"/>
  <c r="CP39" i="1"/>
  <c r="DD39" i="1" s="1"/>
  <c r="CZ39" i="1"/>
  <c r="DA39" i="1"/>
  <c r="DB39" i="1" s="1"/>
  <c r="DM39" i="1"/>
  <c r="E40" i="1"/>
  <c r="H40" i="1"/>
  <c r="S40" i="1"/>
  <c r="T40" i="1"/>
  <c r="Y40" i="1"/>
  <c r="AA40" i="1"/>
  <c r="AT40" i="1" s="1"/>
  <c r="AD40" i="1"/>
  <c r="AN40" i="1" s="1"/>
  <c r="AF40" i="1"/>
  <c r="AO40" i="1"/>
  <c r="AP40" i="1"/>
  <c r="AQ40" i="1"/>
  <c r="AR40" i="1"/>
  <c r="AS40" i="1"/>
  <c r="AU40" i="1"/>
  <c r="AX40" i="1"/>
  <c r="AY40" i="1"/>
  <c r="CP40" i="1"/>
  <c r="DD40" i="1" s="1"/>
  <c r="CZ40" i="1"/>
  <c r="DA40" i="1"/>
  <c r="DB40" i="1" s="1"/>
  <c r="DM40" i="1"/>
  <c r="DP40" i="1"/>
  <c r="E41" i="1"/>
  <c r="H41" i="1"/>
  <c r="S41" i="1"/>
  <c r="T41" i="1"/>
  <c r="Y41" i="1"/>
  <c r="AA41" i="1"/>
  <c r="AT41" i="1" s="1"/>
  <c r="AD41" i="1"/>
  <c r="AN41" i="1" s="1"/>
  <c r="AF41" i="1"/>
  <c r="AO41" i="1"/>
  <c r="AP41" i="1"/>
  <c r="AQ41" i="1"/>
  <c r="AR41" i="1"/>
  <c r="AS41" i="1"/>
  <c r="AU41" i="1"/>
  <c r="AX41" i="1"/>
  <c r="AY41" i="1"/>
  <c r="CP41" i="1"/>
  <c r="DD41" i="1" s="1"/>
  <c r="CZ41" i="1"/>
  <c r="DA41" i="1"/>
  <c r="DB41" i="1" s="1"/>
  <c r="DM41" i="1"/>
  <c r="DP41" i="1"/>
  <c r="E42" i="1"/>
  <c r="H42" i="1"/>
  <c r="S42" i="1"/>
  <c r="Y42" i="1"/>
  <c r="AA42" i="1"/>
  <c r="AT42" i="1" s="1"/>
  <c r="AD42" i="1"/>
  <c r="AN42" i="1" s="1"/>
  <c r="AO42" i="1"/>
  <c r="AQ42" i="1"/>
  <c r="AR42" i="1"/>
  <c r="AS42" i="1"/>
  <c r="AX42" i="1"/>
  <c r="AY42" i="1"/>
  <c r="CP42" i="1"/>
  <c r="DD42" i="1" s="1"/>
  <c r="CZ42" i="1"/>
  <c r="DA42" i="1"/>
  <c r="DB42" i="1" s="1"/>
  <c r="E58" i="1"/>
  <c r="H58" i="1"/>
  <c r="S58" i="1"/>
  <c r="T58" i="1"/>
  <c r="Y58" i="1"/>
  <c r="AA58" i="1"/>
  <c r="AT58" i="1" s="1"/>
  <c r="AD58" i="1"/>
  <c r="AN58" i="1" s="1"/>
  <c r="AF58" i="1"/>
  <c r="AO58" i="1"/>
  <c r="AP58" i="1"/>
  <c r="AQ58" i="1"/>
  <c r="AR58" i="1"/>
  <c r="AS58" i="1"/>
  <c r="AU58" i="1"/>
  <c r="AX58" i="1"/>
  <c r="AY58" i="1"/>
  <c r="CP58" i="1"/>
  <c r="DD58" i="1" s="1"/>
  <c r="CZ58" i="1"/>
  <c r="DA58" i="1"/>
  <c r="DB58" i="1" s="1"/>
  <c r="DM58" i="1"/>
  <c r="DP58" i="1"/>
  <c r="E59" i="1"/>
  <c r="H59" i="1"/>
  <c r="S59" i="1"/>
  <c r="T59" i="1"/>
  <c r="Y59" i="1"/>
  <c r="AA59" i="1"/>
  <c r="AT59" i="1" s="1"/>
  <c r="AD59" i="1"/>
  <c r="AN59" i="1" s="1"/>
  <c r="AF59" i="1"/>
  <c r="AO59" i="1"/>
  <c r="AP59" i="1"/>
  <c r="AQ59" i="1"/>
  <c r="AR59" i="1"/>
  <c r="AS59" i="1"/>
  <c r="AU59" i="1"/>
  <c r="AX59" i="1"/>
  <c r="AY59" i="1"/>
  <c r="CP59" i="1"/>
  <c r="DD59" i="1" s="1"/>
  <c r="CZ59" i="1"/>
  <c r="DA59" i="1"/>
  <c r="DB59" i="1" s="1"/>
  <c r="DM59" i="1"/>
  <c r="DP59" i="1"/>
  <c r="E60" i="1"/>
  <c r="H60" i="1"/>
  <c r="S60" i="1"/>
  <c r="T60" i="1"/>
  <c r="Y60" i="1"/>
  <c r="AA60" i="1"/>
  <c r="AT60" i="1" s="1"/>
  <c r="AD60" i="1"/>
  <c r="AN60" i="1" s="1"/>
  <c r="AO60" i="1"/>
  <c r="AQ60" i="1"/>
  <c r="AR60" i="1"/>
  <c r="AS60" i="1"/>
  <c r="AX60" i="1"/>
  <c r="AY60" i="1"/>
  <c r="CP60" i="1"/>
  <c r="DD60" i="1" s="1"/>
  <c r="CZ60" i="1"/>
  <c r="DA60" i="1"/>
  <c r="DB60" i="1" s="1"/>
  <c r="DP60" i="1"/>
  <c r="E61" i="1"/>
  <c r="H61" i="1"/>
  <c r="S61" i="1"/>
  <c r="T61" i="1"/>
  <c r="Y61" i="1"/>
  <c r="AA61" i="1"/>
  <c r="AT61" i="1" s="1"/>
  <c r="AD61" i="1"/>
  <c r="AN61" i="1" s="1"/>
  <c r="AF61" i="1"/>
  <c r="AO61" i="1"/>
  <c r="AP61" i="1"/>
  <c r="AQ61" i="1"/>
  <c r="AR61" i="1"/>
  <c r="AS61" i="1"/>
  <c r="AU61" i="1"/>
  <c r="AX61" i="1"/>
  <c r="AY61" i="1"/>
  <c r="CP61" i="1"/>
  <c r="DD61" i="1" s="1"/>
  <c r="CZ61" i="1"/>
  <c r="DA61" i="1"/>
  <c r="DB61" i="1" s="1"/>
  <c r="DM61" i="1"/>
  <c r="DP61" i="1"/>
  <c r="E97" i="1"/>
  <c r="H97" i="1"/>
  <c r="S97" i="1"/>
  <c r="T97" i="1"/>
  <c r="Y97" i="1"/>
  <c r="AA97" i="1"/>
  <c r="AT97" i="1" s="1"/>
  <c r="AD97" i="1"/>
  <c r="AN97" i="1" s="1"/>
  <c r="AF97" i="1"/>
  <c r="AO97" i="1"/>
  <c r="AP97" i="1"/>
  <c r="AQ97" i="1"/>
  <c r="AR97" i="1"/>
  <c r="AS97" i="1"/>
  <c r="AU97" i="1"/>
  <c r="AX97" i="1"/>
  <c r="AY97" i="1"/>
  <c r="CP97" i="1"/>
  <c r="DD97" i="1" s="1"/>
  <c r="CZ97" i="1"/>
  <c r="DA97" i="1"/>
  <c r="DB97" i="1" s="1"/>
  <c r="DM97" i="1"/>
  <c r="DP97" i="1"/>
  <c r="E116" i="1"/>
  <c r="H116" i="1"/>
  <c r="S116" i="1"/>
  <c r="T116" i="1"/>
  <c r="Y116" i="1"/>
  <c r="AA116" i="1"/>
  <c r="AT116" i="1" s="1"/>
  <c r="AD116" i="1"/>
  <c r="AN116" i="1" s="1"/>
  <c r="AF116" i="1"/>
  <c r="AO116" i="1"/>
  <c r="AP116" i="1"/>
  <c r="AQ116" i="1"/>
  <c r="AR116" i="1"/>
  <c r="AS116" i="1"/>
  <c r="AU116" i="1"/>
  <c r="AX116" i="1"/>
  <c r="AY116" i="1"/>
  <c r="CP116" i="1"/>
  <c r="DD116" i="1" s="1"/>
  <c r="CZ116" i="1"/>
  <c r="DA116" i="1"/>
  <c r="DB116" i="1" s="1"/>
  <c r="DM116" i="1"/>
  <c r="DP116" i="1"/>
  <c r="E117" i="1"/>
  <c r="H117" i="1"/>
  <c r="S117" i="1"/>
  <c r="T117" i="1"/>
  <c r="Y117" i="1"/>
  <c r="AA117" i="1"/>
  <c r="AT117" i="1" s="1"/>
  <c r="AD117" i="1"/>
  <c r="AN117" i="1" s="1"/>
  <c r="AF117" i="1"/>
  <c r="AO117" i="1"/>
  <c r="AP117" i="1"/>
  <c r="AQ117" i="1"/>
  <c r="AR117" i="1"/>
  <c r="AS117" i="1"/>
  <c r="AU117" i="1"/>
  <c r="AX117" i="1"/>
  <c r="AY117" i="1"/>
  <c r="CP117" i="1"/>
  <c r="DD117" i="1" s="1"/>
  <c r="CZ117" i="1"/>
  <c r="DA117" i="1"/>
  <c r="DB117" i="1" s="1"/>
  <c r="DM117" i="1"/>
  <c r="DP117" i="1"/>
  <c r="E128" i="1"/>
  <c r="H128" i="1"/>
  <c r="S128" i="1"/>
  <c r="T128" i="1"/>
  <c r="Y128" i="1"/>
  <c r="AA128" i="1"/>
  <c r="AT128" i="1" s="1"/>
  <c r="AD128" i="1"/>
  <c r="AN128" i="1" s="1"/>
  <c r="AO128" i="1"/>
  <c r="AQ128" i="1"/>
  <c r="AR128" i="1"/>
  <c r="AS128" i="1"/>
  <c r="AX128" i="1"/>
  <c r="AY128" i="1"/>
  <c r="CP128" i="1"/>
  <c r="DD128" i="1" s="1"/>
  <c r="CZ128" i="1"/>
  <c r="DA128" i="1"/>
  <c r="DB128" i="1" s="1"/>
  <c r="DP128" i="1"/>
  <c r="E129" i="1"/>
  <c r="H129" i="1"/>
  <c r="S129" i="1"/>
  <c r="T129" i="1"/>
  <c r="Y129" i="1"/>
  <c r="AA129" i="1"/>
  <c r="AT129" i="1" s="1"/>
  <c r="AN129" i="1"/>
  <c r="AO129" i="1"/>
  <c r="AQ129" i="1"/>
  <c r="AR129" i="1"/>
  <c r="AS129" i="1"/>
  <c r="AX129" i="1"/>
  <c r="AY129" i="1"/>
  <c r="CP129" i="1"/>
  <c r="DD129" i="1" s="1"/>
  <c r="CZ129" i="1"/>
  <c r="DA129" i="1"/>
  <c r="DB129" i="1" s="1"/>
  <c r="DP129" i="1"/>
  <c r="E148" i="1"/>
  <c r="H148" i="1"/>
  <c r="S148" i="1"/>
  <c r="T148" i="1"/>
  <c r="Y148" i="1"/>
  <c r="AA148" i="1"/>
  <c r="AT148" i="1" s="1"/>
  <c r="AD148" i="1"/>
  <c r="AN148" i="1" s="1"/>
  <c r="AF148" i="1"/>
  <c r="AO148" i="1"/>
  <c r="AP148" i="1"/>
  <c r="AQ148" i="1"/>
  <c r="AR148" i="1"/>
  <c r="AS148" i="1"/>
  <c r="AU148" i="1"/>
  <c r="AX148" i="1"/>
  <c r="AY148" i="1"/>
  <c r="CP148" i="1"/>
  <c r="DD148" i="1" s="1"/>
  <c r="CZ148" i="1"/>
  <c r="DA148" i="1"/>
  <c r="DB148" i="1" s="1"/>
  <c r="DM148" i="1"/>
  <c r="DP148" i="1"/>
  <c r="AN25" i="1" l="1"/>
  <c r="AN27" i="1"/>
  <c r="DC148" i="1"/>
  <c r="AF128" i="1"/>
  <c r="AP128" i="1" s="1"/>
  <c r="AF129" i="1"/>
  <c r="AP129" i="1" s="1"/>
  <c r="DC128" i="1"/>
  <c r="AU128" i="1"/>
  <c r="AU129" i="1"/>
  <c r="DC129" i="1"/>
  <c r="DC116" i="1"/>
  <c r="DC59" i="1"/>
  <c r="DC117" i="1"/>
  <c r="DC97" i="1"/>
  <c r="DC60" i="1"/>
  <c r="DC61" i="1"/>
  <c r="AF60" i="1"/>
  <c r="AP60" i="1" s="1"/>
  <c r="AU60" i="1"/>
  <c r="AF42" i="1"/>
  <c r="AP42" i="1" s="1"/>
  <c r="AU42" i="1"/>
  <c r="DC58" i="1"/>
  <c r="DC42" i="1"/>
  <c r="DC37" i="1"/>
  <c r="DC40" i="1"/>
  <c r="DC34" i="1"/>
  <c r="AU27" i="1"/>
  <c r="DC41" i="1"/>
  <c r="DC39" i="1"/>
  <c r="DC36" i="1"/>
  <c r="DC33" i="1"/>
  <c r="DC38" i="1"/>
  <c r="AF27" i="1"/>
  <c r="AF25" i="1"/>
  <c r="AP25" i="1" s="1"/>
  <c r="AU25" i="1"/>
  <c r="AF24" i="1"/>
  <c r="AP24" i="1" s="1"/>
  <c r="DC27" i="1"/>
  <c r="DC22" i="1"/>
  <c r="DC23" i="1"/>
  <c r="DC31" i="1"/>
  <c r="DC30" i="1"/>
  <c r="DC25" i="1"/>
  <c r="DC24" i="1"/>
  <c r="DC29" i="1"/>
  <c r="DC32" i="1"/>
  <c r="DC28" i="1"/>
  <c r="DC35" i="1"/>
  <c r="AG544" i="1"/>
  <c r="AK544" i="1"/>
  <c r="AP27" i="1" l="1"/>
  <c r="AL544" i="1"/>
  <c r="E7" i="1" l="1"/>
  <c r="H7" i="1"/>
  <c r="S7" i="1"/>
  <c r="T7" i="1"/>
  <c r="Y7" i="1"/>
  <c r="AA7" i="1"/>
  <c r="AT7" i="1" s="1"/>
  <c r="AD7" i="1"/>
  <c r="AF7" i="1" s="1"/>
  <c r="AP7" i="1" s="1"/>
  <c r="AO7" i="1"/>
  <c r="AQ7" i="1"/>
  <c r="AR7" i="1"/>
  <c r="AS7" i="1"/>
  <c r="AX7" i="1"/>
  <c r="AY7" i="1"/>
  <c r="CP7" i="1"/>
  <c r="DD7" i="1" s="1"/>
  <c r="CZ7" i="1"/>
  <c r="DA7" i="1"/>
  <c r="DB7" i="1" s="1"/>
  <c r="E8" i="1"/>
  <c r="H8" i="1"/>
  <c r="S8" i="1"/>
  <c r="T8" i="1"/>
  <c r="Y8" i="1"/>
  <c r="AA8" i="1"/>
  <c r="AT8" i="1" s="1"/>
  <c r="AD8" i="1"/>
  <c r="AN8" i="1" s="1"/>
  <c r="AF8" i="1"/>
  <c r="AO8" i="1"/>
  <c r="AP8" i="1"/>
  <c r="AQ8" i="1"/>
  <c r="AR8" i="1"/>
  <c r="AS8" i="1"/>
  <c r="AU8" i="1"/>
  <c r="AX8" i="1"/>
  <c r="AY8" i="1"/>
  <c r="CP8" i="1"/>
  <c r="DD8" i="1" s="1"/>
  <c r="CZ8" i="1"/>
  <c r="DA8" i="1"/>
  <c r="DB8" i="1" s="1"/>
  <c r="DM8" i="1"/>
  <c r="E9" i="1"/>
  <c r="H9" i="1"/>
  <c r="S9" i="1"/>
  <c r="T9" i="1"/>
  <c r="Y9" i="1"/>
  <c r="AA9" i="1"/>
  <c r="AT9" i="1" s="1"/>
  <c r="AD9" i="1"/>
  <c r="AN9" i="1" s="1"/>
  <c r="AF9" i="1"/>
  <c r="AO9" i="1"/>
  <c r="AP9" i="1"/>
  <c r="AQ9" i="1"/>
  <c r="AR9" i="1"/>
  <c r="AS9" i="1"/>
  <c r="AU9" i="1"/>
  <c r="AX9" i="1"/>
  <c r="AY9" i="1"/>
  <c r="CP9" i="1"/>
  <c r="DD9" i="1" s="1"/>
  <c r="CZ9" i="1"/>
  <c r="DA9" i="1"/>
  <c r="DB9" i="1" s="1"/>
  <c r="DM9" i="1"/>
  <c r="E10" i="1"/>
  <c r="H10" i="1"/>
  <c r="S10" i="1"/>
  <c r="T10" i="1"/>
  <c r="Y10" i="1"/>
  <c r="AA10" i="1"/>
  <c r="AT10" i="1" s="1"/>
  <c r="AD10" i="1"/>
  <c r="AN10" i="1" s="1"/>
  <c r="AF10" i="1"/>
  <c r="AO10" i="1"/>
  <c r="AP10" i="1"/>
  <c r="AQ10" i="1"/>
  <c r="AR10" i="1"/>
  <c r="AS10" i="1"/>
  <c r="AU10" i="1"/>
  <c r="AX10" i="1"/>
  <c r="AY10" i="1"/>
  <c r="CP10" i="1"/>
  <c r="DD10" i="1" s="1"/>
  <c r="CZ10" i="1"/>
  <c r="DA10" i="1"/>
  <c r="DB10" i="1" s="1"/>
  <c r="DM10" i="1"/>
  <c r="E11" i="1"/>
  <c r="H11" i="1"/>
  <c r="S11" i="1"/>
  <c r="T11" i="1"/>
  <c r="Y11" i="1"/>
  <c r="AA11" i="1"/>
  <c r="AT11" i="1" s="1"/>
  <c r="AD11" i="1"/>
  <c r="AN11" i="1" s="1"/>
  <c r="AF11" i="1"/>
  <c r="AO11" i="1"/>
  <c r="AP11" i="1"/>
  <c r="AQ11" i="1"/>
  <c r="AR11" i="1"/>
  <c r="AS11" i="1"/>
  <c r="AU11" i="1"/>
  <c r="AX11" i="1"/>
  <c r="AY11" i="1"/>
  <c r="CP11" i="1"/>
  <c r="DD11" i="1" s="1"/>
  <c r="CZ11" i="1"/>
  <c r="DA11" i="1"/>
  <c r="DB11" i="1" s="1"/>
  <c r="DM11" i="1"/>
  <c r="E12" i="1"/>
  <c r="H12" i="1"/>
  <c r="S12" i="1"/>
  <c r="T12" i="1"/>
  <c r="Y12" i="1"/>
  <c r="AA12" i="1"/>
  <c r="AT12" i="1" s="1"/>
  <c r="AD12" i="1"/>
  <c r="AN12" i="1" s="1"/>
  <c r="AF12" i="1"/>
  <c r="AO12" i="1"/>
  <c r="AP12" i="1"/>
  <c r="AQ12" i="1"/>
  <c r="AR12" i="1"/>
  <c r="AS12" i="1"/>
  <c r="AU12" i="1"/>
  <c r="AX12" i="1"/>
  <c r="AY12" i="1"/>
  <c r="CP12" i="1"/>
  <c r="DD12" i="1" s="1"/>
  <c r="CZ12" i="1"/>
  <c r="DA12" i="1"/>
  <c r="DB12" i="1" s="1"/>
  <c r="DM12" i="1"/>
  <c r="E13" i="1"/>
  <c r="H13" i="1"/>
  <c r="S13" i="1"/>
  <c r="T13" i="1"/>
  <c r="Y13" i="1"/>
  <c r="AA13" i="1"/>
  <c r="AT13" i="1" s="1"/>
  <c r="AD13" i="1"/>
  <c r="AN13" i="1" s="1"/>
  <c r="AO13" i="1"/>
  <c r="AQ13" i="1"/>
  <c r="AR13" i="1"/>
  <c r="AS13" i="1"/>
  <c r="AX13" i="1"/>
  <c r="AY13" i="1"/>
  <c r="CP13" i="1"/>
  <c r="DD13" i="1" s="1"/>
  <c r="CZ13" i="1"/>
  <c r="DA13" i="1"/>
  <c r="DB13" i="1" s="1"/>
  <c r="E14" i="1"/>
  <c r="H14" i="1"/>
  <c r="S14" i="1"/>
  <c r="T14" i="1"/>
  <c r="Y14" i="1"/>
  <c r="AA14" i="1"/>
  <c r="AT14" i="1" s="1"/>
  <c r="AD14" i="1"/>
  <c r="AN14" i="1" s="1"/>
  <c r="AF14" i="1"/>
  <c r="AO14" i="1"/>
  <c r="AP14" i="1"/>
  <c r="AQ14" i="1"/>
  <c r="AR14" i="1"/>
  <c r="AS14" i="1"/>
  <c r="AU14" i="1"/>
  <c r="AX14" i="1"/>
  <c r="AY14" i="1"/>
  <c r="CP14" i="1"/>
  <c r="DD14" i="1" s="1"/>
  <c r="CZ14" i="1"/>
  <c r="DA14" i="1"/>
  <c r="DB14" i="1" s="1"/>
  <c r="DM14" i="1"/>
  <c r="E15" i="1"/>
  <c r="H15" i="1"/>
  <c r="S15" i="1"/>
  <c r="T15" i="1"/>
  <c r="Y15" i="1"/>
  <c r="AA15" i="1"/>
  <c r="AT15" i="1" s="1"/>
  <c r="AD15" i="1"/>
  <c r="AN15" i="1" s="1"/>
  <c r="AF15" i="1"/>
  <c r="AO15" i="1"/>
  <c r="AP15" i="1"/>
  <c r="AQ15" i="1"/>
  <c r="AR15" i="1"/>
  <c r="AS15" i="1"/>
  <c r="AU15" i="1"/>
  <c r="AX15" i="1"/>
  <c r="AY15" i="1"/>
  <c r="CP15" i="1"/>
  <c r="DD15" i="1" s="1"/>
  <c r="CZ15" i="1"/>
  <c r="DA15" i="1"/>
  <c r="DB15" i="1" s="1"/>
  <c r="DM15" i="1"/>
  <c r="E16" i="1"/>
  <c r="H16" i="1"/>
  <c r="S16" i="1"/>
  <c r="T16" i="1"/>
  <c r="Y16" i="1"/>
  <c r="AA16" i="1"/>
  <c r="AT16" i="1" s="1"/>
  <c r="AD16" i="1"/>
  <c r="AN16" i="1" s="1"/>
  <c r="AF16" i="1"/>
  <c r="AO16" i="1"/>
  <c r="AP16" i="1"/>
  <c r="AQ16" i="1"/>
  <c r="AR16" i="1"/>
  <c r="AS16" i="1"/>
  <c r="AU16" i="1"/>
  <c r="AX16" i="1"/>
  <c r="AY16" i="1"/>
  <c r="CP16" i="1"/>
  <c r="DD16" i="1" s="1"/>
  <c r="CZ16" i="1"/>
  <c r="DA16" i="1"/>
  <c r="DB16" i="1" s="1"/>
  <c r="DM16" i="1"/>
  <c r="AF13" i="1" l="1"/>
  <c r="AP13" i="1" s="1"/>
  <c r="AU13" i="1"/>
  <c r="DC9" i="1"/>
  <c r="DC10" i="1"/>
  <c r="AN7" i="1"/>
  <c r="AU7" i="1"/>
  <c r="DC15" i="1"/>
  <c r="DC14" i="1"/>
  <c r="DC16" i="1"/>
  <c r="DC13" i="1"/>
  <c r="DC12" i="1"/>
  <c r="DC11" i="1"/>
  <c r="DC8" i="1"/>
  <c r="DC7" i="1"/>
  <c r="E3" i="1" l="1"/>
  <c r="H3" i="1"/>
  <c r="S3" i="1"/>
  <c r="T3" i="1"/>
  <c r="Y3" i="1"/>
  <c r="AA3" i="1"/>
  <c r="AT3" i="1" s="1"/>
  <c r="AD3" i="1"/>
  <c r="AO3" i="1"/>
  <c r="AQ3" i="1"/>
  <c r="AR3" i="1"/>
  <c r="AS3" i="1"/>
  <c r="AX3" i="1"/>
  <c r="AY3" i="1"/>
  <c r="CP3" i="1"/>
  <c r="DD3" i="1" s="1"/>
  <c r="CZ3" i="1"/>
  <c r="DA3" i="1"/>
  <c r="DB3" i="1" s="1"/>
  <c r="DP3" i="1"/>
  <c r="E4" i="1"/>
  <c r="H4" i="1"/>
  <c r="S4" i="1"/>
  <c r="T4" i="1"/>
  <c r="Y4" i="1"/>
  <c r="AA4" i="1"/>
  <c r="AT4" i="1" s="1"/>
  <c r="AD4" i="1"/>
  <c r="AN4" i="1" s="1"/>
  <c r="AF4" i="1"/>
  <c r="AO4" i="1"/>
  <c r="AP4" i="1"/>
  <c r="AQ4" i="1"/>
  <c r="AR4" i="1"/>
  <c r="AS4" i="1"/>
  <c r="AU4" i="1"/>
  <c r="AX4" i="1"/>
  <c r="AY4" i="1"/>
  <c r="CP4" i="1"/>
  <c r="DD4" i="1" s="1"/>
  <c r="CZ4" i="1"/>
  <c r="DA4" i="1"/>
  <c r="DB4" i="1" s="1"/>
  <c r="DM4" i="1"/>
  <c r="E5" i="1"/>
  <c r="H5" i="1"/>
  <c r="S5" i="1"/>
  <c r="T5" i="1"/>
  <c r="Y5" i="1"/>
  <c r="AA5" i="1"/>
  <c r="AT5" i="1" s="1"/>
  <c r="AD5" i="1"/>
  <c r="AN5" i="1" s="1"/>
  <c r="AF5" i="1"/>
  <c r="AO5" i="1"/>
  <c r="AP5" i="1"/>
  <c r="AQ5" i="1"/>
  <c r="AR5" i="1"/>
  <c r="AS5" i="1"/>
  <c r="AU5" i="1"/>
  <c r="AX5" i="1"/>
  <c r="AY5" i="1"/>
  <c r="CP5" i="1"/>
  <c r="DD5" i="1" s="1"/>
  <c r="CZ5" i="1"/>
  <c r="DA5" i="1"/>
  <c r="DB5" i="1" s="1"/>
  <c r="DM5" i="1"/>
  <c r="E6" i="1"/>
  <c r="H6" i="1"/>
  <c r="S6" i="1"/>
  <c r="T6" i="1"/>
  <c r="Y6" i="1"/>
  <c r="AA6" i="1"/>
  <c r="AT6" i="1" s="1"/>
  <c r="AD6" i="1"/>
  <c r="AN6" i="1" s="1"/>
  <c r="AF6" i="1"/>
  <c r="AO6" i="1"/>
  <c r="AP6" i="1"/>
  <c r="AQ6" i="1"/>
  <c r="AR6" i="1"/>
  <c r="AS6" i="1"/>
  <c r="AU6" i="1"/>
  <c r="AX6" i="1"/>
  <c r="AY6" i="1"/>
  <c r="CP6" i="1"/>
  <c r="DD6" i="1" s="1"/>
  <c r="CZ6" i="1"/>
  <c r="DA6" i="1"/>
  <c r="DB6" i="1" s="1"/>
  <c r="DM6" i="1"/>
  <c r="E17" i="1"/>
  <c r="H17" i="1"/>
  <c r="S17" i="1"/>
  <c r="T17" i="1"/>
  <c r="Y17" i="1"/>
  <c r="AA17" i="1"/>
  <c r="AT17" i="1" s="1"/>
  <c r="AD17" i="1"/>
  <c r="AN17" i="1" s="1"/>
  <c r="AF17" i="1"/>
  <c r="AO17" i="1"/>
  <c r="AP17" i="1"/>
  <c r="AQ17" i="1"/>
  <c r="AR17" i="1"/>
  <c r="AS17" i="1"/>
  <c r="AU17" i="1"/>
  <c r="AX17" i="1"/>
  <c r="AY17" i="1"/>
  <c r="CP17" i="1"/>
  <c r="DD17" i="1" s="1"/>
  <c r="CZ17" i="1"/>
  <c r="DA17" i="1"/>
  <c r="DB17" i="1" s="1"/>
  <c r="DM17" i="1"/>
  <c r="E18" i="1"/>
  <c r="H18" i="1"/>
  <c r="S18" i="1"/>
  <c r="T18" i="1"/>
  <c r="Y18" i="1"/>
  <c r="AA18" i="1"/>
  <c r="AT18" i="1" s="1"/>
  <c r="AD18" i="1"/>
  <c r="AN18" i="1" s="1"/>
  <c r="AF18" i="1"/>
  <c r="AO18" i="1"/>
  <c r="AP18" i="1"/>
  <c r="AQ18" i="1"/>
  <c r="AR18" i="1"/>
  <c r="AS18" i="1"/>
  <c r="AU18" i="1"/>
  <c r="AX18" i="1"/>
  <c r="AY18" i="1"/>
  <c r="CP18" i="1"/>
  <c r="DD18" i="1" s="1"/>
  <c r="CZ18" i="1"/>
  <c r="DA18" i="1"/>
  <c r="DB18" i="1" s="1"/>
  <c r="DM18" i="1"/>
  <c r="E19" i="1"/>
  <c r="H19" i="1"/>
  <c r="S19" i="1"/>
  <c r="T19" i="1"/>
  <c r="Y19" i="1"/>
  <c r="AA19" i="1"/>
  <c r="AT19" i="1" s="1"/>
  <c r="AD19" i="1"/>
  <c r="AN19" i="1" s="1"/>
  <c r="AF19" i="1"/>
  <c r="AO19" i="1"/>
  <c r="AP19" i="1"/>
  <c r="AQ19" i="1"/>
  <c r="AR19" i="1"/>
  <c r="AS19" i="1"/>
  <c r="AU19" i="1"/>
  <c r="AX19" i="1"/>
  <c r="AY19" i="1"/>
  <c r="CP19" i="1"/>
  <c r="DD19" i="1" s="1"/>
  <c r="CZ19" i="1"/>
  <c r="DA19" i="1"/>
  <c r="DB19" i="1" s="1"/>
  <c r="DM19" i="1"/>
  <c r="E20" i="1"/>
  <c r="H20" i="1"/>
  <c r="S20" i="1"/>
  <c r="T20" i="1"/>
  <c r="Y20" i="1"/>
  <c r="AA20" i="1"/>
  <c r="AT20" i="1" s="1"/>
  <c r="AD20" i="1"/>
  <c r="AN20" i="1" s="1"/>
  <c r="AF20" i="1"/>
  <c r="AO20" i="1"/>
  <c r="AP20" i="1"/>
  <c r="AQ20" i="1"/>
  <c r="AR20" i="1"/>
  <c r="AS20" i="1"/>
  <c r="AU20" i="1"/>
  <c r="AX20" i="1"/>
  <c r="AY20" i="1"/>
  <c r="CP20" i="1"/>
  <c r="DD20" i="1" s="1"/>
  <c r="CZ20" i="1"/>
  <c r="DA20" i="1"/>
  <c r="DB20" i="1" s="1"/>
  <c r="DM20" i="1"/>
  <c r="E21" i="1"/>
  <c r="H21" i="1"/>
  <c r="S21" i="1"/>
  <c r="T21" i="1"/>
  <c r="Y21" i="1"/>
  <c r="AA21" i="1"/>
  <c r="AT21" i="1" s="1"/>
  <c r="AD21" i="1"/>
  <c r="AN21" i="1" s="1"/>
  <c r="AF21" i="1"/>
  <c r="AO21" i="1"/>
  <c r="AP21" i="1"/>
  <c r="AQ21" i="1"/>
  <c r="AR21" i="1"/>
  <c r="AS21" i="1"/>
  <c r="AU21" i="1"/>
  <c r="AX21" i="1"/>
  <c r="AY21" i="1"/>
  <c r="CP21" i="1"/>
  <c r="DD21" i="1" s="1"/>
  <c r="CZ21" i="1"/>
  <c r="DA21" i="1"/>
  <c r="DB21" i="1" s="1"/>
  <c r="DM21" i="1"/>
  <c r="E149" i="1"/>
  <c r="H149" i="1"/>
  <c r="S149" i="1"/>
  <c r="T149" i="1"/>
  <c r="Y149" i="1"/>
  <c r="AA149" i="1"/>
  <c r="AT149" i="1" s="1"/>
  <c r="AN149" i="1"/>
  <c r="AO149" i="1"/>
  <c r="AQ149" i="1"/>
  <c r="AR149" i="1"/>
  <c r="AS149" i="1"/>
  <c r="AX149" i="1"/>
  <c r="AY149" i="1"/>
  <c r="CP149" i="1"/>
  <c r="DD149" i="1" s="1"/>
  <c r="CZ149" i="1"/>
  <c r="DA149" i="1"/>
  <c r="DB149" i="1" s="1"/>
  <c r="DP149" i="1"/>
  <c r="AD544" i="1" l="1"/>
  <c r="DO548" i="1" s="1"/>
  <c r="AN3" i="1"/>
  <c r="AU149" i="1"/>
  <c r="AF149" i="1"/>
  <c r="AP149" i="1" s="1"/>
  <c r="DC149" i="1"/>
  <c r="AF3" i="1"/>
  <c r="DC6" i="1"/>
  <c r="DC4" i="1"/>
  <c r="DC3" i="1"/>
  <c r="DC21" i="1"/>
  <c r="DC19" i="1"/>
  <c r="AU3" i="1"/>
  <c r="DC20" i="1"/>
  <c r="DC5" i="1"/>
  <c r="DC17" i="1"/>
  <c r="DC18" i="1"/>
  <c r="AP3" i="1" l="1"/>
  <c r="A5991" i="2"/>
  <c r="A5992" i="2"/>
  <c r="A5993" i="2"/>
  <c r="A5994" i="2"/>
  <c r="A5995" i="2"/>
  <c r="A5996" i="2"/>
  <c r="C5991" i="2"/>
  <c r="B5991" i="2" s="1"/>
  <c r="C5992" i="2"/>
  <c r="B5992" i="2" s="1"/>
  <c r="C5993" i="2"/>
  <c r="B5993" i="2" s="1"/>
  <c r="C5994" i="2"/>
  <c r="B5994" i="2" s="1"/>
  <c r="C5995" i="2"/>
  <c r="B5995" i="2" s="1"/>
  <c r="C5996" i="2"/>
  <c r="B5996" i="2" s="1"/>
  <c r="D5991" i="2"/>
  <c r="D5992" i="2"/>
  <c r="D5993" i="2"/>
  <c r="D5994" i="2"/>
  <c r="D5995" i="2"/>
  <c r="D5996" i="2"/>
  <c r="E5991" i="2"/>
  <c r="E5992" i="2"/>
  <c r="E5993" i="2"/>
  <c r="E5994" i="2"/>
  <c r="E5995" i="2"/>
  <c r="E5996" i="2"/>
  <c r="H5993" i="2" l="1"/>
  <c r="H5994" i="2"/>
  <c r="H5991" i="2"/>
  <c r="H5995" i="2"/>
  <c r="H5996" i="2"/>
  <c r="H5992" i="2"/>
  <c r="A5985" i="2"/>
  <c r="A5986" i="2"/>
  <c r="A5987" i="2"/>
  <c r="A5988" i="2"/>
  <c r="A5989" i="2"/>
  <c r="A5990" i="2"/>
  <c r="C5985" i="2"/>
  <c r="B5985" i="2" s="1"/>
  <c r="C5986" i="2"/>
  <c r="B5986" i="2" s="1"/>
  <c r="C5987" i="2"/>
  <c r="B5987" i="2" s="1"/>
  <c r="C5988" i="2"/>
  <c r="B5988" i="2" s="1"/>
  <c r="C5989" i="2"/>
  <c r="B5989" i="2" s="1"/>
  <c r="C5990" i="2"/>
  <c r="B5990" i="2" s="1"/>
  <c r="D5985" i="2"/>
  <c r="D5986" i="2"/>
  <c r="D5987" i="2"/>
  <c r="D5988" i="2"/>
  <c r="D5989" i="2"/>
  <c r="D5990" i="2"/>
  <c r="E5985" i="2"/>
  <c r="E5986" i="2"/>
  <c r="E5987" i="2"/>
  <c r="E5988" i="2"/>
  <c r="E5989" i="2"/>
  <c r="E5990" i="2"/>
  <c r="H5988" i="2" l="1"/>
  <c r="H5986" i="2"/>
  <c r="H5990" i="2"/>
  <c r="H5987" i="2"/>
  <c r="H5989" i="2"/>
  <c r="H5985" i="2"/>
  <c r="AH544" i="1" l="1"/>
  <c r="E150" i="1" l="1"/>
  <c r="A5984" i="2" l="1"/>
  <c r="C5984" i="2"/>
  <c r="B5984" i="2" s="1"/>
  <c r="D5984" i="2"/>
  <c r="E5984" i="2"/>
  <c r="A5979" i="2"/>
  <c r="A5980" i="2"/>
  <c r="A5981" i="2"/>
  <c r="A5982" i="2"/>
  <c r="A5983" i="2"/>
  <c r="C5979" i="2"/>
  <c r="B5979" i="2" s="1"/>
  <c r="C5980" i="2"/>
  <c r="B5980" i="2" s="1"/>
  <c r="C5981" i="2"/>
  <c r="B5981" i="2" s="1"/>
  <c r="C5982" i="2"/>
  <c r="B5982" i="2" s="1"/>
  <c r="C5983" i="2"/>
  <c r="B5983" i="2" s="1"/>
  <c r="D5979" i="2"/>
  <c r="D5980" i="2"/>
  <c r="D5981" i="2"/>
  <c r="D5982" i="2"/>
  <c r="D5983" i="2"/>
  <c r="E5979" i="2"/>
  <c r="E5980" i="2"/>
  <c r="E5981" i="2"/>
  <c r="E5982" i="2"/>
  <c r="E5983" i="2"/>
  <c r="C5975" i="2"/>
  <c r="B5975" i="2" s="1"/>
  <c r="C5973" i="2"/>
  <c r="B5973" i="2" s="1"/>
  <c r="C5972" i="2"/>
  <c r="H5972" i="2" s="1"/>
  <c r="C5971" i="2"/>
  <c r="B5971" i="2" s="1"/>
  <c r="C5970" i="2"/>
  <c r="B5970" i="2" s="1"/>
  <c r="A5970" i="2"/>
  <c r="A5971" i="2"/>
  <c r="A5972" i="2"/>
  <c r="A5973" i="2"/>
  <c r="A5974" i="2"/>
  <c r="A5975" i="2"/>
  <c r="A5976" i="2"/>
  <c r="A5977" i="2"/>
  <c r="A5978" i="2"/>
  <c r="C5974" i="2"/>
  <c r="B5974" i="2" s="1"/>
  <c r="C5976" i="2"/>
  <c r="B5976" i="2" s="1"/>
  <c r="C5977" i="2"/>
  <c r="B5977" i="2" s="1"/>
  <c r="C5978" i="2"/>
  <c r="B5978" i="2" s="1"/>
  <c r="D5970" i="2"/>
  <c r="D5971" i="2"/>
  <c r="D5972" i="2"/>
  <c r="D5973" i="2"/>
  <c r="D5974" i="2"/>
  <c r="D5975" i="2"/>
  <c r="D5976" i="2"/>
  <c r="D5977" i="2"/>
  <c r="D5978" i="2"/>
  <c r="E5970" i="2"/>
  <c r="E5971" i="2"/>
  <c r="E5972" i="2"/>
  <c r="E5973" i="2"/>
  <c r="E5974" i="2"/>
  <c r="E5975" i="2"/>
  <c r="E5976" i="2"/>
  <c r="E5977" i="2"/>
  <c r="E5978" i="2"/>
  <c r="A5965" i="2"/>
  <c r="A5966" i="2"/>
  <c r="A5967" i="2"/>
  <c r="A5968" i="2"/>
  <c r="A5969" i="2"/>
  <c r="C5965" i="2"/>
  <c r="B5965" i="2" s="1"/>
  <c r="C5966" i="2"/>
  <c r="B5966" i="2" s="1"/>
  <c r="C5967" i="2"/>
  <c r="B5967" i="2" s="1"/>
  <c r="C5968" i="2"/>
  <c r="B5968" i="2" s="1"/>
  <c r="C5969" i="2"/>
  <c r="B5969" i="2" s="1"/>
  <c r="D5965" i="2"/>
  <c r="D5966" i="2"/>
  <c r="D5967" i="2"/>
  <c r="D5968" i="2"/>
  <c r="D5969" i="2"/>
  <c r="E5965" i="2"/>
  <c r="E5966" i="2"/>
  <c r="E5967" i="2"/>
  <c r="E5968" i="2"/>
  <c r="E5969" i="2"/>
  <c r="H5978" i="2" l="1"/>
  <c r="H5973" i="2"/>
  <c r="H5982" i="2"/>
  <c r="H5981" i="2"/>
  <c r="H5974" i="2"/>
  <c r="H5979" i="2"/>
  <c r="H5969" i="2"/>
  <c r="H5976" i="2"/>
  <c r="H5967" i="2"/>
  <c r="H5965" i="2"/>
  <c r="H5984" i="2"/>
  <c r="H5970" i="2"/>
  <c r="B5972" i="2"/>
  <c r="H5975" i="2"/>
  <c r="H5983" i="2"/>
  <c r="H5980" i="2"/>
  <c r="H5977" i="2"/>
  <c r="H5971" i="2"/>
  <c r="H5966" i="2"/>
  <c r="H5968" i="2"/>
  <c r="A5960" i="2" l="1"/>
  <c r="A5961" i="2"/>
  <c r="A5962" i="2"/>
  <c r="A5963" i="2"/>
  <c r="A5964" i="2"/>
  <c r="C5960" i="2"/>
  <c r="B5960" i="2" s="1"/>
  <c r="C5961" i="2"/>
  <c r="B5961" i="2" s="1"/>
  <c r="C5962" i="2"/>
  <c r="B5962" i="2" s="1"/>
  <c r="C5963" i="2"/>
  <c r="B5963" i="2" s="1"/>
  <c r="C5964" i="2"/>
  <c r="B5964" i="2" s="1"/>
  <c r="D5960" i="2"/>
  <c r="D5961" i="2"/>
  <c r="D5962" i="2"/>
  <c r="D5963" i="2"/>
  <c r="D5964" i="2"/>
  <c r="E5960" i="2"/>
  <c r="E5961" i="2"/>
  <c r="E5962" i="2"/>
  <c r="E5963" i="2"/>
  <c r="E5964" i="2"/>
  <c r="H5964" i="2" l="1"/>
  <c r="H5963" i="2"/>
  <c r="H5960" i="2"/>
  <c r="H5962" i="2"/>
  <c r="H5961" i="2"/>
  <c r="A5950" i="2" l="1"/>
  <c r="A5951" i="2"/>
  <c r="A5952" i="2"/>
  <c r="A5953" i="2"/>
  <c r="A5954" i="2"/>
  <c r="C5950" i="2"/>
  <c r="B5950" i="2" s="1"/>
  <c r="C5951" i="2"/>
  <c r="B5951" i="2" s="1"/>
  <c r="C5952" i="2"/>
  <c r="B5952" i="2" s="1"/>
  <c r="C5953" i="2"/>
  <c r="B5953" i="2" s="1"/>
  <c r="C5954" i="2"/>
  <c r="B5954" i="2" s="1"/>
  <c r="D5950" i="2"/>
  <c r="D5951" i="2"/>
  <c r="D5952" i="2"/>
  <c r="D5953" i="2"/>
  <c r="D5954" i="2"/>
  <c r="E5950" i="2"/>
  <c r="E5951" i="2"/>
  <c r="E5952" i="2"/>
  <c r="E5953" i="2"/>
  <c r="E5954" i="2"/>
  <c r="H5953" i="2" l="1"/>
  <c r="H5951" i="2"/>
  <c r="H5952" i="2"/>
  <c r="H5954" i="2"/>
  <c r="H5950" i="2"/>
  <c r="A5955" i="2" l="1"/>
  <c r="A5956" i="2"/>
  <c r="A5957" i="2"/>
  <c r="A5958" i="2"/>
  <c r="A5959" i="2"/>
  <c r="C5955" i="2"/>
  <c r="H5955" i="2" s="1"/>
  <c r="C5956" i="2"/>
  <c r="B5956" i="2" s="1"/>
  <c r="C5957" i="2"/>
  <c r="B5957" i="2" s="1"/>
  <c r="C5958" i="2"/>
  <c r="B5958" i="2" s="1"/>
  <c r="C5959" i="2"/>
  <c r="H5959" i="2" s="1"/>
  <c r="D5955" i="2"/>
  <c r="D5956" i="2"/>
  <c r="D5957" i="2"/>
  <c r="D5958" i="2"/>
  <c r="D5959" i="2"/>
  <c r="E5955" i="2"/>
  <c r="E5956" i="2"/>
  <c r="E5957" i="2"/>
  <c r="E5958" i="2"/>
  <c r="E5959" i="2"/>
  <c r="H5956" i="2" l="1"/>
  <c r="B5955" i="2"/>
  <c r="H5957" i="2"/>
  <c r="B5959" i="2"/>
  <c r="H5958" i="2"/>
  <c r="A5944" i="2" l="1"/>
  <c r="A5945" i="2"/>
  <c r="A5946" i="2"/>
  <c r="A5947" i="2"/>
  <c r="A5948" i="2"/>
  <c r="A5949" i="2"/>
  <c r="C5944" i="2"/>
  <c r="B5944" i="2" s="1"/>
  <c r="C5945" i="2"/>
  <c r="B5945" i="2" s="1"/>
  <c r="C5946" i="2"/>
  <c r="B5946" i="2" s="1"/>
  <c r="C5947" i="2"/>
  <c r="B5947" i="2" s="1"/>
  <c r="C5948" i="2"/>
  <c r="B5948" i="2" s="1"/>
  <c r="C5949" i="2"/>
  <c r="B5949" i="2" s="1"/>
  <c r="D5944" i="2"/>
  <c r="D5945" i="2"/>
  <c r="D5946" i="2"/>
  <c r="D5947" i="2"/>
  <c r="D5948" i="2"/>
  <c r="D5949" i="2"/>
  <c r="E5944" i="2"/>
  <c r="E5945" i="2"/>
  <c r="E5946" i="2"/>
  <c r="E5947" i="2"/>
  <c r="E5948" i="2"/>
  <c r="E5949" i="2"/>
  <c r="H5947" i="2" l="1"/>
  <c r="H5948" i="2"/>
  <c r="H5944" i="2"/>
  <c r="H5946" i="2"/>
  <c r="H5949" i="2"/>
  <c r="H5945" i="2"/>
  <c r="A5934" i="2" l="1"/>
  <c r="A5935" i="2"/>
  <c r="A5936" i="2"/>
  <c r="A5937" i="2"/>
  <c r="A5938" i="2"/>
  <c r="A5939" i="2"/>
  <c r="A5940" i="2"/>
  <c r="A5941" i="2"/>
  <c r="A5942" i="2"/>
  <c r="A5943" i="2"/>
  <c r="C5934" i="2"/>
  <c r="B5934" i="2" s="1"/>
  <c r="C5935" i="2"/>
  <c r="H5935" i="2" s="1"/>
  <c r="C5936" i="2"/>
  <c r="B5936" i="2" s="1"/>
  <c r="C5937" i="2"/>
  <c r="B5937" i="2" s="1"/>
  <c r="C5938" i="2"/>
  <c r="B5938" i="2" s="1"/>
  <c r="C5939" i="2"/>
  <c r="B5939" i="2" s="1"/>
  <c r="C5940" i="2"/>
  <c r="B5940" i="2" s="1"/>
  <c r="C5941" i="2"/>
  <c r="B5941" i="2" s="1"/>
  <c r="C5942" i="2"/>
  <c r="B5942" i="2" s="1"/>
  <c r="C5943" i="2"/>
  <c r="H5943" i="2" s="1"/>
  <c r="D5934" i="2"/>
  <c r="D5935" i="2"/>
  <c r="D5936" i="2"/>
  <c r="D5937" i="2"/>
  <c r="D5938" i="2"/>
  <c r="D5939" i="2"/>
  <c r="D5940" i="2"/>
  <c r="D5941" i="2"/>
  <c r="D5942" i="2"/>
  <c r="D5943" i="2"/>
  <c r="E5934" i="2"/>
  <c r="E5935" i="2"/>
  <c r="E5936" i="2"/>
  <c r="E5937" i="2"/>
  <c r="E5938" i="2"/>
  <c r="E5939" i="2"/>
  <c r="E5940" i="2"/>
  <c r="E5941" i="2"/>
  <c r="E5942" i="2"/>
  <c r="E5943" i="2"/>
  <c r="B5935" i="2" l="1"/>
  <c r="H5941" i="2"/>
  <c r="H5937" i="2"/>
  <c r="H5940" i="2"/>
  <c r="H5936" i="2"/>
  <c r="B5943" i="2"/>
  <c r="H5939" i="2"/>
  <c r="H5942" i="2"/>
  <c r="H5938" i="2"/>
  <c r="H5934" i="2"/>
  <c r="A5924" i="2" l="1"/>
  <c r="A5925" i="2"/>
  <c r="A5926" i="2"/>
  <c r="A5927" i="2"/>
  <c r="A5928" i="2"/>
  <c r="A5929" i="2"/>
  <c r="A5930" i="2"/>
  <c r="A5931" i="2"/>
  <c r="A5932" i="2"/>
  <c r="A5933" i="2"/>
  <c r="D5924" i="2"/>
  <c r="D5925" i="2"/>
  <c r="D5926" i="2"/>
  <c r="D5927" i="2"/>
  <c r="D5928" i="2"/>
  <c r="D5929" i="2"/>
  <c r="D5930" i="2"/>
  <c r="D5931" i="2"/>
  <c r="D5932" i="2"/>
  <c r="D5933" i="2"/>
  <c r="E5924" i="2"/>
  <c r="E5925" i="2"/>
  <c r="E5926" i="2"/>
  <c r="E5927" i="2"/>
  <c r="E5928" i="2"/>
  <c r="E5929" i="2"/>
  <c r="E5930" i="2"/>
  <c r="E5931" i="2"/>
  <c r="E5932" i="2"/>
  <c r="E5933" i="2"/>
  <c r="C5924" i="2"/>
  <c r="H5924" i="2" s="1"/>
  <c r="C5925" i="2"/>
  <c r="B5925" i="2" s="1"/>
  <c r="C5926" i="2"/>
  <c r="B5926" i="2" s="1"/>
  <c r="C5927" i="2"/>
  <c r="B5927" i="2" s="1"/>
  <c r="C5928" i="2"/>
  <c r="H5928" i="2" s="1"/>
  <c r="C5929" i="2"/>
  <c r="B5929" i="2" s="1"/>
  <c r="C5930" i="2"/>
  <c r="B5930" i="2" s="1"/>
  <c r="C5931" i="2"/>
  <c r="B5931" i="2" s="1"/>
  <c r="C5932" i="2"/>
  <c r="H5932" i="2" s="1"/>
  <c r="C5933" i="2"/>
  <c r="B5933" i="2" s="1"/>
  <c r="H5927" i="2" l="1"/>
  <c r="H5931" i="2"/>
  <c r="H5930" i="2"/>
  <c r="H5926" i="2"/>
  <c r="B5932" i="2"/>
  <c r="B5928" i="2"/>
  <c r="B5924" i="2"/>
  <c r="H5933" i="2"/>
  <c r="H5929" i="2"/>
  <c r="H5925" i="2"/>
  <c r="C5919" i="2" l="1"/>
  <c r="C5920" i="2"/>
  <c r="C5921" i="2"/>
  <c r="C5922" i="2"/>
  <c r="C5923" i="2"/>
  <c r="E5922" i="2" l="1"/>
  <c r="D5919" i="2"/>
  <c r="D5920" i="2"/>
  <c r="D5921" i="2"/>
  <c r="D5922" i="2"/>
  <c r="D5923" i="2"/>
  <c r="E5919" i="2"/>
  <c r="E5920" i="2"/>
  <c r="E5921" i="2"/>
  <c r="E5923" i="2"/>
  <c r="H5920" i="2"/>
  <c r="H5922" i="2"/>
  <c r="H5923" i="2" l="1"/>
  <c r="H5919" i="2"/>
  <c r="H5921" i="2"/>
  <c r="C5901" i="2" l="1"/>
  <c r="C5902" i="2"/>
  <c r="C5903" i="2"/>
  <c r="C5904" i="2"/>
  <c r="C5905" i="2"/>
  <c r="C5906" i="2"/>
  <c r="C5907" i="2"/>
  <c r="C5908" i="2"/>
  <c r="C5909" i="2"/>
  <c r="C5910" i="2"/>
  <c r="C5911" i="2"/>
  <c r="C5912" i="2"/>
  <c r="H5912" i="2" s="1"/>
  <c r="C5913" i="2"/>
  <c r="H5913" i="2" s="1"/>
  <c r="C5914" i="2"/>
  <c r="H5914" i="2" s="1"/>
  <c r="C5915" i="2"/>
  <c r="H5915" i="2" s="1"/>
  <c r="C5916" i="2"/>
  <c r="H5916" i="2" s="1"/>
  <c r="C5917" i="2"/>
  <c r="H5917" i="2" s="1"/>
  <c r="C5918" i="2"/>
  <c r="H5918" i="2" s="1"/>
  <c r="A5914" i="2"/>
  <c r="A5915" i="2"/>
  <c r="A5916" i="2"/>
  <c r="A5917" i="2"/>
  <c r="A5918" i="2"/>
  <c r="D5914" i="2"/>
  <c r="D5915" i="2"/>
  <c r="D5916" i="2"/>
  <c r="D5917" i="2"/>
  <c r="D5918" i="2"/>
  <c r="E5914" i="2"/>
  <c r="E5915" i="2"/>
  <c r="E5916" i="2"/>
  <c r="E5917" i="2"/>
  <c r="E5918" i="2"/>
  <c r="Y150" i="1" l="1"/>
  <c r="H150" i="1" l="1"/>
  <c r="S150" i="1"/>
  <c r="T150" i="1"/>
  <c r="T544" i="1" s="1"/>
  <c r="AA150" i="1"/>
  <c r="AT150" i="1" s="1"/>
  <c r="AO150" i="1"/>
  <c r="AQ150" i="1"/>
  <c r="AR150" i="1"/>
  <c r="AS150" i="1"/>
  <c r="AX150" i="1"/>
  <c r="AY150" i="1"/>
  <c r="CP150" i="1"/>
  <c r="DD150" i="1" s="1"/>
  <c r="CZ150" i="1"/>
  <c r="CZ544" i="1" s="1"/>
  <c r="DA150" i="1"/>
  <c r="DB150" i="1" s="1"/>
  <c r="DB544" i="1" s="1"/>
  <c r="DP150" i="1"/>
  <c r="AU150" i="1" l="1"/>
  <c r="AU544" i="1" s="1"/>
  <c r="AF150" i="1"/>
  <c r="AN150" i="1"/>
  <c r="DC150" i="1"/>
  <c r="AP150" i="1" l="1"/>
  <c r="AP544" i="1" s="1"/>
  <c r="AF544" i="1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H5908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H5902" i="2"/>
  <c r="H5903" i="2"/>
  <c r="H5904" i="2"/>
  <c r="H5905" i="2"/>
  <c r="H5906" i="2"/>
  <c r="H5907" i="2"/>
  <c r="H5909" i="2"/>
  <c r="H5910" i="2"/>
  <c r="H5911" i="2"/>
  <c r="AI544" i="1" l="1"/>
  <c r="AJ544" i="1"/>
  <c r="A5897" i="2" l="1"/>
  <c r="A5898" i="2"/>
  <c r="A5899" i="2"/>
  <c r="A5900" i="2"/>
  <c r="A5901" i="2"/>
  <c r="C5897" i="2"/>
  <c r="B5897" i="2" s="1"/>
  <c r="C5898" i="2"/>
  <c r="H5898" i="2" s="1"/>
  <c r="C5899" i="2"/>
  <c r="B5899" i="2" s="1"/>
  <c r="C5900" i="2"/>
  <c r="B5900" i="2" s="1"/>
  <c r="B5901" i="2"/>
  <c r="D5897" i="2"/>
  <c r="D5898" i="2"/>
  <c r="D5899" i="2"/>
  <c r="D5900" i="2"/>
  <c r="D5901" i="2"/>
  <c r="E5897" i="2"/>
  <c r="E5898" i="2"/>
  <c r="E5899" i="2"/>
  <c r="E5900" i="2"/>
  <c r="E5901" i="2"/>
  <c r="H5901" i="2" l="1"/>
  <c r="H5899" i="2"/>
  <c r="H5897" i="2"/>
  <c r="H5900" i="2"/>
  <c r="B5898" i="2"/>
  <c r="A5892" i="2" l="1"/>
  <c r="A5893" i="2"/>
  <c r="A5894" i="2"/>
  <c r="A5895" i="2"/>
  <c r="A5896" i="2"/>
  <c r="C5892" i="2"/>
  <c r="H5892" i="2" s="1"/>
  <c r="C5893" i="2"/>
  <c r="H5893" i="2" s="1"/>
  <c r="C5894" i="2"/>
  <c r="H5894" i="2" s="1"/>
  <c r="C5895" i="2"/>
  <c r="B5895" i="2" s="1"/>
  <c r="C5896" i="2"/>
  <c r="H5896" i="2" s="1"/>
  <c r="D5892" i="2"/>
  <c r="D5893" i="2"/>
  <c r="D5894" i="2"/>
  <c r="D5895" i="2"/>
  <c r="D5896" i="2"/>
  <c r="E5892" i="2"/>
  <c r="E5893" i="2"/>
  <c r="E5894" i="2"/>
  <c r="E5895" i="2"/>
  <c r="E5896" i="2"/>
  <c r="B5894" i="2" l="1"/>
  <c r="B5893" i="2"/>
  <c r="B5892" i="2"/>
  <c r="H5895" i="2"/>
  <c r="B5896" i="2"/>
  <c r="A5887" i="2" l="1"/>
  <c r="A5888" i="2"/>
  <c r="A5889" i="2"/>
  <c r="A5890" i="2"/>
  <c r="A5891" i="2"/>
  <c r="C5887" i="2"/>
  <c r="H5887" i="2" s="1"/>
  <c r="C5888" i="2"/>
  <c r="B5888" i="2" s="1"/>
  <c r="C5889" i="2"/>
  <c r="B5889" i="2" s="1"/>
  <c r="C5890" i="2"/>
  <c r="B5890" i="2" s="1"/>
  <c r="C5891" i="2"/>
  <c r="B5891" i="2" s="1"/>
  <c r="D5887" i="2"/>
  <c r="D5888" i="2"/>
  <c r="D5889" i="2"/>
  <c r="D5890" i="2"/>
  <c r="D5891" i="2"/>
  <c r="E5887" i="2"/>
  <c r="E5888" i="2"/>
  <c r="E5889" i="2"/>
  <c r="E5890" i="2"/>
  <c r="E5891" i="2"/>
  <c r="H5890" i="2" l="1"/>
  <c r="H5889" i="2"/>
  <c r="H5888" i="2"/>
  <c r="H5891" i="2"/>
  <c r="B5887" i="2"/>
  <c r="A5882" i="2" l="1"/>
  <c r="A5883" i="2"/>
  <c r="A5884" i="2"/>
  <c r="A5885" i="2"/>
  <c r="A5886" i="2"/>
  <c r="C5882" i="2"/>
  <c r="B5882" i="2" s="1"/>
  <c r="C5883" i="2"/>
  <c r="B5883" i="2" s="1"/>
  <c r="C5884" i="2"/>
  <c r="H5884" i="2" s="1"/>
  <c r="C5885" i="2"/>
  <c r="B5885" i="2" s="1"/>
  <c r="C5886" i="2"/>
  <c r="D5882" i="2"/>
  <c r="D5883" i="2"/>
  <c r="D5884" i="2"/>
  <c r="D5885" i="2"/>
  <c r="D5886" i="2"/>
  <c r="E5882" i="2"/>
  <c r="E5883" i="2"/>
  <c r="E5884" i="2"/>
  <c r="E5885" i="2"/>
  <c r="E5886" i="2"/>
  <c r="H5883" i="2" l="1"/>
  <c r="H5882" i="2"/>
  <c r="B5884" i="2"/>
  <c r="H5885" i="2"/>
  <c r="H5886" i="2"/>
  <c r="A5877" i="2" l="1"/>
  <c r="A5878" i="2"/>
  <c r="A5879" i="2"/>
  <c r="A5880" i="2"/>
  <c r="A5881" i="2"/>
  <c r="C5877" i="2"/>
  <c r="B5877" i="2" s="1"/>
  <c r="C5878" i="2"/>
  <c r="B5878" i="2" s="1"/>
  <c r="C5879" i="2"/>
  <c r="B5879" i="2" s="1"/>
  <c r="C5880" i="2"/>
  <c r="B5880" i="2" s="1"/>
  <c r="C5881" i="2"/>
  <c r="B5881" i="2" s="1"/>
  <c r="D5877" i="2"/>
  <c r="D5878" i="2"/>
  <c r="D5879" i="2"/>
  <c r="D5880" i="2"/>
  <c r="D5881" i="2"/>
  <c r="E5877" i="2"/>
  <c r="E5878" i="2"/>
  <c r="E5879" i="2"/>
  <c r="E5880" i="2"/>
  <c r="E5881" i="2"/>
  <c r="H5880" i="2" l="1"/>
  <c r="H5881" i="2"/>
  <c r="H5878" i="2"/>
  <c r="H5877" i="2"/>
  <c r="H5879" i="2"/>
  <c r="A5872" i="2" l="1"/>
  <c r="A5873" i="2"/>
  <c r="A5874" i="2"/>
  <c r="A5875" i="2"/>
  <c r="A5876" i="2"/>
  <c r="C5872" i="2"/>
  <c r="B5872" i="2" s="1"/>
  <c r="C5873" i="2"/>
  <c r="B5873" i="2" s="1"/>
  <c r="C5874" i="2"/>
  <c r="B5874" i="2" s="1"/>
  <c r="C5875" i="2"/>
  <c r="B5875" i="2" s="1"/>
  <c r="C5876" i="2"/>
  <c r="B5876" i="2" s="1"/>
  <c r="D5872" i="2"/>
  <c r="D5873" i="2"/>
  <c r="D5874" i="2"/>
  <c r="D5875" i="2"/>
  <c r="D5876" i="2"/>
  <c r="E5872" i="2"/>
  <c r="E5873" i="2"/>
  <c r="E5874" i="2"/>
  <c r="E5875" i="2"/>
  <c r="E5876" i="2"/>
  <c r="H5875" i="2" l="1"/>
  <c r="H5874" i="2"/>
  <c r="H5873" i="2"/>
  <c r="H5876" i="2"/>
  <c r="H5872" i="2"/>
  <c r="A5867" i="2" l="1"/>
  <c r="A5868" i="2"/>
  <c r="A5869" i="2"/>
  <c r="A5870" i="2"/>
  <c r="A5871" i="2"/>
  <c r="C5867" i="2"/>
  <c r="B5867" i="2" s="1"/>
  <c r="C5868" i="2"/>
  <c r="H5868" i="2" s="1"/>
  <c r="C5869" i="2"/>
  <c r="H5869" i="2" s="1"/>
  <c r="C5870" i="2"/>
  <c r="B5870" i="2" s="1"/>
  <c r="C5871" i="2"/>
  <c r="B5871" i="2" s="1"/>
  <c r="D5867" i="2"/>
  <c r="D5868" i="2"/>
  <c r="D5869" i="2"/>
  <c r="D5870" i="2"/>
  <c r="D5871" i="2"/>
  <c r="E5867" i="2"/>
  <c r="E5868" i="2"/>
  <c r="E5869" i="2"/>
  <c r="E5870" i="2"/>
  <c r="E5871" i="2"/>
  <c r="H5870" i="2" l="1"/>
  <c r="H5867" i="2"/>
  <c r="B5869" i="2"/>
  <c r="H5871" i="2"/>
  <c r="B5868" i="2"/>
  <c r="A5861" i="2"/>
  <c r="A5862" i="2"/>
  <c r="A5863" i="2"/>
  <c r="A5864" i="2"/>
  <c r="A5865" i="2"/>
  <c r="A5866" i="2"/>
  <c r="C5861" i="2"/>
  <c r="B5861" i="2" s="1"/>
  <c r="C5862" i="2"/>
  <c r="B5862" i="2" s="1"/>
  <c r="C5863" i="2"/>
  <c r="B5863" i="2" s="1"/>
  <c r="C5864" i="2"/>
  <c r="H5864" i="2" s="1"/>
  <c r="C5865" i="2"/>
  <c r="B5865" i="2" s="1"/>
  <c r="C5866" i="2"/>
  <c r="B5866" i="2" s="1"/>
  <c r="D5861" i="2"/>
  <c r="D5862" i="2"/>
  <c r="D5863" i="2"/>
  <c r="D5864" i="2"/>
  <c r="D5865" i="2"/>
  <c r="D5866" i="2"/>
  <c r="E5861" i="2"/>
  <c r="E5862" i="2"/>
  <c r="E5863" i="2"/>
  <c r="E5864" i="2"/>
  <c r="E5865" i="2"/>
  <c r="E5866" i="2"/>
  <c r="H5863" i="2" l="1"/>
  <c r="H5865" i="2"/>
  <c r="H5861" i="2"/>
  <c r="B5864" i="2"/>
  <c r="H5866" i="2"/>
  <c r="H5862" i="2"/>
  <c r="A5856" i="2" l="1"/>
  <c r="A5857" i="2"/>
  <c r="A5858" i="2"/>
  <c r="A5859" i="2"/>
  <c r="A5860" i="2"/>
  <c r="C5856" i="2"/>
  <c r="B5856" i="2" s="1"/>
  <c r="C5857" i="2"/>
  <c r="B5857" i="2" s="1"/>
  <c r="C5858" i="2"/>
  <c r="H5858" i="2" s="1"/>
  <c r="C5859" i="2"/>
  <c r="B5859" i="2" s="1"/>
  <c r="C5860" i="2"/>
  <c r="B5860" i="2" s="1"/>
  <c r="D5856" i="2"/>
  <c r="D5857" i="2"/>
  <c r="D5858" i="2"/>
  <c r="D5859" i="2"/>
  <c r="D5860" i="2"/>
  <c r="E5856" i="2"/>
  <c r="E5857" i="2"/>
  <c r="E5858" i="2"/>
  <c r="E5859" i="2"/>
  <c r="E5860" i="2"/>
  <c r="H5859" i="2" l="1"/>
  <c r="H5856" i="2"/>
  <c r="B5858" i="2"/>
  <c r="H5860" i="2"/>
  <c r="H5857" i="2"/>
  <c r="A5851" i="2" l="1"/>
  <c r="A5852" i="2"/>
  <c r="A5853" i="2"/>
  <c r="A5854" i="2"/>
  <c r="A5855" i="2"/>
  <c r="C5851" i="2"/>
  <c r="B5851" i="2" s="1"/>
  <c r="C5852" i="2"/>
  <c r="H5852" i="2" s="1"/>
  <c r="C5853" i="2"/>
  <c r="B5853" i="2" s="1"/>
  <c r="C5854" i="2"/>
  <c r="B5854" i="2" s="1"/>
  <c r="C5855" i="2"/>
  <c r="B5855" i="2" s="1"/>
  <c r="D5851" i="2"/>
  <c r="D5852" i="2"/>
  <c r="D5853" i="2"/>
  <c r="D5854" i="2"/>
  <c r="D5855" i="2"/>
  <c r="E5851" i="2"/>
  <c r="E5852" i="2"/>
  <c r="E5853" i="2"/>
  <c r="E5854" i="2"/>
  <c r="E5855" i="2"/>
  <c r="H5855" i="2" l="1"/>
  <c r="H5854" i="2"/>
  <c r="H5851" i="2"/>
  <c r="H5853" i="2"/>
  <c r="B5852" i="2"/>
  <c r="A5846" i="2" l="1"/>
  <c r="A5847" i="2"/>
  <c r="A5848" i="2"/>
  <c r="A5849" i="2"/>
  <c r="A5850" i="2"/>
  <c r="C5846" i="2"/>
  <c r="B5846" i="2" s="1"/>
  <c r="C5847" i="2"/>
  <c r="B5847" i="2" s="1"/>
  <c r="C5848" i="2"/>
  <c r="B5848" i="2" s="1"/>
  <c r="C5849" i="2"/>
  <c r="B5849" i="2" s="1"/>
  <c r="C5850" i="2"/>
  <c r="B5850" i="2" s="1"/>
  <c r="D5846" i="2"/>
  <c r="D5847" i="2"/>
  <c r="D5848" i="2"/>
  <c r="D5849" i="2"/>
  <c r="D5850" i="2"/>
  <c r="E5846" i="2"/>
  <c r="E5847" i="2"/>
  <c r="E5848" i="2"/>
  <c r="E5849" i="2"/>
  <c r="E5850" i="2"/>
  <c r="H5849" i="2" l="1"/>
  <c r="H5846" i="2"/>
  <c r="H5847" i="2"/>
  <c r="H5850" i="2"/>
  <c r="H5848" i="2"/>
  <c r="C1433" i="2" l="1"/>
  <c r="A5841" i="2" l="1"/>
  <c r="A5842" i="2"/>
  <c r="A5843" i="2"/>
  <c r="A5844" i="2"/>
  <c r="A5845" i="2"/>
  <c r="C5841" i="2"/>
  <c r="B5841" i="2" s="1"/>
  <c r="C5842" i="2"/>
  <c r="B5842" i="2" s="1"/>
  <c r="C5843" i="2"/>
  <c r="B5843" i="2" s="1"/>
  <c r="C5844" i="2"/>
  <c r="B5844" i="2" s="1"/>
  <c r="C5845" i="2"/>
  <c r="B5845" i="2" s="1"/>
  <c r="D5841" i="2"/>
  <c r="D5842" i="2"/>
  <c r="D5843" i="2"/>
  <c r="D5844" i="2"/>
  <c r="D5845" i="2"/>
  <c r="E5841" i="2"/>
  <c r="E5842" i="2"/>
  <c r="E5843" i="2"/>
  <c r="E5844" i="2"/>
  <c r="E5845" i="2"/>
  <c r="A5836" i="2"/>
  <c r="A5837" i="2"/>
  <c r="A5838" i="2"/>
  <c r="A5839" i="2"/>
  <c r="A5840" i="2"/>
  <c r="C5836" i="2"/>
  <c r="B5836" i="2" s="1"/>
  <c r="C5837" i="2"/>
  <c r="H5837" i="2" s="1"/>
  <c r="C5838" i="2"/>
  <c r="B5838" i="2" s="1"/>
  <c r="C5839" i="2"/>
  <c r="B5839" i="2" s="1"/>
  <c r="C5840" i="2"/>
  <c r="B5840" i="2" s="1"/>
  <c r="D5836" i="2"/>
  <c r="D5837" i="2"/>
  <c r="D5838" i="2"/>
  <c r="D5839" i="2"/>
  <c r="D5840" i="2"/>
  <c r="E5836" i="2"/>
  <c r="E5837" i="2"/>
  <c r="E5838" i="2"/>
  <c r="E5839" i="2"/>
  <c r="E5840" i="2"/>
  <c r="H5844" i="2" l="1"/>
  <c r="H5836" i="2"/>
  <c r="H5843" i="2"/>
  <c r="H5838" i="2"/>
  <c r="H5840" i="2"/>
  <c r="H5842" i="2"/>
  <c r="H5839" i="2"/>
  <c r="H5845" i="2"/>
  <c r="H5841" i="2"/>
  <c r="B5837" i="2"/>
  <c r="A5831" i="2" l="1"/>
  <c r="A5832" i="2"/>
  <c r="A5833" i="2"/>
  <c r="A5834" i="2"/>
  <c r="A5835" i="2"/>
  <c r="C5831" i="2"/>
  <c r="B5831" i="2" s="1"/>
  <c r="C5832" i="2"/>
  <c r="B5832" i="2" s="1"/>
  <c r="C5833" i="2"/>
  <c r="B5833" i="2" s="1"/>
  <c r="C5834" i="2"/>
  <c r="B5834" i="2" s="1"/>
  <c r="C5835" i="2"/>
  <c r="B5835" i="2" s="1"/>
  <c r="D5831" i="2"/>
  <c r="D5832" i="2"/>
  <c r="D5833" i="2"/>
  <c r="D5834" i="2"/>
  <c r="D5835" i="2"/>
  <c r="E5831" i="2"/>
  <c r="E5832" i="2"/>
  <c r="E5833" i="2"/>
  <c r="E5834" i="2"/>
  <c r="E5835" i="2"/>
  <c r="H5835" i="2" l="1"/>
  <c r="H5831" i="2"/>
  <c r="H5833" i="2"/>
  <c r="H5832" i="2"/>
  <c r="H5834" i="2"/>
  <c r="A5830" i="2" l="1"/>
  <c r="C5830" i="2"/>
  <c r="B5830" i="2" s="1"/>
  <c r="D5830" i="2"/>
  <c r="E5830" i="2"/>
  <c r="H5830" i="2" l="1"/>
  <c r="A5824" i="2" l="1"/>
  <c r="A5825" i="2"/>
  <c r="A5826" i="2"/>
  <c r="A5827" i="2"/>
  <c r="A5828" i="2"/>
  <c r="A5829" i="2"/>
  <c r="C5824" i="2"/>
  <c r="B5824" i="2" s="1"/>
  <c r="C5825" i="2"/>
  <c r="H5825" i="2" s="1"/>
  <c r="C5826" i="2"/>
  <c r="B5826" i="2" s="1"/>
  <c r="C5827" i="2"/>
  <c r="B5827" i="2" s="1"/>
  <c r="C5828" i="2"/>
  <c r="B5828" i="2" s="1"/>
  <c r="C5829" i="2"/>
  <c r="B5829" i="2" s="1"/>
  <c r="D5824" i="2"/>
  <c r="D5825" i="2"/>
  <c r="D5826" i="2"/>
  <c r="D5827" i="2"/>
  <c r="D5828" i="2"/>
  <c r="D5829" i="2"/>
  <c r="E5824" i="2"/>
  <c r="E5825" i="2"/>
  <c r="E5826" i="2"/>
  <c r="E5827" i="2"/>
  <c r="E5828" i="2"/>
  <c r="E5829" i="2"/>
  <c r="H5826" i="2" l="1"/>
  <c r="B5825" i="2"/>
  <c r="H5824" i="2"/>
  <c r="H5827" i="2"/>
  <c r="H5829" i="2"/>
  <c r="H5828" i="2"/>
  <c r="A5818" i="2" l="1"/>
  <c r="A5819" i="2"/>
  <c r="A5820" i="2"/>
  <c r="A5821" i="2"/>
  <c r="A5822" i="2"/>
  <c r="A5823" i="2"/>
  <c r="C5818" i="2"/>
  <c r="B5818" i="2" s="1"/>
  <c r="C5819" i="2"/>
  <c r="B5819" i="2" s="1"/>
  <c r="C5820" i="2"/>
  <c r="B5820" i="2" s="1"/>
  <c r="C5821" i="2"/>
  <c r="B5821" i="2" s="1"/>
  <c r="C5822" i="2"/>
  <c r="B5822" i="2" s="1"/>
  <c r="C5823" i="2"/>
  <c r="B5823" i="2" s="1"/>
  <c r="D5818" i="2"/>
  <c r="D5819" i="2"/>
  <c r="D5820" i="2"/>
  <c r="D5821" i="2"/>
  <c r="D5822" i="2"/>
  <c r="D5823" i="2"/>
  <c r="E5818" i="2"/>
  <c r="E5819" i="2"/>
  <c r="E5820" i="2"/>
  <c r="E5821" i="2"/>
  <c r="E5822" i="2"/>
  <c r="E5823" i="2"/>
  <c r="H5823" i="2" l="1"/>
  <c r="H5820" i="2"/>
  <c r="H5818" i="2"/>
  <c r="H5821" i="2"/>
  <c r="H5822" i="2"/>
  <c r="H5819" i="2"/>
  <c r="A5813" i="2" l="1"/>
  <c r="A5814" i="2"/>
  <c r="A5815" i="2"/>
  <c r="A5816" i="2"/>
  <c r="A5817" i="2"/>
  <c r="C5813" i="2"/>
  <c r="B5813" i="2" s="1"/>
  <c r="C5814" i="2"/>
  <c r="H5814" i="2" s="1"/>
  <c r="C5815" i="2"/>
  <c r="B5815" i="2" s="1"/>
  <c r="C5816" i="2"/>
  <c r="B5816" i="2" s="1"/>
  <c r="C5817" i="2"/>
  <c r="B5817" i="2" s="1"/>
  <c r="D5813" i="2"/>
  <c r="D5814" i="2"/>
  <c r="D5815" i="2"/>
  <c r="D5816" i="2"/>
  <c r="D5817" i="2"/>
  <c r="E5813" i="2"/>
  <c r="E5814" i="2"/>
  <c r="E5815" i="2"/>
  <c r="E5816" i="2"/>
  <c r="E5817" i="2"/>
  <c r="H5815" i="2" l="1"/>
  <c r="H5816" i="2"/>
  <c r="H5813" i="2"/>
  <c r="H5817" i="2"/>
  <c r="B5814" i="2"/>
  <c r="AZ544" i="1" l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T544" i="1"/>
  <c r="BU544" i="1"/>
  <c r="BV544" i="1"/>
  <c r="BW544" i="1"/>
  <c r="BX544" i="1"/>
  <c r="CA544" i="1"/>
  <c r="CB544" i="1"/>
  <c r="CC544" i="1"/>
  <c r="CD544" i="1"/>
  <c r="CE544" i="1"/>
  <c r="CF544" i="1"/>
  <c r="CG544" i="1"/>
  <c r="CH544" i="1"/>
  <c r="CI544" i="1"/>
  <c r="CJ544" i="1"/>
  <c r="A5801" i="2" l="1"/>
  <c r="A5802" i="2"/>
  <c r="A5803" i="2"/>
  <c r="A5804" i="2"/>
  <c r="A5805" i="2"/>
  <c r="A5806" i="2"/>
  <c r="A5807" i="2"/>
  <c r="A5808" i="2"/>
  <c r="A5809" i="2"/>
  <c r="A5810" i="2"/>
  <c r="A5811" i="2"/>
  <c r="A5812" i="2"/>
  <c r="C5801" i="2"/>
  <c r="B5801" i="2" s="1"/>
  <c r="C5802" i="2"/>
  <c r="B5802" i="2" s="1"/>
  <c r="C5803" i="2"/>
  <c r="B5803" i="2" s="1"/>
  <c r="C5804" i="2"/>
  <c r="B5804" i="2" s="1"/>
  <c r="C5805" i="2"/>
  <c r="B5805" i="2" s="1"/>
  <c r="C5806" i="2"/>
  <c r="B5806" i="2" s="1"/>
  <c r="C5807" i="2"/>
  <c r="B5807" i="2" s="1"/>
  <c r="C5808" i="2"/>
  <c r="B5808" i="2" s="1"/>
  <c r="C5809" i="2"/>
  <c r="B5809" i="2" s="1"/>
  <c r="C5810" i="2"/>
  <c r="B5810" i="2" s="1"/>
  <c r="C5811" i="2"/>
  <c r="B5811" i="2" s="1"/>
  <c r="C5812" i="2"/>
  <c r="B5812" i="2" s="1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H5801" i="2" l="1"/>
  <c r="H5802" i="2"/>
  <c r="H5805" i="2"/>
  <c r="H5809" i="2"/>
  <c r="H5812" i="2"/>
  <c r="H5804" i="2"/>
  <c r="H5808" i="2"/>
  <c r="H5810" i="2"/>
  <c r="H5806" i="2"/>
  <c r="H5811" i="2"/>
  <c r="H5807" i="2"/>
  <c r="H5803" i="2"/>
  <c r="A5796" i="2" l="1"/>
  <c r="A5797" i="2"/>
  <c r="A5798" i="2"/>
  <c r="A5799" i="2"/>
  <c r="A5800" i="2"/>
  <c r="C5796" i="2"/>
  <c r="B5796" i="2" s="1"/>
  <c r="C5797" i="2"/>
  <c r="B5797" i="2" s="1"/>
  <c r="C5798" i="2"/>
  <c r="H5798" i="2" s="1"/>
  <c r="C5799" i="2"/>
  <c r="B5799" i="2" s="1"/>
  <c r="C5800" i="2"/>
  <c r="B5800" i="2" s="1"/>
  <c r="D5796" i="2"/>
  <c r="D5797" i="2"/>
  <c r="D5798" i="2"/>
  <c r="D5799" i="2"/>
  <c r="D5800" i="2"/>
  <c r="E5796" i="2"/>
  <c r="E5797" i="2"/>
  <c r="E5798" i="2"/>
  <c r="E5799" i="2"/>
  <c r="E5800" i="2"/>
  <c r="H5796" i="2" l="1"/>
  <c r="H5799" i="2"/>
  <c r="H5797" i="2"/>
  <c r="H5800" i="2"/>
  <c r="B5798" i="2"/>
  <c r="A5792" i="2" l="1"/>
  <c r="A5793" i="2"/>
  <c r="A5794" i="2"/>
  <c r="A5795" i="2"/>
  <c r="C5792" i="2"/>
  <c r="B5792" i="2" s="1"/>
  <c r="C5793" i="2"/>
  <c r="B5793" i="2" s="1"/>
  <c r="C5794" i="2"/>
  <c r="B5794" i="2" s="1"/>
  <c r="C5795" i="2"/>
  <c r="H5795" i="2" s="1"/>
  <c r="D5792" i="2"/>
  <c r="D5793" i="2"/>
  <c r="D5794" i="2"/>
  <c r="D5795" i="2"/>
  <c r="E5792" i="2"/>
  <c r="E5793" i="2"/>
  <c r="E5794" i="2"/>
  <c r="E5795" i="2"/>
  <c r="H5792" i="2" l="1"/>
  <c r="H5794" i="2"/>
  <c r="H5793" i="2"/>
  <c r="B5795" i="2"/>
  <c r="A5787" i="2" l="1"/>
  <c r="A5788" i="2"/>
  <c r="A5789" i="2"/>
  <c r="A5790" i="2"/>
  <c r="A5791" i="2"/>
  <c r="C5787" i="2"/>
  <c r="B5787" i="2" s="1"/>
  <c r="C5788" i="2"/>
  <c r="B5788" i="2" s="1"/>
  <c r="C5789" i="2"/>
  <c r="B5789" i="2" s="1"/>
  <c r="C5790" i="2"/>
  <c r="B5790" i="2" s="1"/>
  <c r="C5791" i="2"/>
  <c r="B5791" i="2" s="1"/>
  <c r="D5787" i="2"/>
  <c r="D5788" i="2"/>
  <c r="D5789" i="2"/>
  <c r="D5790" i="2"/>
  <c r="D5791" i="2"/>
  <c r="E5787" i="2"/>
  <c r="E5788" i="2"/>
  <c r="E5789" i="2"/>
  <c r="E5790" i="2"/>
  <c r="E5791" i="2"/>
  <c r="A5783" i="2"/>
  <c r="A5784" i="2"/>
  <c r="A5785" i="2"/>
  <c r="A5786" i="2"/>
  <c r="C5783" i="2"/>
  <c r="B5783" i="2" s="1"/>
  <c r="C5784" i="2"/>
  <c r="B5784" i="2" s="1"/>
  <c r="C5785" i="2"/>
  <c r="B5785" i="2" s="1"/>
  <c r="C5786" i="2"/>
  <c r="B5786" i="2" s="1"/>
  <c r="D5783" i="2"/>
  <c r="D5784" i="2"/>
  <c r="D5785" i="2"/>
  <c r="D5786" i="2"/>
  <c r="E5783" i="2"/>
  <c r="E5784" i="2"/>
  <c r="E5785" i="2"/>
  <c r="E5786" i="2"/>
  <c r="H5783" i="2" l="1"/>
  <c r="H5791" i="2"/>
  <c r="H5785" i="2"/>
  <c r="H5786" i="2"/>
  <c r="H5787" i="2"/>
  <c r="H5789" i="2"/>
  <c r="H5788" i="2"/>
  <c r="H5784" i="2"/>
  <c r="H5790" i="2"/>
  <c r="A5773" i="2" l="1"/>
  <c r="A5774" i="2"/>
  <c r="A5775" i="2"/>
  <c r="A5776" i="2"/>
  <c r="A5777" i="2"/>
  <c r="A5778" i="2"/>
  <c r="A5779" i="2"/>
  <c r="A5780" i="2"/>
  <c r="A5781" i="2"/>
  <c r="A5782" i="2"/>
  <c r="C5773" i="2"/>
  <c r="B5773" i="2" s="1"/>
  <c r="C5774" i="2"/>
  <c r="B5774" i="2" s="1"/>
  <c r="C5775" i="2"/>
  <c r="B5775" i="2" s="1"/>
  <c r="C5776" i="2"/>
  <c r="B5776" i="2" s="1"/>
  <c r="C5777" i="2"/>
  <c r="B5777" i="2" s="1"/>
  <c r="C5778" i="2"/>
  <c r="B5778" i="2" s="1"/>
  <c r="C5779" i="2"/>
  <c r="B5779" i="2" s="1"/>
  <c r="C5780" i="2"/>
  <c r="B5780" i="2" s="1"/>
  <c r="C5781" i="2"/>
  <c r="B5781" i="2" s="1"/>
  <c r="C5782" i="2"/>
  <c r="B5782" i="2" s="1"/>
  <c r="D5773" i="2"/>
  <c r="D5774" i="2"/>
  <c r="D5775" i="2"/>
  <c r="D5776" i="2"/>
  <c r="D5777" i="2"/>
  <c r="D5778" i="2"/>
  <c r="D5779" i="2"/>
  <c r="D5780" i="2"/>
  <c r="D5781" i="2"/>
  <c r="D5782" i="2"/>
  <c r="E5773" i="2"/>
  <c r="E5774" i="2"/>
  <c r="E5775" i="2"/>
  <c r="E5776" i="2"/>
  <c r="E5777" i="2"/>
  <c r="E5778" i="2"/>
  <c r="E5779" i="2"/>
  <c r="E5780" i="2"/>
  <c r="E5781" i="2"/>
  <c r="E5782" i="2"/>
  <c r="H5777" i="2" l="1"/>
  <c r="H5778" i="2"/>
  <c r="H5782" i="2"/>
  <c r="H5781" i="2"/>
  <c r="H5779" i="2"/>
  <c r="H5774" i="2"/>
  <c r="H5773" i="2"/>
  <c r="H5775" i="2"/>
  <c r="H5780" i="2"/>
  <c r="H5776" i="2"/>
  <c r="A5769" i="2" l="1"/>
  <c r="A5770" i="2"/>
  <c r="A5771" i="2"/>
  <c r="A5772" i="2"/>
  <c r="C5769" i="2"/>
  <c r="B5769" i="2" s="1"/>
  <c r="C5770" i="2"/>
  <c r="B5770" i="2" s="1"/>
  <c r="C5771" i="2"/>
  <c r="B5771" i="2" s="1"/>
  <c r="C5772" i="2"/>
  <c r="B5772" i="2" s="1"/>
  <c r="D5769" i="2"/>
  <c r="D5770" i="2"/>
  <c r="D5771" i="2"/>
  <c r="D5772" i="2"/>
  <c r="E5769" i="2"/>
  <c r="E5770" i="2"/>
  <c r="E5771" i="2"/>
  <c r="E5772" i="2"/>
  <c r="A5764" i="2"/>
  <c r="A5765" i="2"/>
  <c r="A5766" i="2"/>
  <c r="A5767" i="2"/>
  <c r="A5768" i="2"/>
  <c r="C5764" i="2"/>
  <c r="B5764" i="2" s="1"/>
  <c r="C5765" i="2"/>
  <c r="B5765" i="2" s="1"/>
  <c r="C5766" i="2"/>
  <c r="B5766" i="2" s="1"/>
  <c r="C5767" i="2"/>
  <c r="B5767" i="2" s="1"/>
  <c r="C5768" i="2"/>
  <c r="H5768" i="2" s="1"/>
  <c r="D5764" i="2"/>
  <c r="D5765" i="2"/>
  <c r="D5766" i="2"/>
  <c r="D5767" i="2"/>
  <c r="D5768" i="2"/>
  <c r="E5764" i="2"/>
  <c r="E5765" i="2"/>
  <c r="E5766" i="2"/>
  <c r="E5767" i="2"/>
  <c r="E5768" i="2"/>
  <c r="H5771" i="2" l="1"/>
  <c r="H5769" i="2"/>
  <c r="H5772" i="2"/>
  <c r="H5770" i="2"/>
  <c r="H5764" i="2"/>
  <c r="H5766" i="2"/>
  <c r="B5768" i="2"/>
  <c r="H5767" i="2"/>
  <c r="H5765" i="2"/>
  <c r="A5759" i="2" l="1"/>
  <c r="A5760" i="2"/>
  <c r="A5761" i="2"/>
  <c r="A5762" i="2"/>
  <c r="A5763" i="2"/>
  <c r="C5759" i="2"/>
  <c r="B5759" i="2" s="1"/>
  <c r="C5760" i="2"/>
  <c r="B5760" i="2" s="1"/>
  <c r="C5761" i="2"/>
  <c r="B5761" i="2" s="1"/>
  <c r="C5762" i="2"/>
  <c r="B5762" i="2" s="1"/>
  <c r="C5763" i="2"/>
  <c r="B5763" i="2" s="1"/>
  <c r="D5759" i="2"/>
  <c r="D5760" i="2"/>
  <c r="D5761" i="2"/>
  <c r="D5762" i="2"/>
  <c r="D5763" i="2"/>
  <c r="E5759" i="2"/>
  <c r="E5760" i="2"/>
  <c r="E5761" i="2"/>
  <c r="E5762" i="2"/>
  <c r="E5763" i="2"/>
  <c r="A5750" i="2"/>
  <c r="A5751" i="2"/>
  <c r="A5752" i="2"/>
  <c r="A5753" i="2"/>
  <c r="A5754" i="2"/>
  <c r="A5755" i="2"/>
  <c r="A5756" i="2"/>
  <c r="A5757" i="2"/>
  <c r="A5758" i="2"/>
  <c r="C5750" i="2"/>
  <c r="B5750" i="2" s="1"/>
  <c r="C5751" i="2"/>
  <c r="B5751" i="2" s="1"/>
  <c r="C5752" i="2"/>
  <c r="B5752" i="2" s="1"/>
  <c r="C5753" i="2"/>
  <c r="B5753" i="2" s="1"/>
  <c r="C5754" i="2"/>
  <c r="B5754" i="2" s="1"/>
  <c r="C5755" i="2"/>
  <c r="B5755" i="2" s="1"/>
  <c r="C5756" i="2"/>
  <c r="B5756" i="2" s="1"/>
  <c r="C5757" i="2"/>
  <c r="B5757" i="2" s="1"/>
  <c r="C5758" i="2"/>
  <c r="B5758" i="2" s="1"/>
  <c r="D5750" i="2"/>
  <c r="D5751" i="2"/>
  <c r="D5752" i="2"/>
  <c r="D5753" i="2"/>
  <c r="D5754" i="2"/>
  <c r="D5755" i="2"/>
  <c r="D5756" i="2"/>
  <c r="D5757" i="2"/>
  <c r="D5758" i="2"/>
  <c r="E5750" i="2"/>
  <c r="E5751" i="2"/>
  <c r="E5752" i="2"/>
  <c r="E5753" i="2"/>
  <c r="E5754" i="2"/>
  <c r="E5755" i="2"/>
  <c r="E5756" i="2"/>
  <c r="E5757" i="2"/>
  <c r="E5758" i="2"/>
  <c r="A5745" i="2"/>
  <c r="A5746" i="2"/>
  <c r="A5747" i="2"/>
  <c r="A5748" i="2"/>
  <c r="A5749" i="2"/>
  <c r="C5745" i="2"/>
  <c r="B5745" i="2" s="1"/>
  <c r="C5746" i="2"/>
  <c r="B5746" i="2" s="1"/>
  <c r="C5747" i="2"/>
  <c r="B5747" i="2" s="1"/>
  <c r="C5748" i="2"/>
  <c r="B5748" i="2" s="1"/>
  <c r="C5749" i="2"/>
  <c r="B5749" i="2" s="1"/>
  <c r="D5745" i="2"/>
  <c r="D5746" i="2"/>
  <c r="D5747" i="2"/>
  <c r="D5748" i="2"/>
  <c r="D5749" i="2"/>
  <c r="E5745" i="2"/>
  <c r="E5746" i="2"/>
  <c r="E5747" i="2"/>
  <c r="E5748" i="2"/>
  <c r="E5749" i="2"/>
  <c r="A5740" i="2"/>
  <c r="A5741" i="2"/>
  <c r="A5742" i="2"/>
  <c r="A5743" i="2"/>
  <c r="A5744" i="2"/>
  <c r="C5740" i="2"/>
  <c r="B5740" i="2" s="1"/>
  <c r="C5741" i="2"/>
  <c r="H5741" i="2" s="1"/>
  <c r="C5742" i="2"/>
  <c r="B5742" i="2" s="1"/>
  <c r="C5743" i="2"/>
  <c r="B5743" i="2" s="1"/>
  <c r="C5744" i="2"/>
  <c r="B5744" i="2" s="1"/>
  <c r="D5740" i="2"/>
  <c r="D5741" i="2"/>
  <c r="D5742" i="2"/>
  <c r="D5743" i="2"/>
  <c r="D5744" i="2"/>
  <c r="E5740" i="2"/>
  <c r="E5741" i="2"/>
  <c r="E5742" i="2"/>
  <c r="E5743" i="2"/>
  <c r="E5744" i="2"/>
  <c r="H5763" i="2" l="1"/>
  <c r="H5746" i="2"/>
  <c r="H5752" i="2"/>
  <c r="H5759" i="2"/>
  <c r="H5756" i="2"/>
  <c r="H5758" i="2"/>
  <c r="H5750" i="2"/>
  <c r="H5761" i="2"/>
  <c r="H5754" i="2"/>
  <c r="H5762" i="2"/>
  <c r="H5748" i="2"/>
  <c r="H5760" i="2"/>
  <c r="H5747" i="2"/>
  <c r="H5743" i="2"/>
  <c r="H5740" i="2"/>
  <c r="H5755" i="2"/>
  <c r="H5751" i="2"/>
  <c r="H5744" i="2"/>
  <c r="H5757" i="2"/>
  <c r="H5753" i="2"/>
  <c r="H5742" i="2"/>
  <c r="H5749" i="2"/>
  <c r="H5745" i="2"/>
  <c r="B5741" i="2"/>
  <c r="A5734" i="2" l="1"/>
  <c r="A5735" i="2"/>
  <c r="A5736" i="2"/>
  <c r="A5737" i="2"/>
  <c r="A5738" i="2"/>
  <c r="A5739" i="2"/>
  <c r="C5734" i="2"/>
  <c r="B5734" i="2" s="1"/>
  <c r="C5735" i="2"/>
  <c r="B5735" i="2" s="1"/>
  <c r="C5736" i="2"/>
  <c r="B5736" i="2" s="1"/>
  <c r="C5737" i="2"/>
  <c r="B5737" i="2" s="1"/>
  <c r="C5738" i="2"/>
  <c r="B5738" i="2" s="1"/>
  <c r="C5739" i="2"/>
  <c r="B5739" i="2" s="1"/>
  <c r="D5734" i="2"/>
  <c r="D5735" i="2"/>
  <c r="D5736" i="2"/>
  <c r="D5737" i="2"/>
  <c r="D5738" i="2"/>
  <c r="D5739" i="2"/>
  <c r="E5734" i="2"/>
  <c r="E5735" i="2"/>
  <c r="E5736" i="2"/>
  <c r="E5737" i="2"/>
  <c r="E5738" i="2"/>
  <c r="E5739" i="2"/>
  <c r="A5730" i="2"/>
  <c r="A5731" i="2"/>
  <c r="A5732" i="2"/>
  <c r="A5733" i="2"/>
  <c r="C5730" i="2"/>
  <c r="B5730" i="2" s="1"/>
  <c r="C5731" i="2"/>
  <c r="B5731" i="2" s="1"/>
  <c r="C5732" i="2"/>
  <c r="B5732" i="2" s="1"/>
  <c r="C5733" i="2"/>
  <c r="B5733" i="2" s="1"/>
  <c r="D5730" i="2"/>
  <c r="D5731" i="2"/>
  <c r="D5732" i="2"/>
  <c r="D5733" i="2"/>
  <c r="E5730" i="2"/>
  <c r="E5731" i="2"/>
  <c r="E5732" i="2"/>
  <c r="E5733" i="2"/>
  <c r="A5726" i="2"/>
  <c r="A5727" i="2"/>
  <c r="A5728" i="2"/>
  <c r="A5729" i="2"/>
  <c r="C5726" i="2"/>
  <c r="B5726" i="2" s="1"/>
  <c r="C5727" i="2"/>
  <c r="B5727" i="2" s="1"/>
  <c r="C5728" i="2"/>
  <c r="B5728" i="2" s="1"/>
  <c r="C5729" i="2"/>
  <c r="B5729" i="2" s="1"/>
  <c r="D5726" i="2"/>
  <c r="D5727" i="2"/>
  <c r="D5728" i="2"/>
  <c r="D5729" i="2"/>
  <c r="E5726" i="2"/>
  <c r="E5727" i="2"/>
  <c r="E5728" i="2"/>
  <c r="E5729" i="2"/>
  <c r="H5736" i="2" l="1"/>
  <c r="H5727" i="2"/>
  <c r="H5731" i="2"/>
  <c r="H5728" i="2"/>
  <c r="H5739" i="2"/>
  <c r="H5730" i="2"/>
  <c r="H5735" i="2"/>
  <c r="H5732" i="2"/>
  <c r="H5726" i="2"/>
  <c r="H5738" i="2"/>
  <c r="H5734" i="2"/>
  <c r="H5737" i="2"/>
  <c r="H5733" i="2"/>
  <c r="H5729" i="2"/>
  <c r="C5720" i="2" l="1"/>
  <c r="B5720" i="2" s="1"/>
  <c r="C5721" i="2"/>
  <c r="B5721" i="2" s="1"/>
  <c r="C5722" i="2"/>
  <c r="B5722" i="2" s="1"/>
  <c r="C5723" i="2"/>
  <c r="B5723" i="2" s="1"/>
  <c r="C5724" i="2"/>
  <c r="B5724" i="2" s="1"/>
  <c r="C5725" i="2"/>
  <c r="B5725" i="2" s="1"/>
  <c r="D5720" i="2"/>
  <c r="D5721" i="2"/>
  <c r="D5722" i="2"/>
  <c r="D5723" i="2"/>
  <c r="D5724" i="2"/>
  <c r="D5725" i="2"/>
  <c r="E5720" i="2"/>
  <c r="E5721" i="2"/>
  <c r="E5722" i="2"/>
  <c r="E5723" i="2"/>
  <c r="E5724" i="2"/>
  <c r="E5725" i="2"/>
  <c r="H5724" i="2" l="1"/>
  <c r="H5720" i="2"/>
  <c r="H5722" i="2"/>
  <c r="H5721" i="2"/>
  <c r="H5725" i="2"/>
  <c r="H5723" i="2"/>
  <c r="A5716" i="2"/>
  <c r="A5717" i="2"/>
  <c r="A5718" i="2"/>
  <c r="A5719" i="2"/>
  <c r="C5716" i="2"/>
  <c r="B5716" i="2" s="1"/>
  <c r="C5717" i="2"/>
  <c r="B5717" i="2" s="1"/>
  <c r="C5718" i="2"/>
  <c r="B5718" i="2" s="1"/>
  <c r="C5719" i="2"/>
  <c r="B5719" i="2" s="1"/>
  <c r="D5716" i="2"/>
  <c r="D5717" i="2"/>
  <c r="D5718" i="2"/>
  <c r="D5719" i="2"/>
  <c r="E5716" i="2"/>
  <c r="E5717" i="2"/>
  <c r="E5718" i="2"/>
  <c r="E5719" i="2"/>
  <c r="A5711" i="2"/>
  <c r="A5712" i="2"/>
  <c r="A5713" i="2"/>
  <c r="A5714" i="2"/>
  <c r="A5715" i="2"/>
  <c r="C5711" i="2"/>
  <c r="B5711" i="2" s="1"/>
  <c r="C5712" i="2"/>
  <c r="B5712" i="2" s="1"/>
  <c r="C5713" i="2"/>
  <c r="B5713" i="2" s="1"/>
  <c r="C5714" i="2"/>
  <c r="B5714" i="2" s="1"/>
  <c r="C5715" i="2"/>
  <c r="B5715" i="2" s="1"/>
  <c r="D5711" i="2"/>
  <c r="D5712" i="2"/>
  <c r="D5713" i="2"/>
  <c r="D5714" i="2"/>
  <c r="D5715" i="2"/>
  <c r="E5711" i="2"/>
  <c r="E5712" i="2"/>
  <c r="E5713" i="2"/>
  <c r="E5714" i="2"/>
  <c r="E5715" i="2"/>
  <c r="H5716" i="2" l="1"/>
  <c r="H5714" i="2"/>
  <c r="H5713" i="2"/>
  <c r="H5715" i="2"/>
  <c r="H5711" i="2"/>
  <c r="H5718" i="2"/>
  <c r="H5717" i="2"/>
  <c r="H5719" i="2"/>
  <c r="H5712" i="2"/>
  <c r="A5689" i="2" l="1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C5689" i="2"/>
  <c r="B5689" i="2" s="1"/>
  <c r="C5690" i="2"/>
  <c r="B5690" i="2" s="1"/>
  <c r="C5691" i="2"/>
  <c r="B5691" i="2" s="1"/>
  <c r="C5692" i="2"/>
  <c r="B5692" i="2" s="1"/>
  <c r="C5693" i="2"/>
  <c r="B5693" i="2" s="1"/>
  <c r="C5694" i="2"/>
  <c r="B5694" i="2" s="1"/>
  <c r="C5695" i="2"/>
  <c r="B5695" i="2" s="1"/>
  <c r="C5696" i="2"/>
  <c r="B5696" i="2" s="1"/>
  <c r="C5697" i="2"/>
  <c r="B5697" i="2" s="1"/>
  <c r="C5698" i="2"/>
  <c r="B5698" i="2" s="1"/>
  <c r="C5699" i="2"/>
  <c r="B5699" i="2" s="1"/>
  <c r="C5700" i="2"/>
  <c r="B5700" i="2" s="1"/>
  <c r="C5701" i="2"/>
  <c r="B5701" i="2" s="1"/>
  <c r="C5702" i="2"/>
  <c r="B5702" i="2" s="1"/>
  <c r="C5703" i="2"/>
  <c r="B5703" i="2" s="1"/>
  <c r="C5704" i="2"/>
  <c r="B5704" i="2" s="1"/>
  <c r="C5705" i="2"/>
  <c r="B5705" i="2" s="1"/>
  <c r="C5706" i="2"/>
  <c r="B5706" i="2" s="1"/>
  <c r="C5707" i="2"/>
  <c r="B5707" i="2" s="1"/>
  <c r="C5708" i="2"/>
  <c r="B5708" i="2" s="1"/>
  <c r="C5709" i="2"/>
  <c r="B5709" i="2" s="1"/>
  <c r="C5710" i="2"/>
  <c r="B5710" i="2" s="1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H5689" i="2" l="1"/>
  <c r="H5691" i="2"/>
  <c r="H5693" i="2"/>
  <c r="H5694" i="2"/>
  <c r="H5695" i="2"/>
  <c r="H5697" i="2"/>
  <c r="H5698" i="2"/>
  <c r="H5699" i="2"/>
  <c r="H5701" i="2"/>
  <c r="H5702" i="2"/>
  <c r="H5705" i="2"/>
  <c r="H5706" i="2"/>
  <c r="H5709" i="2"/>
  <c r="H5710" i="2"/>
  <c r="H5703" i="2"/>
  <c r="H5707" i="2"/>
  <c r="H5690" i="2"/>
  <c r="H5708" i="2"/>
  <c r="H5704" i="2"/>
  <c r="H5700" i="2"/>
  <c r="H5696" i="2"/>
  <c r="H5692" i="2"/>
  <c r="E5679" i="2" l="1"/>
  <c r="E5680" i="2"/>
  <c r="E5681" i="2"/>
  <c r="E5682" i="2"/>
  <c r="E5683" i="2"/>
  <c r="E5684" i="2"/>
  <c r="E5685" i="2"/>
  <c r="E5686" i="2"/>
  <c r="E5687" i="2"/>
  <c r="E5688" i="2"/>
  <c r="D5679" i="2"/>
  <c r="D5680" i="2"/>
  <c r="D5681" i="2"/>
  <c r="D5682" i="2"/>
  <c r="D5683" i="2"/>
  <c r="D5684" i="2"/>
  <c r="D5685" i="2"/>
  <c r="D5686" i="2"/>
  <c r="D5687" i="2"/>
  <c r="D5688" i="2"/>
  <c r="C5679" i="2"/>
  <c r="H5679" i="2" s="1"/>
  <c r="C5680" i="2"/>
  <c r="H5680" i="2" s="1"/>
  <c r="C5681" i="2"/>
  <c r="H5681" i="2" s="1"/>
  <c r="C5682" i="2"/>
  <c r="H5682" i="2" s="1"/>
  <c r="C5683" i="2"/>
  <c r="H5683" i="2" s="1"/>
  <c r="C5684" i="2"/>
  <c r="H5684" i="2" s="1"/>
  <c r="C5685" i="2"/>
  <c r="H5685" i="2" s="1"/>
  <c r="C5686" i="2"/>
  <c r="H5686" i="2" s="1"/>
  <c r="C5687" i="2"/>
  <c r="H5687" i="2" s="1"/>
  <c r="C5688" i="2"/>
  <c r="H5688" i="2" s="1"/>
  <c r="DD544" i="1" l="1"/>
  <c r="DA544" i="1"/>
  <c r="DC544" i="1" l="1"/>
  <c r="C5675" i="2"/>
  <c r="H5675" i="2" s="1"/>
  <c r="E5678" i="2"/>
  <c r="E5677" i="2"/>
  <c r="E5676" i="2"/>
  <c r="E5674" i="2"/>
  <c r="D5678" i="2"/>
  <c r="D5677" i="2"/>
  <c r="D5676" i="2"/>
  <c r="D5675" i="2"/>
  <c r="D5674" i="2"/>
  <c r="C5678" i="2"/>
  <c r="H5678" i="2" s="1"/>
  <c r="C5677" i="2"/>
  <c r="H5677" i="2" s="1"/>
  <c r="C5676" i="2"/>
  <c r="H5676" i="2" s="1"/>
  <c r="C5674" i="2"/>
  <c r="H5674" i="2" s="1"/>
  <c r="A5678" i="2"/>
  <c r="A5677" i="2"/>
  <c r="A5676" i="2"/>
  <c r="A5675" i="2"/>
  <c r="A5674" i="2"/>
  <c r="E5675" i="2" l="1"/>
  <c r="C5388" i="2" l="1"/>
  <c r="B5388" i="2" s="1"/>
  <c r="A5673" i="2" l="1"/>
  <c r="C5673" i="2"/>
  <c r="B5673" i="2" s="1"/>
  <c r="D5673" i="2"/>
  <c r="E5673" i="2"/>
  <c r="H5673" i="2" l="1"/>
  <c r="A5667" i="2" l="1"/>
  <c r="A5668" i="2"/>
  <c r="A5669" i="2"/>
  <c r="A5670" i="2"/>
  <c r="A5671" i="2"/>
  <c r="A5672" i="2"/>
  <c r="C5667" i="2"/>
  <c r="H5667" i="2" s="1"/>
  <c r="C5668" i="2"/>
  <c r="H5668" i="2" s="1"/>
  <c r="C5669" i="2"/>
  <c r="H5669" i="2" s="1"/>
  <c r="C5670" i="2"/>
  <c r="H5670" i="2" s="1"/>
  <c r="C5671" i="2"/>
  <c r="H5671" i="2" s="1"/>
  <c r="C5672" i="2"/>
  <c r="H5672" i="2" s="1"/>
  <c r="D5667" i="2"/>
  <c r="D5668" i="2"/>
  <c r="D5669" i="2"/>
  <c r="D5670" i="2"/>
  <c r="D5671" i="2"/>
  <c r="D5672" i="2"/>
  <c r="E5667" i="2"/>
  <c r="E5668" i="2"/>
  <c r="E5669" i="2"/>
  <c r="E5670" i="2"/>
  <c r="E5671" i="2"/>
  <c r="E5672" i="2"/>
  <c r="A5666" i="2" l="1"/>
  <c r="C5666" i="2"/>
  <c r="H5666" i="2" s="1"/>
  <c r="D5666" i="2"/>
  <c r="E5666" i="2"/>
  <c r="A5656" i="2"/>
  <c r="A5657" i="2"/>
  <c r="A5658" i="2"/>
  <c r="A5659" i="2"/>
  <c r="A5660" i="2"/>
  <c r="A5661" i="2"/>
  <c r="A5662" i="2"/>
  <c r="A5663" i="2"/>
  <c r="A5664" i="2"/>
  <c r="A5665" i="2"/>
  <c r="C5656" i="2"/>
  <c r="H5656" i="2" s="1"/>
  <c r="C5657" i="2"/>
  <c r="H5657" i="2" s="1"/>
  <c r="C5658" i="2"/>
  <c r="H5658" i="2" s="1"/>
  <c r="C5659" i="2"/>
  <c r="H5659" i="2" s="1"/>
  <c r="C5660" i="2"/>
  <c r="H5660" i="2" s="1"/>
  <c r="C5661" i="2"/>
  <c r="H5661" i="2" s="1"/>
  <c r="C5662" i="2"/>
  <c r="H5662" i="2" s="1"/>
  <c r="C5663" i="2"/>
  <c r="H5663" i="2" s="1"/>
  <c r="C5664" i="2"/>
  <c r="H5664" i="2" s="1"/>
  <c r="C5665" i="2"/>
  <c r="H5665" i="2" s="1"/>
  <c r="D5656" i="2"/>
  <c r="D5657" i="2"/>
  <c r="D5658" i="2"/>
  <c r="D5659" i="2"/>
  <c r="D5660" i="2"/>
  <c r="D5661" i="2"/>
  <c r="D5662" i="2"/>
  <c r="D5663" i="2"/>
  <c r="D5664" i="2"/>
  <c r="D5665" i="2"/>
  <c r="E5656" i="2"/>
  <c r="E5657" i="2"/>
  <c r="E5658" i="2"/>
  <c r="E5659" i="2"/>
  <c r="E5660" i="2"/>
  <c r="E5661" i="2"/>
  <c r="E5662" i="2"/>
  <c r="E5663" i="2"/>
  <c r="E5664" i="2"/>
  <c r="E5665" i="2"/>
  <c r="A5651" i="2"/>
  <c r="A5652" i="2"/>
  <c r="A5653" i="2"/>
  <c r="A5654" i="2"/>
  <c r="A5655" i="2"/>
  <c r="C5651" i="2"/>
  <c r="H5651" i="2" s="1"/>
  <c r="C5652" i="2"/>
  <c r="H5652" i="2" s="1"/>
  <c r="C5653" i="2"/>
  <c r="H5653" i="2" s="1"/>
  <c r="C5654" i="2"/>
  <c r="H5654" i="2" s="1"/>
  <c r="C5655" i="2"/>
  <c r="H5655" i="2" s="1"/>
  <c r="D5651" i="2"/>
  <c r="D5652" i="2"/>
  <c r="D5653" i="2"/>
  <c r="D5654" i="2"/>
  <c r="D5655" i="2"/>
  <c r="E5651" i="2"/>
  <c r="E5652" i="2"/>
  <c r="E5653" i="2"/>
  <c r="E5654" i="2"/>
  <c r="E5655" i="2"/>
  <c r="C5645" i="2" l="1"/>
  <c r="H5645" i="2" s="1"/>
  <c r="C5646" i="2"/>
  <c r="B5646" i="2" s="1"/>
  <c r="C5647" i="2"/>
  <c r="B5647" i="2" s="1"/>
  <c r="C5648" i="2"/>
  <c r="H5648" i="2" s="1"/>
  <c r="C5649" i="2"/>
  <c r="B5649" i="2" s="1"/>
  <c r="C5650" i="2"/>
  <c r="H5650" i="2" s="1"/>
  <c r="D5645" i="2"/>
  <c r="D5646" i="2"/>
  <c r="D5647" i="2"/>
  <c r="D5648" i="2"/>
  <c r="D5649" i="2"/>
  <c r="D5650" i="2"/>
  <c r="E5645" i="2"/>
  <c r="E5646" i="2"/>
  <c r="E5647" i="2"/>
  <c r="E5648" i="2"/>
  <c r="E5649" i="2"/>
  <c r="E5650" i="2"/>
  <c r="H5646" i="2" l="1"/>
  <c r="H5647" i="2"/>
  <c r="B5645" i="2"/>
  <c r="B5650" i="2"/>
  <c r="H5649" i="2"/>
  <c r="B5648" i="2"/>
  <c r="C5640" i="2" l="1"/>
  <c r="H5640" i="2" s="1"/>
  <c r="C5641" i="2"/>
  <c r="H5641" i="2" s="1"/>
  <c r="C5642" i="2"/>
  <c r="H5642" i="2" s="1"/>
  <c r="C5643" i="2"/>
  <c r="H5643" i="2" s="1"/>
  <c r="C5644" i="2"/>
  <c r="H5644" i="2" s="1"/>
  <c r="A5640" i="2"/>
  <c r="A5641" i="2"/>
  <c r="A5642" i="2"/>
  <c r="A5643" i="2"/>
  <c r="A5644" i="2"/>
  <c r="D5640" i="2"/>
  <c r="D5641" i="2"/>
  <c r="D5642" i="2"/>
  <c r="D5643" i="2"/>
  <c r="D5644" i="2"/>
  <c r="E5640" i="2"/>
  <c r="E5641" i="2"/>
  <c r="E5642" i="2"/>
  <c r="E5643" i="2"/>
  <c r="E5644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A5625" i="2" l="1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C5625" i="2"/>
  <c r="B5625" i="2" s="1"/>
  <c r="C5626" i="2"/>
  <c r="C5627" i="2"/>
  <c r="B5627" i="2" s="1"/>
  <c r="C5628" i="2"/>
  <c r="B5628" i="2" s="1"/>
  <c r="C5629" i="2"/>
  <c r="B5629" i="2" s="1"/>
  <c r="C5630" i="2"/>
  <c r="B5630" i="2" s="1"/>
  <c r="C5631" i="2"/>
  <c r="B5631" i="2" s="1"/>
  <c r="C5632" i="2"/>
  <c r="B5632" i="2" s="1"/>
  <c r="C5633" i="2"/>
  <c r="C5634" i="2"/>
  <c r="C5635" i="2"/>
  <c r="B5635" i="2" s="1"/>
  <c r="C5636" i="2"/>
  <c r="B5636" i="2" s="1"/>
  <c r="C5637" i="2"/>
  <c r="B5637" i="2" s="1"/>
  <c r="C5638" i="2"/>
  <c r="B5638" i="2" s="1"/>
  <c r="C5639" i="2"/>
  <c r="B5639" i="2" s="1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H5629" i="2" l="1"/>
  <c r="H5628" i="2"/>
  <c r="H5638" i="2"/>
  <c r="H5630" i="2"/>
  <c r="H5625" i="2"/>
  <c r="H5634" i="2"/>
  <c r="B5634" i="2"/>
  <c r="H5626" i="2"/>
  <c r="B5626" i="2"/>
  <c r="H5633" i="2"/>
  <c r="B5633" i="2"/>
  <c r="H5637" i="2"/>
  <c r="H5636" i="2"/>
  <c r="H5632" i="2"/>
  <c r="H5631" i="2"/>
  <c r="H5627" i="2"/>
  <c r="H5639" i="2"/>
  <c r="H5635" i="2"/>
  <c r="A5620" i="2" l="1"/>
  <c r="A5621" i="2"/>
  <c r="A5622" i="2"/>
  <c r="A5623" i="2"/>
  <c r="A5624" i="2"/>
  <c r="C5620" i="2"/>
  <c r="B5620" i="2" s="1"/>
  <c r="C5621" i="2"/>
  <c r="C5622" i="2"/>
  <c r="B5622" i="2" s="1"/>
  <c r="C5623" i="2"/>
  <c r="B5623" i="2" s="1"/>
  <c r="C5624" i="2"/>
  <c r="B5624" i="2" s="1"/>
  <c r="E5620" i="2"/>
  <c r="E5621" i="2"/>
  <c r="E5622" i="2"/>
  <c r="E5623" i="2"/>
  <c r="E5624" i="2"/>
  <c r="H5622" i="2" l="1"/>
  <c r="H5621" i="2"/>
  <c r="B5621" i="2"/>
  <c r="H5620" i="2"/>
  <c r="H5624" i="2"/>
  <c r="H5623" i="2"/>
  <c r="A5602" i="2" l="1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C5602" i="2"/>
  <c r="B5602" i="2" s="1"/>
  <c r="C5603" i="2"/>
  <c r="B5603" i="2" s="1"/>
  <c r="C5604" i="2"/>
  <c r="B5604" i="2" s="1"/>
  <c r="C5605" i="2"/>
  <c r="B5605" i="2" s="1"/>
  <c r="C5606" i="2"/>
  <c r="B5606" i="2" s="1"/>
  <c r="C5607" i="2"/>
  <c r="B5607" i="2" s="1"/>
  <c r="C5608" i="2"/>
  <c r="B5608" i="2" s="1"/>
  <c r="C5609" i="2"/>
  <c r="B5609" i="2" s="1"/>
  <c r="C5610" i="2"/>
  <c r="B5610" i="2" s="1"/>
  <c r="C5611" i="2"/>
  <c r="B5611" i="2" s="1"/>
  <c r="C5612" i="2"/>
  <c r="B5612" i="2" s="1"/>
  <c r="C5613" i="2"/>
  <c r="C5614" i="2"/>
  <c r="B5614" i="2" s="1"/>
  <c r="C5615" i="2"/>
  <c r="B5615" i="2" s="1"/>
  <c r="C5616" i="2"/>
  <c r="B5616" i="2" s="1"/>
  <c r="C5617" i="2"/>
  <c r="B5617" i="2" s="1"/>
  <c r="C5618" i="2"/>
  <c r="B5618" i="2" s="1"/>
  <c r="C5619" i="2"/>
  <c r="B5619" i="2" s="1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H5605" i="2" l="1"/>
  <c r="H5602" i="2"/>
  <c r="H5614" i="2"/>
  <c r="H5618" i="2"/>
  <c r="H5610" i="2"/>
  <c r="H5606" i="2"/>
  <c r="H5613" i="2"/>
  <c r="B5613" i="2"/>
  <c r="H5617" i="2"/>
  <c r="H5608" i="2"/>
  <c r="H5609" i="2"/>
  <c r="H5616" i="2"/>
  <c r="H5612" i="2"/>
  <c r="H5604" i="2"/>
  <c r="H5619" i="2"/>
  <c r="H5615" i="2"/>
  <c r="H5611" i="2"/>
  <c r="H5607" i="2"/>
  <c r="H5603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C5587" i="2"/>
  <c r="B5587" i="2" s="1"/>
  <c r="C5588" i="2"/>
  <c r="B5588" i="2" s="1"/>
  <c r="C5589" i="2"/>
  <c r="B5589" i="2" s="1"/>
  <c r="C5590" i="2"/>
  <c r="B5590" i="2" s="1"/>
  <c r="C5591" i="2"/>
  <c r="B5591" i="2" s="1"/>
  <c r="C5592" i="2"/>
  <c r="B5592" i="2" s="1"/>
  <c r="C5593" i="2"/>
  <c r="B5593" i="2" s="1"/>
  <c r="C5594" i="2"/>
  <c r="B5594" i="2" s="1"/>
  <c r="C5595" i="2"/>
  <c r="B5595" i="2" s="1"/>
  <c r="C5596" i="2"/>
  <c r="B5596" i="2" s="1"/>
  <c r="C5597" i="2"/>
  <c r="B5597" i="2" s="1"/>
  <c r="C5598" i="2"/>
  <c r="B5598" i="2" s="1"/>
  <c r="C5599" i="2"/>
  <c r="B5599" i="2" s="1"/>
  <c r="C5600" i="2"/>
  <c r="B5600" i="2" s="1"/>
  <c r="C5601" i="2"/>
  <c r="B5601" i="2" s="1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H5589" i="2" l="1"/>
  <c r="H5590" i="2"/>
  <c r="H5597" i="2"/>
  <c r="H5595" i="2"/>
  <c r="H5587" i="2"/>
  <c r="H5599" i="2"/>
  <c r="H5591" i="2"/>
  <c r="H5601" i="2"/>
  <c r="H5593" i="2"/>
  <c r="H5598" i="2"/>
  <c r="H5594" i="2"/>
  <c r="H5600" i="2"/>
  <c r="H5596" i="2"/>
  <c r="H5592" i="2"/>
  <c r="H5588" i="2"/>
  <c r="A5582" i="2" l="1"/>
  <c r="A5583" i="2"/>
  <c r="A5584" i="2"/>
  <c r="A5585" i="2"/>
  <c r="A5586" i="2"/>
  <c r="C5582" i="2"/>
  <c r="C5583" i="2"/>
  <c r="B5583" i="2" s="1"/>
  <c r="C5584" i="2"/>
  <c r="B5584" i="2" s="1"/>
  <c r="C5585" i="2"/>
  <c r="B5585" i="2" s="1"/>
  <c r="C5586" i="2"/>
  <c r="B5586" i="2" s="1"/>
  <c r="E5582" i="2"/>
  <c r="E5583" i="2"/>
  <c r="E5584" i="2"/>
  <c r="E5585" i="2"/>
  <c r="E5586" i="2"/>
  <c r="H5582" i="2" l="1"/>
  <c r="B5582" i="2"/>
  <c r="H5584" i="2"/>
  <c r="H5586" i="2"/>
  <c r="H5583" i="2"/>
  <c r="H5585" i="2"/>
  <c r="A5577" i="2" l="1"/>
  <c r="A5578" i="2"/>
  <c r="A5579" i="2"/>
  <c r="A5580" i="2"/>
  <c r="A5581" i="2"/>
  <c r="C5577" i="2"/>
  <c r="B5577" i="2" s="1"/>
  <c r="C5578" i="2"/>
  <c r="C5579" i="2"/>
  <c r="B5579" i="2" s="1"/>
  <c r="C5580" i="2"/>
  <c r="B5580" i="2" s="1"/>
  <c r="C5581" i="2"/>
  <c r="B5581" i="2" s="1"/>
  <c r="E5577" i="2"/>
  <c r="E5578" i="2"/>
  <c r="E5579" i="2"/>
  <c r="E5580" i="2"/>
  <c r="E5581" i="2"/>
  <c r="H5578" i="2" l="1"/>
  <c r="B5578" i="2"/>
  <c r="H5579" i="2"/>
  <c r="H5580" i="2"/>
  <c r="H5581" i="2"/>
  <c r="H5577" i="2"/>
  <c r="A5567" i="2" l="1"/>
  <c r="A5568" i="2"/>
  <c r="A5569" i="2"/>
  <c r="A5570" i="2"/>
  <c r="A5571" i="2"/>
  <c r="A5572" i="2"/>
  <c r="A5573" i="2"/>
  <c r="A5574" i="2"/>
  <c r="A5575" i="2"/>
  <c r="A5576" i="2"/>
  <c r="C5567" i="2"/>
  <c r="B5567" i="2" s="1"/>
  <c r="C5568" i="2"/>
  <c r="B5568" i="2" s="1"/>
  <c r="C5569" i="2"/>
  <c r="B5569" i="2" s="1"/>
  <c r="C5570" i="2"/>
  <c r="B5570" i="2" s="1"/>
  <c r="C5571" i="2"/>
  <c r="B5571" i="2" s="1"/>
  <c r="C5572" i="2"/>
  <c r="B5572" i="2" s="1"/>
  <c r="C5573" i="2"/>
  <c r="B5573" i="2" s="1"/>
  <c r="C5574" i="2"/>
  <c r="B5574" i="2" s="1"/>
  <c r="C5575" i="2"/>
  <c r="B5575" i="2" s="1"/>
  <c r="C5576" i="2"/>
  <c r="B5576" i="2" s="1"/>
  <c r="E5567" i="2"/>
  <c r="E5568" i="2"/>
  <c r="E5569" i="2"/>
  <c r="E5570" i="2"/>
  <c r="E5571" i="2"/>
  <c r="E5572" i="2"/>
  <c r="E5573" i="2"/>
  <c r="E5574" i="2"/>
  <c r="E5575" i="2"/>
  <c r="E5576" i="2"/>
  <c r="H5576" i="2" l="1"/>
  <c r="H5568" i="2"/>
  <c r="H5573" i="2"/>
  <c r="H5572" i="2"/>
  <c r="H5569" i="2"/>
  <c r="H5575" i="2"/>
  <c r="H5571" i="2"/>
  <c r="H5567" i="2"/>
  <c r="H5574" i="2"/>
  <c r="H5570" i="2"/>
  <c r="A5542" i="2" l="1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C5542" i="2"/>
  <c r="B5542" i="2" s="1"/>
  <c r="C5543" i="2"/>
  <c r="B5543" i="2" s="1"/>
  <c r="C5544" i="2"/>
  <c r="B5544" i="2" s="1"/>
  <c r="C5545" i="2"/>
  <c r="B5545" i="2" s="1"/>
  <c r="C5546" i="2"/>
  <c r="B5546" i="2" s="1"/>
  <c r="C5547" i="2"/>
  <c r="B5547" i="2" s="1"/>
  <c r="C5548" i="2"/>
  <c r="B5548" i="2" s="1"/>
  <c r="C5549" i="2"/>
  <c r="B5549" i="2" s="1"/>
  <c r="C5550" i="2"/>
  <c r="B5550" i="2" s="1"/>
  <c r="C5551" i="2"/>
  <c r="B5551" i="2" s="1"/>
  <c r="C5552" i="2"/>
  <c r="B5552" i="2" s="1"/>
  <c r="C5553" i="2"/>
  <c r="B5553" i="2" s="1"/>
  <c r="C5554" i="2"/>
  <c r="B5554" i="2" s="1"/>
  <c r="C5555" i="2"/>
  <c r="B5555" i="2" s="1"/>
  <c r="C5556" i="2"/>
  <c r="B5556" i="2" s="1"/>
  <c r="C5557" i="2"/>
  <c r="B5557" i="2" s="1"/>
  <c r="C5558" i="2"/>
  <c r="B5558" i="2" s="1"/>
  <c r="C5559" i="2"/>
  <c r="B5559" i="2" s="1"/>
  <c r="C5560" i="2"/>
  <c r="B5560" i="2" s="1"/>
  <c r="C5561" i="2"/>
  <c r="B5561" i="2" s="1"/>
  <c r="C5562" i="2"/>
  <c r="B5562" i="2" s="1"/>
  <c r="C5563" i="2"/>
  <c r="B5563" i="2" s="1"/>
  <c r="C5564" i="2"/>
  <c r="B5564" i="2" s="1"/>
  <c r="C5565" i="2"/>
  <c r="B5565" i="2" s="1"/>
  <c r="C5566" i="2"/>
  <c r="B5566" i="2" s="1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H5542" i="2" l="1"/>
  <c r="H5562" i="2"/>
  <c r="H5546" i="2"/>
  <c r="H5558" i="2"/>
  <c r="H5554" i="2"/>
  <c r="H5548" i="2"/>
  <c r="H5549" i="2"/>
  <c r="H5560" i="2"/>
  <c r="H5552" i="2"/>
  <c r="H5544" i="2"/>
  <c r="H5564" i="2"/>
  <c r="H5553" i="2"/>
  <c r="H5557" i="2"/>
  <c r="H5566" i="2"/>
  <c r="H5561" i="2"/>
  <c r="H5556" i="2"/>
  <c r="H5550" i="2"/>
  <c r="H5545" i="2"/>
  <c r="H5565" i="2"/>
  <c r="H5563" i="2"/>
  <c r="H5559" i="2"/>
  <c r="H5555" i="2"/>
  <c r="H5551" i="2"/>
  <c r="H5547" i="2"/>
  <c r="H5543" i="2"/>
  <c r="A5537" i="2" l="1"/>
  <c r="A5538" i="2"/>
  <c r="A5539" i="2"/>
  <c r="A5540" i="2"/>
  <c r="A5541" i="2"/>
  <c r="C5537" i="2"/>
  <c r="B5537" i="2" s="1"/>
  <c r="C5538" i="2"/>
  <c r="C5539" i="2"/>
  <c r="C5540" i="2"/>
  <c r="B5540" i="2" s="1"/>
  <c r="C5541" i="2"/>
  <c r="B5541" i="2" s="1"/>
  <c r="E5537" i="2"/>
  <c r="E5538" i="2"/>
  <c r="E5539" i="2"/>
  <c r="E5540" i="2"/>
  <c r="E5541" i="2"/>
  <c r="H5539" i="2" l="1"/>
  <c r="B5539" i="2"/>
  <c r="H5538" i="2"/>
  <c r="B5538" i="2"/>
  <c r="H5540" i="2"/>
  <c r="H5541" i="2"/>
  <c r="H5537" i="2"/>
  <c r="E5536" i="2" l="1"/>
  <c r="C5536" i="2"/>
  <c r="A5536" i="2"/>
  <c r="E5535" i="2"/>
  <c r="C5535" i="2"/>
  <c r="A5535" i="2"/>
  <c r="E5534" i="2"/>
  <c r="C5534" i="2"/>
  <c r="A5534" i="2"/>
  <c r="E5533" i="2"/>
  <c r="C5533" i="2"/>
  <c r="A5533" i="2"/>
  <c r="E5532" i="2"/>
  <c r="C5532" i="2"/>
  <c r="A5532" i="2"/>
  <c r="E5531" i="2"/>
  <c r="C5531" i="2"/>
  <c r="A5531" i="2"/>
  <c r="E5530" i="2"/>
  <c r="C5530" i="2"/>
  <c r="A5530" i="2"/>
  <c r="E5529" i="2"/>
  <c r="C5529" i="2"/>
  <c r="A5529" i="2"/>
  <c r="E5528" i="2"/>
  <c r="C5528" i="2"/>
  <c r="A5528" i="2"/>
  <c r="E5527" i="2"/>
  <c r="C5527" i="2"/>
  <c r="A5527" i="2"/>
  <c r="E5526" i="2"/>
  <c r="C5526" i="2"/>
  <c r="A5526" i="2"/>
  <c r="E5525" i="2"/>
  <c r="C5525" i="2"/>
  <c r="A5525" i="2"/>
  <c r="E5524" i="2"/>
  <c r="C5524" i="2"/>
  <c r="A5524" i="2"/>
  <c r="E5523" i="2"/>
  <c r="C5523" i="2"/>
  <c r="A5523" i="2"/>
  <c r="E5522" i="2"/>
  <c r="C5522" i="2"/>
  <c r="A5522" i="2"/>
  <c r="E5521" i="2"/>
  <c r="C5521" i="2"/>
  <c r="A5521" i="2"/>
  <c r="E5520" i="2"/>
  <c r="C5520" i="2"/>
  <c r="A5520" i="2"/>
  <c r="E5519" i="2"/>
  <c r="C5519" i="2"/>
  <c r="A5519" i="2"/>
  <c r="E5518" i="2"/>
  <c r="C5518" i="2"/>
  <c r="A5518" i="2"/>
  <c r="E5517" i="2"/>
  <c r="C5517" i="2"/>
  <c r="A5517" i="2"/>
  <c r="E5516" i="2"/>
  <c r="C5516" i="2"/>
  <c r="A5516" i="2"/>
  <c r="E5515" i="2"/>
  <c r="C5515" i="2"/>
  <c r="A5515" i="2"/>
  <c r="E5514" i="2"/>
  <c r="C5514" i="2"/>
  <c r="A5514" i="2"/>
  <c r="E5513" i="2"/>
  <c r="C5513" i="2"/>
  <c r="A5513" i="2"/>
  <c r="E5512" i="2"/>
  <c r="C5512" i="2"/>
  <c r="A5512" i="2"/>
  <c r="E5511" i="2"/>
  <c r="C5511" i="2"/>
  <c r="A5511" i="2"/>
  <c r="E5510" i="2"/>
  <c r="C5510" i="2"/>
  <c r="A5510" i="2"/>
  <c r="E5509" i="2"/>
  <c r="C5509" i="2"/>
  <c r="A5509" i="2"/>
  <c r="E5508" i="2"/>
  <c r="C5508" i="2"/>
  <c r="A5508" i="2"/>
  <c r="E5507" i="2"/>
  <c r="C5507" i="2"/>
  <c r="A5507" i="2"/>
  <c r="E5506" i="2"/>
  <c r="C5506" i="2"/>
  <c r="A5506" i="2"/>
  <c r="E5505" i="2"/>
  <c r="C5505" i="2"/>
  <c r="A5505" i="2"/>
  <c r="E5504" i="2"/>
  <c r="C5504" i="2"/>
  <c r="A5504" i="2"/>
  <c r="E5503" i="2"/>
  <c r="C5503" i="2"/>
  <c r="A5503" i="2"/>
  <c r="E5502" i="2"/>
  <c r="C5502" i="2"/>
  <c r="A5502" i="2"/>
  <c r="E5501" i="2"/>
  <c r="C5501" i="2"/>
  <c r="A5501" i="2"/>
  <c r="E5500" i="2"/>
  <c r="C5500" i="2"/>
  <c r="A5500" i="2"/>
  <c r="E5499" i="2"/>
  <c r="C5499" i="2"/>
  <c r="A5499" i="2"/>
  <c r="E5498" i="2"/>
  <c r="C5498" i="2"/>
  <c r="A5498" i="2"/>
  <c r="E5497" i="2"/>
  <c r="C5497" i="2"/>
  <c r="A5497" i="2"/>
  <c r="E5496" i="2"/>
  <c r="C5496" i="2"/>
  <c r="A5496" i="2"/>
  <c r="E5495" i="2"/>
  <c r="C5495" i="2"/>
  <c r="A5495" i="2"/>
  <c r="E5494" i="2"/>
  <c r="C5494" i="2"/>
  <c r="A5494" i="2"/>
  <c r="E5493" i="2"/>
  <c r="C5493" i="2"/>
  <c r="A5493" i="2"/>
  <c r="E5492" i="2"/>
  <c r="C5492" i="2"/>
  <c r="A5492" i="2"/>
  <c r="E5491" i="2"/>
  <c r="C5491" i="2"/>
  <c r="A5491" i="2"/>
  <c r="E5490" i="2"/>
  <c r="C5490" i="2"/>
  <c r="A5490" i="2"/>
  <c r="E5489" i="2"/>
  <c r="C5489" i="2"/>
  <c r="A5489" i="2"/>
  <c r="E5488" i="2"/>
  <c r="C5488" i="2"/>
  <c r="A5488" i="2"/>
  <c r="E5487" i="2"/>
  <c r="C5487" i="2"/>
  <c r="A5487" i="2"/>
  <c r="E5486" i="2"/>
  <c r="C5486" i="2"/>
  <c r="A5486" i="2"/>
  <c r="E5485" i="2"/>
  <c r="C5485" i="2"/>
  <c r="A5485" i="2"/>
  <c r="E5484" i="2"/>
  <c r="C5484" i="2"/>
  <c r="A5484" i="2"/>
  <c r="E5483" i="2"/>
  <c r="C5483" i="2"/>
  <c r="A5483" i="2"/>
  <c r="E5482" i="2"/>
  <c r="C5482" i="2"/>
  <c r="A5482" i="2"/>
  <c r="E5481" i="2"/>
  <c r="C5481" i="2"/>
  <c r="A5481" i="2"/>
  <c r="E5480" i="2"/>
  <c r="C5480" i="2"/>
  <c r="A5480" i="2"/>
  <c r="E5479" i="2"/>
  <c r="C5479" i="2"/>
  <c r="A5479" i="2"/>
  <c r="E5478" i="2"/>
  <c r="C5478" i="2"/>
  <c r="A5478" i="2"/>
  <c r="E5477" i="2"/>
  <c r="C5477" i="2"/>
  <c r="A5477" i="2"/>
  <c r="E5476" i="2"/>
  <c r="C5476" i="2"/>
  <c r="A5476" i="2"/>
  <c r="E5475" i="2"/>
  <c r="C5475" i="2"/>
  <c r="A5475" i="2"/>
  <c r="E5474" i="2"/>
  <c r="C5474" i="2"/>
  <c r="A5474" i="2"/>
  <c r="E5473" i="2"/>
  <c r="C5473" i="2"/>
  <c r="A5473" i="2"/>
  <c r="E5472" i="2"/>
  <c r="C5472" i="2"/>
  <c r="A5472" i="2"/>
  <c r="E5471" i="2"/>
  <c r="C5471" i="2"/>
  <c r="A5471" i="2"/>
  <c r="E5470" i="2"/>
  <c r="C5470" i="2"/>
  <c r="A5470" i="2"/>
  <c r="E5469" i="2"/>
  <c r="C5469" i="2"/>
  <c r="A5469" i="2"/>
  <c r="E5468" i="2"/>
  <c r="C5468" i="2"/>
  <c r="A5468" i="2"/>
  <c r="E5467" i="2"/>
  <c r="C5467" i="2"/>
  <c r="A5467" i="2"/>
  <c r="E5466" i="2"/>
  <c r="C5466" i="2"/>
  <c r="A5466" i="2"/>
  <c r="E5465" i="2"/>
  <c r="C5465" i="2"/>
  <c r="A5465" i="2"/>
  <c r="E5464" i="2"/>
  <c r="C5464" i="2"/>
  <c r="A5464" i="2"/>
  <c r="E5463" i="2"/>
  <c r="C5463" i="2"/>
  <c r="A5463" i="2"/>
  <c r="E5462" i="2"/>
  <c r="C5462" i="2"/>
  <c r="A5462" i="2"/>
  <c r="E5461" i="2"/>
  <c r="C5461" i="2"/>
  <c r="A5461" i="2"/>
  <c r="E5460" i="2"/>
  <c r="C5460" i="2"/>
  <c r="A5460" i="2"/>
  <c r="E5459" i="2"/>
  <c r="C5459" i="2"/>
  <c r="A5459" i="2"/>
  <c r="E5458" i="2"/>
  <c r="C5458" i="2"/>
  <c r="A5458" i="2"/>
  <c r="E5457" i="2"/>
  <c r="C5457" i="2"/>
  <c r="A5457" i="2"/>
  <c r="E5456" i="2"/>
  <c r="C5456" i="2"/>
  <c r="A5456" i="2"/>
  <c r="E5455" i="2"/>
  <c r="C5455" i="2"/>
  <c r="A5455" i="2"/>
  <c r="E5454" i="2"/>
  <c r="C5454" i="2"/>
  <c r="A5454" i="2"/>
  <c r="E5453" i="2"/>
  <c r="C5453" i="2"/>
  <c r="A5453" i="2"/>
  <c r="E5452" i="2"/>
  <c r="C5452" i="2"/>
  <c r="A5452" i="2"/>
  <c r="E5451" i="2"/>
  <c r="C5451" i="2"/>
  <c r="A5451" i="2"/>
  <c r="E5450" i="2"/>
  <c r="C5450" i="2"/>
  <c r="A5450" i="2"/>
  <c r="E5449" i="2"/>
  <c r="C5449" i="2"/>
  <c r="A5449" i="2"/>
  <c r="E5448" i="2"/>
  <c r="C5448" i="2"/>
  <c r="B5448" i="2" s="1"/>
  <c r="A5448" i="2"/>
  <c r="E5447" i="2"/>
  <c r="C5447" i="2"/>
  <c r="A5447" i="2"/>
  <c r="E5446" i="2"/>
  <c r="C5446" i="2"/>
  <c r="A5446" i="2"/>
  <c r="E5445" i="2"/>
  <c r="C5445" i="2"/>
  <c r="A5445" i="2"/>
  <c r="E5444" i="2"/>
  <c r="C5444" i="2"/>
  <c r="A5444" i="2"/>
  <c r="E5443" i="2"/>
  <c r="C5443" i="2"/>
  <c r="A5443" i="2"/>
  <c r="E5442" i="2"/>
  <c r="C5442" i="2"/>
  <c r="A5442" i="2"/>
  <c r="E5441" i="2"/>
  <c r="C5441" i="2"/>
  <c r="A5441" i="2"/>
  <c r="E5440" i="2"/>
  <c r="C5440" i="2"/>
  <c r="B5440" i="2" s="1"/>
  <c r="A5440" i="2"/>
  <c r="E5439" i="2"/>
  <c r="C5439" i="2"/>
  <c r="A5439" i="2"/>
  <c r="E5438" i="2"/>
  <c r="C5438" i="2"/>
  <c r="A5438" i="2"/>
  <c r="E5437" i="2"/>
  <c r="C5437" i="2"/>
  <c r="A5437" i="2"/>
  <c r="E5436" i="2"/>
  <c r="C5436" i="2"/>
  <c r="A5436" i="2"/>
  <c r="E5435" i="2"/>
  <c r="C5435" i="2"/>
  <c r="A5435" i="2"/>
  <c r="E5434" i="2"/>
  <c r="C5434" i="2"/>
  <c r="A5434" i="2"/>
  <c r="E5433" i="2"/>
  <c r="C5433" i="2"/>
  <c r="A5433" i="2"/>
  <c r="E5432" i="2"/>
  <c r="C5432" i="2"/>
  <c r="B5432" i="2" s="1"/>
  <c r="A5432" i="2"/>
  <c r="E5431" i="2"/>
  <c r="C5431" i="2"/>
  <c r="A5431" i="2"/>
  <c r="E5430" i="2"/>
  <c r="C5430" i="2"/>
  <c r="A5430" i="2"/>
  <c r="E5429" i="2"/>
  <c r="C5429" i="2"/>
  <c r="A5429" i="2"/>
  <c r="E5428" i="2"/>
  <c r="C5428" i="2"/>
  <c r="A5428" i="2"/>
  <c r="E5427" i="2"/>
  <c r="C5427" i="2"/>
  <c r="A5427" i="2"/>
  <c r="E5426" i="2"/>
  <c r="C5426" i="2"/>
  <c r="A5426" i="2"/>
  <c r="E5425" i="2"/>
  <c r="C5425" i="2"/>
  <c r="A5425" i="2"/>
  <c r="E5424" i="2"/>
  <c r="C5424" i="2"/>
  <c r="B5424" i="2" s="1"/>
  <c r="A5424" i="2"/>
  <c r="E5423" i="2"/>
  <c r="C5423" i="2"/>
  <c r="A5423" i="2"/>
  <c r="E5422" i="2"/>
  <c r="C5422" i="2"/>
  <c r="A5422" i="2"/>
  <c r="E5421" i="2"/>
  <c r="C5421" i="2"/>
  <c r="A5421" i="2"/>
  <c r="E5420" i="2"/>
  <c r="C5420" i="2"/>
  <c r="A5420" i="2"/>
  <c r="E5419" i="2"/>
  <c r="C5419" i="2"/>
  <c r="A5419" i="2"/>
  <c r="E5418" i="2"/>
  <c r="C5418" i="2"/>
  <c r="A5418" i="2"/>
  <c r="E5417" i="2"/>
  <c r="C5417" i="2"/>
  <c r="A5417" i="2"/>
  <c r="E5416" i="2"/>
  <c r="C5416" i="2"/>
  <c r="B5416" i="2" s="1"/>
  <c r="A5416" i="2"/>
  <c r="E5415" i="2"/>
  <c r="C5415" i="2"/>
  <c r="A5415" i="2"/>
  <c r="E5414" i="2"/>
  <c r="C5414" i="2"/>
  <c r="A5414" i="2"/>
  <c r="E5413" i="2"/>
  <c r="C5413" i="2"/>
  <c r="A5413" i="2"/>
  <c r="E5412" i="2"/>
  <c r="C5412" i="2"/>
  <c r="A5412" i="2"/>
  <c r="E5411" i="2"/>
  <c r="C5411" i="2"/>
  <c r="A5411" i="2"/>
  <c r="E5410" i="2"/>
  <c r="C5410" i="2"/>
  <c r="A5410" i="2"/>
  <c r="E5409" i="2"/>
  <c r="C5409" i="2"/>
  <c r="A5409" i="2"/>
  <c r="E5408" i="2"/>
  <c r="C5408" i="2"/>
  <c r="B5408" i="2" s="1"/>
  <c r="A5408" i="2"/>
  <c r="E5407" i="2"/>
  <c r="C5407" i="2"/>
  <c r="A5407" i="2"/>
  <c r="E5406" i="2"/>
  <c r="C5406" i="2"/>
  <c r="A5406" i="2"/>
  <c r="E5405" i="2"/>
  <c r="C5405" i="2"/>
  <c r="A5405" i="2"/>
  <c r="E5404" i="2"/>
  <c r="C5404" i="2"/>
  <c r="A5404" i="2"/>
  <c r="E5403" i="2"/>
  <c r="C5403" i="2"/>
  <c r="A5403" i="2"/>
  <c r="E5402" i="2"/>
  <c r="C5402" i="2"/>
  <c r="A5402" i="2"/>
  <c r="E5401" i="2"/>
  <c r="C5401" i="2"/>
  <c r="A5401" i="2"/>
  <c r="E5400" i="2"/>
  <c r="C5400" i="2"/>
  <c r="B5400" i="2" s="1"/>
  <c r="A5400" i="2"/>
  <c r="E5399" i="2"/>
  <c r="C5399" i="2"/>
  <c r="A5399" i="2"/>
  <c r="E5398" i="2"/>
  <c r="C5398" i="2"/>
  <c r="A5398" i="2"/>
  <c r="E5397" i="2"/>
  <c r="C5397" i="2"/>
  <c r="A5397" i="2"/>
  <c r="E5396" i="2"/>
  <c r="C5396" i="2"/>
  <c r="A5396" i="2"/>
  <c r="E5395" i="2"/>
  <c r="C5395" i="2"/>
  <c r="A5395" i="2"/>
  <c r="E5394" i="2"/>
  <c r="C5394" i="2"/>
  <c r="A5394" i="2"/>
  <c r="E5393" i="2"/>
  <c r="C5393" i="2"/>
  <c r="A5393" i="2"/>
  <c r="E5392" i="2"/>
  <c r="C5392" i="2"/>
  <c r="B5392" i="2" s="1"/>
  <c r="A5392" i="2"/>
  <c r="E5391" i="2"/>
  <c r="C5391" i="2"/>
  <c r="A5391" i="2"/>
  <c r="E5390" i="2"/>
  <c r="C5390" i="2"/>
  <c r="A5390" i="2"/>
  <c r="E5389" i="2"/>
  <c r="C5389" i="2"/>
  <c r="A5389" i="2"/>
  <c r="E5388" i="2"/>
  <c r="A5388" i="2"/>
  <c r="E5387" i="2"/>
  <c r="C5387" i="2"/>
  <c r="A5387" i="2"/>
  <c r="E5386" i="2"/>
  <c r="C5386" i="2"/>
  <c r="A5386" i="2"/>
  <c r="E5385" i="2"/>
  <c r="C5385" i="2"/>
  <c r="A5385" i="2"/>
  <c r="E5384" i="2"/>
  <c r="C5384" i="2"/>
  <c r="B5384" i="2" s="1"/>
  <c r="A5384" i="2"/>
  <c r="E5383" i="2"/>
  <c r="C5383" i="2"/>
  <c r="A5383" i="2"/>
  <c r="E5382" i="2"/>
  <c r="C5382" i="2"/>
  <c r="A5382" i="2"/>
  <c r="E5381" i="2"/>
  <c r="C5381" i="2"/>
  <c r="A5381" i="2"/>
  <c r="E5380" i="2"/>
  <c r="C5380" i="2"/>
  <c r="A5380" i="2"/>
  <c r="E5379" i="2"/>
  <c r="C5379" i="2"/>
  <c r="A5379" i="2"/>
  <c r="E5378" i="2"/>
  <c r="C5378" i="2"/>
  <c r="A5378" i="2"/>
  <c r="E5377" i="2"/>
  <c r="C5377" i="2"/>
  <c r="A5377" i="2"/>
  <c r="E5376" i="2"/>
  <c r="C5376" i="2"/>
  <c r="B5376" i="2" s="1"/>
  <c r="A5376" i="2"/>
  <c r="E5375" i="2"/>
  <c r="C5375" i="2"/>
  <c r="A5375" i="2"/>
  <c r="E5374" i="2"/>
  <c r="C5374" i="2"/>
  <c r="A5374" i="2"/>
  <c r="E5373" i="2"/>
  <c r="C5373" i="2"/>
  <c r="A5373" i="2"/>
  <c r="E5372" i="2"/>
  <c r="C5372" i="2"/>
  <c r="A5372" i="2"/>
  <c r="E5371" i="2"/>
  <c r="C5371" i="2"/>
  <c r="A5371" i="2"/>
  <c r="E5370" i="2"/>
  <c r="C5370" i="2"/>
  <c r="A5370" i="2"/>
  <c r="E5369" i="2"/>
  <c r="C5369" i="2"/>
  <c r="A5369" i="2"/>
  <c r="E5368" i="2"/>
  <c r="C5368" i="2"/>
  <c r="B5368" i="2" s="1"/>
  <c r="A5368" i="2"/>
  <c r="E5367" i="2"/>
  <c r="C5367" i="2"/>
  <c r="A5367" i="2"/>
  <c r="E5366" i="2"/>
  <c r="C5366" i="2"/>
  <c r="A5366" i="2"/>
  <c r="E5365" i="2"/>
  <c r="C5365" i="2"/>
  <c r="A5365" i="2"/>
  <c r="E5364" i="2"/>
  <c r="C5364" i="2"/>
  <c r="A5364" i="2"/>
  <c r="E5363" i="2"/>
  <c r="C5363" i="2"/>
  <c r="A5363" i="2"/>
  <c r="E5362" i="2"/>
  <c r="C5362" i="2"/>
  <c r="B5362" i="2" s="1"/>
  <c r="A5362" i="2"/>
  <c r="E5361" i="2"/>
  <c r="C5361" i="2"/>
  <c r="A5361" i="2"/>
  <c r="E5360" i="2"/>
  <c r="C5360" i="2"/>
  <c r="B5360" i="2" s="1"/>
  <c r="A5360" i="2"/>
  <c r="E5359" i="2"/>
  <c r="C5359" i="2"/>
  <c r="A5359" i="2"/>
  <c r="E5358" i="2"/>
  <c r="C5358" i="2"/>
  <c r="B5358" i="2" s="1"/>
  <c r="A5358" i="2"/>
  <c r="E5357" i="2"/>
  <c r="C5357" i="2"/>
  <c r="A5357" i="2"/>
  <c r="E5356" i="2"/>
  <c r="C5356" i="2"/>
  <c r="B5356" i="2" s="1"/>
  <c r="A5356" i="2"/>
  <c r="E5355" i="2"/>
  <c r="C5355" i="2"/>
  <c r="B5355" i="2" s="1"/>
  <c r="A5355" i="2"/>
  <c r="E5354" i="2"/>
  <c r="C5354" i="2"/>
  <c r="B5354" i="2" s="1"/>
  <c r="A5354" i="2"/>
  <c r="E5353" i="2"/>
  <c r="C5353" i="2"/>
  <c r="B5353" i="2" s="1"/>
  <c r="A5353" i="2"/>
  <c r="E5352" i="2"/>
  <c r="C5352" i="2"/>
  <c r="B5352" i="2" s="1"/>
  <c r="A5352" i="2"/>
  <c r="E5351" i="2"/>
  <c r="C5351" i="2"/>
  <c r="B5351" i="2" s="1"/>
  <c r="A5351" i="2"/>
  <c r="E5350" i="2"/>
  <c r="C5350" i="2"/>
  <c r="B5350" i="2" s="1"/>
  <c r="A5350" i="2"/>
  <c r="E5349" i="2"/>
  <c r="C5349" i="2"/>
  <c r="B5349" i="2" s="1"/>
  <c r="A5349" i="2"/>
  <c r="E5348" i="2"/>
  <c r="C5348" i="2"/>
  <c r="B5348" i="2" s="1"/>
  <c r="A5348" i="2"/>
  <c r="E5347" i="2"/>
  <c r="C5347" i="2"/>
  <c r="B5347" i="2" s="1"/>
  <c r="A5347" i="2"/>
  <c r="E5346" i="2"/>
  <c r="C5346" i="2"/>
  <c r="B5346" i="2" s="1"/>
  <c r="A5346" i="2"/>
  <c r="E5345" i="2"/>
  <c r="C5345" i="2"/>
  <c r="B5345" i="2" s="1"/>
  <c r="A5345" i="2"/>
  <c r="E5344" i="2"/>
  <c r="C5344" i="2"/>
  <c r="B5344" i="2" s="1"/>
  <c r="A5344" i="2"/>
  <c r="E5343" i="2"/>
  <c r="C5343" i="2"/>
  <c r="B5343" i="2" s="1"/>
  <c r="A5343" i="2"/>
  <c r="E5342" i="2"/>
  <c r="C5342" i="2"/>
  <c r="B5342" i="2" s="1"/>
  <c r="A5342" i="2"/>
  <c r="E5341" i="2"/>
  <c r="C5341" i="2"/>
  <c r="B5341" i="2" s="1"/>
  <c r="A5341" i="2"/>
  <c r="E5340" i="2"/>
  <c r="C5340" i="2"/>
  <c r="B5340" i="2" s="1"/>
  <c r="A5340" i="2"/>
  <c r="E5339" i="2"/>
  <c r="C5339" i="2"/>
  <c r="B5339" i="2" s="1"/>
  <c r="A5339" i="2"/>
  <c r="E5338" i="2"/>
  <c r="C5338" i="2"/>
  <c r="B5338" i="2" s="1"/>
  <c r="A5338" i="2"/>
  <c r="E5337" i="2"/>
  <c r="C5337" i="2"/>
  <c r="B5337" i="2" s="1"/>
  <c r="A5337" i="2"/>
  <c r="E5336" i="2"/>
  <c r="C5336" i="2"/>
  <c r="B5336" i="2" s="1"/>
  <c r="A5336" i="2"/>
  <c r="E5335" i="2"/>
  <c r="C5335" i="2"/>
  <c r="B5335" i="2" s="1"/>
  <c r="A5335" i="2"/>
  <c r="E5334" i="2"/>
  <c r="C5334" i="2"/>
  <c r="A5334" i="2"/>
  <c r="E5333" i="2"/>
  <c r="C5333" i="2"/>
  <c r="B5333" i="2" s="1"/>
  <c r="A5333" i="2"/>
  <c r="E5332" i="2"/>
  <c r="C5332" i="2"/>
  <c r="A5332" i="2"/>
  <c r="E5331" i="2"/>
  <c r="C5331" i="2"/>
  <c r="B5331" i="2" s="1"/>
  <c r="A5331" i="2"/>
  <c r="E5330" i="2"/>
  <c r="C5330" i="2"/>
  <c r="A5330" i="2"/>
  <c r="E5329" i="2"/>
  <c r="C5329" i="2"/>
  <c r="B5329" i="2" s="1"/>
  <c r="A5329" i="2"/>
  <c r="E5328" i="2"/>
  <c r="C5328" i="2"/>
  <c r="A5328" i="2"/>
  <c r="E5327" i="2"/>
  <c r="C5327" i="2"/>
  <c r="B5327" i="2" s="1"/>
  <c r="A5327" i="2"/>
  <c r="E5326" i="2"/>
  <c r="C5326" i="2"/>
  <c r="B5326" i="2" s="1"/>
  <c r="A5326" i="2"/>
  <c r="E5325" i="2"/>
  <c r="C5325" i="2"/>
  <c r="B5325" i="2" s="1"/>
  <c r="A5325" i="2"/>
  <c r="E5324" i="2"/>
  <c r="C5324" i="2"/>
  <c r="B5324" i="2" s="1"/>
  <c r="A5324" i="2"/>
  <c r="E5323" i="2"/>
  <c r="C5323" i="2"/>
  <c r="B5323" i="2" s="1"/>
  <c r="A5323" i="2"/>
  <c r="E5322" i="2"/>
  <c r="C5322" i="2"/>
  <c r="B5322" i="2" s="1"/>
  <c r="A5322" i="2"/>
  <c r="E5321" i="2"/>
  <c r="C5321" i="2"/>
  <c r="B5321" i="2" s="1"/>
  <c r="A5321" i="2"/>
  <c r="E5320" i="2"/>
  <c r="C5320" i="2"/>
  <c r="B5320" i="2" s="1"/>
  <c r="A5320" i="2"/>
  <c r="E5319" i="2"/>
  <c r="C5319" i="2"/>
  <c r="B5319" i="2" s="1"/>
  <c r="A5319" i="2"/>
  <c r="E5318" i="2"/>
  <c r="C5318" i="2"/>
  <c r="B5318" i="2" s="1"/>
  <c r="A5318" i="2"/>
  <c r="E5317" i="2"/>
  <c r="C5317" i="2"/>
  <c r="B5317" i="2" s="1"/>
  <c r="A5317" i="2"/>
  <c r="E5316" i="2"/>
  <c r="C5316" i="2"/>
  <c r="B5316" i="2" s="1"/>
  <c r="A5316" i="2"/>
  <c r="E5315" i="2"/>
  <c r="C5315" i="2"/>
  <c r="B5315" i="2" s="1"/>
  <c r="A5315" i="2"/>
  <c r="E5314" i="2"/>
  <c r="C5314" i="2"/>
  <c r="B5314" i="2" s="1"/>
  <c r="A5314" i="2"/>
  <c r="E5313" i="2"/>
  <c r="C5313" i="2"/>
  <c r="B5313" i="2" s="1"/>
  <c r="A5313" i="2"/>
  <c r="E5312" i="2"/>
  <c r="C5312" i="2"/>
  <c r="B5312" i="2" s="1"/>
  <c r="A5312" i="2"/>
  <c r="E5311" i="2"/>
  <c r="C5311" i="2"/>
  <c r="B5311" i="2" s="1"/>
  <c r="A5311" i="2"/>
  <c r="E5310" i="2"/>
  <c r="C5310" i="2"/>
  <c r="B5310" i="2" s="1"/>
  <c r="A5310" i="2"/>
  <c r="E5309" i="2"/>
  <c r="C5309" i="2"/>
  <c r="B5309" i="2" s="1"/>
  <c r="A5309" i="2"/>
  <c r="E5308" i="2"/>
  <c r="C5308" i="2"/>
  <c r="B5308" i="2" s="1"/>
  <c r="A5308" i="2"/>
  <c r="E5307" i="2"/>
  <c r="C5307" i="2"/>
  <c r="B5307" i="2" s="1"/>
  <c r="A5307" i="2"/>
  <c r="E5306" i="2"/>
  <c r="C5306" i="2"/>
  <c r="B5306" i="2" s="1"/>
  <c r="A5306" i="2"/>
  <c r="E5305" i="2"/>
  <c r="C5305" i="2"/>
  <c r="B5305" i="2" s="1"/>
  <c r="A5305" i="2"/>
  <c r="E5304" i="2"/>
  <c r="C5304" i="2"/>
  <c r="B5304" i="2" s="1"/>
  <c r="A5304" i="2"/>
  <c r="E5303" i="2"/>
  <c r="C5303" i="2"/>
  <c r="B5303" i="2" s="1"/>
  <c r="A5303" i="2"/>
  <c r="E5302" i="2"/>
  <c r="C5302" i="2"/>
  <c r="B5302" i="2" s="1"/>
  <c r="A5302" i="2"/>
  <c r="E5301" i="2"/>
  <c r="C5301" i="2"/>
  <c r="B5301" i="2" s="1"/>
  <c r="A5301" i="2"/>
  <c r="E5300" i="2"/>
  <c r="C5300" i="2"/>
  <c r="B5300" i="2" s="1"/>
  <c r="A5300" i="2"/>
  <c r="E5299" i="2"/>
  <c r="C5299" i="2"/>
  <c r="B5299" i="2" s="1"/>
  <c r="A5299" i="2"/>
  <c r="E5298" i="2"/>
  <c r="C5298" i="2"/>
  <c r="B5298" i="2" s="1"/>
  <c r="A5298" i="2"/>
  <c r="E5297" i="2"/>
  <c r="C5297" i="2"/>
  <c r="B5297" i="2" s="1"/>
  <c r="A5297" i="2"/>
  <c r="E5296" i="2"/>
  <c r="C5296" i="2"/>
  <c r="B5296" i="2" s="1"/>
  <c r="A5296" i="2"/>
  <c r="E5295" i="2"/>
  <c r="C5295" i="2"/>
  <c r="B5295" i="2" s="1"/>
  <c r="A5295" i="2"/>
  <c r="E5294" i="2"/>
  <c r="C5294" i="2"/>
  <c r="B5294" i="2" s="1"/>
  <c r="A5294" i="2"/>
  <c r="E5293" i="2"/>
  <c r="C5293" i="2"/>
  <c r="B5293" i="2" s="1"/>
  <c r="A5293" i="2"/>
  <c r="E5292" i="2"/>
  <c r="C5292" i="2"/>
  <c r="B5292" i="2" s="1"/>
  <c r="A5292" i="2"/>
  <c r="E5291" i="2"/>
  <c r="C5291" i="2"/>
  <c r="B5291" i="2" s="1"/>
  <c r="A5291" i="2"/>
  <c r="E5290" i="2"/>
  <c r="C5290" i="2"/>
  <c r="B5290" i="2" s="1"/>
  <c r="A5290" i="2"/>
  <c r="E5289" i="2"/>
  <c r="C5289" i="2"/>
  <c r="B5289" i="2" s="1"/>
  <c r="A5289" i="2"/>
  <c r="E5288" i="2"/>
  <c r="C5288" i="2"/>
  <c r="B5288" i="2" s="1"/>
  <c r="A5288" i="2"/>
  <c r="E5287" i="2"/>
  <c r="C5287" i="2"/>
  <c r="B5287" i="2" s="1"/>
  <c r="A5287" i="2"/>
  <c r="E5286" i="2"/>
  <c r="C5286" i="2"/>
  <c r="B5286" i="2" s="1"/>
  <c r="A5286" i="2"/>
  <c r="E5285" i="2"/>
  <c r="C5285" i="2"/>
  <c r="B5285" i="2" s="1"/>
  <c r="A5285" i="2"/>
  <c r="E5284" i="2"/>
  <c r="C5284" i="2"/>
  <c r="B5284" i="2" s="1"/>
  <c r="A5284" i="2"/>
  <c r="E5283" i="2"/>
  <c r="C5283" i="2"/>
  <c r="B5283" i="2" s="1"/>
  <c r="A5283" i="2"/>
  <c r="E5282" i="2"/>
  <c r="C5282" i="2"/>
  <c r="B5282" i="2" s="1"/>
  <c r="A5282" i="2"/>
  <c r="E5281" i="2"/>
  <c r="C5281" i="2"/>
  <c r="B5281" i="2" s="1"/>
  <c r="A5281" i="2"/>
  <c r="E5280" i="2"/>
  <c r="C5280" i="2"/>
  <c r="B5280" i="2" s="1"/>
  <c r="A5280" i="2"/>
  <c r="E5279" i="2"/>
  <c r="C5279" i="2"/>
  <c r="B5279" i="2" s="1"/>
  <c r="A5279" i="2"/>
  <c r="E5278" i="2"/>
  <c r="C5278" i="2"/>
  <c r="B5278" i="2" s="1"/>
  <c r="A5278" i="2"/>
  <c r="E5277" i="2"/>
  <c r="C5277" i="2"/>
  <c r="B5277" i="2" s="1"/>
  <c r="A5277" i="2"/>
  <c r="E5276" i="2"/>
  <c r="C5276" i="2"/>
  <c r="B5276" i="2" s="1"/>
  <c r="A5276" i="2"/>
  <c r="E5275" i="2"/>
  <c r="C5275" i="2"/>
  <c r="B5275" i="2" s="1"/>
  <c r="A5275" i="2"/>
  <c r="E5274" i="2"/>
  <c r="C5274" i="2"/>
  <c r="B5274" i="2" s="1"/>
  <c r="A5274" i="2"/>
  <c r="E5273" i="2"/>
  <c r="C5273" i="2"/>
  <c r="B5273" i="2" s="1"/>
  <c r="A5273" i="2"/>
  <c r="E5272" i="2"/>
  <c r="C5272" i="2"/>
  <c r="B5272" i="2" s="1"/>
  <c r="A5272" i="2"/>
  <c r="E5271" i="2"/>
  <c r="C5271" i="2"/>
  <c r="B5271" i="2" s="1"/>
  <c r="A5271" i="2"/>
  <c r="E5270" i="2"/>
  <c r="C5270" i="2"/>
  <c r="B5270" i="2" s="1"/>
  <c r="A5270" i="2"/>
  <c r="E5269" i="2"/>
  <c r="C5269" i="2"/>
  <c r="B5269" i="2" s="1"/>
  <c r="A5269" i="2"/>
  <c r="E5268" i="2"/>
  <c r="C5268" i="2"/>
  <c r="B5268" i="2" s="1"/>
  <c r="A5268" i="2"/>
  <c r="E5267" i="2"/>
  <c r="C5267" i="2"/>
  <c r="B5267" i="2" s="1"/>
  <c r="A5267" i="2"/>
  <c r="E5266" i="2"/>
  <c r="C5266" i="2"/>
  <c r="B5266" i="2" s="1"/>
  <c r="A5266" i="2"/>
  <c r="E5265" i="2"/>
  <c r="C5265" i="2"/>
  <c r="B5265" i="2" s="1"/>
  <c r="A5265" i="2"/>
  <c r="E5264" i="2"/>
  <c r="C5264" i="2"/>
  <c r="B5264" i="2" s="1"/>
  <c r="A5264" i="2"/>
  <c r="E5263" i="2"/>
  <c r="C5263" i="2"/>
  <c r="B5263" i="2" s="1"/>
  <c r="A5263" i="2"/>
  <c r="E5262" i="2"/>
  <c r="C5262" i="2"/>
  <c r="B5262" i="2" s="1"/>
  <c r="A5262" i="2"/>
  <c r="E5261" i="2"/>
  <c r="C5261" i="2"/>
  <c r="B5261" i="2" s="1"/>
  <c r="A5261" i="2"/>
  <c r="E5260" i="2"/>
  <c r="C5260" i="2"/>
  <c r="B5260" i="2" s="1"/>
  <c r="A5260" i="2"/>
  <c r="E5259" i="2"/>
  <c r="C5259" i="2"/>
  <c r="B5259" i="2" s="1"/>
  <c r="A5259" i="2"/>
  <c r="E5258" i="2"/>
  <c r="C5258" i="2"/>
  <c r="B5258" i="2" s="1"/>
  <c r="A5258" i="2"/>
  <c r="E5257" i="2"/>
  <c r="C5257" i="2"/>
  <c r="B5257" i="2" s="1"/>
  <c r="A5257" i="2"/>
  <c r="E5256" i="2"/>
  <c r="C5256" i="2"/>
  <c r="B5256" i="2" s="1"/>
  <c r="A5256" i="2"/>
  <c r="E5255" i="2"/>
  <c r="C5255" i="2"/>
  <c r="B5255" i="2" s="1"/>
  <c r="A5255" i="2"/>
  <c r="E5254" i="2"/>
  <c r="C5254" i="2"/>
  <c r="B5254" i="2" s="1"/>
  <c r="A5254" i="2"/>
  <c r="E5253" i="2"/>
  <c r="C5253" i="2"/>
  <c r="B5253" i="2" s="1"/>
  <c r="A5253" i="2"/>
  <c r="E5252" i="2"/>
  <c r="C5252" i="2"/>
  <c r="B5252" i="2" s="1"/>
  <c r="A5252" i="2"/>
  <c r="E5251" i="2"/>
  <c r="C5251" i="2"/>
  <c r="B5251" i="2" s="1"/>
  <c r="A5251" i="2"/>
  <c r="E5250" i="2"/>
  <c r="C5250" i="2"/>
  <c r="B5250" i="2" s="1"/>
  <c r="A5250" i="2"/>
  <c r="E5249" i="2"/>
  <c r="C5249" i="2"/>
  <c r="B5249" i="2" s="1"/>
  <c r="A5249" i="2"/>
  <c r="E5248" i="2"/>
  <c r="C5248" i="2"/>
  <c r="B5248" i="2" s="1"/>
  <c r="A5248" i="2"/>
  <c r="E5247" i="2"/>
  <c r="C5247" i="2"/>
  <c r="B5247" i="2" s="1"/>
  <c r="A5247" i="2"/>
  <c r="E5246" i="2"/>
  <c r="C5246" i="2"/>
  <c r="B5246" i="2" s="1"/>
  <c r="A5246" i="2"/>
  <c r="E5245" i="2"/>
  <c r="C5245" i="2"/>
  <c r="B5245" i="2" s="1"/>
  <c r="A5245" i="2"/>
  <c r="E5244" i="2"/>
  <c r="C5244" i="2"/>
  <c r="B5244" i="2" s="1"/>
  <c r="A5244" i="2"/>
  <c r="E5243" i="2"/>
  <c r="C5243" i="2"/>
  <c r="B5243" i="2" s="1"/>
  <c r="A5243" i="2"/>
  <c r="E5242" i="2"/>
  <c r="C5242" i="2"/>
  <c r="B5242" i="2" s="1"/>
  <c r="A5242" i="2"/>
  <c r="E5241" i="2"/>
  <c r="C5241" i="2"/>
  <c r="B5241" i="2" s="1"/>
  <c r="A5241" i="2"/>
  <c r="E5240" i="2"/>
  <c r="C5240" i="2"/>
  <c r="A5240" i="2"/>
  <c r="E5239" i="2"/>
  <c r="C5239" i="2"/>
  <c r="B5239" i="2" s="1"/>
  <c r="A5239" i="2"/>
  <c r="E5238" i="2"/>
  <c r="C5238" i="2"/>
  <c r="B5238" i="2" s="1"/>
  <c r="A5238" i="2"/>
  <c r="E5237" i="2"/>
  <c r="C5237" i="2"/>
  <c r="B5237" i="2" s="1"/>
  <c r="A5237" i="2"/>
  <c r="E5236" i="2"/>
  <c r="C5236" i="2"/>
  <c r="B5236" i="2" s="1"/>
  <c r="A5236" i="2"/>
  <c r="E5235" i="2"/>
  <c r="C5235" i="2"/>
  <c r="B5235" i="2" s="1"/>
  <c r="A5235" i="2"/>
  <c r="E5234" i="2"/>
  <c r="C5234" i="2"/>
  <c r="B5234" i="2" s="1"/>
  <c r="A5234" i="2"/>
  <c r="E5233" i="2"/>
  <c r="C5233" i="2"/>
  <c r="B5233" i="2" s="1"/>
  <c r="A5233" i="2"/>
  <c r="E5232" i="2"/>
  <c r="C5232" i="2"/>
  <c r="A5232" i="2"/>
  <c r="E5231" i="2"/>
  <c r="C5231" i="2"/>
  <c r="B5231" i="2" s="1"/>
  <c r="A5231" i="2"/>
  <c r="E5230" i="2"/>
  <c r="C5230" i="2"/>
  <c r="B5230" i="2" s="1"/>
  <c r="A5230" i="2"/>
  <c r="E5229" i="2"/>
  <c r="C5229" i="2"/>
  <c r="B5229" i="2" s="1"/>
  <c r="A5229" i="2"/>
  <c r="E5228" i="2"/>
  <c r="C5228" i="2"/>
  <c r="B5228" i="2" s="1"/>
  <c r="A5228" i="2"/>
  <c r="E5227" i="2"/>
  <c r="C5227" i="2"/>
  <c r="B5227" i="2" s="1"/>
  <c r="A5227" i="2"/>
  <c r="E5226" i="2"/>
  <c r="C5226" i="2"/>
  <c r="B5226" i="2" s="1"/>
  <c r="A5226" i="2"/>
  <c r="E5225" i="2"/>
  <c r="C5225" i="2"/>
  <c r="B5225" i="2" s="1"/>
  <c r="A5225" i="2"/>
  <c r="E5224" i="2"/>
  <c r="C5224" i="2"/>
  <c r="A5224" i="2"/>
  <c r="E5223" i="2"/>
  <c r="C5223" i="2"/>
  <c r="B5223" i="2" s="1"/>
  <c r="A5223" i="2"/>
  <c r="E5222" i="2"/>
  <c r="C5222" i="2"/>
  <c r="B5222" i="2" s="1"/>
  <c r="A5222" i="2"/>
  <c r="E5221" i="2"/>
  <c r="C5221" i="2"/>
  <c r="B5221" i="2" s="1"/>
  <c r="A5221" i="2"/>
  <c r="E5220" i="2"/>
  <c r="C5220" i="2"/>
  <c r="B5220" i="2" s="1"/>
  <c r="A5220" i="2"/>
  <c r="E5219" i="2"/>
  <c r="C5219" i="2"/>
  <c r="B5219" i="2" s="1"/>
  <c r="A5219" i="2"/>
  <c r="E5218" i="2"/>
  <c r="C5218" i="2"/>
  <c r="B5218" i="2" s="1"/>
  <c r="A5218" i="2"/>
  <c r="E5217" i="2"/>
  <c r="C5217" i="2"/>
  <c r="B5217" i="2" s="1"/>
  <c r="A5217" i="2"/>
  <c r="E5216" i="2"/>
  <c r="C5216" i="2"/>
  <c r="A5216" i="2"/>
  <c r="E5215" i="2"/>
  <c r="C5215" i="2"/>
  <c r="B5215" i="2" s="1"/>
  <c r="A5215" i="2"/>
  <c r="E5214" i="2"/>
  <c r="C5214" i="2"/>
  <c r="B5214" i="2" s="1"/>
  <c r="A5214" i="2"/>
  <c r="E5213" i="2"/>
  <c r="C5213" i="2"/>
  <c r="B5213" i="2" s="1"/>
  <c r="A5213" i="2"/>
  <c r="E5212" i="2"/>
  <c r="C5212" i="2"/>
  <c r="B5212" i="2" s="1"/>
  <c r="A5212" i="2"/>
  <c r="E5211" i="2"/>
  <c r="C5211" i="2"/>
  <c r="B5211" i="2" s="1"/>
  <c r="A5211" i="2"/>
  <c r="E5210" i="2"/>
  <c r="C5210" i="2"/>
  <c r="B5210" i="2" s="1"/>
  <c r="A5210" i="2"/>
  <c r="E5209" i="2"/>
  <c r="C5209" i="2"/>
  <c r="B5209" i="2" s="1"/>
  <c r="A5209" i="2"/>
  <c r="E5208" i="2"/>
  <c r="C5208" i="2"/>
  <c r="A5208" i="2"/>
  <c r="E5207" i="2"/>
  <c r="C5207" i="2"/>
  <c r="B5207" i="2" s="1"/>
  <c r="A5207" i="2"/>
  <c r="E5206" i="2"/>
  <c r="C5206" i="2"/>
  <c r="B5206" i="2" s="1"/>
  <c r="A5206" i="2"/>
  <c r="E5205" i="2"/>
  <c r="C5205" i="2"/>
  <c r="B5205" i="2" s="1"/>
  <c r="A5205" i="2"/>
  <c r="E5204" i="2"/>
  <c r="C5204" i="2"/>
  <c r="A5204" i="2"/>
  <c r="E5203" i="2"/>
  <c r="C5203" i="2"/>
  <c r="B5203" i="2" s="1"/>
  <c r="A5203" i="2"/>
  <c r="E5202" i="2"/>
  <c r="C5202" i="2"/>
  <c r="B5202" i="2" s="1"/>
  <c r="A5202" i="2"/>
  <c r="E5201" i="2"/>
  <c r="C5201" i="2"/>
  <c r="B5201" i="2" s="1"/>
  <c r="A5201" i="2"/>
  <c r="E5200" i="2"/>
  <c r="C5200" i="2"/>
  <c r="A5200" i="2"/>
  <c r="E5199" i="2"/>
  <c r="C5199" i="2"/>
  <c r="B5199" i="2" s="1"/>
  <c r="A5199" i="2"/>
  <c r="E5198" i="2"/>
  <c r="C5198" i="2"/>
  <c r="B5198" i="2" s="1"/>
  <c r="A5198" i="2"/>
  <c r="E5197" i="2"/>
  <c r="C5197" i="2"/>
  <c r="B5197" i="2" s="1"/>
  <c r="A5197" i="2"/>
  <c r="E5196" i="2"/>
  <c r="C5196" i="2"/>
  <c r="B5196" i="2" s="1"/>
  <c r="A5196" i="2"/>
  <c r="E5195" i="2"/>
  <c r="C5195" i="2"/>
  <c r="B5195" i="2" s="1"/>
  <c r="A5195" i="2"/>
  <c r="E5194" i="2"/>
  <c r="C5194" i="2"/>
  <c r="B5194" i="2" s="1"/>
  <c r="A5194" i="2"/>
  <c r="E5193" i="2"/>
  <c r="C5193" i="2"/>
  <c r="B5193" i="2" s="1"/>
  <c r="A5193" i="2"/>
  <c r="E5192" i="2"/>
  <c r="C5192" i="2"/>
  <c r="B5192" i="2" s="1"/>
  <c r="A5192" i="2"/>
  <c r="E5191" i="2"/>
  <c r="C5191" i="2"/>
  <c r="B5191" i="2" s="1"/>
  <c r="A5191" i="2"/>
  <c r="E5190" i="2"/>
  <c r="C5190" i="2"/>
  <c r="B5190" i="2" s="1"/>
  <c r="A5190" i="2"/>
  <c r="E5189" i="2"/>
  <c r="C5189" i="2"/>
  <c r="B5189" i="2" s="1"/>
  <c r="A5189" i="2"/>
  <c r="E5188" i="2"/>
  <c r="C5188" i="2"/>
  <c r="B5188" i="2" s="1"/>
  <c r="A5188" i="2"/>
  <c r="E5187" i="2"/>
  <c r="C5187" i="2"/>
  <c r="B5187" i="2" s="1"/>
  <c r="A5187" i="2"/>
  <c r="E5186" i="2"/>
  <c r="C5186" i="2"/>
  <c r="B5186" i="2" s="1"/>
  <c r="A5186" i="2"/>
  <c r="E5185" i="2"/>
  <c r="C5185" i="2"/>
  <c r="B5185" i="2" s="1"/>
  <c r="A5185" i="2"/>
  <c r="E5184" i="2"/>
  <c r="C5184" i="2"/>
  <c r="B5184" i="2" s="1"/>
  <c r="A5184" i="2"/>
  <c r="E5183" i="2"/>
  <c r="C5183" i="2"/>
  <c r="B5183" i="2" s="1"/>
  <c r="A5183" i="2"/>
  <c r="E5182" i="2"/>
  <c r="C5182" i="2"/>
  <c r="B5182" i="2" s="1"/>
  <c r="A5182" i="2"/>
  <c r="E5181" i="2"/>
  <c r="C5181" i="2"/>
  <c r="B5181" i="2" s="1"/>
  <c r="A5181" i="2"/>
  <c r="E5180" i="2"/>
  <c r="C5180" i="2"/>
  <c r="B5180" i="2" s="1"/>
  <c r="A5180" i="2"/>
  <c r="E5179" i="2"/>
  <c r="C5179" i="2"/>
  <c r="B5179" i="2" s="1"/>
  <c r="A5179" i="2"/>
  <c r="E5178" i="2"/>
  <c r="C5178" i="2"/>
  <c r="B5178" i="2" s="1"/>
  <c r="A5178" i="2"/>
  <c r="E5177" i="2"/>
  <c r="C5177" i="2"/>
  <c r="B5177" i="2" s="1"/>
  <c r="A5177" i="2"/>
  <c r="E5176" i="2"/>
  <c r="C5176" i="2"/>
  <c r="B5176" i="2" s="1"/>
  <c r="A5176" i="2"/>
  <c r="E5175" i="2"/>
  <c r="C5175" i="2"/>
  <c r="B5175" i="2" s="1"/>
  <c r="A5175" i="2"/>
  <c r="E5174" i="2"/>
  <c r="C5174" i="2"/>
  <c r="B5174" i="2" s="1"/>
  <c r="A5174" i="2"/>
  <c r="E5173" i="2"/>
  <c r="C5173" i="2"/>
  <c r="B5173" i="2" s="1"/>
  <c r="A5173" i="2"/>
  <c r="E5172" i="2"/>
  <c r="C5172" i="2"/>
  <c r="B5172" i="2" s="1"/>
  <c r="A5172" i="2"/>
  <c r="E5171" i="2"/>
  <c r="C5171" i="2"/>
  <c r="B5171" i="2" s="1"/>
  <c r="A5171" i="2"/>
  <c r="E5170" i="2"/>
  <c r="C5170" i="2"/>
  <c r="B5170" i="2" s="1"/>
  <c r="A5170" i="2"/>
  <c r="E5169" i="2"/>
  <c r="C5169" i="2"/>
  <c r="B5169" i="2" s="1"/>
  <c r="A5169" i="2"/>
  <c r="E5168" i="2"/>
  <c r="C5168" i="2"/>
  <c r="B5168" i="2" s="1"/>
  <c r="A5168" i="2"/>
  <c r="E5167" i="2"/>
  <c r="C5167" i="2"/>
  <c r="B5167" i="2" s="1"/>
  <c r="A5167" i="2"/>
  <c r="E5166" i="2"/>
  <c r="C5166" i="2"/>
  <c r="B5166" i="2" s="1"/>
  <c r="A5166" i="2"/>
  <c r="E5165" i="2"/>
  <c r="C5165" i="2"/>
  <c r="B5165" i="2" s="1"/>
  <c r="A5165" i="2"/>
  <c r="E5164" i="2"/>
  <c r="C5164" i="2"/>
  <c r="B5164" i="2" s="1"/>
  <c r="A5164" i="2"/>
  <c r="E5163" i="2"/>
  <c r="C5163" i="2"/>
  <c r="B5163" i="2" s="1"/>
  <c r="A5163" i="2"/>
  <c r="E5162" i="2"/>
  <c r="C5162" i="2"/>
  <c r="B5162" i="2" s="1"/>
  <c r="A5162" i="2"/>
  <c r="E5161" i="2"/>
  <c r="C5161" i="2"/>
  <c r="B5161" i="2" s="1"/>
  <c r="A5161" i="2"/>
  <c r="E5160" i="2"/>
  <c r="C5160" i="2"/>
  <c r="B5160" i="2" s="1"/>
  <c r="A5160" i="2"/>
  <c r="E5159" i="2"/>
  <c r="C5159" i="2"/>
  <c r="B5159" i="2" s="1"/>
  <c r="A5159" i="2"/>
  <c r="E5158" i="2"/>
  <c r="C5158" i="2"/>
  <c r="B5158" i="2" s="1"/>
  <c r="A5158" i="2"/>
  <c r="E5157" i="2"/>
  <c r="C5157" i="2"/>
  <c r="B5157" i="2" s="1"/>
  <c r="A5157" i="2"/>
  <c r="E5156" i="2"/>
  <c r="C5156" i="2"/>
  <c r="B5156" i="2" s="1"/>
  <c r="A5156" i="2"/>
  <c r="E5155" i="2"/>
  <c r="C5155" i="2"/>
  <c r="B5155" i="2" s="1"/>
  <c r="A5155" i="2"/>
  <c r="E5154" i="2"/>
  <c r="C5154" i="2"/>
  <c r="B5154" i="2" s="1"/>
  <c r="A5154" i="2"/>
  <c r="E5153" i="2"/>
  <c r="C5153" i="2"/>
  <c r="B5153" i="2" s="1"/>
  <c r="A5153" i="2"/>
  <c r="E5152" i="2"/>
  <c r="C5152" i="2"/>
  <c r="B5152" i="2" s="1"/>
  <c r="A5152" i="2"/>
  <c r="E5151" i="2"/>
  <c r="C5151" i="2"/>
  <c r="B5151" i="2" s="1"/>
  <c r="A5151" i="2"/>
  <c r="E5150" i="2"/>
  <c r="C5150" i="2"/>
  <c r="B5150" i="2" s="1"/>
  <c r="A5150" i="2"/>
  <c r="E5149" i="2"/>
  <c r="C5149" i="2"/>
  <c r="B5149" i="2" s="1"/>
  <c r="A5149" i="2"/>
  <c r="E5148" i="2"/>
  <c r="C5148" i="2"/>
  <c r="B5148" i="2" s="1"/>
  <c r="A5148" i="2"/>
  <c r="E5147" i="2"/>
  <c r="C5147" i="2"/>
  <c r="B5147" i="2" s="1"/>
  <c r="A5147" i="2"/>
  <c r="E5146" i="2"/>
  <c r="C5146" i="2"/>
  <c r="B5146" i="2" s="1"/>
  <c r="A5146" i="2"/>
  <c r="E5145" i="2"/>
  <c r="C5145" i="2"/>
  <c r="B5145" i="2" s="1"/>
  <c r="A5145" i="2"/>
  <c r="E5144" i="2"/>
  <c r="C5144" i="2"/>
  <c r="B5144" i="2" s="1"/>
  <c r="A5144" i="2"/>
  <c r="E5143" i="2"/>
  <c r="C5143" i="2"/>
  <c r="B5143" i="2" s="1"/>
  <c r="A5143" i="2"/>
  <c r="E5142" i="2"/>
  <c r="C5142" i="2"/>
  <c r="B5142" i="2" s="1"/>
  <c r="A5142" i="2"/>
  <c r="E5141" i="2"/>
  <c r="C5141" i="2"/>
  <c r="B5141" i="2" s="1"/>
  <c r="A5141" i="2"/>
  <c r="E5140" i="2"/>
  <c r="C5140" i="2"/>
  <c r="B5140" i="2" s="1"/>
  <c r="A5140" i="2"/>
  <c r="E5139" i="2"/>
  <c r="C5139" i="2"/>
  <c r="B5139" i="2" s="1"/>
  <c r="A5139" i="2"/>
  <c r="E5138" i="2"/>
  <c r="C5138" i="2"/>
  <c r="B5138" i="2" s="1"/>
  <c r="A5138" i="2"/>
  <c r="E5137" i="2"/>
  <c r="C5137" i="2"/>
  <c r="B5137" i="2" s="1"/>
  <c r="A5137" i="2"/>
  <c r="E5136" i="2"/>
  <c r="C5136" i="2"/>
  <c r="B5136" i="2" s="1"/>
  <c r="A5136" i="2"/>
  <c r="E5135" i="2"/>
  <c r="C5135" i="2"/>
  <c r="B5135" i="2" s="1"/>
  <c r="A5135" i="2"/>
  <c r="E5134" i="2"/>
  <c r="C5134" i="2"/>
  <c r="B5134" i="2" s="1"/>
  <c r="A5134" i="2"/>
  <c r="E5133" i="2"/>
  <c r="C5133" i="2"/>
  <c r="B5133" i="2" s="1"/>
  <c r="A5133" i="2"/>
  <c r="E5132" i="2"/>
  <c r="C5132" i="2"/>
  <c r="B5132" i="2" s="1"/>
  <c r="A5132" i="2"/>
  <c r="E5131" i="2"/>
  <c r="C5131" i="2"/>
  <c r="B5131" i="2" s="1"/>
  <c r="A5131" i="2"/>
  <c r="E5130" i="2"/>
  <c r="C5130" i="2"/>
  <c r="B5130" i="2" s="1"/>
  <c r="A5130" i="2"/>
  <c r="E5129" i="2"/>
  <c r="C5129" i="2"/>
  <c r="B5129" i="2" s="1"/>
  <c r="A5129" i="2"/>
  <c r="E5128" i="2"/>
  <c r="C5128" i="2"/>
  <c r="B5128" i="2" s="1"/>
  <c r="A5128" i="2"/>
  <c r="E5127" i="2"/>
  <c r="C5127" i="2"/>
  <c r="B5127" i="2" s="1"/>
  <c r="A5127" i="2"/>
  <c r="E5126" i="2"/>
  <c r="C5126" i="2"/>
  <c r="B5126" i="2" s="1"/>
  <c r="A5126" i="2"/>
  <c r="E5125" i="2"/>
  <c r="C5125" i="2"/>
  <c r="B5125" i="2" s="1"/>
  <c r="A5125" i="2"/>
  <c r="E5124" i="2"/>
  <c r="C5124" i="2"/>
  <c r="B5124" i="2" s="1"/>
  <c r="A5124" i="2"/>
  <c r="E5123" i="2"/>
  <c r="C5123" i="2"/>
  <c r="B5123" i="2" s="1"/>
  <c r="A5123" i="2"/>
  <c r="E5122" i="2"/>
  <c r="C5122" i="2"/>
  <c r="B5122" i="2" s="1"/>
  <c r="A5122" i="2"/>
  <c r="E5121" i="2"/>
  <c r="C5121" i="2"/>
  <c r="B5121" i="2" s="1"/>
  <c r="A5121" i="2"/>
  <c r="E5120" i="2"/>
  <c r="C5120" i="2"/>
  <c r="B5120" i="2" s="1"/>
  <c r="A5120" i="2"/>
  <c r="E5119" i="2"/>
  <c r="C5119" i="2"/>
  <c r="B5119" i="2" s="1"/>
  <c r="A5119" i="2"/>
  <c r="E5118" i="2"/>
  <c r="C5118" i="2"/>
  <c r="B5118" i="2" s="1"/>
  <c r="A5118" i="2"/>
  <c r="E5117" i="2"/>
  <c r="C5117" i="2"/>
  <c r="B5117" i="2" s="1"/>
  <c r="A5117" i="2"/>
  <c r="E5116" i="2"/>
  <c r="C5116" i="2"/>
  <c r="B5116" i="2" s="1"/>
  <c r="A5116" i="2"/>
  <c r="E5115" i="2"/>
  <c r="C5115" i="2"/>
  <c r="B5115" i="2" s="1"/>
  <c r="A5115" i="2"/>
  <c r="E5114" i="2"/>
  <c r="C5114" i="2"/>
  <c r="B5114" i="2" s="1"/>
  <c r="A5114" i="2"/>
  <c r="E5113" i="2"/>
  <c r="C5113" i="2"/>
  <c r="B5113" i="2" s="1"/>
  <c r="A5113" i="2"/>
  <c r="E5112" i="2"/>
  <c r="C5112" i="2"/>
  <c r="B5112" i="2" s="1"/>
  <c r="A5112" i="2"/>
  <c r="E5111" i="2"/>
  <c r="C5111" i="2"/>
  <c r="B5111" i="2" s="1"/>
  <c r="A5111" i="2"/>
  <c r="E5110" i="2"/>
  <c r="C5110" i="2"/>
  <c r="B5110" i="2" s="1"/>
  <c r="A5110" i="2"/>
  <c r="E5109" i="2"/>
  <c r="C5109" i="2"/>
  <c r="B5109" i="2" s="1"/>
  <c r="A5109" i="2"/>
  <c r="E5108" i="2"/>
  <c r="C5108" i="2"/>
  <c r="A5108" i="2"/>
  <c r="E5107" i="2"/>
  <c r="C5107" i="2"/>
  <c r="B5107" i="2" s="1"/>
  <c r="A5107" i="2"/>
  <c r="E5106" i="2"/>
  <c r="C5106" i="2"/>
  <c r="B5106" i="2" s="1"/>
  <c r="A5106" i="2"/>
  <c r="E5105" i="2"/>
  <c r="C5105" i="2"/>
  <c r="B5105" i="2" s="1"/>
  <c r="A5105" i="2"/>
  <c r="E5104" i="2"/>
  <c r="C5104" i="2"/>
  <c r="B5104" i="2" s="1"/>
  <c r="A5104" i="2"/>
  <c r="E5103" i="2"/>
  <c r="C5103" i="2"/>
  <c r="B5103" i="2" s="1"/>
  <c r="A5103" i="2"/>
  <c r="E5102" i="2"/>
  <c r="C5102" i="2"/>
  <c r="B5102" i="2" s="1"/>
  <c r="A5102" i="2"/>
  <c r="E5101" i="2"/>
  <c r="C5101" i="2"/>
  <c r="B5101" i="2" s="1"/>
  <c r="A5101" i="2"/>
  <c r="E5100" i="2"/>
  <c r="C5100" i="2"/>
  <c r="B5100" i="2" s="1"/>
  <c r="A5100" i="2"/>
  <c r="E5099" i="2"/>
  <c r="C5099" i="2"/>
  <c r="B5099" i="2" s="1"/>
  <c r="A5099" i="2"/>
  <c r="E5098" i="2"/>
  <c r="C5098" i="2"/>
  <c r="B5098" i="2" s="1"/>
  <c r="A5098" i="2"/>
  <c r="E5097" i="2"/>
  <c r="C5097" i="2"/>
  <c r="B5097" i="2" s="1"/>
  <c r="A5097" i="2"/>
  <c r="E5096" i="2"/>
  <c r="C5096" i="2"/>
  <c r="B5096" i="2" s="1"/>
  <c r="A5096" i="2"/>
  <c r="E5095" i="2"/>
  <c r="C5095" i="2"/>
  <c r="B5095" i="2" s="1"/>
  <c r="A5095" i="2"/>
  <c r="E5094" i="2"/>
  <c r="C5094" i="2"/>
  <c r="B5094" i="2" s="1"/>
  <c r="A5094" i="2"/>
  <c r="E5093" i="2"/>
  <c r="C5093" i="2"/>
  <c r="B5093" i="2" s="1"/>
  <c r="A5093" i="2"/>
  <c r="E5092" i="2"/>
  <c r="C5092" i="2"/>
  <c r="B5092" i="2" s="1"/>
  <c r="A5092" i="2"/>
  <c r="E5091" i="2"/>
  <c r="C5091" i="2"/>
  <c r="B5091" i="2" s="1"/>
  <c r="A5091" i="2"/>
  <c r="E5090" i="2"/>
  <c r="C5090" i="2"/>
  <c r="B5090" i="2" s="1"/>
  <c r="A5090" i="2"/>
  <c r="E5089" i="2"/>
  <c r="C5089" i="2"/>
  <c r="B5089" i="2" s="1"/>
  <c r="A5089" i="2"/>
  <c r="E5088" i="2"/>
  <c r="C5088" i="2"/>
  <c r="B5088" i="2" s="1"/>
  <c r="A5088" i="2"/>
  <c r="E5087" i="2"/>
  <c r="C5087" i="2"/>
  <c r="B5087" i="2" s="1"/>
  <c r="A5087" i="2"/>
  <c r="E5086" i="2"/>
  <c r="C5086" i="2"/>
  <c r="B5086" i="2" s="1"/>
  <c r="A5086" i="2"/>
  <c r="E5085" i="2"/>
  <c r="C5085" i="2"/>
  <c r="B5085" i="2" s="1"/>
  <c r="A5085" i="2"/>
  <c r="E5084" i="2"/>
  <c r="C5084" i="2"/>
  <c r="B5084" i="2" s="1"/>
  <c r="A5084" i="2"/>
  <c r="E5083" i="2"/>
  <c r="C5083" i="2"/>
  <c r="B5083" i="2" s="1"/>
  <c r="A5083" i="2"/>
  <c r="E5082" i="2"/>
  <c r="C5082" i="2"/>
  <c r="B5082" i="2" s="1"/>
  <c r="A5082" i="2"/>
  <c r="E5081" i="2"/>
  <c r="C5081" i="2"/>
  <c r="B5081" i="2" s="1"/>
  <c r="A5081" i="2"/>
  <c r="E5080" i="2"/>
  <c r="C5080" i="2"/>
  <c r="B5080" i="2" s="1"/>
  <c r="A5080" i="2"/>
  <c r="E5079" i="2"/>
  <c r="C5079" i="2"/>
  <c r="B5079" i="2" s="1"/>
  <c r="A5079" i="2"/>
  <c r="E5078" i="2"/>
  <c r="C5078" i="2"/>
  <c r="B5078" i="2" s="1"/>
  <c r="A5078" i="2"/>
  <c r="E5077" i="2"/>
  <c r="C5077" i="2"/>
  <c r="B5077" i="2" s="1"/>
  <c r="A5077" i="2"/>
  <c r="E5076" i="2"/>
  <c r="C5076" i="2"/>
  <c r="B5076" i="2" s="1"/>
  <c r="A5076" i="2"/>
  <c r="E5075" i="2"/>
  <c r="C5075" i="2"/>
  <c r="B5075" i="2" s="1"/>
  <c r="A5075" i="2"/>
  <c r="E5074" i="2"/>
  <c r="C5074" i="2"/>
  <c r="B5074" i="2" s="1"/>
  <c r="A5074" i="2"/>
  <c r="E5073" i="2"/>
  <c r="C5073" i="2"/>
  <c r="B5073" i="2" s="1"/>
  <c r="A5073" i="2"/>
  <c r="E5072" i="2"/>
  <c r="C5072" i="2"/>
  <c r="B5072" i="2" s="1"/>
  <c r="A5072" i="2"/>
  <c r="E5071" i="2"/>
  <c r="C5071" i="2"/>
  <c r="B5071" i="2" s="1"/>
  <c r="A5071" i="2"/>
  <c r="E5070" i="2"/>
  <c r="C5070" i="2"/>
  <c r="B5070" i="2" s="1"/>
  <c r="A5070" i="2"/>
  <c r="E5069" i="2"/>
  <c r="C5069" i="2"/>
  <c r="B5069" i="2" s="1"/>
  <c r="A5069" i="2"/>
  <c r="E5068" i="2"/>
  <c r="C5068" i="2"/>
  <c r="B5068" i="2" s="1"/>
  <c r="A5068" i="2"/>
  <c r="E5067" i="2"/>
  <c r="C5067" i="2"/>
  <c r="B5067" i="2" s="1"/>
  <c r="A5067" i="2"/>
  <c r="E5066" i="2"/>
  <c r="C5066" i="2"/>
  <c r="B5066" i="2" s="1"/>
  <c r="A5066" i="2"/>
  <c r="E5065" i="2"/>
  <c r="C5065" i="2"/>
  <c r="B5065" i="2" s="1"/>
  <c r="A5065" i="2"/>
  <c r="E5064" i="2"/>
  <c r="C5064" i="2"/>
  <c r="B5064" i="2" s="1"/>
  <c r="A5064" i="2"/>
  <c r="E5063" i="2"/>
  <c r="C5063" i="2"/>
  <c r="B5063" i="2" s="1"/>
  <c r="A5063" i="2"/>
  <c r="E5062" i="2"/>
  <c r="C5062" i="2"/>
  <c r="B5062" i="2" s="1"/>
  <c r="A5062" i="2"/>
  <c r="E5061" i="2"/>
  <c r="C5061" i="2"/>
  <c r="B5061" i="2" s="1"/>
  <c r="A5061" i="2"/>
  <c r="E5060" i="2"/>
  <c r="C5060" i="2"/>
  <c r="B5060" i="2" s="1"/>
  <c r="A5060" i="2"/>
  <c r="E5059" i="2"/>
  <c r="C5059" i="2"/>
  <c r="B5059" i="2" s="1"/>
  <c r="A5059" i="2"/>
  <c r="E5058" i="2"/>
  <c r="C5058" i="2"/>
  <c r="B5058" i="2" s="1"/>
  <c r="A5058" i="2"/>
  <c r="E5057" i="2"/>
  <c r="C5057" i="2"/>
  <c r="B5057" i="2" s="1"/>
  <c r="A5057" i="2"/>
  <c r="E5056" i="2"/>
  <c r="C5056" i="2"/>
  <c r="B5056" i="2" s="1"/>
  <c r="A5056" i="2"/>
  <c r="E5055" i="2"/>
  <c r="C5055" i="2"/>
  <c r="B5055" i="2" s="1"/>
  <c r="A5055" i="2"/>
  <c r="E5054" i="2"/>
  <c r="C5054" i="2"/>
  <c r="B5054" i="2" s="1"/>
  <c r="A5054" i="2"/>
  <c r="E5053" i="2"/>
  <c r="C5053" i="2"/>
  <c r="B5053" i="2" s="1"/>
  <c r="A5053" i="2"/>
  <c r="E5052" i="2"/>
  <c r="C5052" i="2"/>
  <c r="B5052" i="2" s="1"/>
  <c r="A5052" i="2"/>
  <c r="E5051" i="2"/>
  <c r="C5051" i="2"/>
  <c r="B5051" i="2" s="1"/>
  <c r="A5051" i="2"/>
  <c r="E5050" i="2"/>
  <c r="C5050" i="2"/>
  <c r="B5050" i="2" s="1"/>
  <c r="A5050" i="2"/>
  <c r="E5049" i="2"/>
  <c r="C5049" i="2"/>
  <c r="B5049" i="2" s="1"/>
  <c r="A5049" i="2"/>
  <c r="E5048" i="2"/>
  <c r="C5048" i="2"/>
  <c r="B5048" i="2" s="1"/>
  <c r="A5048" i="2"/>
  <c r="E5047" i="2"/>
  <c r="C5047" i="2"/>
  <c r="B5047" i="2" s="1"/>
  <c r="A5047" i="2"/>
  <c r="E5046" i="2"/>
  <c r="C5046" i="2"/>
  <c r="B5046" i="2" s="1"/>
  <c r="A5046" i="2"/>
  <c r="E5045" i="2"/>
  <c r="C5045" i="2"/>
  <c r="B5045" i="2" s="1"/>
  <c r="A5045" i="2"/>
  <c r="E5044" i="2"/>
  <c r="C5044" i="2"/>
  <c r="B5044" i="2" s="1"/>
  <c r="A5044" i="2"/>
  <c r="E5043" i="2"/>
  <c r="C5043" i="2"/>
  <c r="B5043" i="2" s="1"/>
  <c r="A5043" i="2"/>
  <c r="E5042" i="2"/>
  <c r="C5042" i="2"/>
  <c r="B5042" i="2" s="1"/>
  <c r="A5042" i="2"/>
  <c r="E5041" i="2"/>
  <c r="C5041" i="2"/>
  <c r="B5041" i="2" s="1"/>
  <c r="A5041" i="2"/>
  <c r="E5040" i="2"/>
  <c r="C5040" i="2"/>
  <c r="B5040" i="2" s="1"/>
  <c r="A5040" i="2"/>
  <c r="E5039" i="2"/>
  <c r="C5039" i="2"/>
  <c r="B5039" i="2" s="1"/>
  <c r="A5039" i="2"/>
  <c r="E5038" i="2"/>
  <c r="C5038" i="2"/>
  <c r="B5038" i="2" s="1"/>
  <c r="A5038" i="2"/>
  <c r="E5037" i="2"/>
  <c r="C5037" i="2"/>
  <c r="B5037" i="2" s="1"/>
  <c r="A5037" i="2"/>
  <c r="E5036" i="2"/>
  <c r="C5036" i="2"/>
  <c r="B5036" i="2" s="1"/>
  <c r="A5036" i="2"/>
  <c r="E5035" i="2"/>
  <c r="C5035" i="2"/>
  <c r="B5035" i="2" s="1"/>
  <c r="A5035" i="2"/>
  <c r="E5034" i="2"/>
  <c r="C5034" i="2"/>
  <c r="B5034" i="2" s="1"/>
  <c r="A5034" i="2"/>
  <c r="E5033" i="2"/>
  <c r="C5033" i="2"/>
  <c r="B5033" i="2" s="1"/>
  <c r="A5033" i="2"/>
  <c r="E5032" i="2"/>
  <c r="C5032" i="2"/>
  <c r="B5032" i="2" s="1"/>
  <c r="A5032" i="2"/>
  <c r="E5031" i="2"/>
  <c r="C5031" i="2"/>
  <c r="B5031" i="2" s="1"/>
  <c r="A5031" i="2"/>
  <c r="E5030" i="2"/>
  <c r="C5030" i="2"/>
  <c r="B5030" i="2" s="1"/>
  <c r="A5030" i="2"/>
  <c r="E5029" i="2"/>
  <c r="C5029" i="2"/>
  <c r="B5029" i="2" s="1"/>
  <c r="A5029" i="2"/>
  <c r="E5028" i="2"/>
  <c r="C5028" i="2"/>
  <c r="B5028" i="2" s="1"/>
  <c r="A5028" i="2"/>
  <c r="E5027" i="2"/>
  <c r="C5027" i="2"/>
  <c r="B5027" i="2" s="1"/>
  <c r="A5027" i="2"/>
  <c r="E5026" i="2"/>
  <c r="C5026" i="2"/>
  <c r="B5026" i="2" s="1"/>
  <c r="A5026" i="2"/>
  <c r="E5025" i="2"/>
  <c r="C5025" i="2"/>
  <c r="B5025" i="2" s="1"/>
  <c r="A5025" i="2"/>
  <c r="E5024" i="2"/>
  <c r="C5024" i="2"/>
  <c r="B5024" i="2" s="1"/>
  <c r="A5024" i="2"/>
  <c r="E5023" i="2"/>
  <c r="C5023" i="2"/>
  <c r="B5023" i="2" s="1"/>
  <c r="A5023" i="2"/>
  <c r="E5022" i="2"/>
  <c r="C5022" i="2"/>
  <c r="B5022" i="2" s="1"/>
  <c r="A5022" i="2"/>
  <c r="E5021" i="2"/>
  <c r="C5021" i="2"/>
  <c r="B5021" i="2" s="1"/>
  <c r="A5021" i="2"/>
  <c r="E5020" i="2"/>
  <c r="C5020" i="2"/>
  <c r="B5020" i="2" s="1"/>
  <c r="A5020" i="2"/>
  <c r="E5019" i="2"/>
  <c r="C5019" i="2"/>
  <c r="B5019" i="2" s="1"/>
  <c r="A5019" i="2"/>
  <c r="E5018" i="2"/>
  <c r="C5018" i="2"/>
  <c r="B5018" i="2" s="1"/>
  <c r="A5018" i="2"/>
  <c r="E5017" i="2"/>
  <c r="C5017" i="2"/>
  <c r="B5017" i="2" s="1"/>
  <c r="A5017" i="2"/>
  <c r="E5016" i="2"/>
  <c r="C5016" i="2"/>
  <c r="B5016" i="2" s="1"/>
  <c r="A5016" i="2"/>
  <c r="E5015" i="2"/>
  <c r="C5015" i="2"/>
  <c r="B5015" i="2" s="1"/>
  <c r="A5015" i="2"/>
  <c r="E5014" i="2"/>
  <c r="C5014" i="2"/>
  <c r="B5014" i="2" s="1"/>
  <c r="A5014" i="2"/>
  <c r="E5013" i="2"/>
  <c r="C5013" i="2"/>
  <c r="B5013" i="2" s="1"/>
  <c r="A5013" i="2"/>
  <c r="E5012" i="2"/>
  <c r="C5012" i="2"/>
  <c r="B5012" i="2" s="1"/>
  <c r="A5012" i="2"/>
  <c r="E5011" i="2"/>
  <c r="C5011" i="2"/>
  <c r="B5011" i="2" s="1"/>
  <c r="A5011" i="2"/>
  <c r="E5010" i="2"/>
  <c r="C5010" i="2"/>
  <c r="B5010" i="2" s="1"/>
  <c r="A5010" i="2"/>
  <c r="E5009" i="2"/>
  <c r="C5009" i="2"/>
  <c r="B5009" i="2" s="1"/>
  <c r="A5009" i="2"/>
  <c r="E5008" i="2"/>
  <c r="C5008" i="2"/>
  <c r="B5008" i="2" s="1"/>
  <c r="A5008" i="2"/>
  <c r="E5007" i="2"/>
  <c r="C5007" i="2"/>
  <c r="B5007" i="2" s="1"/>
  <c r="A5007" i="2"/>
  <c r="E5006" i="2"/>
  <c r="C5006" i="2"/>
  <c r="B5006" i="2" s="1"/>
  <c r="A5006" i="2"/>
  <c r="E5005" i="2"/>
  <c r="C5005" i="2"/>
  <c r="B5005" i="2" s="1"/>
  <c r="A5005" i="2"/>
  <c r="E5004" i="2"/>
  <c r="C5004" i="2"/>
  <c r="A5004" i="2"/>
  <c r="E5003" i="2"/>
  <c r="C5003" i="2"/>
  <c r="B5003" i="2" s="1"/>
  <c r="A5003" i="2"/>
  <c r="E5002" i="2"/>
  <c r="C5002" i="2"/>
  <c r="B5002" i="2" s="1"/>
  <c r="A5002" i="2"/>
  <c r="E5001" i="2"/>
  <c r="C5001" i="2"/>
  <c r="B5001" i="2" s="1"/>
  <c r="A5001" i="2"/>
  <c r="E5000" i="2"/>
  <c r="C5000" i="2"/>
  <c r="B5000" i="2" s="1"/>
  <c r="A5000" i="2"/>
  <c r="E4999" i="2"/>
  <c r="C4999" i="2"/>
  <c r="B4999" i="2" s="1"/>
  <c r="A4999" i="2"/>
  <c r="E4998" i="2"/>
  <c r="C4998" i="2"/>
  <c r="B4998" i="2" s="1"/>
  <c r="A4998" i="2"/>
  <c r="E4997" i="2"/>
  <c r="C4997" i="2"/>
  <c r="B4997" i="2" s="1"/>
  <c r="A4997" i="2"/>
  <c r="E4996" i="2"/>
  <c r="C4996" i="2"/>
  <c r="B4996" i="2" s="1"/>
  <c r="A4996" i="2"/>
  <c r="E4995" i="2"/>
  <c r="C4995" i="2"/>
  <c r="B4995" i="2" s="1"/>
  <c r="A4995" i="2"/>
  <c r="E4994" i="2"/>
  <c r="C4994" i="2"/>
  <c r="A4994" i="2"/>
  <c r="E4993" i="2"/>
  <c r="C4993" i="2"/>
  <c r="B4993" i="2" s="1"/>
  <c r="A4993" i="2"/>
  <c r="E4992" i="2"/>
  <c r="C4992" i="2"/>
  <c r="B4992" i="2" s="1"/>
  <c r="A4992" i="2"/>
  <c r="E4991" i="2"/>
  <c r="C4991" i="2"/>
  <c r="B4991" i="2" s="1"/>
  <c r="A4991" i="2"/>
  <c r="E4990" i="2"/>
  <c r="C4990" i="2"/>
  <c r="B4990" i="2" s="1"/>
  <c r="A4990" i="2"/>
  <c r="E4989" i="2"/>
  <c r="C4989" i="2"/>
  <c r="B4989" i="2" s="1"/>
  <c r="A4989" i="2"/>
  <c r="E4988" i="2"/>
  <c r="C4988" i="2"/>
  <c r="B4988" i="2" s="1"/>
  <c r="A4988" i="2"/>
  <c r="E4987" i="2"/>
  <c r="C4987" i="2"/>
  <c r="B4987" i="2" s="1"/>
  <c r="A4987" i="2"/>
  <c r="E4986" i="2"/>
  <c r="C4986" i="2"/>
  <c r="B4986" i="2" s="1"/>
  <c r="A4986" i="2"/>
  <c r="E4985" i="2"/>
  <c r="C4985" i="2"/>
  <c r="B4985" i="2" s="1"/>
  <c r="A4985" i="2"/>
  <c r="E4984" i="2"/>
  <c r="C4984" i="2"/>
  <c r="B4984" i="2" s="1"/>
  <c r="A4984" i="2"/>
  <c r="E4983" i="2"/>
  <c r="C4983" i="2"/>
  <c r="B4983" i="2" s="1"/>
  <c r="A4983" i="2"/>
  <c r="E4982" i="2"/>
  <c r="C4982" i="2"/>
  <c r="B4982" i="2" s="1"/>
  <c r="A4982" i="2"/>
  <c r="E4981" i="2"/>
  <c r="C4981" i="2"/>
  <c r="B4981" i="2" s="1"/>
  <c r="A4981" i="2"/>
  <c r="E4980" i="2"/>
  <c r="C4980" i="2"/>
  <c r="B4980" i="2" s="1"/>
  <c r="A4980" i="2"/>
  <c r="E4979" i="2"/>
  <c r="C4979" i="2"/>
  <c r="B4979" i="2" s="1"/>
  <c r="A4979" i="2"/>
  <c r="E4978" i="2"/>
  <c r="C4978" i="2"/>
  <c r="B4978" i="2" s="1"/>
  <c r="A4978" i="2"/>
  <c r="E4977" i="2"/>
  <c r="C4977" i="2"/>
  <c r="B4977" i="2" s="1"/>
  <c r="A4977" i="2"/>
  <c r="E4976" i="2"/>
  <c r="C4976" i="2"/>
  <c r="B4976" i="2" s="1"/>
  <c r="A4976" i="2"/>
  <c r="E4975" i="2"/>
  <c r="C4975" i="2"/>
  <c r="B4975" i="2" s="1"/>
  <c r="A4975" i="2"/>
  <c r="E4974" i="2"/>
  <c r="C4974" i="2"/>
  <c r="B4974" i="2" s="1"/>
  <c r="A4974" i="2"/>
  <c r="E4973" i="2"/>
  <c r="C4973" i="2"/>
  <c r="B4973" i="2" s="1"/>
  <c r="A4973" i="2"/>
  <c r="E4972" i="2"/>
  <c r="C4972" i="2"/>
  <c r="B4972" i="2" s="1"/>
  <c r="A4972" i="2"/>
  <c r="E4971" i="2"/>
  <c r="C4971" i="2"/>
  <c r="B4971" i="2" s="1"/>
  <c r="A4971" i="2"/>
  <c r="E4970" i="2"/>
  <c r="C4970" i="2"/>
  <c r="B4970" i="2" s="1"/>
  <c r="A4970" i="2"/>
  <c r="E4969" i="2"/>
  <c r="C4969" i="2"/>
  <c r="B4969" i="2" s="1"/>
  <c r="A4969" i="2"/>
  <c r="E4968" i="2"/>
  <c r="C4968" i="2"/>
  <c r="B4968" i="2" s="1"/>
  <c r="A4968" i="2"/>
  <c r="E4967" i="2"/>
  <c r="C4967" i="2"/>
  <c r="B4967" i="2" s="1"/>
  <c r="A4967" i="2"/>
  <c r="E4966" i="2"/>
  <c r="C4966" i="2"/>
  <c r="B4966" i="2" s="1"/>
  <c r="A4966" i="2"/>
  <c r="E4965" i="2"/>
  <c r="C4965" i="2"/>
  <c r="B4965" i="2" s="1"/>
  <c r="A4965" i="2"/>
  <c r="E4964" i="2"/>
  <c r="C4964" i="2"/>
  <c r="B4964" i="2" s="1"/>
  <c r="A4964" i="2"/>
  <c r="E4963" i="2"/>
  <c r="C4963" i="2"/>
  <c r="B4963" i="2" s="1"/>
  <c r="A4963" i="2"/>
  <c r="E4962" i="2"/>
  <c r="C4962" i="2"/>
  <c r="B4962" i="2" s="1"/>
  <c r="A4962" i="2"/>
  <c r="E4961" i="2"/>
  <c r="C4961" i="2"/>
  <c r="B4961" i="2" s="1"/>
  <c r="A4961" i="2"/>
  <c r="E4960" i="2"/>
  <c r="C4960" i="2"/>
  <c r="A4960" i="2"/>
  <c r="E4959" i="2"/>
  <c r="C4959" i="2"/>
  <c r="A4959" i="2"/>
  <c r="E4958" i="2"/>
  <c r="C4958" i="2"/>
  <c r="B4958" i="2" s="1"/>
  <c r="A4958" i="2"/>
  <c r="E4957" i="2"/>
  <c r="C4957" i="2"/>
  <c r="A4957" i="2"/>
  <c r="E4956" i="2"/>
  <c r="C4956" i="2"/>
  <c r="A4956" i="2"/>
  <c r="E4955" i="2"/>
  <c r="C4955" i="2"/>
  <c r="A4955" i="2"/>
  <c r="E4954" i="2"/>
  <c r="C4954" i="2"/>
  <c r="B4954" i="2" s="1"/>
  <c r="A4954" i="2"/>
  <c r="E4953" i="2"/>
  <c r="C4953" i="2"/>
  <c r="B4953" i="2" s="1"/>
  <c r="A4953" i="2"/>
  <c r="E4952" i="2"/>
  <c r="C4952" i="2"/>
  <c r="A4952" i="2"/>
  <c r="E4951" i="2"/>
  <c r="C4951" i="2"/>
  <c r="A4951" i="2"/>
  <c r="E4950" i="2"/>
  <c r="C4950" i="2"/>
  <c r="B4950" i="2" s="1"/>
  <c r="A4950" i="2"/>
  <c r="E4949" i="2"/>
  <c r="C4949" i="2"/>
  <c r="B4949" i="2" s="1"/>
  <c r="A4949" i="2"/>
  <c r="E4948" i="2"/>
  <c r="C4948" i="2"/>
  <c r="A4948" i="2"/>
  <c r="E4947" i="2"/>
  <c r="C4947" i="2"/>
  <c r="A4947" i="2"/>
  <c r="E4946" i="2"/>
  <c r="C4946" i="2"/>
  <c r="A4946" i="2"/>
  <c r="E4945" i="2"/>
  <c r="C4945" i="2"/>
  <c r="A4945" i="2"/>
  <c r="E4944" i="2"/>
  <c r="C4944" i="2"/>
  <c r="A4944" i="2"/>
  <c r="E4943" i="2"/>
  <c r="C4943" i="2"/>
  <c r="A4943" i="2"/>
  <c r="E4942" i="2"/>
  <c r="C4942" i="2"/>
  <c r="B4942" i="2" s="1"/>
  <c r="A4942" i="2"/>
  <c r="E4941" i="2"/>
  <c r="C4941" i="2"/>
  <c r="A4941" i="2"/>
  <c r="E4940" i="2"/>
  <c r="C4940" i="2"/>
  <c r="A4940" i="2"/>
  <c r="E4939" i="2"/>
  <c r="C4939" i="2"/>
  <c r="A4939" i="2"/>
  <c r="E4938" i="2"/>
  <c r="C4938" i="2"/>
  <c r="B4938" i="2" s="1"/>
  <c r="A4938" i="2"/>
  <c r="E4937" i="2"/>
  <c r="C4937" i="2"/>
  <c r="B4937" i="2" s="1"/>
  <c r="A4937" i="2"/>
  <c r="E4936" i="2"/>
  <c r="C4936" i="2"/>
  <c r="B4936" i="2" s="1"/>
  <c r="A4936" i="2"/>
  <c r="E4935" i="2"/>
  <c r="C4935" i="2"/>
  <c r="A4935" i="2"/>
  <c r="E4934" i="2"/>
  <c r="C4934" i="2"/>
  <c r="B4934" i="2" s="1"/>
  <c r="A4934" i="2"/>
  <c r="E4933" i="2"/>
  <c r="C4933" i="2"/>
  <c r="A4933" i="2"/>
  <c r="E4932" i="2"/>
  <c r="C4932" i="2"/>
  <c r="A4932" i="2"/>
  <c r="E4931" i="2"/>
  <c r="C4931" i="2"/>
  <c r="A4931" i="2"/>
  <c r="E4930" i="2"/>
  <c r="C4930" i="2"/>
  <c r="B4930" i="2" s="1"/>
  <c r="A4930" i="2"/>
  <c r="E4929" i="2"/>
  <c r="C4929" i="2"/>
  <c r="B4929" i="2" s="1"/>
  <c r="A4929" i="2"/>
  <c r="E4928" i="2"/>
  <c r="C4928" i="2"/>
  <c r="A4928" i="2"/>
  <c r="E4927" i="2"/>
  <c r="C4927" i="2"/>
  <c r="A4927" i="2"/>
  <c r="E4926" i="2"/>
  <c r="C4926" i="2"/>
  <c r="B4926" i="2" s="1"/>
  <c r="A4926" i="2"/>
  <c r="E4925" i="2"/>
  <c r="C4925" i="2"/>
  <c r="A4925" i="2"/>
  <c r="E4924" i="2"/>
  <c r="C4924" i="2"/>
  <c r="A4924" i="2"/>
  <c r="E4923" i="2"/>
  <c r="C4923" i="2"/>
  <c r="A4923" i="2"/>
  <c r="E4922" i="2"/>
  <c r="C4922" i="2"/>
  <c r="B4922" i="2" s="1"/>
  <c r="A4922" i="2"/>
  <c r="E4921" i="2"/>
  <c r="C4921" i="2"/>
  <c r="B4921" i="2" s="1"/>
  <c r="A4921" i="2"/>
  <c r="E4920" i="2"/>
  <c r="C4920" i="2"/>
  <c r="B4920" i="2" s="1"/>
  <c r="A4920" i="2"/>
  <c r="E4919" i="2"/>
  <c r="C4919" i="2"/>
  <c r="A4919" i="2"/>
  <c r="E4918" i="2"/>
  <c r="C4918" i="2"/>
  <c r="B4918" i="2" s="1"/>
  <c r="A4918" i="2"/>
  <c r="E4917" i="2"/>
  <c r="C4917" i="2"/>
  <c r="B4917" i="2" s="1"/>
  <c r="A4917" i="2"/>
  <c r="E4916" i="2"/>
  <c r="C4916" i="2"/>
  <c r="A4916" i="2"/>
  <c r="E4915" i="2"/>
  <c r="C4915" i="2"/>
  <c r="A4915" i="2"/>
  <c r="E4914" i="2"/>
  <c r="C4914" i="2"/>
  <c r="B4914" i="2" s="1"/>
  <c r="A4914" i="2"/>
  <c r="E4913" i="2"/>
  <c r="C4913" i="2"/>
  <c r="B4913" i="2" s="1"/>
  <c r="A4913" i="2"/>
  <c r="E4912" i="2"/>
  <c r="C4912" i="2"/>
  <c r="B4912" i="2" s="1"/>
  <c r="A4912" i="2"/>
  <c r="E4911" i="2"/>
  <c r="C4911" i="2"/>
  <c r="A4911" i="2"/>
  <c r="E4910" i="2"/>
  <c r="C4910" i="2"/>
  <c r="B4910" i="2" s="1"/>
  <c r="A4910" i="2"/>
  <c r="E4909" i="2"/>
  <c r="C4909" i="2"/>
  <c r="A4909" i="2"/>
  <c r="E4908" i="2"/>
  <c r="C4908" i="2"/>
  <c r="B4908" i="2" s="1"/>
  <c r="A4908" i="2"/>
  <c r="E4907" i="2"/>
  <c r="C4907" i="2"/>
  <c r="A4907" i="2"/>
  <c r="E4906" i="2"/>
  <c r="C4906" i="2"/>
  <c r="A4906" i="2"/>
  <c r="E4905" i="2"/>
  <c r="C4905" i="2"/>
  <c r="A4905" i="2"/>
  <c r="E4904" i="2"/>
  <c r="C4904" i="2"/>
  <c r="B4904" i="2" s="1"/>
  <c r="A4904" i="2"/>
  <c r="E4903" i="2"/>
  <c r="C4903" i="2"/>
  <c r="A4903" i="2"/>
  <c r="E4902" i="2"/>
  <c r="C4902" i="2"/>
  <c r="A4902" i="2"/>
  <c r="E4901" i="2"/>
  <c r="C4901" i="2"/>
  <c r="B4901" i="2" s="1"/>
  <c r="A4901" i="2"/>
  <c r="E4900" i="2"/>
  <c r="C4900" i="2"/>
  <c r="B4900" i="2" s="1"/>
  <c r="A4900" i="2"/>
  <c r="E4899" i="2"/>
  <c r="C4899" i="2"/>
  <c r="B4899" i="2" s="1"/>
  <c r="A4899" i="2"/>
  <c r="E4898" i="2"/>
  <c r="C4898" i="2"/>
  <c r="A4898" i="2"/>
  <c r="E4897" i="2"/>
  <c r="C4897" i="2"/>
  <c r="B4897" i="2" s="1"/>
  <c r="A4897" i="2"/>
  <c r="E4896" i="2"/>
  <c r="C4896" i="2"/>
  <c r="B4896" i="2" s="1"/>
  <c r="A4896" i="2"/>
  <c r="E4895" i="2"/>
  <c r="C4895" i="2"/>
  <c r="B4895" i="2" s="1"/>
  <c r="A4895" i="2"/>
  <c r="E4894" i="2"/>
  <c r="C4894" i="2"/>
  <c r="A4894" i="2"/>
  <c r="E4893" i="2"/>
  <c r="C4893" i="2"/>
  <c r="B4893" i="2" s="1"/>
  <c r="A4893" i="2"/>
  <c r="E4892" i="2"/>
  <c r="C4892" i="2"/>
  <c r="B4892" i="2" s="1"/>
  <c r="A4892" i="2"/>
  <c r="E4891" i="2"/>
  <c r="C4891" i="2"/>
  <c r="B4891" i="2" s="1"/>
  <c r="A4891" i="2"/>
  <c r="E4890" i="2"/>
  <c r="C4890" i="2"/>
  <c r="A4890" i="2"/>
  <c r="E4889" i="2"/>
  <c r="C4889" i="2"/>
  <c r="B4889" i="2" s="1"/>
  <c r="A4889" i="2"/>
  <c r="E4888" i="2"/>
  <c r="C4888" i="2"/>
  <c r="B4888" i="2" s="1"/>
  <c r="A4888" i="2"/>
  <c r="E4887" i="2"/>
  <c r="C4887" i="2"/>
  <c r="B4887" i="2" s="1"/>
  <c r="A4887" i="2"/>
  <c r="E4886" i="2"/>
  <c r="C4886" i="2"/>
  <c r="A4886" i="2"/>
  <c r="E4885" i="2"/>
  <c r="C4885" i="2"/>
  <c r="B4885" i="2" s="1"/>
  <c r="A4885" i="2"/>
  <c r="E4884" i="2"/>
  <c r="C4884" i="2"/>
  <c r="B4884" i="2" s="1"/>
  <c r="A4884" i="2"/>
  <c r="E4883" i="2"/>
  <c r="C4883" i="2"/>
  <c r="B4883" i="2" s="1"/>
  <c r="A4883" i="2"/>
  <c r="E4882" i="2"/>
  <c r="C4882" i="2"/>
  <c r="A4882" i="2"/>
  <c r="E4881" i="2"/>
  <c r="C4881" i="2"/>
  <c r="B4881" i="2" s="1"/>
  <c r="A4881" i="2"/>
  <c r="E4880" i="2"/>
  <c r="C4880" i="2"/>
  <c r="B4880" i="2" s="1"/>
  <c r="A4880" i="2"/>
  <c r="E4879" i="2"/>
  <c r="C4879" i="2"/>
  <c r="B4879" i="2" s="1"/>
  <c r="A4879" i="2"/>
  <c r="E4878" i="2"/>
  <c r="C4878" i="2"/>
  <c r="A4878" i="2"/>
  <c r="E4877" i="2"/>
  <c r="C4877" i="2"/>
  <c r="B4877" i="2" s="1"/>
  <c r="A4877" i="2"/>
  <c r="E4876" i="2"/>
  <c r="C4876" i="2"/>
  <c r="B4876" i="2" s="1"/>
  <c r="A4876" i="2"/>
  <c r="E4875" i="2"/>
  <c r="C4875" i="2"/>
  <c r="B4875" i="2" s="1"/>
  <c r="A4875" i="2"/>
  <c r="E4874" i="2"/>
  <c r="C4874" i="2"/>
  <c r="A4874" i="2"/>
  <c r="E4873" i="2"/>
  <c r="C4873" i="2"/>
  <c r="B4873" i="2" s="1"/>
  <c r="A4873" i="2"/>
  <c r="E4872" i="2"/>
  <c r="C4872" i="2"/>
  <c r="B4872" i="2" s="1"/>
  <c r="A4872" i="2"/>
  <c r="E4871" i="2"/>
  <c r="C4871" i="2"/>
  <c r="B4871" i="2" s="1"/>
  <c r="A4871" i="2"/>
  <c r="E4870" i="2"/>
  <c r="C4870" i="2"/>
  <c r="A4870" i="2"/>
  <c r="E4869" i="2"/>
  <c r="C4869" i="2"/>
  <c r="B4869" i="2" s="1"/>
  <c r="A4869" i="2"/>
  <c r="E4868" i="2"/>
  <c r="C4868" i="2"/>
  <c r="B4868" i="2" s="1"/>
  <c r="A4868" i="2"/>
  <c r="E4867" i="2"/>
  <c r="C4867" i="2"/>
  <c r="B4867" i="2" s="1"/>
  <c r="A4867" i="2"/>
  <c r="E4866" i="2"/>
  <c r="C4866" i="2"/>
  <c r="A4866" i="2"/>
  <c r="E4865" i="2"/>
  <c r="C4865" i="2"/>
  <c r="B4865" i="2" s="1"/>
  <c r="A4865" i="2"/>
  <c r="E4864" i="2"/>
  <c r="C4864" i="2"/>
  <c r="B4864" i="2" s="1"/>
  <c r="A4864" i="2"/>
  <c r="E4863" i="2"/>
  <c r="C4863" i="2"/>
  <c r="B4863" i="2" s="1"/>
  <c r="A4863" i="2"/>
  <c r="E4862" i="2"/>
  <c r="C4862" i="2"/>
  <c r="A4862" i="2"/>
  <c r="E4861" i="2"/>
  <c r="C4861" i="2"/>
  <c r="B4861" i="2" s="1"/>
  <c r="A4861" i="2"/>
  <c r="E4860" i="2"/>
  <c r="C4860" i="2"/>
  <c r="B4860" i="2" s="1"/>
  <c r="A4860" i="2"/>
  <c r="E4859" i="2"/>
  <c r="C4859" i="2"/>
  <c r="B4859" i="2" s="1"/>
  <c r="A4859" i="2"/>
  <c r="E4858" i="2"/>
  <c r="C4858" i="2"/>
  <c r="B4858" i="2" s="1"/>
  <c r="A4858" i="2"/>
  <c r="E4857" i="2"/>
  <c r="C4857" i="2"/>
  <c r="B4857" i="2" s="1"/>
  <c r="A4857" i="2"/>
  <c r="E4856" i="2"/>
  <c r="C4856" i="2"/>
  <c r="B4856" i="2" s="1"/>
  <c r="A4856" i="2"/>
  <c r="E4855" i="2"/>
  <c r="C4855" i="2"/>
  <c r="B4855" i="2" s="1"/>
  <c r="A4855" i="2"/>
  <c r="E4854" i="2"/>
  <c r="C4854" i="2"/>
  <c r="B4854" i="2" s="1"/>
  <c r="A4854" i="2"/>
  <c r="E4853" i="2"/>
  <c r="C4853" i="2"/>
  <c r="B4853" i="2" s="1"/>
  <c r="A4853" i="2"/>
  <c r="E4852" i="2"/>
  <c r="C4852" i="2"/>
  <c r="B4852" i="2" s="1"/>
  <c r="A4852" i="2"/>
  <c r="E4851" i="2"/>
  <c r="C4851" i="2"/>
  <c r="B4851" i="2" s="1"/>
  <c r="A4851" i="2"/>
  <c r="E4850" i="2"/>
  <c r="C4850" i="2"/>
  <c r="B4850" i="2" s="1"/>
  <c r="A4850" i="2"/>
  <c r="E4849" i="2"/>
  <c r="C4849" i="2"/>
  <c r="B4849" i="2" s="1"/>
  <c r="A4849" i="2"/>
  <c r="E4848" i="2"/>
  <c r="C4848" i="2"/>
  <c r="B4848" i="2" s="1"/>
  <c r="A4848" i="2"/>
  <c r="E4847" i="2"/>
  <c r="C4847" i="2"/>
  <c r="B4847" i="2" s="1"/>
  <c r="A4847" i="2"/>
  <c r="E4846" i="2"/>
  <c r="C4846" i="2"/>
  <c r="B4846" i="2" s="1"/>
  <c r="A4846" i="2"/>
  <c r="E4845" i="2"/>
  <c r="C4845" i="2"/>
  <c r="B4845" i="2" s="1"/>
  <c r="A4845" i="2"/>
  <c r="E4844" i="2"/>
  <c r="C4844" i="2"/>
  <c r="B4844" i="2" s="1"/>
  <c r="A4844" i="2"/>
  <c r="E4843" i="2"/>
  <c r="C4843" i="2"/>
  <c r="B4843" i="2" s="1"/>
  <c r="A4843" i="2"/>
  <c r="E4842" i="2"/>
  <c r="C4842" i="2"/>
  <c r="B4842" i="2" s="1"/>
  <c r="A4842" i="2"/>
  <c r="E4841" i="2"/>
  <c r="C4841" i="2"/>
  <c r="B4841" i="2" s="1"/>
  <c r="A4841" i="2"/>
  <c r="E4840" i="2"/>
  <c r="C4840" i="2"/>
  <c r="B4840" i="2" s="1"/>
  <c r="A4840" i="2"/>
  <c r="E4839" i="2"/>
  <c r="C4839" i="2"/>
  <c r="B4839" i="2" s="1"/>
  <c r="A4839" i="2"/>
  <c r="E4838" i="2"/>
  <c r="C4838" i="2"/>
  <c r="B4838" i="2" s="1"/>
  <c r="A4838" i="2"/>
  <c r="E4837" i="2"/>
  <c r="C4837" i="2"/>
  <c r="B4837" i="2" s="1"/>
  <c r="A4837" i="2"/>
  <c r="E4836" i="2"/>
  <c r="C4836" i="2"/>
  <c r="B4836" i="2" s="1"/>
  <c r="A4836" i="2"/>
  <c r="E4835" i="2"/>
  <c r="C4835" i="2"/>
  <c r="B4835" i="2" s="1"/>
  <c r="A4835" i="2"/>
  <c r="E4834" i="2"/>
  <c r="C4834" i="2"/>
  <c r="B4834" i="2" s="1"/>
  <c r="A4834" i="2"/>
  <c r="E4833" i="2"/>
  <c r="C4833" i="2"/>
  <c r="B4833" i="2" s="1"/>
  <c r="A4833" i="2"/>
  <c r="E4832" i="2"/>
  <c r="C4832" i="2"/>
  <c r="B4832" i="2" s="1"/>
  <c r="A4832" i="2"/>
  <c r="E4831" i="2"/>
  <c r="C4831" i="2"/>
  <c r="B4831" i="2" s="1"/>
  <c r="A4831" i="2"/>
  <c r="E4830" i="2"/>
  <c r="C4830" i="2"/>
  <c r="B4830" i="2" s="1"/>
  <c r="A4830" i="2"/>
  <c r="E4829" i="2"/>
  <c r="C4829" i="2"/>
  <c r="B4829" i="2" s="1"/>
  <c r="A4829" i="2"/>
  <c r="E4828" i="2"/>
  <c r="C4828" i="2"/>
  <c r="B4828" i="2" s="1"/>
  <c r="A4828" i="2"/>
  <c r="E4827" i="2"/>
  <c r="C4827" i="2"/>
  <c r="B4827" i="2" s="1"/>
  <c r="A4827" i="2"/>
  <c r="E4826" i="2"/>
  <c r="C4826" i="2"/>
  <c r="B4826" i="2" s="1"/>
  <c r="A4826" i="2"/>
  <c r="E4825" i="2"/>
  <c r="C4825" i="2"/>
  <c r="B4825" i="2" s="1"/>
  <c r="A4825" i="2"/>
  <c r="E4824" i="2"/>
  <c r="C4824" i="2"/>
  <c r="B4824" i="2" s="1"/>
  <c r="A4824" i="2"/>
  <c r="E4823" i="2"/>
  <c r="C4823" i="2"/>
  <c r="B4823" i="2" s="1"/>
  <c r="A4823" i="2"/>
  <c r="E4822" i="2"/>
  <c r="C4822" i="2"/>
  <c r="B4822" i="2" s="1"/>
  <c r="A4822" i="2"/>
  <c r="E4821" i="2"/>
  <c r="C4821" i="2"/>
  <c r="B4821" i="2" s="1"/>
  <c r="A4821" i="2"/>
  <c r="E4820" i="2"/>
  <c r="C4820" i="2"/>
  <c r="B4820" i="2" s="1"/>
  <c r="A4820" i="2"/>
  <c r="E4819" i="2"/>
  <c r="C4819" i="2"/>
  <c r="B4819" i="2" s="1"/>
  <c r="A4819" i="2"/>
  <c r="E4818" i="2"/>
  <c r="C4818" i="2"/>
  <c r="B4818" i="2" s="1"/>
  <c r="A4818" i="2"/>
  <c r="E4817" i="2"/>
  <c r="C4817" i="2"/>
  <c r="B4817" i="2" s="1"/>
  <c r="A4817" i="2"/>
  <c r="E4816" i="2"/>
  <c r="C4816" i="2"/>
  <c r="B4816" i="2" s="1"/>
  <c r="A4816" i="2"/>
  <c r="E4815" i="2"/>
  <c r="C4815" i="2"/>
  <c r="B4815" i="2" s="1"/>
  <c r="A4815" i="2"/>
  <c r="E4814" i="2"/>
  <c r="C4814" i="2"/>
  <c r="B4814" i="2" s="1"/>
  <c r="A4814" i="2"/>
  <c r="E4813" i="2"/>
  <c r="C4813" i="2"/>
  <c r="B4813" i="2" s="1"/>
  <c r="A4813" i="2"/>
  <c r="E4812" i="2"/>
  <c r="C4812" i="2"/>
  <c r="B4812" i="2" s="1"/>
  <c r="A4812" i="2"/>
  <c r="E4811" i="2"/>
  <c r="C4811" i="2"/>
  <c r="B4811" i="2" s="1"/>
  <c r="A4811" i="2"/>
  <c r="E4810" i="2"/>
  <c r="C4810" i="2"/>
  <c r="B4810" i="2" s="1"/>
  <c r="A4810" i="2"/>
  <c r="E4809" i="2"/>
  <c r="C4809" i="2"/>
  <c r="B4809" i="2" s="1"/>
  <c r="A4809" i="2"/>
  <c r="E4808" i="2"/>
  <c r="C4808" i="2"/>
  <c r="B4808" i="2" s="1"/>
  <c r="A4808" i="2"/>
  <c r="E4807" i="2"/>
  <c r="C4807" i="2"/>
  <c r="B4807" i="2" s="1"/>
  <c r="A4807" i="2"/>
  <c r="E4806" i="2"/>
  <c r="C4806" i="2"/>
  <c r="B4806" i="2" s="1"/>
  <c r="A4806" i="2"/>
  <c r="E4805" i="2"/>
  <c r="C4805" i="2"/>
  <c r="B4805" i="2" s="1"/>
  <c r="A4805" i="2"/>
  <c r="E4804" i="2"/>
  <c r="C4804" i="2"/>
  <c r="B4804" i="2" s="1"/>
  <c r="A4804" i="2"/>
  <c r="E4803" i="2"/>
  <c r="C4803" i="2"/>
  <c r="B4803" i="2" s="1"/>
  <c r="A4803" i="2"/>
  <c r="E4802" i="2"/>
  <c r="C4802" i="2"/>
  <c r="B4802" i="2" s="1"/>
  <c r="A4802" i="2"/>
  <c r="E4801" i="2"/>
  <c r="C4801" i="2"/>
  <c r="B4801" i="2" s="1"/>
  <c r="A4801" i="2"/>
  <c r="E4800" i="2"/>
  <c r="C4800" i="2"/>
  <c r="B4800" i="2" s="1"/>
  <c r="A4800" i="2"/>
  <c r="E4799" i="2"/>
  <c r="C4799" i="2"/>
  <c r="B4799" i="2" s="1"/>
  <c r="A4799" i="2"/>
  <c r="E4798" i="2"/>
  <c r="C4798" i="2"/>
  <c r="B4798" i="2" s="1"/>
  <c r="A4798" i="2"/>
  <c r="E4797" i="2"/>
  <c r="C4797" i="2"/>
  <c r="B4797" i="2" s="1"/>
  <c r="A4797" i="2"/>
  <c r="E4796" i="2"/>
  <c r="C4796" i="2"/>
  <c r="B4796" i="2" s="1"/>
  <c r="A4796" i="2"/>
  <c r="E4795" i="2"/>
  <c r="C4795" i="2"/>
  <c r="B4795" i="2" s="1"/>
  <c r="A4795" i="2"/>
  <c r="E4794" i="2"/>
  <c r="C4794" i="2"/>
  <c r="B4794" i="2" s="1"/>
  <c r="A4794" i="2"/>
  <c r="E4793" i="2"/>
  <c r="C4793" i="2"/>
  <c r="B4793" i="2" s="1"/>
  <c r="A4793" i="2"/>
  <c r="E4792" i="2"/>
  <c r="C4792" i="2"/>
  <c r="B4792" i="2" s="1"/>
  <c r="A4792" i="2"/>
  <c r="E4791" i="2"/>
  <c r="C4791" i="2"/>
  <c r="B4791" i="2" s="1"/>
  <c r="A4791" i="2"/>
  <c r="E4790" i="2"/>
  <c r="C4790" i="2"/>
  <c r="A4790" i="2"/>
  <c r="E4789" i="2"/>
  <c r="C4789" i="2"/>
  <c r="B4789" i="2" s="1"/>
  <c r="A4789" i="2"/>
  <c r="E4788" i="2"/>
  <c r="C4788" i="2"/>
  <c r="A4788" i="2"/>
  <c r="E4787" i="2"/>
  <c r="C4787" i="2"/>
  <c r="B4787" i="2" s="1"/>
  <c r="A4787" i="2"/>
  <c r="E4786" i="2"/>
  <c r="C4786" i="2"/>
  <c r="A4786" i="2"/>
  <c r="E4785" i="2"/>
  <c r="C4785" i="2"/>
  <c r="B4785" i="2" s="1"/>
  <c r="A4785" i="2"/>
  <c r="E4784" i="2"/>
  <c r="C4784" i="2"/>
  <c r="A4784" i="2"/>
  <c r="E4783" i="2"/>
  <c r="C4783" i="2"/>
  <c r="B4783" i="2" s="1"/>
  <c r="A4783" i="2"/>
  <c r="E4782" i="2"/>
  <c r="C4782" i="2"/>
  <c r="A4782" i="2"/>
  <c r="E4781" i="2"/>
  <c r="C4781" i="2"/>
  <c r="B4781" i="2" s="1"/>
  <c r="A4781" i="2"/>
  <c r="E4780" i="2"/>
  <c r="C4780" i="2"/>
  <c r="A4780" i="2"/>
  <c r="E4779" i="2"/>
  <c r="C4779" i="2"/>
  <c r="B4779" i="2" s="1"/>
  <c r="A4779" i="2"/>
  <c r="E4778" i="2"/>
  <c r="C4778" i="2"/>
  <c r="A4778" i="2"/>
  <c r="E4777" i="2"/>
  <c r="C4777" i="2"/>
  <c r="B4777" i="2" s="1"/>
  <c r="A4777" i="2"/>
  <c r="E4776" i="2"/>
  <c r="C4776" i="2"/>
  <c r="A4776" i="2"/>
  <c r="E4775" i="2"/>
  <c r="C4775" i="2"/>
  <c r="B4775" i="2" s="1"/>
  <c r="A4775" i="2"/>
  <c r="E4774" i="2"/>
  <c r="C4774" i="2"/>
  <c r="A4774" i="2"/>
  <c r="E4773" i="2"/>
  <c r="C4773" i="2"/>
  <c r="B4773" i="2" s="1"/>
  <c r="A4773" i="2"/>
  <c r="E4772" i="2"/>
  <c r="C4772" i="2"/>
  <c r="A4772" i="2"/>
  <c r="E4771" i="2"/>
  <c r="C4771" i="2"/>
  <c r="B4771" i="2" s="1"/>
  <c r="A4771" i="2"/>
  <c r="E4770" i="2"/>
  <c r="C4770" i="2"/>
  <c r="A4770" i="2"/>
  <c r="E4769" i="2"/>
  <c r="C4769" i="2"/>
  <c r="B4769" i="2" s="1"/>
  <c r="A4769" i="2"/>
  <c r="E4768" i="2"/>
  <c r="C4768" i="2"/>
  <c r="A4768" i="2"/>
  <c r="E4767" i="2"/>
  <c r="C4767" i="2"/>
  <c r="B4767" i="2" s="1"/>
  <c r="A4767" i="2"/>
  <c r="E4766" i="2"/>
  <c r="C4766" i="2"/>
  <c r="A4766" i="2"/>
  <c r="E4765" i="2"/>
  <c r="C4765" i="2"/>
  <c r="B4765" i="2" s="1"/>
  <c r="A4765" i="2"/>
  <c r="E4764" i="2"/>
  <c r="C4764" i="2"/>
  <c r="A4764" i="2"/>
  <c r="E4763" i="2"/>
  <c r="C4763" i="2"/>
  <c r="B4763" i="2" s="1"/>
  <c r="A4763" i="2"/>
  <c r="E4762" i="2"/>
  <c r="C4762" i="2"/>
  <c r="A4762" i="2"/>
  <c r="E4761" i="2"/>
  <c r="C4761" i="2"/>
  <c r="B4761" i="2" s="1"/>
  <c r="A4761" i="2"/>
  <c r="E4760" i="2"/>
  <c r="C4760" i="2"/>
  <c r="B4760" i="2" s="1"/>
  <c r="A4760" i="2"/>
  <c r="E4759" i="2"/>
  <c r="C4759" i="2"/>
  <c r="B4759" i="2" s="1"/>
  <c r="A4759" i="2"/>
  <c r="E4758" i="2"/>
  <c r="C4758" i="2"/>
  <c r="B4758" i="2" s="1"/>
  <c r="A4758" i="2"/>
  <c r="E4757" i="2"/>
  <c r="C4757" i="2"/>
  <c r="B4757" i="2" s="1"/>
  <c r="A4757" i="2"/>
  <c r="E4756" i="2"/>
  <c r="C4756" i="2"/>
  <c r="B4756" i="2" s="1"/>
  <c r="A4756" i="2"/>
  <c r="E4755" i="2"/>
  <c r="C4755" i="2"/>
  <c r="B4755" i="2" s="1"/>
  <c r="A4755" i="2"/>
  <c r="E4754" i="2"/>
  <c r="C4754" i="2"/>
  <c r="B4754" i="2" s="1"/>
  <c r="A4754" i="2"/>
  <c r="E4753" i="2"/>
  <c r="C4753" i="2"/>
  <c r="B4753" i="2" s="1"/>
  <c r="A4753" i="2"/>
  <c r="E4752" i="2"/>
  <c r="C4752" i="2"/>
  <c r="B4752" i="2" s="1"/>
  <c r="A4752" i="2"/>
  <c r="E4751" i="2"/>
  <c r="C4751" i="2"/>
  <c r="B4751" i="2" s="1"/>
  <c r="A4751" i="2"/>
  <c r="E4750" i="2"/>
  <c r="C4750" i="2"/>
  <c r="B4750" i="2" s="1"/>
  <c r="A4750" i="2"/>
  <c r="E4749" i="2"/>
  <c r="C4749" i="2"/>
  <c r="B4749" i="2" s="1"/>
  <c r="A4749" i="2"/>
  <c r="E4748" i="2"/>
  <c r="C4748" i="2"/>
  <c r="B4748" i="2" s="1"/>
  <c r="A4748" i="2"/>
  <c r="E4747" i="2"/>
  <c r="C4747" i="2"/>
  <c r="B4747" i="2" s="1"/>
  <c r="A4747" i="2"/>
  <c r="E4746" i="2"/>
  <c r="C4746" i="2"/>
  <c r="B4746" i="2" s="1"/>
  <c r="A4746" i="2"/>
  <c r="E4745" i="2"/>
  <c r="C4745" i="2"/>
  <c r="B4745" i="2" s="1"/>
  <c r="A4745" i="2"/>
  <c r="E4744" i="2"/>
  <c r="C4744" i="2"/>
  <c r="B4744" i="2" s="1"/>
  <c r="A4744" i="2"/>
  <c r="E4743" i="2"/>
  <c r="C4743" i="2"/>
  <c r="B4743" i="2" s="1"/>
  <c r="A4743" i="2"/>
  <c r="E4742" i="2"/>
  <c r="C4742" i="2"/>
  <c r="B4742" i="2" s="1"/>
  <c r="A4742" i="2"/>
  <c r="E4741" i="2"/>
  <c r="C4741" i="2"/>
  <c r="B4741" i="2" s="1"/>
  <c r="A4741" i="2"/>
  <c r="E4740" i="2"/>
  <c r="C4740" i="2"/>
  <c r="B4740" i="2" s="1"/>
  <c r="A4740" i="2"/>
  <c r="E4739" i="2"/>
  <c r="C4739" i="2"/>
  <c r="B4739" i="2" s="1"/>
  <c r="A4739" i="2"/>
  <c r="E4738" i="2"/>
  <c r="C4738" i="2"/>
  <c r="B4738" i="2" s="1"/>
  <c r="A4738" i="2"/>
  <c r="E4737" i="2"/>
  <c r="C4737" i="2"/>
  <c r="B4737" i="2" s="1"/>
  <c r="A4737" i="2"/>
  <c r="E4736" i="2"/>
  <c r="C4736" i="2"/>
  <c r="B4736" i="2" s="1"/>
  <c r="A4736" i="2"/>
  <c r="E4735" i="2"/>
  <c r="C4735" i="2"/>
  <c r="B4735" i="2" s="1"/>
  <c r="A4735" i="2"/>
  <c r="E4734" i="2"/>
  <c r="C4734" i="2"/>
  <c r="B4734" i="2" s="1"/>
  <c r="A4734" i="2"/>
  <c r="E4733" i="2"/>
  <c r="C4733" i="2"/>
  <c r="B4733" i="2" s="1"/>
  <c r="A4733" i="2"/>
  <c r="E4732" i="2"/>
  <c r="C4732" i="2"/>
  <c r="B4732" i="2" s="1"/>
  <c r="A4732" i="2"/>
  <c r="E4731" i="2"/>
  <c r="C4731" i="2"/>
  <c r="B4731" i="2" s="1"/>
  <c r="A4731" i="2"/>
  <c r="E4730" i="2"/>
  <c r="C4730" i="2"/>
  <c r="B4730" i="2" s="1"/>
  <c r="A4730" i="2"/>
  <c r="E4729" i="2"/>
  <c r="C4729" i="2"/>
  <c r="B4729" i="2" s="1"/>
  <c r="A4729" i="2"/>
  <c r="E4728" i="2"/>
  <c r="C4728" i="2"/>
  <c r="B4728" i="2" s="1"/>
  <c r="A4728" i="2"/>
  <c r="E4727" i="2"/>
  <c r="C4727" i="2"/>
  <c r="B4727" i="2" s="1"/>
  <c r="A4727" i="2"/>
  <c r="E4726" i="2"/>
  <c r="C4726" i="2"/>
  <c r="B4726" i="2" s="1"/>
  <c r="A4726" i="2"/>
  <c r="E4725" i="2"/>
  <c r="C4725" i="2"/>
  <c r="B4725" i="2" s="1"/>
  <c r="A4725" i="2"/>
  <c r="E4724" i="2"/>
  <c r="C4724" i="2"/>
  <c r="B4724" i="2" s="1"/>
  <c r="A4724" i="2"/>
  <c r="E4723" i="2"/>
  <c r="C4723" i="2"/>
  <c r="B4723" i="2" s="1"/>
  <c r="A4723" i="2"/>
  <c r="E4722" i="2"/>
  <c r="C4722" i="2"/>
  <c r="B4722" i="2" s="1"/>
  <c r="A4722" i="2"/>
  <c r="E4721" i="2"/>
  <c r="C4721" i="2"/>
  <c r="B4721" i="2" s="1"/>
  <c r="A4721" i="2"/>
  <c r="E4720" i="2"/>
  <c r="C4720" i="2"/>
  <c r="B4720" i="2" s="1"/>
  <c r="A4720" i="2"/>
  <c r="E4719" i="2"/>
  <c r="C4719" i="2"/>
  <c r="B4719" i="2" s="1"/>
  <c r="A4719" i="2"/>
  <c r="E4718" i="2"/>
  <c r="C4718" i="2"/>
  <c r="B4718" i="2" s="1"/>
  <c r="A4718" i="2"/>
  <c r="E4717" i="2"/>
  <c r="C4717" i="2"/>
  <c r="B4717" i="2" s="1"/>
  <c r="A4717" i="2"/>
  <c r="E4716" i="2"/>
  <c r="C4716" i="2"/>
  <c r="B4716" i="2" s="1"/>
  <c r="A4716" i="2"/>
  <c r="E4715" i="2"/>
  <c r="C4715" i="2"/>
  <c r="B4715" i="2" s="1"/>
  <c r="A4715" i="2"/>
  <c r="E4714" i="2"/>
  <c r="C4714" i="2"/>
  <c r="B4714" i="2" s="1"/>
  <c r="A4714" i="2"/>
  <c r="E4713" i="2"/>
  <c r="C4713" i="2"/>
  <c r="B4713" i="2" s="1"/>
  <c r="A4713" i="2"/>
  <c r="E4712" i="2"/>
  <c r="C4712" i="2"/>
  <c r="B4712" i="2" s="1"/>
  <c r="A4712" i="2"/>
  <c r="E4711" i="2"/>
  <c r="C4711" i="2"/>
  <c r="B4711" i="2" s="1"/>
  <c r="A4711" i="2"/>
  <c r="E4710" i="2"/>
  <c r="C4710" i="2"/>
  <c r="B4710" i="2" s="1"/>
  <c r="A4710" i="2"/>
  <c r="E4709" i="2"/>
  <c r="C4709" i="2"/>
  <c r="B4709" i="2" s="1"/>
  <c r="A4709" i="2"/>
  <c r="E4708" i="2"/>
  <c r="C4708" i="2"/>
  <c r="B4708" i="2" s="1"/>
  <c r="A4708" i="2"/>
  <c r="E4707" i="2"/>
  <c r="C4707" i="2"/>
  <c r="B4707" i="2" s="1"/>
  <c r="A4707" i="2"/>
  <c r="E4706" i="2"/>
  <c r="C4706" i="2"/>
  <c r="B4706" i="2" s="1"/>
  <c r="A4706" i="2"/>
  <c r="E4705" i="2"/>
  <c r="C4705" i="2"/>
  <c r="B4705" i="2" s="1"/>
  <c r="A4705" i="2"/>
  <c r="E4704" i="2"/>
  <c r="C4704" i="2"/>
  <c r="B4704" i="2" s="1"/>
  <c r="A4704" i="2"/>
  <c r="E4703" i="2"/>
  <c r="C4703" i="2"/>
  <c r="B4703" i="2" s="1"/>
  <c r="A4703" i="2"/>
  <c r="E4702" i="2"/>
  <c r="C4702" i="2"/>
  <c r="B4702" i="2" s="1"/>
  <c r="A4702" i="2"/>
  <c r="E4701" i="2"/>
  <c r="C4701" i="2"/>
  <c r="B4701" i="2" s="1"/>
  <c r="A4701" i="2"/>
  <c r="E4700" i="2"/>
  <c r="C4700" i="2"/>
  <c r="B4700" i="2" s="1"/>
  <c r="A4700" i="2"/>
  <c r="E4699" i="2"/>
  <c r="C4699" i="2"/>
  <c r="B4699" i="2" s="1"/>
  <c r="A4699" i="2"/>
  <c r="E4698" i="2"/>
  <c r="C4698" i="2"/>
  <c r="B4698" i="2" s="1"/>
  <c r="A4698" i="2"/>
  <c r="E4697" i="2"/>
  <c r="C4697" i="2"/>
  <c r="B4697" i="2" s="1"/>
  <c r="A4697" i="2"/>
  <c r="E4696" i="2"/>
  <c r="C4696" i="2"/>
  <c r="B4696" i="2" s="1"/>
  <c r="A4696" i="2"/>
  <c r="E4695" i="2"/>
  <c r="C4695" i="2"/>
  <c r="B4695" i="2" s="1"/>
  <c r="A4695" i="2"/>
  <c r="E4694" i="2"/>
  <c r="C4694" i="2"/>
  <c r="B4694" i="2" s="1"/>
  <c r="A4694" i="2"/>
  <c r="E4693" i="2"/>
  <c r="C4693" i="2"/>
  <c r="B4693" i="2" s="1"/>
  <c r="A4693" i="2"/>
  <c r="E4692" i="2"/>
  <c r="C4692" i="2"/>
  <c r="B4692" i="2" s="1"/>
  <c r="A4692" i="2"/>
  <c r="E4691" i="2"/>
  <c r="C4691" i="2"/>
  <c r="B4691" i="2" s="1"/>
  <c r="A4691" i="2"/>
  <c r="E4690" i="2"/>
  <c r="C4690" i="2"/>
  <c r="B4690" i="2" s="1"/>
  <c r="A4690" i="2"/>
  <c r="E4689" i="2"/>
  <c r="C4689" i="2"/>
  <c r="B4689" i="2" s="1"/>
  <c r="A4689" i="2"/>
  <c r="E4688" i="2"/>
  <c r="C4688" i="2"/>
  <c r="B4688" i="2" s="1"/>
  <c r="A4688" i="2"/>
  <c r="E4687" i="2"/>
  <c r="C4687" i="2"/>
  <c r="B4687" i="2" s="1"/>
  <c r="A4687" i="2"/>
  <c r="E4686" i="2"/>
  <c r="C4686" i="2"/>
  <c r="B4686" i="2" s="1"/>
  <c r="A4686" i="2"/>
  <c r="E4685" i="2"/>
  <c r="C4685" i="2"/>
  <c r="B4685" i="2" s="1"/>
  <c r="A4685" i="2"/>
  <c r="E4684" i="2"/>
  <c r="C4684" i="2"/>
  <c r="B4684" i="2" s="1"/>
  <c r="A4684" i="2"/>
  <c r="E4683" i="2"/>
  <c r="C4683" i="2"/>
  <c r="B4683" i="2" s="1"/>
  <c r="A4683" i="2"/>
  <c r="E4682" i="2"/>
  <c r="C4682" i="2"/>
  <c r="B4682" i="2" s="1"/>
  <c r="A4682" i="2"/>
  <c r="E4681" i="2"/>
  <c r="C4681" i="2"/>
  <c r="B4681" i="2" s="1"/>
  <c r="A4681" i="2"/>
  <c r="E4680" i="2"/>
  <c r="C4680" i="2"/>
  <c r="B4680" i="2" s="1"/>
  <c r="A4680" i="2"/>
  <c r="E4679" i="2"/>
  <c r="C4679" i="2"/>
  <c r="B4679" i="2" s="1"/>
  <c r="A4679" i="2"/>
  <c r="E4678" i="2"/>
  <c r="C4678" i="2"/>
  <c r="B4678" i="2" s="1"/>
  <c r="A4678" i="2"/>
  <c r="E4677" i="2"/>
  <c r="C4677" i="2"/>
  <c r="B4677" i="2" s="1"/>
  <c r="A4677" i="2"/>
  <c r="E4676" i="2"/>
  <c r="C4676" i="2"/>
  <c r="B4676" i="2" s="1"/>
  <c r="A4676" i="2"/>
  <c r="E4675" i="2"/>
  <c r="C4675" i="2"/>
  <c r="B4675" i="2" s="1"/>
  <c r="A4675" i="2"/>
  <c r="E4674" i="2"/>
  <c r="C4674" i="2"/>
  <c r="B4674" i="2" s="1"/>
  <c r="A4674" i="2"/>
  <c r="E4673" i="2"/>
  <c r="C4673" i="2"/>
  <c r="B4673" i="2" s="1"/>
  <c r="A4673" i="2"/>
  <c r="E4672" i="2"/>
  <c r="C4672" i="2"/>
  <c r="B4672" i="2" s="1"/>
  <c r="A4672" i="2"/>
  <c r="E4671" i="2"/>
  <c r="C4671" i="2"/>
  <c r="B4671" i="2" s="1"/>
  <c r="A4671" i="2"/>
  <c r="E4670" i="2"/>
  <c r="C4670" i="2"/>
  <c r="A4670" i="2"/>
  <c r="E4669" i="2"/>
  <c r="C4669" i="2"/>
  <c r="B4669" i="2" s="1"/>
  <c r="A4669" i="2"/>
  <c r="E4668" i="2"/>
  <c r="C4668" i="2"/>
  <c r="A4668" i="2"/>
  <c r="E4667" i="2"/>
  <c r="C4667" i="2"/>
  <c r="B4667" i="2" s="1"/>
  <c r="A4667" i="2"/>
  <c r="E4666" i="2"/>
  <c r="C4666" i="2"/>
  <c r="A4666" i="2"/>
  <c r="E4665" i="2"/>
  <c r="C4665" i="2"/>
  <c r="B4665" i="2" s="1"/>
  <c r="A4665" i="2"/>
  <c r="E4664" i="2"/>
  <c r="C4664" i="2"/>
  <c r="A4664" i="2"/>
  <c r="E4663" i="2"/>
  <c r="C4663" i="2"/>
  <c r="B4663" i="2" s="1"/>
  <c r="A4663" i="2"/>
  <c r="E4662" i="2"/>
  <c r="C4662" i="2"/>
  <c r="A4662" i="2"/>
  <c r="E4661" i="2"/>
  <c r="C4661" i="2"/>
  <c r="B4661" i="2" s="1"/>
  <c r="A4661" i="2"/>
  <c r="E4660" i="2"/>
  <c r="C4660" i="2"/>
  <c r="A4660" i="2"/>
  <c r="E4659" i="2"/>
  <c r="C4659" i="2"/>
  <c r="B4659" i="2" s="1"/>
  <c r="A4659" i="2"/>
  <c r="E4658" i="2"/>
  <c r="C4658" i="2"/>
  <c r="A4658" i="2"/>
  <c r="E4657" i="2"/>
  <c r="C4657" i="2"/>
  <c r="B4657" i="2" s="1"/>
  <c r="A4657" i="2"/>
  <c r="E4656" i="2"/>
  <c r="C4656" i="2"/>
  <c r="A4656" i="2"/>
  <c r="E4655" i="2"/>
  <c r="C4655" i="2"/>
  <c r="B4655" i="2" s="1"/>
  <c r="A4655" i="2"/>
  <c r="E4654" i="2"/>
  <c r="C4654" i="2"/>
  <c r="A4654" i="2"/>
  <c r="E4653" i="2"/>
  <c r="C4653" i="2"/>
  <c r="B4653" i="2" s="1"/>
  <c r="A4653" i="2"/>
  <c r="E4652" i="2"/>
  <c r="C4652" i="2"/>
  <c r="A4652" i="2"/>
  <c r="E4651" i="2"/>
  <c r="C4651" i="2"/>
  <c r="B4651" i="2" s="1"/>
  <c r="A4651" i="2"/>
  <c r="E4650" i="2"/>
  <c r="C4650" i="2"/>
  <c r="A4650" i="2"/>
  <c r="E4649" i="2"/>
  <c r="C4649" i="2"/>
  <c r="B4649" i="2" s="1"/>
  <c r="A4649" i="2"/>
  <c r="E4648" i="2"/>
  <c r="C4648" i="2"/>
  <c r="A4648" i="2"/>
  <c r="E4647" i="2"/>
  <c r="C4647" i="2"/>
  <c r="B4647" i="2" s="1"/>
  <c r="A4647" i="2"/>
  <c r="E4646" i="2"/>
  <c r="C4646" i="2"/>
  <c r="A4646" i="2"/>
  <c r="E4645" i="2"/>
  <c r="C4645" i="2"/>
  <c r="B4645" i="2" s="1"/>
  <c r="A4645" i="2"/>
  <c r="E4644" i="2"/>
  <c r="C4644" i="2"/>
  <c r="A4644" i="2"/>
  <c r="E4643" i="2"/>
  <c r="C4643" i="2"/>
  <c r="B4643" i="2" s="1"/>
  <c r="A4643" i="2"/>
  <c r="E4642" i="2"/>
  <c r="C4642" i="2"/>
  <c r="A4642" i="2"/>
  <c r="E4641" i="2"/>
  <c r="C4641" i="2"/>
  <c r="B4641" i="2" s="1"/>
  <c r="A4641" i="2"/>
  <c r="E4640" i="2"/>
  <c r="C4640" i="2"/>
  <c r="A4640" i="2"/>
  <c r="E4639" i="2"/>
  <c r="C4639" i="2"/>
  <c r="B4639" i="2" s="1"/>
  <c r="A4639" i="2"/>
  <c r="E4638" i="2"/>
  <c r="C4638" i="2"/>
  <c r="A4638" i="2"/>
  <c r="E4637" i="2"/>
  <c r="C4637" i="2"/>
  <c r="B4637" i="2" s="1"/>
  <c r="A4637" i="2"/>
  <c r="E4636" i="2"/>
  <c r="C4636" i="2"/>
  <c r="A4636" i="2"/>
  <c r="E4635" i="2"/>
  <c r="C4635" i="2"/>
  <c r="B4635" i="2" s="1"/>
  <c r="A4635" i="2"/>
  <c r="E4634" i="2"/>
  <c r="C4634" i="2"/>
  <c r="A4634" i="2"/>
  <c r="E4633" i="2"/>
  <c r="C4633" i="2"/>
  <c r="B4633" i="2" s="1"/>
  <c r="A4633" i="2"/>
  <c r="E4632" i="2"/>
  <c r="C4632" i="2"/>
  <c r="A4632" i="2"/>
  <c r="E4631" i="2"/>
  <c r="C4631" i="2"/>
  <c r="B4631" i="2" s="1"/>
  <c r="A4631" i="2"/>
  <c r="E4630" i="2"/>
  <c r="C4630" i="2"/>
  <c r="A4630" i="2"/>
  <c r="E4629" i="2"/>
  <c r="C4629" i="2"/>
  <c r="B4629" i="2" s="1"/>
  <c r="A4629" i="2"/>
  <c r="E4628" i="2"/>
  <c r="C4628" i="2"/>
  <c r="A4628" i="2"/>
  <c r="E4627" i="2"/>
  <c r="C4627" i="2"/>
  <c r="B4627" i="2" s="1"/>
  <c r="A4627" i="2"/>
  <c r="E4626" i="2"/>
  <c r="C4626" i="2"/>
  <c r="A4626" i="2"/>
  <c r="E4625" i="2"/>
  <c r="C4625" i="2"/>
  <c r="A4625" i="2"/>
  <c r="E4624" i="2"/>
  <c r="C4624" i="2"/>
  <c r="A4624" i="2"/>
  <c r="E4623" i="2"/>
  <c r="C4623" i="2"/>
  <c r="B4623" i="2" s="1"/>
  <c r="A4623" i="2"/>
  <c r="E4622" i="2"/>
  <c r="C4622" i="2"/>
  <c r="A4622" i="2"/>
  <c r="E4621" i="2"/>
  <c r="C4621" i="2"/>
  <c r="B4621" i="2" s="1"/>
  <c r="A4621" i="2"/>
  <c r="E4620" i="2"/>
  <c r="C4620" i="2"/>
  <c r="A4620" i="2"/>
  <c r="E4619" i="2"/>
  <c r="C4619" i="2"/>
  <c r="B4619" i="2" s="1"/>
  <c r="A4619" i="2"/>
  <c r="E4618" i="2"/>
  <c r="C4618" i="2"/>
  <c r="A4618" i="2"/>
  <c r="E4617" i="2"/>
  <c r="C4617" i="2"/>
  <c r="A4617" i="2"/>
  <c r="E4616" i="2"/>
  <c r="C4616" i="2"/>
  <c r="A4616" i="2"/>
  <c r="E4615" i="2"/>
  <c r="C4615" i="2"/>
  <c r="B4615" i="2" s="1"/>
  <c r="A4615" i="2"/>
  <c r="E4614" i="2"/>
  <c r="C4614" i="2"/>
  <c r="A4614" i="2"/>
  <c r="E4613" i="2"/>
  <c r="C4613" i="2"/>
  <c r="B4613" i="2" s="1"/>
  <c r="A4613" i="2"/>
  <c r="E4612" i="2"/>
  <c r="C4612" i="2"/>
  <c r="A4612" i="2"/>
  <c r="E4611" i="2"/>
  <c r="C4611" i="2"/>
  <c r="B4611" i="2" s="1"/>
  <c r="A4611" i="2"/>
  <c r="E4610" i="2"/>
  <c r="C4610" i="2"/>
  <c r="A4610" i="2"/>
  <c r="E4609" i="2"/>
  <c r="C4609" i="2"/>
  <c r="A4609" i="2"/>
  <c r="E4608" i="2"/>
  <c r="C4608" i="2"/>
  <c r="A4608" i="2"/>
  <c r="E4607" i="2"/>
  <c r="C4607" i="2"/>
  <c r="B4607" i="2" s="1"/>
  <c r="A4607" i="2"/>
  <c r="E4606" i="2"/>
  <c r="C4606" i="2"/>
  <c r="A4606" i="2"/>
  <c r="E4605" i="2"/>
  <c r="C4605" i="2"/>
  <c r="B4605" i="2" s="1"/>
  <c r="A4605" i="2"/>
  <c r="E4604" i="2"/>
  <c r="C4604" i="2"/>
  <c r="B4604" i="2" s="1"/>
  <c r="A4604" i="2"/>
  <c r="E4603" i="2"/>
  <c r="C4603" i="2"/>
  <c r="B4603" i="2" s="1"/>
  <c r="A4603" i="2"/>
  <c r="E4602" i="2"/>
  <c r="C4602" i="2"/>
  <c r="B4602" i="2" s="1"/>
  <c r="A4602" i="2"/>
  <c r="E4601" i="2"/>
  <c r="C4601" i="2"/>
  <c r="B4601" i="2" s="1"/>
  <c r="A4601" i="2"/>
  <c r="E4600" i="2"/>
  <c r="C4600" i="2"/>
  <c r="B4600" i="2" s="1"/>
  <c r="A4600" i="2"/>
  <c r="E4599" i="2"/>
  <c r="C4599" i="2"/>
  <c r="B4599" i="2" s="1"/>
  <c r="A4599" i="2"/>
  <c r="E4598" i="2"/>
  <c r="C4598" i="2"/>
  <c r="B4598" i="2" s="1"/>
  <c r="A4598" i="2"/>
  <c r="E4597" i="2"/>
  <c r="C4597" i="2"/>
  <c r="B4597" i="2" s="1"/>
  <c r="A4597" i="2"/>
  <c r="E4596" i="2"/>
  <c r="C4596" i="2"/>
  <c r="B4596" i="2" s="1"/>
  <c r="A4596" i="2"/>
  <c r="E4595" i="2"/>
  <c r="C4595" i="2"/>
  <c r="B4595" i="2" s="1"/>
  <c r="A4595" i="2"/>
  <c r="E4594" i="2"/>
  <c r="C4594" i="2"/>
  <c r="B4594" i="2" s="1"/>
  <c r="A4594" i="2"/>
  <c r="E4593" i="2"/>
  <c r="C4593" i="2"/>
  <c r="B4593" i="2" s="1"/>
  <c r="A4593" i="2"/>
  <c r="E4592" i="2"/>
  <c r="C4592" i="2"/>
  <c r="B4592" i="2" s="1"/>
  <c r="A4592" i="2"/>
  <c r="E4591" i="2"/>
  <c r="C4591" i="2"/>
  <c r="B4591" i="2" s="1"/>
  <c r="A4591" i="2"/>
  <c r="E4590" i="2"/>
  <c r="C4590" i="2"/>
  <c r="B4590" i="2" s="1"/>
  <c r="A4590" i="2"/>
  <c r="E4589" i="2"/>
  <c r="C4589" i="2"/>
  <c r="B4589" i="2" s="1"/>
  <c r="A4589" i="2"/>
  <c r="E4588" i="2"/>
  <c r="C4588" i="2"/>
  <c r="B4588" i="2" s="1"/>
  <c r="A4588" i="2"/>
  <c r="E4587" i="2"/>
  <c r="C4587" i="2"/>
  <c r="B4587" i="2" s="1"/>
  <c r="A4587" i="2"/>
  <c r="E4586" i="2"/>
  <c r="C4586" i="2"/>
  <c r="B4586" i="2" s="1"/>
  <c r="A4586" i="2"/>
  <c r="E4585" i="2"/>
  <c r="C4585" i="2"/>
  <c r="B4585" i="2" s="1"/>
  <c r="A4585" i="2"/>
  <c r="E4584" i="2"/>
  <c r="C4584" i="2"/>
  <c r="B4584" i="2" s="1"/>
  <c r="A4584" i="2"/>
  <c r="E4583" i="2"/>
  <c r="C4583" i="2"/>
  <c r="B4583" i="2" s="1"/>
  <c r="A4583" i="2"/>
  <c r="E4582" i="2"/>
  <c r="C4582" i="2"/>
  <c r="B4582" i="2" s="1"/>
  <c r="A4582" i="2"/>
  <c r="E4581" i="2"/>
  <c r="C4581" i="2"/>
  <c r="B4581" i="2" s="1"/>
  <c r="A4581" i="2"/>
  <c r="E4580" i="2"/>
  <c r="C4580" i="2"/>
  <c r="B4580" i="2" s="1"/>
  <c r="A4580" i="2"/>
  <c r="E4579" i="2"/>
  <c r="C4579" i="2"/>
  <c r="B4579" i="2" s="1"/>
  <c r="A4579" i="2"/>
  <c r="E4578" i="2"/>
  <c r="C4578" i="2"/>
  <c r="B4578" i="2" s="1"/>
  <c r="A4578" i="2"/>
  <c r="E4577" i="2"/>
  <c r="C4577" i="2"/>
  <c r="B4577" i="2" s="1"/>
  <c r="A4577" i="2"/>
  <c r="E4576" i="2"/>
  <c r="C4576" i="2"/>
  <c r="B4576" i="2" s="1"/>
  <c r="A4576" i="2"/>
  <c r="E4575" i="2"/>
  <c r="C4575" i="2"/>
  <c r="B4575" i="2" s="1"/>
  <c r="A4575" i="2"/>
  <c r="E4574" i="2"/>
  <c r="C4574" i="2"/>
  <c r="B4574" i="2" s="1"/>
  <c r="A4574" i="2"/>
  <c r="E4573" i="2"/>
  <c r="C4573" i="2"/>
  <c r="B4573" i="2" s="1"/>
  <c r="A4573" i="2"/>
  <c r="E4572" i="2"/>
  <c r="C4572" i="2"/>
  <c r="B4572" i="2" s="1"/>
  <c r="A4572" i="2"/>
  <c r="E4571" i="2"/>
  <c r="C4571" i="2"/>
  <c r="B4571" i="2" s="1"/>
  <c r="A4571" i="2"/>
  <c r="E4570" i="2"/>
  <c r="C4570" i="2"/>
  <c r="B4570" i="2" s="1"/>
  <c r="A4570" i="2"/>
  <c r="E4569" i="2"/>
  <c r="C4569" i="2"/>
  <c r="B4569" i="2" s="1"/>
  <c r="A4569" i="2"/>
  <c r="E4568" i="2"/>
  <c r="C4568" i="2"/>
  <c r="B4568" i="2" s="1"/>
  <c r="A4568" i="2"/>
  <c r="E4567" i="2"/>
  <c r="C4567" i="2"/>
  <c r="B4567" i="2" s="1"/>
  <c r="A4567" i="2"/>
  <c r="E4566" i="2"/>
  <c r="C4566" i="2"/>
  <c r="B4566" i="2" s="1"/>
  <c r="A4566" i="2"/>
  <c r="E4565" i="2"/>
  <c r="C4565" i="2"/>
  <c r="B4565" i="2" s="1"/>
  <c r="A4565" i="2"/>
  <c r="E4564" i="2"/>
  <c r="C4564" i="2"/>
  <c r="B4564" i="2" s="1"/>
  <c r="A4564" i="2"/>
  <c r="E4563" i="2"/>
  <c r="C4563" i="2"/>
  <c r="B4563" i="2" s="1"/>
  <c r="A4563" i="2"/>
  <c r="E4562" i="2"/>
  <c r="C4562" i="2"/>
  <c r="B4562" i="2" s="1"/>
  <c r="A4562" i="2"/>
  <c r="E4561" i="2"/>
  <c r="C4561" i="2"/>
  <c r="B4561" i="2" s="1"/>
  <c r="A4561" i="2"/>
  <c r="E4560" i="2"/>
  <c r="C4560" i="2"/>
  <c r="B4560" i="2" s="1"/>
  <c r="A4560" i="2"/>
  <c r="E4559" i="2"/>
  <c r="C4559" i="2"/>
  <c r="B4559" i="2" s="1"/>
  <c r="A4559" i="2"/>
  <c r="E4558" i="2"/>
  <c r="C4558" i="2"/>
  <c r="B4558" i="2" s="1"/>
  <c r="A4558" i="2"/>
  <c r="E4557" i="2"/>
  <c r="C4557" i="2"/>
  <c r="B4557" i="2" s="1"/>
  <c r="A4557" i="2"/>
  <c r="E4556" i="2"/>
  <c r="C4556" i="2"/>
  <c r="B4556" i="2" s="1"/>
  <c r="A4556" i="2"/>
  <c r="E4555" i="2"/>
  <c r="C4555" i="2"/>
  <c r="B4555" i="2" s="1"/>
  <c r="A4555" i="2"/>
  <c r="E4554" i="2"/>
  <c r="C4554" i="2"/>
  <c r="B4554" i="2" s="1"/>
  <c r="A4554" i="2"/>
  <c r="E4553" i="2"/>
  <c r="C4553" i="2"/>
  <c r="B4553" i="2" s="1"/>
  <c r="A4553" i="2"/>
  <c r="E4552" i="2"/>
  <c r="C4552" i="2"/>
  <c r="B4552" i="2" s="1"/>
  <c r="A4552" i="2"/>
  <c r="E4551" i="2"/>
  <c r="C4551" i="2"/>
  <c r="B4551" i="2" s="1"/>
  <c r="A4551" i="2"/>
  <c r="E4550" i="2"/>
  <c r="C4550" i="2"/>
  <c r="B4550" i="2" s="1"/>
  <c r="A4550" i="2"/>
  <c r="E4549" i="2"/>
  <c r="C4549" i="2"/>
  <c r="B4549" i="2" s="1"/>
  <c r="A4549" i="2"/>
  <c r="E4548" i="2"/>
  <c r="C4548" i="2"/>
  <c r="B4548" i="2" s="1"/>
  <c r="A4548" i="2"/>
  <c r="E4547" i="2"/>
  <c r="C4547" i="2"/>
  <c r="B4547" i="2" s="1"/>
  <c r="A4547" i="2"/>
  <c r="E4546" i="2"/>
  <c r="C4546" i="2"/>
  <c r="B4546" i="2" s="1"/>
  <c r="A4546" i="2"/>
  <c r="E4545" i="2"/>
  <c r="C4545" i="2"/>
  <c r="B4545" i="2" s="1"/>
  <c r="A4545" i="2"/>
  <c r="E4544" i="2"/>
  <c r="C4544" i="2"/>
  <c r="B4544" i="2" s="1"/>
  <c r="A4544" i="2"/>
  <c r="E4543" i="2"/>
  <c r="C4543" i="2"/>
  <c r="B4543" i="2" s="1"/>
  <c r="A4543" i="2"/>
  <c r="E4542" i="2"/>
  <c r="C4542" i="2"/>
  <c r="B4542" i="2" s="1"/>
  <c r="A4542" i="2"/>
  <c r="E4541" i="2"/>
  <c r="C4541" i="2"/>
  <c r="B4541" i="2" s="1"/>
  <c r="A4541" i="2"/>
  <c r="E4540" i="2"/>
  <c r="C4540" i="2"/>
  <c r="B4540" i="2" s="1"/>
  <c r="A4540" i="2"/>
  <c r="E4539" i="2"/>
  <c r="C4539" i="2"/>
  <c r="B4539" i="2" s="1"/>
  <c r="A4539" i="2"/>
  <c r="E4538" i="2"/>
  <c r="C4538" i="2"/>
  <c r="B4538" i="2" s="1"/>
  <c r="A4538" i="2"/>
  <c r="E4537" i="2"/>
  <c r="C4537" i="2"/>
  <c r="B4537" i="2" s="1"/>
  <c r="A4537" i="2"/>
  <c r="E4536" i="2"/>
  <c r="C4536" i="2"/>
  <c r="B4536" i="2" s="1"/>
  <c r="A4536" i="2"/>
  <c r="E4535" i="2"/>
  <c r="C4535" i="2"/>
  <c r="B4535" i="2" s="1"/>
  <c r="A4535" i="2"/>
  <c r="E4534" i="2"/>
  <c r="C4534" i="2"/>
  <c r="B4534" i="2" s="1"/>
  <c r="A4534" i="2"/>
  <c r="E4533" i="2"/>
  <c r="C4533" i="2"/>
  <c r="B4533" i="2" s="1"/>
  <c r="A4533" i="2"/>
  <c r="E4532" i="2"/>
  <c r="C4532" i="2"/>
  <c r="B4532" i="2" s="1"/>
  <c r="A4532" i="2"/>
  <c r="E4531" i="2"/>
  <c r="C4531" i="2"/>
  <c r="B4531" i="2" s="1"/>
  <c r="A4531" i="2"/>
  <c r="E4530" i="2"/>
  <c r="C4530" i="2"/>
  <c r="B4530" i="2" s="1"/>
  <c r="A4530" i="2"/>
  <c r="E4529" i="2"/>
  <c r="C4529" i="2"/>
  <c r="B4529" i="2" s="1"/>
  <c r="A4529" i="2"/>
  <c r="E4528" i="2"/>
  <c r="C4528" i="2"/>
  <c r="B4528" i="2" s="1"/>
  <c r="A4528" i="2"/>
  <c r="E4527" i="2"/>
  <c r="C4527" i="2"/>
  <c r="B4527" i="2" s="1"/>
  <c r="A4527" i="2"/>
  <c r="E4526" i="2"/>
  <c r="C4526" i="2"/>
  <c r="B4526" i="2" s="1"/>
  <c r="A4526" i="2"/>
  <c r="E4525" i="2"/>
  <c r="C4525" i="2"/>
  <c r="B4525" i="2" s="1"/>
  <c r="A4525" i="2"/>
  <c r="E4524" i="2"/>
  <c r="C4524" i="2"/>
  <c r="B4524" i="2" s="1"/>
  <c r="A4524" i="2"/>
  <c r="E4523" i="2"/>
  <c r="C4523" i="2"/>
  <c r="A4523" i="2"/>
  <c r="E4522" i="2"/>
  <c r="C4522" i="2"/>
  <c r="B4522" i="2" s="1"/>
  <c r="A4522" i="2"/>
  <c r="E4521" i="2"/>
  <c r="C4521" i="2"/>
  <c r="B4521" i="2" s="1"/>
  <c r="A4521" i="2"/>
  <c r="E4520" i="2"/>
  <c r="C4520" i="2"/>
  <c r="B4520" i="2" s="1"/>
  <c r="A4520" i="2"/>
  <c r="E4519" i="2"/>
  <c r="C4519" i="2"/>
  <c r="B4519" i="2" s="1"/>
  <c r="A4519" i="2"/>
  <c r="E4518" i="2"/>
  <c r="C4518" i="2"/>
  <c r="B4518" i="2" s="1"/>
  <c r="A4518" i="2"/>
  <c r="E4517" i="2"/>
  <c r="C4517" i="2"/>
  <c r="B4517" i="2" s="1"/>
  <c r="A4517" i="2"/>
  <c r="E4516" i="2"/>
  <c r="C4516" i="2"/>
  <c r="B4516" i="2" s="1"/>
  <c r="A4516" i="2"/>
  <c r="E4515" i="2"/>
  <c r="C4515" i="2"/>
  <c r="A4515" i="2"/>
  <c r="E4514" i="2"/>
  <c r="C4514" i="2"/>
  <c r="B4514" i="2" s="1"/>
  <c r="A4514" i="2"/>
  <c r="E4513" i="2"/>
  <c r="C4513" i="2"/>
  <c r="B4513" i="2" s="1"/>
  <c r="A4513" i="2"/>
  <c r="E4512" i="2"/>
  <c r="C4512" i="2"/>
  <c r="B4512" i="2" s="1"/>
  <c r="A4512" i="2"/>
  <c r="E4511" i="2"/>
  <c r="C4511" i="2"/>
  <c r="A4511" i="2"/>
  <c r="E4510" i="2"/>
  <c r="C4510" i="2"/>
  <c r="B4510" i="2" s="1"/>
  <c r="A4510" i="2"/>
  <c r="E4509" i="2"/>
  <c r="C4509" i="2"/>
  <c r="B4509" i="2" s="1"/>
  <c r="A4509" i="2"/>
  <c r="E4508" i="2"/>
  <c r="C4508" i="2"/>
  <c r="B4508" i="2" s="1"/>
  <c r="A4508" i="2"/>
  <c r="E4507" i="2"/>
  <c r="C4507" i="2"/>
  <c r="A4507" i="2"/>
  <c r="E4506" i="2"/>
  <c r="C4506" i="2"/>
  <c r="B4506" i="2" s="1"/>
  <c r="A4506" i="2"/>
  <c r="E4505" i="2"/>
  <c r="C4505" i="2"/>
  <c r="B4505" i="2" s="1"/>
  <c r="A4505" i="2"/>
  <c r="E4504" i="2"/>
  <c r="C4504" i="2"/>
  <c r="B4504" i="2" s="1"/>
  <c r="A4504" i="2"/>
  <c r="E4503" i="2"/>
  <c r="C4503" i="2"/>
  <c r="B4503" i="2" s="1"/>
  <c r="A4503" i="2"/>
  <c r="E4502" i="2"/>
  <c r="C4502" i="2"/>
  <c r="B4502" i="2" s="1"/>
  <c r="A4502" i="2"/>
  <c r="E4501" i="2"/>
  <c r="C4501" i="2"/>
  <c r="B4501" i="2" s="1"/>
  <c r="A4501" i="2"/>
  <c r="E4500" i="2"/>
  <c r="C4500" i="2"/>
  <c r="B4500" i="2" s="1"/>
  <c r="A4500" i="2"/>
  <c r="E4499" i="2"/>
  <c r="C4499" i="2"/>
  <c r="B4499" i="2" s="1"/>
  <c r="A4499" i="2"/>
  <c r="E4498" i="2"/>
  <c r="C4498" i="2"/>
  <c r="B4498" i="2" s="1"/>
  <c r="A4498" i="2"/>
  <c r="E4497" i="2"/>
  <c r="C4497" i="2"/>
  <c r="B4497" i="2" s="1"/>
  <c r="A4497" i="2"/>
  <c r="E4496" i="2"/>
  <c r="C4496" i="2"/>
  <c r="B4496" i="2" s="1"/>
  <c r="A4496" i="2"/>
  <c r="E4495" i="2"/>
  <c r="C4495" i="2"/>
  <c r="B4495" i="2" s="1"/>
  <c r="A4495" i="2"/>
  <c r="E4494" i="2"/>
  <c r="C4494" i="2"/>
  <c r="B4494" i="2" s="1"/>
  <c r="A4494" i="2"/>
  <c r="E4493" i="2"/>
  <c r="C4493" i="2"/>
  <c r="B4493" i="2" s="1"/>
  <c r="A4493" i="2"/>
  <c r="E4492" i="2"/>
  <c r="C4492" i="2"/>
  <c r="A4492" i="2"/>
  <c r="E4491" i="2"/>
  <c r="C4491" i="2"/>
  <c r="B4491" i="2" s="1"/>
  <c r="A4491" i="2"/>
  <c r="E4490" i="2"/>
  <c r="C4490" i="2"/>
  <c r="A4490" i="2"/>
  <c r="E4489" i="2"/>
  <c r="C4489" i="2"/>
  <c r="B4489" i="2" s="1"/>
  <c r="A4489" i="2"/>
  <c r="E4488" i="2"/>
  <c r="C4488" i="2"/>
  <c r="A4488" i="2"/>
  <c r="E4487" i="2"/>
  <c r="C4487" i="2"/>
  <c r="B4487" i="2" s="1"/>
  <c r="A4487" i="2"/>
  <c r="E4486" i="2"/>
  <c r="C4486" i="2"/>
  <c r="A4486" i="2"/>
  <c r="E4485" i="2"/>
  <c r="C4485" i="2"/>
  <c r="B4485" i="2" s="1"/>
  <c r="A4485" i="2"/>
  <c r="E4484" i="2"/>
  <c r="C4484" i="2"/>
  <c r="A4484" i="2"/>
  <c r="E4483" i="2"/>
  <c r="C4483" i="2"/>
  <c r="B4483" i="2" s="1"/>
  <c r="A4483" i="2"/>
  <c r="E4482" i="2"/>
  <c r="C4482" i="2"/>
  <c r="A4482" i="2"/>
  <c r="E4481" i="2"/>
  <c r="C4481" i="2"/>
  <c r="B4481" i="2" s="1"/>
  <c r="A4481" i="2"/>
  <c r="E4480" i="2"/>
  <c r="C4480" i="2"/>
  <c r="A4480" i="2"/>
  <c r="E4479" i="2"/>
  <c r="C4479" i="2"/>
  <c r="B4479" i="2" s="1"/>
  <c r="A4479" i="2"/>
  <c r="E4478" i="2"/>
  <c r="C4478" i="2"/>
  <c r="A4478" i="2"/>
  <c r="E4477" i="2"/>
  <c r="C4477" i="2"/>
  <c r="B4477" i="2" s="1"/>
  <c r="A4477" i="2"/>
  <c r="E4476" i="2"/>
  <c r="C4476" i="2"/>
  <c r="A4476" i="2"/>
  <c r="E4475" i="2"/>
  <c r="C4475" i="2"/>
  <c r="B4475" i="2" s="1"/>
  <c r="A4475" i="2"/>
  <c r="E4474" i="2"/>
  <c r="C4474" i="2"/>
  <c r="A4474" i="2"/>
  <c r="E4473" i="2"/>
  <c r="C4473" i="2"/>
  <c r="B4473" i="2" s="1"/>
  <c r="A4473" i="2"/>
  <c r="E4472" i="2"/>
  <c r="C4472" i="2"/>
  <c r="A4472" i="2"/>
  <c r="E4471" i="2"/>
  <c r="C4471" i="2"/>
  <c r="B4471" i="2" s="1"/>
  <c r="A4471" i="2"/>
  <c r="E4470" i="2"/>
  <c r="C4470" i="2"/>
  <c r="A4470" i="2"/>
  <c r="E4469" i="2"/>
  <c r="C4469" i="2"/>
  <c r="B4469" i="2" s="1"/>
  <c r="A4469" i="2"/>
  <c r="E4468" i="2"/>
  <c r="C4468" i="2"/>
  <c r="A4468" i="2"/>
  <c r="E4467" i="2"/>
  <c r="C4467" i="2"/>
  <c r="B4467" i="2" s="1"/>
  <c r="A4467" i="2"/>
  <c r="E4466" i="2"/>
  <c r="C4466" i="2"/>
  <c r="A4466" i="2"/>
  <c r="E4465" i="2"/>
  <c r="C4465" i="2"/>
  <c r="B4465" i="2" s="1"/>
  <c r="A4465" i="2"/>
  <c r="E4464" i="2"/>
  <c r="C4464" i="2"/>
  <c r="A4464" i="2"/>
  <c r="E4463" i="2"/>
  <c r="C4463" i="2"/>
  <c r="B4463" i="2" s="1"/>
  <c r="A4463" i="2"/>
  <c r="E4462" i="2"/>
  <c r="C4462" i="2"/>
  <c r="A4462" i="2"/>
  <c r="E4461" i="2"/>
  <c r="C4461" i="2"/>
  <c r="B4461" i="2" s="1"/>
  <c r="A4461" i="2"/>
  <c r="E4460" i="2"/>
  <c r="C4460" i="2"/>
  <c r="A4460" i="2"/>
  <c r="E4459" i="2"/>
  <c r="C4459" i="2"/>
  <c r="B4459" i="2" s="1"/>
  <c r="A4459" i="2"/>
  <c r="E4458" i="2"/>
  <c r="C4458" i="2"/>
  <c r="A4458" i="2"/>
  <c r="E4457" i="2"/>
  <c r="C4457" i="2"/>
  <c r="B4457" i="2" s="1"/>
  <c r="A4457" i="2"/>
  <c r="E4456" i="2"/>
  <c r="C4456" i="2"/>
  <c r="A4456" i="2"/>
  <c r="E4455" i="2"/>
  <c r="C4455" i="2"/>
  <c r="B4455" i="2" s="1"/>
  <c r="A4455" i="2"/>
  <c r="E4454" i="2"/>
  <c r="C4454" i="2"/>
  <c r="A4454" i="2"/>
  <c r="E4453" i="2"/>
  <c r="C4453" i="2"/>
  <c r="B4453" i="2" s="1"/>
  <c r="A4453" i="2"/>
  <c r="E4452" i="2"/>
  <c r="C4452" i="2"/>
  <c r="A4452" i="2"/>
  <c r="E4451" i="2"/>
  <c r="C4451" i="2"/>
  <c r="B4451" i="2" s="1"/>
  <c r="A4451" i="2"/>
  <c r="E4450" i="2"/>
  <c r="C4450" i="2"/>
  <c r="B4450" i="2" s="1"/>
  <c r="A4450" i="2"/>
  <c r="E4449" i="2"/>
  <c r="C4449" i="2"/>
  <c r="A4449" i="2"/>
  <c r="E4448" i="2"/>
  <c r="C4448" i="2"/>
  <c r="B4448" i="2" s="1"/>
  <c r="A4448" i="2"/>
  <c r="E4447" i="2"/>
  <c r="C4447" i="2"/>
  <c r="A4447" i="2"/>
  <c r="E4446" i="2"/>
  <c r="C4446" i="2"/>
  <c r="B4446" i="2" s="1"/>
  <c r="A4446" i="2"/>
  <c r="E4445" i="2"/>
  <c r="C4445" i="2"/>
  <c r="A4445" i="2"/>
  <c r="E4444" i="2"/>
  <c r="C4444" i="2"/>
  <c r="B4444" i="2" s="1"/>
  <c r="A4444" i="2"/>
  <c r="E4443" i="2"/>
  <c r="C4443" i="2"/>
  <c r="A4443" i="2"/>
  <c r="E4442" i="2"/>
  <c r="C4442" i="2"/>
  <c r="B4442" i="2" s="1"/>
  <c r="A4442" i="2"/>
  <c r="E4441" i="2"/>
  <c r="C4441" i="2"/>
  <c r="A4441" i="2"/>
  <c r="E4440" i="2"/>
  <c r="C4440" i="2"/>
  <c r="B4440" i="2" s="1"/>
  <c r="A4440" i="2"/>
  <c r="E4439" i="2"/>
  <c r="C4439" i="2"/>
  <c r="A4439" i="2"/>
  <c r="E4438" i="2"/>
  <c r="C4438" i="2"/>
  <c r="B4438" i="2" s="1"/>
  <c r="A4438" i="2"/>
  <c r="E4437" i="2"/>
  <c r="C4437" i="2"/>
  <c r="A4437" i="2"/>
  <c r="E4436" i="2"/>
  <c r="C4436" i="2"/>
  <c r="B4436" i="2" s="1"/>
  <c r="A4436" i="2"/>
  <c r="E4435" i="2"/>
  <c r="C4435" i="2"/>
  <c r="A4435" i="2"/>
  <c r="E4434" i="2"/>
  <c r="C4434" i="2"/>
  <c r="B4434" i="2" s="1"/>
  <c r="A4434" i="2"/>
  <c r="E4433" i="2"/>
  <c r="C4433" i="2"/>
  <c r="A4433" i="2"/>
  <c r="E4432" i="2"/>
  <c r="C4432" i="2"/>
  <c r="B4432" i="2" s="1"/>
  <c r="A4432" i="2"/>
  <c r="E4431" i="2"/>
  <c r="C4431" i="2"/>
  <c r="A4431" i="2"/>
  <c r="E4430" i="2"/>
  <c r="C4430" i="2"/>
  <c r="B4430" i="2" s="1"/>
  <c r="A4430" i="2"/>
  <c r="E4429" i="2"/>
  <c r="C4429" i="2"/>
  <c r="A4429" i="2"/>
  <c r="E4428" i="2"/>
  <c r="C4428" i="2"/>
  <c r="B4428" i="2" s="1"/>
  <c r="A4428" i="2"/>
  <c r="E4427" i="2"/>
  <c r="C4427" i="2"/>
  <c r="A4427" i="2"/>
  <c r="E4426" i="2"/>
  <c r="C4426" i="2"/>
  <c r="B4426" i="2" s="1"/>
  <c r="A4426" i="2"/>
  <c r="E4425" i="2"/>
  <c r="C4425" i="2"/>
  <c r="A4425" i="2"/>
  <c r="E4424" i="2"/>
  <c r="C4424" i="2"/>
  <c r="B4424" i="2" s="1"/>
  <c r="A4424" i="2"/>
  <c r="E4423" i="2"/>
  <c r="C4423" i="2"/>
  <c r="A4423" i="2"/>
  <c r="E4422" i="2"/>
  <c r="C4422" i="2"/>
  <c r="B4422" i="2" s="1"/>
  <c r="A4422" i="2"/>
  <c r="E4421" i="2"/>
  <c r="C4421" i="2"/>
  <c r="A4421" i="2"/>
  <c r="E4420" i="2"/>
  <c r="C4420" i="2"/>
  <c r="B4420" i="2" s="1"/>
  <c r="A4420" i="2"/>
  <c r="E4419" i="2"/>
  <c r="C4419" i="2"/>
  <c r="A4419" i="2"/>
  <c r="E4418" i="2"/>
  <c r="C4418" i="2"/>
  <c r="B4418" i="2" s="1"/>
  <c r="A4418" i="2"/>
  <c r="E4417" i="2"/>
  <c r="C4417" i="2"/>
  <c r="A4417" i="2"/>
  <c r="E4416" i="2"/>
  <c r="C4416" i="2"/>
  <c r="B4416" i="2" s="1"/>
  <c r="A4416" i="2"/>
  <c r="E4415" i="2"/>
  <c r="C4415" i="2"/>
  <c r="A4415" i="2"/>
  <c r="E4414" i="2"/>
  <c r="C4414" i="2"/>
  <c r="B4414" i="2" s="1"/>
  <c r="A4414" i="2"/>
  <c r="E4413" i="2"/>
  <c r="C4413" i="2"/>
  <c r="A4413" i="2"/>
  <c r="E4412" i="2"/>
  <c r="C4412" i="2"/>
  <c r="B4412" i="2" s="1"/>
  <c r="A4412" i="2"/>
  <c r="E4411" i="2"/>
  <c r="C4411" i="2"/>
  <c r="A4411" i="2"/>
  <c r="E4410" i="2"/>
  <c r="C4410" i="2"/>
  <c r="B4410" i="2" s="1"/>
  <c r="A4410" i="2"/>
  <c r="E4409" i="2"/>
  <c r="C4409" i="2"/>
  <c r="A4409" i="2"/>
  <c r="E4408" i="2"/>
  <c r="C4408" i="2"/>
  <c r="B4408" i="2" s="1"/>
  <c r="A4408" i="2"/>
  <c r="E4407" i="2"/>
  <c r="C4407" i="2"/>
  <c r="A4407" i="2"/>
  <c r="E4406" i="2"/>
  <c r="C4406" i="2"/>
  <c r="B4406" i="2" s="1"/>
  <c r="A4406" i="2"/>
  <c r="E4405" i="2"/>
  <c r="C4405" i="2"/>
  <c r="A4405" i="2"/>
  <c r="E4404" i="2"/>
  <c r="C4404" i="2"/>
  <c r="B4404" i="2" s="1"/>
  <c r="A4404" i="2"/>
  <c r="E4403" i="2"/>
  <c r="C4403" i="2"/>
  <c r="A4403" i="2"/>
  <c r="E4402" i="2"/>
  <c r="C4402" i="2"/>
  <c r="B4402" i="2" s="1"/>
  <c r="A4402" i="2"/>
  <c r="E4401" i="2"/>
  <c r="C4401" i="2"/>
  <c r="A4401" i="2"/>
  <c r="E4400" i="2"/>
  <c r="C4400" i="2"/>
  <c r="B4400" i="2" s="1"/>
  <c r="A4400" i="2"/>
  <c r="E4399" i="2"/>
  <c r="C4399" i="2"/>
  <c r="A4399" i="2"/>
  <c r="E4398" i="2"/>
  <c r="C4398" i="2"/>
  <c r="B4398" i="2" s="1"/>
  <c r="A4398" i="2"/>
  <c r="E4397" i="2"/>
  <c r="C4397" i="2"/>
  <c r="A4397" i="2"/>
  <c r="E4396" i="2"/>
  <c r="C4396" i="2"/>
  <c r="B4396" i="2" s="1"/>
  <c r="A4396" i="2"/>
  <c r="E4395" i="2"/>
  <c r="C4395" i="2"/>
  <c r="A4395" i="2"/>
  <c r="E4394" i="2"/>
  <c r="C4394" i="2"/>
  <c r="B4394" i="2" s="1"/>
  <c r="A4394" i="2"/>
  <c r="E4393" i="2"/>
  <c r="C4393" i="2"/>
  <c r="A4393" i="2"/>
  <c r="E4392" i="2"/>
  <c r="C4392" i="2"/>
  <c r="B4392" i="2" s="1"/>
  <c r="A4392" i="2"/>
  <c r="E4391" i="2"/>
  <c r="C4391" i="2"/>
  <c r="A4391" i="2"/>
  <c r="E4390" i="2"/>
  <c r="C4390" i="2"/>
  <c r="B4390" i="2" s="1"/>
  <c r="A4390" i="2"/>
  <c r="E4389" i="2"/>
  <c r="C4389" i="2"/>
  <c r="A4389" i="2"/>
  <c r="E4388" i="2"/>
  <c r="C4388" i="2"/>
  <c r="B4388" i="2" s="1"/>
  <c r="A4388" i="2"/>
  <c r="E4387" i="2"/>
  <c r="C4387" i="2"/>
  <c r="A4387" i="2"/>
  <c r="E4386" i="2"/>
  <c r="C4386" i="2"/>
  <c r="B4386" i="2" s="1"/>
  <c r="A4386" i="2"/>
  <c r="E4385" i="2"/>
  <c r="C4385" i="2"/>
  <c r="A4385" i="2"/>
  <c r="E4384" i="2"/>
  <c r="C4384" i="2"/>
  <c r="B4384" i="2" s="1"/>
  <c r="A4384" i="2"/>
  <c r="E4383" i="2"/>
  <c r="C4383" i="2"/>
  <c r="A4383" i="2"/>
  <c r="E4382" i="2"/>
  <c r="C4382" i="2"/>
  <c r="B4382" i="2" s="1"/>
  <c r="A4382" i="2"/>
  <c r="E4381" i="2"/>
  <c r="C4381" i="2"/>
  <c r="A4381" i="2"/>
  <c r="E4380" i="2"/>
  <c r="C4380" i="2"/>
  <c r="B4380" i="2" s="1"/>
  <c r="A4380" i="2"/>
  <c r="E4379" i="2"/>
  <c r="C4379" i="2"/>
  <c r="A4379" i="2"/>
  <c r="E4378" i="2"/>
  <c r="C4378" i="2"/>
  <c r="B4378" i="2" s="1"/>
  <c r="A4378" i="2"/>
  <c r="E4377" i="2"/>
  <c r="C4377" i="2"/>
  <c r="A4377" i="2"/>
  <c r="E4376" i="2"/>
  <c r="C4376" i="2"/>
  <c r="B4376" i="2" s="1"/>
  <c r="A4376" i="2"/>
  <c r="E4375" i="2"/>
  <c r="C4375" i="2"/>
  <c r="A4375" i="2"/>
  <c r="E4374" i="2"/>
  <c r="C4374" i="2"/>
  <c r="A4374" i="2"/>
  <c r="E4373" i="2"/>
  <c r="C4373" i="2"/>
  <c r="A4373" i="2"/>
  <c r="E4372" i="2"/>
  <c r="C4372" i="2"/>
  <c r="A4372" i="2"/>
  <c r="E4371" i="2"/>
  <c r="C4371" i="2"/>
  <c r="A4371" i="2"/>
  <c r="E4370" i="2"/>
  <c r="C4370" i="2"/>
  <c r="A4370" i="2"/>
  <c r="E4369" i="2"/>
  <c r="C4369" i="2"/>
  <c r="A4369" i="2"/>
  <c r="E4368" i="2"/>
  <c r="C4368" i="2"/>
  <c r="A4368" i="2"/>
  <c r="E4367" i="2"/>
  <c r="C4367" i="2"/>
  <c r="A4367" i="2"/>
  <c r="E4366" i="2"/>
  <c r="C4366" i="2"/>
  <c r="A4366" i="2"/>
  <c r="E4365" i="2"/>
  <c r="C4365" i="2"/>
  <c r="A4365" i="2"/>
  <c r="E4364" i="2"/>
  <c r="C4364" i="2"/>
  <c r="A4364" i="2"/>
  <c r="E4363" i="2"/>
  <c r="C4363" i="2"/>
  <c r="A4363" i="2"/>
  <c r="E4362" i="2"/>
  <c r="C4362" i="2"/>
  <c r="A4362" i="2"/>
  <c r="E4361" i="2"/>
  <c r="C4361" i="2"/>
  <c r="A4361" i="2"/>
  <c r="E4360" i="2"/>
  <c r="C4360" i="2"/>
  <c r="A4360" i="2"/>
  <c r="E4359" i="2"/>
  <c r="C4359" i="2"/>
  <c r="A4359" i="2"/>
  <c r="E4358" i="2"/>
  <c r="C4358" i="2"/>
  <c r="A4358" i="2"/>
  <c r="E4357" i="2"/>
  <c r="C4357" i="2"/>
  <c r="A4357" i="2"/>
  <c r="E4356" i="2"/>
  <c r="C4356" i="2"/>
  <c r="A4356" i="2"/>
  <c r="E4355" i="2"/>
  <c r="C4355" i="2"/>
  <c r="A4355" i="2"/>
  <c r="E4354" i="2"/>
  <c r="C4354" i="2"/>
  <c r="A4354" i="2"/>
  <c r="E4353" i="2"/>
  <c r="C4353" i="2"/>
  <c r="A4353" i="2"/>
  <c r="E4352" i="2"/>
  <c r="C4352" i="2"/>
  <c r="A4352" i="2"/>
  <c r="E4351" i="2"/>
  <c r="C4351" i="2"/>
  <c r="A4351" i="2"/>
  <c r="E4350" i="2"/>
  <c r="C4350" i="2"/>
  <c r="A4350" i="2"/>
  <c r="E4349" i="2"/>
  <c r="C4349" i="2"/>
  <c r="A4349" i="2"/>
  <c r="E4348" i="2"/>
  <c r="C4348" i="2"/>
  <c r="A4348" i="2"/>
  <c r="E4347" i="2"/>
  <c r="C4347" i="2"/>
  <c r="A4347" i="2"/>
  <c r="E4346" i="2"/>
  <c r="C4346" i="2"/>
  <c r="A4346" i="2"/>
  <c r="E4345" i="2"/>
  <c r="C4345" i="2"/>
  <c r="A4345" i="2"/>
  <c r="E4344" i="2"/>
  <c r="C4344" i="2"/>
  <c r="A4344" i="2"/>
  <c r="E4343" i="2"/>
  <c r="C4343" i="2"/>
  <c r="A4343" i="2"/>
  <c r="E4342" i="2"/>
  <c r="C4342" i="2"/>
  <c r="A4342" i="2"/>
  <c r="E4341" i="2"/>
  <c r="C4341" i="2"/>
  <c r="A4341" i="2"/>
  <c r="E4340" i="2"/>
  <c r="C4340" i="2"/>
  <c r="B4340" i="2" s="1"/>
  <c r="A4340" i="2"/>
  <c r="E4339" i="2"/>
  <c r="C4339" i="2"/>
  <c r="A4339" i="2"/>
  <c r="E4338" i="2"/>
  <c r="C4338" i="2"/>
  <c r="B4338" i="2" s="1"/>
  <c r="A4338" i="2"/>
  <c r="E4337" i="2"/>
  <c r="C4337" i="2"/>
  <c r="A4337" i="2"/>
  <c r="E4336" i="2"/>
  <c r="C4336" i="2"/>
  <c r="B4336" i="2" s="1"/>
  <c r="A4336" i="2"/>
  <c r="E4335" i="2"/>
  <c r="C4335" i="2"/>
  <c r="A4335" i="2"/>
  <c r="E4334" i="2"/>
  <c r="C4334" i="2"/>
  <c r="B4334" i="2" s="1"/>
  <c r="A4334" i="2"/>
  <c r="E4333" i="2"/>
  <c r="C4333" i="2"/>
  <c r="A4333" i="2"/>
  <c r="E4332" i="2"/>
  <c r="C4332" i="2"/>
  <c r="B4332" i="2" s="1"/>
  <c r="A4332" i="2"/>
  <c r="E4331" i="2"/>
  <c r="C4331" i="2"/>
  <c r="A4331" i="2"/>
  <c r="E4330" i="2"/>
  <c r="C4330" i="2"/>
  <c r="B4330" i="2" s="1"/>
  <c r="A4330" i="2"/>
  <c r="E4329" i="2"/>
  <c r="C4329" i="2"/>
  <c r="A4329" i="2"/>
  <c r="E4328" i="2"/>
  <c r="C4328" i="2"/>
  <c r="B4328" i="2" s="1"/>
  <c r="A4328" i="2"/>
  <c r="E4327" i="2"/>
  <c r="C4327" i="2"/>
  <c r="A4327" i="2"/>
  <c r="E4326" i="2"/>
  <c r="C4326" i="2"/>
  <c r="B4326" i="2" s="1"/>
  <c r="A4326" i="2"/>
  <c r="E4325" i="2"/>
  <c r="C4325" i="2"/>
  <c r="A4325" i="2"/>
  <c r="E4324" i="2"/>
  <c r="C4324" i="2"/>
  <c r="B4324" i="2" s="1"/>
  <c r="A4324" i="2"/>
  <c r="E4323" i="2"/>
  <c r="C4323" i="2"/>
  <c r="B4323" i="2" s="1"/>
  <c r="A4323" i="2"/>
  <c r="E4322" i="2"/>
  <c r="C4322" i="2"/>
  <c r="B4322" i="2" s="1"/>
  <c r="A4322" i="2"/>
  <c r="E4321" i="2"/>
  <c r="C4321" i="2"/>
  <c r="B4321" i="2" s="1"/>
  <c r="A4321" i="2"/>
  <c r="E4320" i="2"/>
  <c r="C4320" i="2"/>
  <c r="B4320" i="2" s="1"/>
  <c r="A4320" i="2"/>
  <c r="E4319" i="2"/>
  <c r="C4319" i="2"/>
  <c r="B4319" i="2" s="1"/>
  <c r="A4319" i="2"/>
  <c r="E4318" i="2"/>
  <c r="C4318" i="2"/>
  <c r="B4318" i="2" s="1"/>
  <c r="A4318" i="2"/>
  <c r="E4317" i="2"/>
  <c r="C4317" i="2"/>
  <c r="B4317" i="2" s="1"/>
  <c r="A4317" i="2"/>
  <c r="E4316" i="2"/>
  <c r="C4316" i="2"/>
  <c r="B4316" i="2" s="1"/>
  <c r="A4316" i="2"/>
  <c r="E4315" i="2"/>
  <c r="C4315" i="2"/>
  <c r="B4315" i="2" s="1"/>
  <c r="A4315" i="2"/>
  <c r="E4314" i="2"/>
  <c r="C4314" i="2"/>
  <c r="B4314" i="2" s="1"/>
  <c r="A4314" i="2"/>
  <c r="E4313" i="2"/>
  <c r="C4313" i="2"/>
  <c r="B4313" i="2" s="1"/>
  <c r="A4313" i="2"/>
  <c r="E4312" i="2"/>
  <c r="C4312" i="2"/>
  <c r="B4312" i="2" s="1"/>
  <c r="A4312" i="2"/>
  <c r="E4311" i="2"/>
  <c r="C4311" i="2"/>
  <c r="B4311" i="2" s="1"/>
  <c r="A4311" i="2"/>
  <c r="E4310" i="2"/>
  <c r="C4310" i="2"/>
  <c r="B4310" i="2" s="1"/>
  <c r="A4310" i="2"/>
  <c r="E4309" i="2"/>
  <c r="C4309" i="2"/>
  <c r="B4309" i="2" s="1"/>
  <c r="A4309" i="2"/>
  <c r="E4308" i="2"/>
  <c r="C4308" i="2"/>
  <c r="B4308" i="2" s="1"/>
  <c r="A4308" i="2"/>
  <c r="E4307" i="2"/>
  <c r="C4307" i="2"/>
  <c r="B4307" i="2" s="1"/>
  <c r="A4307" i="2"/>
  <c r="E4306" i="2"/>
  <c r="C4306" i="2"/>
  <c r="B4306" i="2" s="1"/>
  <c r="A4306" i="2"/>
  <c r="E4305" i="2"/>
  <c r="C4305" i="2"/>
  <c r="B4305" i="2" s="1"/>
  <c r="A4305" i="2"/>
  <c r="E4304" i="2"/>
  <c r="C4304" i="2"/>
  <c r="B4304" i="2" s="1"/>
  <c r="A4304" i="2"/>
  <c r="E4303" i="2"/>
  <c r="C4303" i="2"/>
  <c r="B4303" i="2" s="1"/>
  <c r="A4303" i="2"/>
  <c r="E4302" i="2"/>
  <c r="C4302" i="2"/>
  <c r="B4302" i="2" s="1"/>
  <c r="A4302" i="2"/>
  <c r="E4301" i="2"/>
  <c r="C4301" i="2"/>
  <c r="B4301" i="2" s="1"/>
  <c r="A4301" i="2"/>
  <c r="E4300" i="2"/>
  <c r="C4300" i="2"/>
  <c r="B4300" i="2" s="1"/>
  <c r="A4300" i="2"/>
  <c r="E4299" i="2"/>
  <c r="C4299" i="2"/>
  <c r="B4299" i="2" s="1"/>
  <c r="A4299" i="2"/>
  <c r="E4298" i="2"/>
  <c r="C4298" i="2"/>
  <c r="B4298" i="2" s="1"/>
  <c r="A4298" i="2"/>
  <c r="E4297" i="2"/>
  <c r="C4297" i="2"/>
  <c r="B4297" i="2" s="1"/>
  <c r="A4297" i="2"/>
  <c r="E4296" i="2"/>
  <c r="C4296" i="2"/>
  <c r="B4296" i="2" s="1"/>
  <c r="A4296" i="2"/>
  <c r="E4295" i="2"/>
  <c r="C4295" i="2"/>
  <c r="B4295" i="2" s="1"/>
  <c r="A4295" i="2"/>
  <c r="E4294" i="2"/>
  <c r="C4294" i="2"/>
  <c r="B4294" i="2" s="1"/>
  <c r="A4294" i="2"/>
  <c r="E4293" i="2"/>
  <c r="C4293" i="2"/>
  <c r="B4293" i="2" s="1"/>
  <c r="A4293" i="2"/>
  <c r="E4292" i="2"/>
  <c r="C4292" i="2"/>
  <c r="B4292" i="2" s="1"/>
  <c r="A4292" i="2"/>
  <c r="E4291" i="2"/>
  <c r="C4291" i="2"/>
  <c r="B4291" i="2" s="1"/>
  <c r="A4291" i="2"/>
  <c r="E4290" i="2"/>
  <c r="C4290" i="2"/>
  <c r="B4290" i="2" s="1"/>
  <c r="A4290" i="2"/>
  <c r="E4289" i="2"/>
  <c r="C4289" i="2"/>
  <c r="B4289" i="2" s="1"/>
  <c r="A4289" i="2"/>
  <c r="E4288" i="2"/>
  <c r="C4288" i="2"/>
  <c r="B4288" i="2" s="1"/>
  <c r="A4288" i="2"/>
  <c r="E4287" i="2"/>
  <c r="C4287" i="2"/>
  <c r="B4287" i="2" s="1"/>
  <c r="A4287" i="2"/>
  <c r="E4286" i="2"/>
  <c r="C4286" i="2"/>
  <c r="B4286" i="2" s="1"/>
  <c r="A4286" i="2"/>
  <c r="E4285" i="2"/>
  <c r="C4285" i="2"/>
  <c r="B4285" i="2" s="1"/>
  <c r="A4285" i="2"/>
  <c r="E4284" i="2"/>
  <c r="C4284" i="2"/>
  <c r="B4284" i="2" s="1"/>
  <c r="A4284" i="2"/>
  <c r="E4283" i="2"/>
  <c r="C4283" i="2"/>
  <c r="B4283" i="2" s="1"/>
  <c r="A4283" i="2"/>
  <c r="E4282" i="2"/>
  <c r="C4282" i="2"/>
  <c r="B4282" i="2" s="1"/>
  <c r="A4282" i="2"/>
  <c r="E4281" i="2"/>
  <c r="C4281" i="2"/>
  <c r="B4281" i="2" s="1"/>
  <c r="A4281" i="2"/>
  <c r="E4280" i="2"/>
  <c r="C4280" i="2"/>
  <c r="B4280" i="2" s="1"/>
  <c r="A4280" i="2"/>
  <c r="E4279" i="2"/>
  <c r="C4279" i="2"/>
  <c r="B4279" i="2" s="1"/>
  <c r="A4279" i="2"/>
  <c r="E4278" i="2"/>
  <c r="C4278" i="2"/>
  <c r="B4278" i="2" s="1"/>
  <c r="A4278" i="2"/>
  <c r="E4277" i="2"/>
  <c r="C4277" i="2"/>
  <c r="B4277" i="2" s="1"/>
  <c r="A4277" i="2"/>
  <c r="E4276" i="2"/>
  <c r="C4276" i="2"/>
  <c r="B4276" i="2" s="1"/>
  <c r="A4276" i="2"/>
  <c r="E4275" i="2"/>
  <c r="C4275" i="2"/>
  <c r="B4275" i="2" s="1"/>
  <c r="A4275" i="2"/>
  <c r="E4274" i="2"/>
  <c r="C4274" i="2"/>
  <c r="B4274" i="2" s="1"/>
  <c r="A4274" i="2"/>
  <c r="E4273" i="2"/>
  <c r="C4273" i="2"/>
  <c r="B4273" i="2" s="1"/>
  <c r="A4273" i="2"/>
  <c r="E4272" i="2"/>
  <c r="C4272" i="2"/>
  <c r="B4272" i="2" s="1"/>
  <c r="A4272" i="2"/>
  <c r="E4271" i="2"/>
  <c r="C4271" i="2"/>
  <c r="B4271" i="2" s="1"/>
  <c r="A4271" i="2"/>
  <c r="E4270" i="2"/>
  <c r="C4270" i="2"/>
  <c r="B4270" i="2" s="1"/>
  <c r="A4270" i="2"/>
  <c r="E4269" i="2"/>
  <c r="C4269" i="2"/>
  <c r="B4269" i="2" s="1"/>
  <c r="A4269" i="2"/>
  <c r="E4268" i="2"/>
  <c r="C4268" i="2"/>
  <c r="B4268" i="2" s="1"/>
  <c r="A4268" i="2"/>
  <c r="E4267" i="2"/>
  <c r="C4267" i="2"/>
  <c r="B4267" i="2" s="1"/>
  <c r="A4267" i="2"/>
  <c r="E4266" i="2"/>
  <c r="C4266" i="2"/>
  <c r="B4266" i="2" s="1"/>
  <c r="A4266" i="2"/>
  <c r="E4265" i="2"/>
  <c r="C4265" i="2"/>
  <c r="B4265" i="2" s="1"/>
  <c r="A4265" i="2"/>
  <c r="E4264" i="2"/>
  <c r="C4264" i="2"/>
  <c r="B4264" i="2" s="1"/>
  <c r="A4264" i="2"/>
  <c r="E4263" i="2"/>
  <c r="C4263" i="2"/>
  <c r="B4263" i="2" s="1"/>
  <c r="A4263" i="2"/>
  <c r="E4262" i="2"/>
  <c r="C4262" i="2"/>
  <c r="B4262" i="2" s="1"/>
  <c r="A4262" i="2"/>
  <c r="E4261" i="2"/>
  <c r="C4261" i="2"/>
  <c r="B4261" i="2" s="1"/>
  <c r="A4261" i="2"/>
  <c r="E4260" i="2"/>
  <c r="C4260" i="2"/>
  <c r="B4260" i="2" s="1"/>
  <c r="A4260" i="2"/>
  <c r="E4259" i="2"/>
  <c r="C4259" i="2"/>
  <c r="B4259" i="2" s="1"/>
  <c r="A4259" i="2"/>
  <c r="E4258" i="2"/>
  <c r="C4258" i="2"/>
  <c r="B4258" i="2" s="1"/>
  <c r="A4258" i="2"/>
  <c r="E4257" i="2"/>
  <c r="C4257" i="2"/>
  <c r="B4257" i="2" s="1"/>
  <c r="A4257" i="2"/>
  <c r="E4256" i="2"/>
  <c r="C4256" i="2"/>
  <c r="B4256" i="2" s="1"/>
  <c r="A4256" i="2"/>
  <c r="E4255" i="2"/>
  <c r="C4255" i="2"/>
  <c r="B4255" i="2" s="1"/>
  <c r="A4255" i="2"/>
  <c r="E4254" i="2"/>
  <c r="C4254" i="2"/>
  <c r="B4254" i="2" s="1"/>
  <c r="A4254" i="2"/>
  <c r="E4253" i="2"/>
  <c r="C4253" i="2"/>
  <c r="B4253" i="2" s="1"/>
  <c r="A4253" i="2"/>
  <c r="E4252" i="2"/>
  <c r="C4252" i="2"/>
  <c r="B4252" i="2" s="1"/>
  <c r="A4252" i="2"/>
  <c r="E4251" i="2"/>
  <c r="C4251" i="2"/>
  <c r="B4251" i="2" s="1"/>
  <c r="A4251" i="2"/>
  <c r="E4250" i="2"/>
  <c r="C4250" i="2"/>
  <c r="B4250" i="2" s="1"/>
  <c r="A4250" i="2"/>
  <c r="E4249" i="2"/>
  <c r="C4249" i="2"/>
  <c r="B4249" i="2" s="1"/>
  <c r="A4249" i="2"/>
  <c r="E4248" i="2"/>
  <c r="C4248" i="2"/>
  <c r="B4248" i="2" s="1"/>
  <c r="A4248" i="2"/>
  <c r="E4247" i="2"/>
  <c r="C4247" i="2"/>
  <c r="B4247" i="2" s="1"/>
  <c r="A4247" i="2"/>
  <c r="E4246" i="2"/>
  <c r="C4246" i="2"/>
  <c r="B4246" i="2" s="1"/>
  <c r="A4246" i="2"/>
  <c r="E4245" i="2"/>
  <c r="C4245" i="2"/>
  <c r="B4245" i="2" s="1"/>
  <c r="A4245" i="2"/>
  <c r="E4244" i="2"/>
  <c r="C4244" i="2"/>
  <c r="B4244" i="2" s="1"/>
  <c r="A4244" i="2"/>
  <c r="E4243" i="2"/>
  <c r="C4243" i="2"/>
  <c r="B4243" i="2" s="1"/>
  <c r="A4243" i="2"/>
  <c r="E4242" i="2"/>
  <c r="C4242" i="2"/>
  <c r="B4242" i="2" s="1"/>
  <c r="A4242" i="2"/>
  <c r="E4241" i="2"/>
  <c r="C4241" i="2"/>
  <c r="B4241" i="2" s="1"/>
  <c r="A4241" i="2"/>
  <c r="E4240" i="2"/>
  <c r="C4240" i="2"/>
  <c r="B4240" i="2" s="1"/>
  <c r="A4240" i="2"/>
  <c r="E4239" i="2"/>
  <c r="C4239" i="2"/>
  <c r="B4239" i="2" s="1"/>
  <c r="A4239" i="2"/>
  <c r="E4238" i="2"/>
  <c r="C4238" i="2"/>
  <c r="B4238" i="2" s="1"/>
  <c r="A4238" i="2"/>
  <c r="E4237" i="2"/>
  <c r="C4237" i="2"/>
  <c r="B4237" i="2" s="1"/>
  <c r="A4237" i="2"/>
  <c r="E4236" i="2"/>
  <c r="C4236" i="2"/>
  <c r="B4236" i="2" s="1"/>
  <c r="A4236" i="2"/>
  <c r="E4235" i="2"/>
  <c r="C4235" i="2"/>
  <c r="B4235" i="2" s="1"/>
  <c r="A4235" i="2"/>
  <c r="E4234" i="2"/>
  <c r="C4234" i="2"/>
  <c r="B4234" i="2" s="1"/>
  <c r="A4234" i="2"/>
  <c r="E4233" i="2"/>
  <c r="C4233" i="2"/>
  <c r="B4233" i="2" s="1"/>
  <c r="A4233" i="2"/>
  <c r="E4232" i="2"/>
  <c r="C4232" i="2"/>
  <c r="B4232" i="2" s="1"/>
  <c r="A4232" i="2"/>
  <c r="E4231" i="2"/>
  <c r="C4231" i="2"/>
  <c r="B4231" i="2" s="1"/>
  <c r="A4231" i="2"/>
  <c r="E4230" i="2"/>
  <c r="C4230" i="2"/>
  <c r="B4230" i="2" s="1"/>
  <c r="A4230" i="2"/>
  <c r="E4229" i="2"/>
  <c r="C4229" i="2"/>
  <c r="B4229" i="2" s="1"/>
  <c r="A4229" i="2"/>
  <c r="E4228" i="2"/>
  <c r="C4228" i="2"/>
  <c r="B4228" i="2" s="1"/>
  <c r="A4228" i="2"/>
  <c r="E4227" i="2"/>
  <c r="C4227" i="2"/>
  <c r="B4227" i="2" s="1"/>
  <c r="A4227" i="2"/>
  <c r="E4226" i="2"/>
  <c r="C4226" i="2"/>
  <c r="B4226" i="2" s="1"/>
  <c r="A4226" i="2"/>
  <c r="E4225" i="2"/>
  <c r="C4225" i="2"/>
  <c r="B4225" i="2" s="1"/>
  <c r="A4225" i="2"/>
  <c r="E4224" i="2"/>
  <c r="C4224" i="2"/>
  <c r="B4224" i="2" s="1"/>
  <c r="A4224" i="2"/>
  <c r="E4223" i="2"/>
  <c r="C4223" i="2"/>
  <c r="B4223" i="2" s="1"/>
  <c r="A4223" i="2"/>
  <c r="E4222" i="2"/>
  <c r="C4222" i="2"/>
  <c r="B4222" i="2" s="1"/>
  <c r="A4222" i="2"/>
  <c r="E4221" i="2"/>
  <c r="C4221" i="2"/>
  <c r="B4221" i="2" s="1"/>
  <c r="A4221" i="2"/>
  <c r="E4220" i="2"/>
  <c r="C4220" i="2"/>
  <c r="B4220" i="2" s="1"/>
  <c r="A4220" i="2"/>
  <c r="E4219" i="2"/>
  <c r="C4219" i="2"/>
  <c r="B4219" i="2" s="1"/>
  <c r="A4219" i="2"/>
  <c r="E4218" i="2"/>
  <c r="C4218" i="2"/>
  <c r="B4218" i="2" s="1"/>
  <c r="A4218" i="2"/>
  <c r="E4217" i="2"/>
  <c r="C4217" i="2"/>
  <c r="B4217" i="2" s="1"/>
  <c r="A4217" i="2"/>
  <c r="E4216" i="2"/>
  <c r="C4216" i="2"/>
  <c r="B4216" i="2" s="1"/>
  <c r="A4216" i="2"/>
  <c r="E4215" i="2"/>
  <c r="C4215" i="2"/>
  <c r="B4215" i="2" s="1"/>
  <c r="A4215" i="2"/>
  <c r="E4214" i="2"/>
  <c r="C4214" i="2"/>
  <c r="B4214" i="2" s="1"/>
  <c r="A4214" i="2"/>
  <c r="E4213" i="2"/>
  <c r="C4213" i="2"/>
  <c r="B4213" i="2" s="1"/>
  <c r="A4213" i="2"/>
  <c r="E4212" i="2"/>
  <c r="C4212" i="2"/>
  <c r="B4212" i="2" s="1"/>
  <c r="A4212" i="2"/>
  <c r="E4211" i="2"/>
  <c r="C4211" i="2"/>
  <c r="B4211" i="2" s="1"/>
  <c r="A4211" i="2"/>
  <c r="E4210" i="2"/>
  <c r="C4210" i="2"/>
  <c r="B4210" i="2" s="1"/>
  <c r="A4210" i="2"/>
  <c r="E4209" i="2"/>
  <c r="C4209" i="2"/>
  <c r="B4209" i="2" s="1"/>
  <c r="A4209" i="2"/>
  <c r="E4208" i="2"/>
  <c r="C4208" i="2"/>
  <c r="B4208" i="2" s="1"/>
  <c r="A4208" i="2"/>
  <c r="E4207" i="2"/>
  <c r="C4207" i="2"/>
  <c r="B4207" i="2" s="1"/>
  <c r="A4207" i="2"/>
  <c r="E4206" i="2"/>
  <c r="C4206" i="2"/>
  <c r="B4206" i="2" s="1"/>
  <c r="A4206" i="2"/>
  <c r="E4205" i="2"/>
  <c r="C4205" i="2"/>
  <c r="B4205" i="2" s="1"/>
  <c r="A4205" i="2"/>
  <c r="E4204" i="2"/>
  <c r="C4204" i="2"/>
  <c r="B4204" i="2" s="1"/>
  <c r="A4204" i="2"/>
  <c r="E4203" i="2"/>
  <c r="C4203" i="2"/>
  <c r="B4203" i="2" s="1"/>
  <c r="A4203" i="2"/>
  <c r="E4202" i="2"/>
  <c r="C4202" i="2"/>
  <c r="B4202" i="2" s="1"/>
  <c r="A4202" i="2"/>
  <c r="E4201" i="2"/>
  <c r="C4201" i="2"/>
  <c r="B4201" i="2" s="1"/>
  <c r="A4201" i="2"/>
  <c r="E4200" i="2"/>
  <c r="C4200" i="2"/>
  <c r="B4200" i="2" s="1"/>
  <c r="A4200" i="2"/>
  <c r="E4199" i="2"/>
  <c r="C4199" i="2"/>
  <c r="B4199" i="2" s="1"/>
  <c r="A4199" i="2"/>
  <c r="E4198" i="2"/>
  <c r="C4198" i="2"/>
  <c r="B4198" i="2" s="1"/>
  <c r="A4198" i="2"/>
  <c r="E4197" i="2"/>
  <c r="C4197" i="2"/>
  <c r="B4197" i="2" s="1"/>
  <c r="A4197" i="2"/>
  <c r="E4196" i="2"/>
  <c r="C4196" i="2"/>
  <c r="B4196" i="2" s="1"/>
  <c r="A4196" i="2"/>
  <c r="E4195" i="2"/>
  <c r="C4195" i="2"/>
  <c r="B4195" i="2" s="1"/>
  <c r="A4195" i="2"/>
  <c r="E4194" i="2"/>
  <c r="C4194" i="2"/>
  <c r="B4194" i="2" s="1"/>
  <c r="A4194" i="2"/>
  <c r="E4193" i="2"/>
  <c r="C4193" i="2"/>
  <c r="B4193" i="2" s="1"/>
  <c r="A4193" i="2"/>
  <c r="E4192" i="2"/>
  <c r="C4192" i="2"/>
  <c r="B4192" i="2" s="1"/>
  <c r="A4192" i="2"/>
  <c r="E4191" i="2"/>
  <c r="C4191" i="2"/>
  <c r="B4191" i="2" s="1"/>
  <c r="A4191" i="2"/>
  <c r="E4190" i="2"/>
  <c r="C4190" i="2"/>
  <c r="B4190" i="2" s="1"/>
  <c r="A4190" i="2"/>
  <c r="E4189" i="2"/>
  <c r="C4189" i="2"/>
  <c r="B4189" i="2" s="1"/>
  <c r="A4189" i="2"/>
  <c r="E4188" i="2"/>
  <c r="C4188" i="2"/>
  <c r="B4188" i="2" s="1"/>
  <c r="A4188" i="2"/>
  <c r="E4187" i="2"/>
  <c r="C4187" i="2"/>
  <c r="B4187" i="2" s="1"/>
  <c r="A4187" i="2"/>
  <c r="E4186" i="2"/>
  <c r="C4186" i="2"/>
  <c r="B4186" i="2" s="1"/>
  <c r="A4186" i="2"/>
  <c r="E4185" i="2"/>
  <c r="C4185" i="2"/>
  <c r="B4185" i="2" s="1"/>
  <c r="A4185" i="2"/>
  <c r="E4184" i="2"/>
  <c r="C4184" i="2"/>
  <c r="B4184" i="2" s="1"/>
  <c r="A4184" i="2"/>
  <c r="E4183" i="2"/>
  <c r="C4183" i="2"/>
  <c r="B4183" i="2" s="1"/>
  <c r="A4183" i="2"/>
  <c r="E4182" i="2"/>
  <c r="C4182" i="2"/>
  <c r="B4182" i="2" s="1"/>
  <c r="A4182" i="2"/>
  <c r="E4181" i="2"/>
  <c r="C4181" i="2"/>
  <c r="B4181" i="2" s="1"/>
  <c r="A4181" i="2"/>
  <c r="E4180" i="2"/>
  <c r="C4180" i="2"/>
  <c r="B4180" i="2" s="1"/>
  <c r="A4180" i="2"/>
  <c r="E4179" i="2"/>
  <c r="C4179" i="2"/>
  <c r="B4179" i="2" s="1"/>
  <c r="A4179" i="2"/>
  <c r="E4178" i="2"/>
  <c r="C4178" i="2"/>
  <c r="B4178" i="2" s="1"/>
  <c r="A4178" i="2"/>
  <c r="E4177" i="2"/>
  <c r="C4177" i="2"/>
  <c r="B4177" i="2" s="1"/>
  <c r="A4177" i="2"/>
  <c r="E4176" i="2"/>
  <c r="C4176" i="2"/>
  <c r="B4176" i="2" s="1"/>
  <c r="A4176" i="2"/>
  <c r="E4175" i="2"/>
  <c r="C4175" i="2"/>
  <c r="B4175" i="2" s="1"/>
  <c r="A4175" i="2"/>
  <c r="E4174" i="2"/>
  <c r="C4174" i="2"/>
  <c r="B4174" i="2" s="1"/>
  <c r="A4174" i="2"/>
  <c r="E4173" i="2"/>
  <c r="C4173" i="2"/>
  <c r="B4173" i="2" s="1"/>
  <c r="A4173" i="2"/>
  <c r="E4172" i="2"/>
  <c r="C4172" i="2"/>
  <c r="B4172" i="2" s="1"/>
  <c r="A4172" i="2"/>
  <c r="E4171" i="2"/>
  <c r="C4171" i="2"/>
  <c r="B4171" i="2" s="1"/>
  <c r="A4171" i="2"/>
  <c r="E4170" i="2"/>
  <c r="C4170" i="2"/>
  <c r="B4170" i="2" s="1"/>
  <c r="A4170" i="2"/>
  <c r="E4169" i="2"/>
  <c r="C4169" i="2"/>
  <c r="B4169" i="2" s="1"/>
  <c r="A4169" i="2"/>
  <c r="E4168" i="2"/>
  <c r="C4168" i="2"/>
  <c r="B4168" i="2" s="1"/>
  <c r="A4168" i="2"/>
  <c r="E4167" i="2"/>
  <c r="C4167" i="2"/>
  <c r="B4167" i="2" s="1"/>
  <c r="A4167" i="2"/>
  <c r="E4166" i="2"/>
  <c r="C4166" i="2"/>
  <c r="B4166" i="2" s="1"/>
  <c r="A4166" i="2"/>
  <c r="E4165" i="2"/>
  <c r="C4165" i="2"/>
  <c r="B4165" i="2" s="1"/>
  <c r="A4165" i="2"/>
  <c r="E4164" i="2"/>
  <c r="C4164" i="2"/>
  <c r="B4164" i="2" s="1"/>
  <c r="A4164" i="2"/>
  <c r="E4163" i="2"/>
  <c r="C4163" i="2"/>
  <c r="B4163" i="2" s="1"/>
  <c r="A4163" i="2"/>
  <c r="E4162" i="2"/>
  <c r="C4162" i="2"/>
  <c r="B4162" i="2" s="1"/>
  <c r="A4162" i="2"/>
  <c r="E4161" i="2"/>
  <c r="C4161" i="2"/>
  <c r="B4161" i="2" s="1"/>
  <c r="A4161" i="2"/>
  <c r="E4160" i="2"/>
  <c r="C4160" i="2"/>
  <c r="B4160" i="2" s="1"/>
  <c r="A4160" i="2"/>
  <c r="E4159" i="2"/>
  <c r="C4159" i="2"/>
  <c r="B4159" i="2" s="1"/>
  <c r="A4159" i="2"/>
  <c r="E4158" i="2"/>
  <c r="C4158" i="2"/>
  <c r="B4158" i="2" s="1"/>
  <c r="A4158" i="2"/>
  <c r="E4157" i="2"/>
  <c r="C4157" i="2"/>
  <c r="B4157" i="2" s="1"/>
  <c r="A4157" i="2"/>
  <c r="E4156" i="2"/>
  <c r="C4156" i="2"/>
  <c r="B4156" i="2" s="1"/>
  <c r="A4156" i="2"/>
  <c r="E4155" i="2"/>
  <c r="C4155" i="2"/>
  <c r="B4155" i="2" s="1"/>
  <c r="A4155" i="2"/>
  <c r="E4154" i="2"/>
  <c r="C4154" i="2"/>
  <c r="B4154" i="2" s="1"/>
  <c r="A4154" i="2"/>
  <c r="E4153" i="2"/>
  <c r="C4153" i="2"/>
  <c r="B4153" i="2" s="1"/>
  <c r="A4153" i="2"/>
  <c r="E4152" i="2"/>
  <c r="C4152" i="2"/>
  <c r="B4152" i="2" s="1"/>
  <c r="A4152" i="2"/>
  <c r="E4151" i="2"/>
  <c r="C4151" i="2"/>
  <c r="B4151" i="2" s="1"/>
  <c r="A4151" i="2"/>
  <c r="E4150" i="2"/>
  <c r="C4150" i="2"/>
  <c r="B4150" i="2" s="1"/>
  <c r="A4150" i="2"/>
  <c r="E4149" i="2"/>
  <c r="C4149" i="2"/>
  <c r="B4149" i="2" s="1"/>
  <c r="A4149" i="2"/>
  <c r="E4148" i="2"/>
  <c r="C4148" i="2"/>
  <c r="B4148" i="2" s="1"/>
  <c r="A4148" i="2"/>
  <c r="E4147" i="2"/>
  <c r="C4147" i="2"/>
  <c r="B4147" i="2" s="1"/>
  <c r="A4147" i="2"/>
  <c r="E4146" i="2"/>
  <c r="C4146" i="2"/>
  <c r="B4146" i="2" s="1"/>
  <c r="A4146" i="2"/>
  <c r="E4145" i="2"/>
  <c r="C4145" i="2"/>
  <c r="B4145" i="2" s="1"/>
  <c r="A4145" i="2"/>
  <c r="E4144" i="2"/>
  <c r="C4144" i="2"/>
  <c r="B4144" i="2" s="1"/>
  <c r="A4144" i="2"/>
  <c r="E4143" i="2"/>
  <c r="C4143" i="2"/>
  <c r="B4143" i="2" s="1"/>
  <c r="A4143" i="2"/>
  <c r="E4142" i="2"/>
  <c r="C4142" i="2"/>
  <c r="B4142" i="2" s="1"/>
  <c r="A4142" i="2"/>
  <c r="E4141" i="2"/>
  <c r="C4141" i="2"/>
  <c r="B4141" i="2" s="1"/>
  <c r="A4141" i="2"/>
  <c r="E4140" i="2"/>
  <c r="C4140" i="2"/>
  <c r="B4140" i="2" s="1"/>
  <c r="A4140" i="2"/>
  <c r="E4139" i="2"/>
  <c r="C4139" i="2"/>
  <c r="B4139" i="2" s="1"/>
  <c r="A4139" i="2"/>
  <c r="E4138" i="2"/>
  <c r="C4138" i="2"/>
  <c r="B4138" i="2" s="1"/>
  <c r="A4138" i="2"/>
  <c r="E4137" i="2"/>
  <c r="C4137" i="2"/>
  <c r="B4137" i="2" s="1"/>
  <c r="A4137" i="2"/>
  <c r="E4136" i="2"/>
  <c r="C4136" i="2"/>
  <c r="B4136" i="2" s="1"/>
  <c r="A4136" i="2"/>
  <c r="E4135" i="2"/>
  <c r="C4135" i="2"/>
  <c r="B4135" i="2" s="1"/>
  <c r="A4135" i="2"/>
  <c r="E4134" i="2"/>
  <c r="C4134" i="2"/>
  <c r="B4134" i="2" s="1"/>
  <c r="A4134" i="2"/>
  <c r="E4133" i="2"/>
  <c r="C4133" i="2"/>
  <c r="B4133" i="2" s="1"/>
  <c r="A4133" i="2"/>
  <c r="E4132" i="2"/>
  <c r="C4132" i="2"/>
  <c r="B4132" i="2" s="1"/>
  <c r="A4132" i="2"/>
  <c r="E4131" i="2"/>
  <c r="C4131" i="2"/>
  <c r="B4131" i="2" s="1"/>
  <c r="A4131" i="2"/>
  <c r="E4130" i="2"/>
  <c r="C4130" i="2"/>
  <c r="B4130" i="2" s="1"/>
  <c r="A4130" i="2"/>
  <c r="E4129" i="2"/>
  <c r="C4129" i="2"/>
  <c r="B4129" i="2" s="1"/>
  <c r="A4129" i="2"/>
  <c r="E4128" i="2"/>
  <c r="C4128" i="2"/>
  <c r="B4128" i="2" s="1"/>
  <c r="A4128" i="2"/>
  <c r="E4127" i="2"/>
  <c r="C4127" i="2"/>
  <c r="B4127" i="2" s="1"/>
  <c r="A4127" i="2"/>
  <c r="E4126" i="2"/>
  <c r="C4126" i="2"/>
  <c r="B4126" i="2" s="1"/>
  <c r="A4126" i="2"/>
  <c r="E4125" i="2"/>
  <c r="C4125" i="2"/>
  <c r="B4125" i="2" s="1"/>
  <c r="A4125" i="2"/>
  <c r="E4124" i="2"/>
  <c r="C4124" i="2"/>
  <c r="B4124" i="2" s="1"/>
  <c r="A4124" i="2"/>
  <c r="E4123" i="2"/>
  <c r="C4123" i="2"/>
  <c r="B4123" i="2" s="1"/>
  <c r="A4123" i="2"/>
  <c r="E4122" i="2"/>
  <c r="C4122" i="2"/>
  <c r="B4122" i="2" s="1"/>
  <c r="A4122" i="2"/>
  <c r="E4121" i="2"/>
  <c r="C4121" i="2"/>
  <c r="B4121" i="2" s="1"/>
  <c r="A4121" i="2"/>
  <c r="E4120" i="2"/>
  <c r="C4120" i="2"/>
  <c r="B4120" i="2" s="1"/>
  <c r="A4120" i="2"/>
  <c r="E4119" i="2"/>
  <c r="C4119" i="2"/>
  <c r="B4119" i="2" s="1"/>
  <c r="A4119" i="2"/>
  <c r="E4118" i="2"/>
  <c r="C4118" i="2"/>
  <c r="B4118" i="2" s="1"/>
  <c r="A4118" i="2"/>
  <c r="E4117" i="2"/>
  <c r="C4117" i="2"/>
  <c r="B4117" i="2" s="1"/>
  <c r="A4117" i="2"/>
  <c r="E4116" i="2"/>
  <c r="C4116" i="2"/>
  <c r="B4116" i="2" s="1"/>
  <c r="A4116" i="2"/>
  <c r="E4115" i="2"/>
  <c r="C4115" i="2"/>
  <c r="B4115" i="2" s="1"/>
  <c r="A4115" i="2"/>
  <c r="E4114" i="2"/>
  <c r="C4114" i="2"/>
  <c r="B4114" i="2" s="1"/>
  <c r="A4114" i="2"/>
  <c r="E4113" i="2"/>
  <c r="C4113" i="2"/>
  <c r="B4113" i="2" s="1"/>
  <c r="A4113" i="2"/>
  <c r="E4112" i="2"/>
  <c r="C4112" i="2"/>
  <c r="B4112" i="2" s="1"/>
  <c r="A4112" i="2"/>
  <c r="E4111" i="2"/>
  <c r="C4111" i="2"/>
  <c r="B4111" i="2" s="1"/>
  <c r="A4111" i="2"/>
  <c r="E4110" i="2"/>
  <c r="C4110" i="2"/>
  <c r="B4110" i="2" s="1"/>
  <c r="A4110" i="2"/>
  <c r="E4109" i="2"/>
  <c r="C4109" i="2"/>
  <c r="B4109" i="2" s="1"/>
  <c r="A4109" i="2"/>
  <c r="E4108" i="2"/>
  <c r="C4108" i="2"/>
  <c r="B4108" i="2" s="1"/>
  <c r="A4108" i="2"/>
  <c r="E4107" i="2"/>
  <c r="C4107" i="2"/>
  <c r="B4107" i="2" s="1"/>
  <c r="A4107" i="2"/>
  <c r="E4106" i="2"/>
  <c r="C4106" i="2"/>
  <c r="B4106" i="2" s="1"/>
  <c r="A4106" i="2"/>
  <c r="E4105" i="2"/>
  <c r="C4105" i="2"/>
  <c r="B4105" i="2" s="1"/>
  <c r="A4105" i="2"/>
  <c r="E4104" i="2"/>
  <c r="C4104" i="2"/>
  <c r="B4104" i="2" s="1"/>
  <c r="A4104" i="2"/>
  <c r="E4103" i="2"/>
  <c r="C4103" i="2"/>
  <c r="B4103" i="2" s="1"/>
  <c r="A4103" i="2"/>
  <c r="E4102" i="2"/>
  <c r="C4102" i="2"/>
  <c r="B4102" i="2" s="1"/>
  <c r="A4102" i="2"/>
  <c r="E4101" i="2"/>
  <c r="C4101" i="2"/>
  <c r="B4101" i="2" s="1"/>
  <c r="A4101" i="2"/>
  <c r="E4100" i="2"/>
  <c r="C4100" i="2"/>
  <c r="B4100" i="2" s="1"/>
  <c r="A4100" i="2"/>
  <c r="E4099" i="2"/>
  <c r="C4099" i="2"/>
  <c r="B4099" i="2" s="1"/>
  <c r="A4099" i="2"/>
  <c r="E4098" i="2"/>
  <c r="C4098" i="2"/>
  <c r="B4098" i="2" s="1"/>
  <c r="A4098" i="2"/>
  <c r="E4097" i="2"/>
  <c r="C4097" i="2"/>
  <c r="B4097" i="2" s="1"/>
  <c r="A4097" i="2"/>
  <c r="E4096" i="2"/>
  <c r="C4096" i="2"/>
  <c r="B4096" i="2" s="1"/>
  <c r="A4096" i="2"/>
  <c r="E4095" i="2"/>
  <c r="C4095" i="2"/>
  <c r="B4095" i="2" s="1"/>
  <c r="A4095" i="2"/>
  <c r="E4094" i="2"/>
  <c r="C4094" i="2"/>
  <c r="B4094" i="2" s="1"/>
  <c r="A4094" i="2"/>
  <c r="E4093" i="2"/>
  <c r="C4093" i="2"/>
  <c r="B4093" i="2" s="1"/>
  <c r="A4093" i="2"/>
  <c r="E4092" i="2"/>
  <c r="C4092" i="2"/>
  <c r="B4092" i="2" s="1"/>
  <c r="A4092" i="2"/>
  <c r="E4091" i="2"/>
  <c r="C4091" i="2"/>
  <c r="B4091" i="2" s="1"/>
  <c r="A4091" i="2"/>
  <c r="E4090" i="2"/>
  <c r="C4090" i="2"/>
  <c r="B4090" i="2" s="1"/>
  <c r="A4090" i="2"/>
  <c r="E4089" i="2"/>
  <c r="C4089" i="2"/>
  <c r="B4089" i="2" s="1"/>
  <c r="A4089" i="2"/>
  <c r="E4088" i="2"/>
  <c r="C4088" i="2"/>
  <c r="B4088" i="2" s="1"/>
  <c r="A4088" i="2"/>
  <c r="E4087" i="2"/>
  <c r="C4087" i="2"/>
  <c r="B4087" i="2" s="1"/>
  <c r="A4087" i="2"/>
  <c r="E4086" i="2"/>
  <c r="C4086" i="2"/>
  <c r="B4086" i="2" s="1"/>
  <c r="A4086" i="2"/>
  <c r="E4085" i="2"/>
  <c r="C4085" i="2"/>
  <c r="B4085" i="2" s="1"/>
  <c r="A4085" i="2"/>
  <c r="E4084" i="2"/>
  <c r="C4084" i="2"/>
  <c r="B4084" i="2" s="1"/>
  <c r="A4084" i="2"/>
  <c r="E4083" i="2"/>
  <c r="C4083" i="2"/>
  <c r="B4083" i="2" s="1"/>
  <c r="A4083" i="2"/>
  <c r="E4082" i="2"/>
  <c r="C4082" i="2"/>
  <c r="B4082" i="2" s="1"/>
  <c r="A4082" i="2"/>
  <c r="E4081" i="2"/>
  <c r="C4081" i="2"/>
  <c r="B4081" i="2" s="1"/>
  <c r="A4081" i="2"/>
  <c r="E4080" i="2"/>
  <c r="C4080" i="2"/>
  <c r="B4080" i="2" s="1"/>
  <c r="A4080" i="2"/>
  <c r="E4079" i="2"/>
  <c r="C4079" i="2"/>
  <c r="B4079" i="2" s="1"/>
  <c r="A4079" i="2"/>
  <c r="E4078" i="2"/>
  <c r="C4078" i="2"/>
  <c r="B4078" i="2" s="1"/>
  <c r="A4078" i="2"/>
  <c r="E4077" i="2"/>
  <c r="C4077" i="2"/>
  <c r="B4077" i="2" s="1"/>
  <c r="A4077" i="2"/>
  <c r="E4076" i="2"/>
  <c r="C4076" i="2"/>
  <c r="B4076" i="2" s="1"/>
  <c r="A4076" i="2"/>
  <c r="E4075" i="2"/>
  <c r="C4075" i="2"/>
  <c r="B4075" i="2" s="1"/>
  <c r="A4075" i="2"/>
  <c r="E4074" i="2"/>
  <c r="C4074" i="2"/>
  <c r="B4074" i="2" s="1"/>
  <c r="A4074" i="2"/>
  <c r="E4073" i="2"/>
  <c r="C4073" i="2"/>
  <c r="B4073" i="2" s="1"/>
  <c r="A4073" i="2"/>
  <c r="E4072" i="2"/>
  <c r="C4072" i="2"/>
  <c r="B4072" i="2" s="1"/>
  <c r="A4072" i="2"/>
  <c r="E4071" i="2"/>
  <c r="C4071" i="2"/>
  <c r="B4071" i="2" s="1"/>
  <c r="A4071" i="2"/>
  <c r="E4070" i="2"/>
  <c r="C4070" i="2"/>
  <c r="B4070" i="2" s="1"/>
  <c r="A4070" i="2"/>
  <c r="E4069" i="2"/>
  <c r="C4069" i="2"/>
  <c r="B4069" i="2" s="1"/>
  <c r="A4069" i="2"/>
  <c r="E4068" i="2"/>
  <c r="C4068" i="2"/>
  <c r="B4068" i="2" s="1"/>
  <c r="A4068" i="2"/>
  <c r="E4067" i="2"/>
  <c r="C4067" i="2"/>
  <c r="B4067" i="2" s="1"/>
  <c r="A4067" i="2"/>
  <c r="E4066" i="2"/>
  <c r="C4066" i="2"/>
  <c r="B4066" i="2" s="1"/>
  <c r="A4066" i="2"/>
  <c r="E4065" i="2"/>
  <c r="C4065" i="2"/>
  <c r="B4065" i="2" s="1"/>
  <c r="A4065" i="2"/>
  <c r="E4064" i="2"/>
  <c r="C4064" i="2"/>
  <c r="B4064" i="2" s="1"/>
  <c r="A4064" i="2"/>
  <c r="E4063" i="2"/>
  <c r="C4063" i="2"/>
  <c r="B4063" i="2" s="1"/>
  <c r="A4063" i="2"/>
  <c r="E4062" i="2"/>
  <c r="C4062" i="2"/>
  <c r="B4062" i="2" s="1"/>
  <c r="A4062" i="2"/>
  <c r="E4061" i="2"/>
  <c r="C4061" i="2"/>
  <c r="B4061" i="2" s="1"/>
  <c r="A4061" i="2"/>
  <c r="E4060" i="2"/>
  <c r="C4060" i="2"/>
  <c r="B4060" i="2" s="1"/>
  <c r="A4060" i="2"/>
  <c r="E4059" i="2"/>
  <c r="C4059" i="2"/>
  <c r="B4059" i="2" s="1"/>
  <c r="A4059" i="2"/>
  <c r="E4058" i="2"/>
  <c r="C4058" i="2"/>
  <c r="B4058" i="2" s="1"/>
  <c r="A4058" i="2"/>
  <c r="E4057" i="2"/>
  <c r="C4057" i="2"/>
  <c r="B4057" i="2" s="1"/>
  <c r="A4057" i="2"/>
  <c r="E4056" i="2"/>
  <c r="C4056" i="2"/>
  <c r="B4056" i="2" s="1"/>
  <c r="A4056" i="2"/>
  <c r="E4055" i="2"/>
  <c r="C4055" i="2"/>
  <c r="B4055" i="2" s="1"/>
  <c r="A4055" i="2"/>
  <c r="E4054" i="2"/>
  <c r="C4054" i="2"/>
  <c r="B4054" i="2" s="1"/>
  <c r="A4054" i="2"/>
  <c r="E4053" i="2"/>
  <c r="C4053" i="2"/>
  <c r="B4053" i="2" s="1"/>
  <c r="A4053" i="2"/>
  <c r="E4052" i="2"/>
  <c r="C4052" i="2"/>
  <c r="B4052" i="2" s="1"/>
  <c r="A4052" i="2"/>
  <c r="E4051" i="2"/>
  <c r="C4051" i="2"/>
  <c r="B4051" i="2" s="1"/>
  <c r="A4051" i="2"/>
  <c r="E4050" i="2"/>
  <c r="C4050" i="2"/>
  <c r="B4050" i="2" s="1"/>
  <c r="A4050" i="2"/>
  <c r="E4049" i="2"/>
  <c r="C4049" i="2"/>
  <c r="B4049" i="2" s="1"/>
  <c r="A4049" i="2"/>
  <c r="E4048" i="2"/>
  <c r="C4048" i="2"/>
  <c r="B4048" i="2" s="1"/>
  <c r="A4048" i="2"/>
  <c r="E4047" i="2"/>
  <c r="C4047" i="2"/>
  <c r="B4047" i="2" s="1"/>
  <c r="A4047" i="2"/>
  <c r="E4046" i="2"/>
  <c r="C4046" i="2"/>
  <c r="B4046" i="2" s="1"/>
  <c r="A4046" i="2"/>
  <c r="E4045" i="2"/>
  <c r="C4045" i="2"/>
  <c r="B4045" i="2" s="1"/>
  <c r="A4045" i="2"/>
  <c r="E4044" i="2"/>
  <c r="C4044" i="2"/>
  <c r="B4044" i="2" s="1"/>
  <c r="A4044" i="2"/>
  <c r="E4043" i="2"/>
  <c r="C4043" i="2"/>
  <c r="B4043" i="2" s="1"/>
  <c r="A4043" i="2"/>
  <c r="E4042" i="2"/>
  <c r="C4042" i="2"/>
  <c r="B4042" i="2" s="1"/>
  <c r="A4042" i="2"/>
  <c r="E4041" i="2"/>
  <c r="C4041" i="2"/>
  <c r="B4041" i="2" s="1"/>
  <c r="A4041" i="2"/>
  <c r="E4040" i="2"/>
  <c r="C4040" i="2"/>
  <c r="B4040" i="2" s="1"/>
  <c r="A4040" i="2"/>
  <c r="E4039" i="2"/>
  <c r="C4039" i="2"/>
  <c r="B4039" i="2" s="1"/>
  <c r="A4039" i="2"/>
  <c r="E4038" i="2"/>
  <c r="C4038" i="2"/>
  <c r="B4038" i="2" s="1"/>
  <c r="A4038" i="2"/>
  <c r="E4037" i="2"/>
  <c r="C4037" i="2"/>
  <c r="B4037" i="2" s="1"/>
  <c r="A4037" i="2"/>
  <c r="E4036" i="2"/>
  <c r="C4036" i="2"/>
  <c r="B4036" i="2" s="1"/>
  <c r="A4036" i="2"/>
  <c r="E4035" i="2"/>
  <c r="C4035" i="2"/>
  <c r="B4035" i="2" s="1"/>
  <c r="A4035" i="2"/>
  <c r="E4034" i="2"/>
  <c r="C4034" i="2"/>
  <c r="B4034" i="2" s="1"/>
  <c r="A4034" i="2"/>
  <c r="E4033" i="2"/>
  <c r="C4033" i="2"/>
  <c r="B4033" i="2" s="1"/>
  <c r="A4033" i="2"/>
  <c r="E4032" i="2"/>
  <c r="C4032" i="2"/>
  <c r="B4032" i="2" s="1"/>
  <c r="A4032" i="2"/>
  <c r="E4031" i="2"/>
  <c r="C4031" i="2"/>
  <c r="B4031" i="2" s="1"/>
  <c r="A4031" i="2"/>
  <c r="E4030" i="2"/>
  <c r="C4030" i="2"/>
  <c r="B4030" i="2" s="1"/>
  <c r="A4030" i="2"/>
  <c r="E4029" i="2"/>
  <c r="C4029" i="2"/>
  <c r="B4029" i="2" s="1"/>
  <c r="A4029" i="2"/>
  <c r="E4028" i="2"/>
  <c r="C4028" i="2"/>
  <c r="B4028" i="2" s="1"/>
  <c r="A4028" i="2"/>
  <c r="E4027" i="2"/>
  <c r="C4027" i="2"/>
  <c r="B4027" i="2" s="1"/>
  <c r="A4027" i="2"/>
  <c r="E4026" i="2"/>
  <c r="C4026" i="2"/>
  <c r="B4026" i="2" s="1"/>
  <c r="A4026" i="2"/>
  <c r="E4025" i="2"/>
  <c r="C4025" i="2"/>
  <c r="B4025" i="2" s="1"/>
  <c r="A4025" i="2"/>
  <c r="E4024" i="2"/>
  <c r="C4024" i="2"/>
  <c r="B4024" i="2" s="1"/>
  <c r="A4024" i="2"/>
  <c r="E4023" i="2"/>
  <c r="C4023" i="2"/>
  <c r="B4023" i="2" s="1"/>
  <c r="A4023" i="2"/>
  <c r="E4022" i="2"/>
  <c r="C4022" i="2"/>
  <c r="B4022" i="2" s="1"/>
  <c r="A4022" i="2"/>
  <c r="E4021" i="2"/>
  <c r="C4021" i="2"/>
  <c r="B4021" i="2" s="1"/>
  <c r="A4021" i="2"/>
  <c r="E4020" i="2"/>
  <c r="C4020" i="2"/>
  <c r="B4020" i="2" s="1"/>
  <c r="A4020" i="2"/>
  <c r="E4019" i="2"/>
  <c r="C4019" i="2"/>
  <c r="B4019" i="2" s="1"/>
  <c r="A4019" i="2"/>
  <c r="E4018" i="2"/>
  <c r="C4018" i="2"/>
  <c r="B4018" i="2" s="1"/>
  <c r="A4018" i="2"/>
  <c r="E4017" i="2"/>
  <c r="C4017" i="2"/>
  <c r="B4017" i="2" s="1"/>
  <c r="A4017" i="2"/>
  <c r="E4016" i="2"/>
  <c r="C4016" i="2"/>
  <c r="B4016" i="2" s="1"/>
  <c r="A4016" i="2"/>
  <c r="E4015" i="2"/>
  <c r="C4015" i="2"/>
  <c r="B4015" i="2" s="1"/>
  <c r="A4015" i="2"/>
  <c r="E4014" i="2"/>
  <c r="C4014" i="2"/>
  <c r="B4014" i="2" s="1"/>
  <c r="A4014" i="2"/>
  <c r="E4013" i="2"/>
  <c r="C4013" i="2"/>
  <c r="B4013" i="2" s="1"/>
  <c r="A4013" i="2"/>
  <c r="E4012" i="2"/>
  <c r="C4012" i="2"/>
  <c r="B4012" i="2" s="1"/>
  <c r="A4012" i="2"/>
  <c r="E4011" i="2"/>
  <c r="C4011" i="2"/>
  <c r="B4011" i="2" s="1"/>
  <c r="A4011" i="2"/>
  <c r="E4010" i="2"/>
  <c r="C4010" i="2"/>
  <c r="B4010" i="2" s="1"/>
  <c r="A4010" i="2"/>
  <c r="E4009" i="2"/>
  <c r="C4009" i="2"/>
  <c r="B4009" i="2" s="1"/>
  <c r="A4009" i="2"/>
  <c r="E4008" i="2"/>
  <c r="C4008" i="2"/>
  <c r="B4008" i="2" s="1"/>
  <c r="A4008" i="2"/>
  <c r="E4007" i="2"/>
  <c r="C4007" i="2"/>
  <c r="B4007" i="2" s="1"/>
  <c r="A4007" i="2"/>
  <c r="E4006" i="2"/>
  <c r="C4006" i="2"/>
  <c r="B4006" i="2" s="1"/>
  <c r="A4006" i="2"/>
  <c r="E4005" i="2"/>
  <c r="C4005" i="2"/>
  <c r="B4005" i="2" s="1"/>
  <c r="A4005" i="2"/>
  <c r="E4004" i="2"/>
  <c r="C4004" i="2"/>
  <c r="B4004" i="2" s="1"/>
  <c r="A4004" i="2"/>
  <c r="E4003" i="2"/>
  <c r="C4003" i="2"/>
  <c r="B4003" i="2" s="1"/>
  <c r="A4003" i="2"/>
  <c r="E4002" i="2"/>
  <c r="C4002" i="2"/>
  <c r="B4002" i="2" s="1"/>
  <c r="A4002" i="2"/>
  <c r="E4001" i="2"/>
  <c r="C4001" i="2"/>
  <c r="B4001" i="2" s="1"/>
  <c r="A4001" i="2"/>
  <c r="E4000" i="2"/>
  <c r="C4000" i="2"/>
  <c r="B4000" i="2" s="1"/>
  <c r="A4000" i="2"/>
  <c r="E3999" i="2"/>
  <c r="C3999" i="2"/>
  <c r="B3999" i="2" s="1"/>
  <c r="A3999" i="2"/>
  <c r="E3998" i="2"/>
  <c r="C3998" i="2"/>
  <c r="B3998" i="2" s="1"/>
  <c r="A3998" i="2"/>
  <c r="E3997" i="2"/>
  <c r="C3997" i="2"/>
  <c r="B3997" i="2" s="1"/>
  <c r="A3997" i="2"/>
  <c r="E3996" i="2"/>
  <c r="C3996" i="2"/>
  <c r="B3996" i="2" s="1"/>
  <c r="A3996" i="2"/>
  <c r="E3995" i="2"/>
  <c r="C3995" i="2"/>
  <c r="B3995" i="2" s="1"/>
  <c r="A3995" i="2"/>
  <c r="E3994" i="2"/>
  <c r="C3994" i="2"/>
  <c r="B3994" i="2" s="1"/>
  <c r="A3994" i="2"/>
  <c r="E3993" i="2"/>
  <c r="C3993" i="2"/>
  <c r="B3993" i="2" s="1"/>
  <c r="A3993" i="2"/>
  <c r="E3992" i="2"/>
  <c r="C3992" i="2"/>
  <c r="B3992" i="2" s="1"/>
  <c r="A3992" i="2"/>
  <c r="E3991" i="2"/>
  <c r="C3991" i="2"/>
  <c r="B3991" i="2" s="1"/>
  <c r="A3991" i="2"/>
  <c r="E3990" i="2"/>
  <c r="C3990" i="2"/>
  <c r="B3990" i="2" s="1"/>
  <c r="A3990" i="2"/>
  <c r="E3989" i="2"/>
  <c r="C3989" i="2"/>
  <c r="B3989" i="2" s="1"/>
  <c r="A3989" i="2"/>
  <c r="E3988" i="2"/>
  <c r="C3988" i="2"/>
  <c r="B3988" i="2" s="1"/>
  <c r="A3988" i="2"/>
  <c r="E3987" i="2"/>
  <c r="C3987" i="2"/>
  <c r="A3987" i="2"/>
  <c r="E3986" i="2"/>
  <c r="C3986" i="2"/>
  <c r="B3986" i="2" s="1"/>
  <c r="A3986" i="2"/>
  <c r="E3985" i="2"/>
  <c r="C3985" i="2"/>
  <c r="B3985" i="2" s="1"/>
  <c r="A3985" i="2"/>
  <c r="E3984" i="2"/>
  <c r="C3984" i="2"/>
  <c r="B3984" i="2" s="1"/>
  <c r="A3984" i="2"/>
  <c r="E3983" i="2"/>
  <c r="C3983" i="2"/>
  <c r="A3983" i="2"/>
  <c r="E3982" i="2"/>
  <c r="C3982" i="2"/>
  <c r="B3982" i="2" s="1"/>
  <c r="A3982" i="2"/>
  <c r="E3981" i="2"/>
  <c r="C3981" i="2"/>
  <c r="B3981" i="2" s="1"/>
  <c r="A3981" i="2"/>
  <c r="E3980" i="2"/>
  <c r="C3980" i="2"/>
  <c r="B3980" i="2" s="1"/>
  <c r="A3980" i="2"/>
  <c r="E3979" i="2"/>
  <c r="C3979" i="2"/>
  <c r="A3979" i="2"/>
  <c r="E3978" i="2"/>
  <c r="C3978" i="2"/>
  <c r="B3978" i="2" s="1"/>
  <c r="A3978" i="2"/>
  <c r="E3977" i="2"/>
  <c r="C3977" i="2"/>
  <c r="B3977" i="2" s="1"/>
  <c r="A3977" i="2"/>
  <c r="E3976" i="2"/>
  <c r="C3976" i="2"/>
  <c r="B3976" i="2" s="1"/>
  <c r="A3976" i="2"/>
  <c r="E3975" i="2"/>
  <c r="C3975" i="2"/>
  <c r="B3975" i="2" s="1"/>
  <c r="A3975" i="2"/>
  <c r="E3974" i="2"/>
  <c r="C3974" i="2"/>
  <c r="B3974" i="2" s="1"/>
  <c r="A3974" i="2"/>
  <c r="E3973" i="2"/>
  <c r="C3973" i="2"/>
  <c r="B3973" i="2" s="1"/>
  <c r="A3973" i="2"/>
  <c r="E3972" i="2"/>
  <c r="C3972" i="2"/>
  <c r="B3972" i="2" s="1"/>
  <c r="A3972" i="2"/>
  <c r="E3971" i="2"/>
  <c r="C3971" i="2"/>
  <c r="B3971" i="2" s="1"/>
  <c r="A3971" i="2"/>
  <c r="E3970" i="2"/>
  <c r="C3970" i="2"/>
  <c r="B3970" i="2" s="1"/>
  <c r="A3970" i="2"/>
  <c r="E3969" i="2"/>
  <c r="C3969" i="2"/>
  <c r="B3969" i="2" s="1"/>
  <c r="A3969" i="2"/>
  <c r="E3968" i="2"/>
  <c r="C3968" i="2"/>
  <c r="B3968" i="2" s="1"/>
  <c r="A3968" i="2"/>
  <c r="E3967" i="2"/>
  <c r="C3967" i="2"/>
  <c r="A3967" i="2"/>
  <c r="E3966" i="2"/>
  <c r="C3966" i="2"/>
  <c r="B3966" i="2" s="1"/>
  <c r="A3966" i="2"/>
  <c r="E3965" i="2"/>
  <c r="C3965" i="2"/>
  <c r="B3965" i="2" s="1"/>
  <c r="A3965" i="2"/>
  <c r="E3964" i="2"/>
  <c r="C3964" i="2"/>
  <c r="B3964" i="2" s="1"/>
  <c r="A3964" i="2"/>
  <c r="E3963" i="2"/>
  <c r="C3963" i="2"/>
  <c r="A3963" i="2"/>
  <c r="E3962" i="2"/>
  <c r="C3962" i="2"/>
  <c r="B3962" i="2" s="1"/>
  <c r="A3962" i="2"/>
  <c r="E3961" i="2"/>
  <c r="C3961" i="2"/>
  <c r="B3961" i="2" s="1"/>
  <c r="A3961" i="2"/>
  <c r="E3960" i="2"/>
  <c r="C3960" i="2"/>
  <c r="B3960" i="2" s="1"/>
  <c r="A3960" i="2"/>
  <c r="E3959" i="2"/>
  <c r="C3959" i="2"/>
  <c r="B3959" i="2" s="1"/>
  <c r="A3959" i="2"/>
  <c r="E3958" i="2"/>
  <c r="C3958" i="2"/>
  <c r="B3958" i="2" s="1"/>
  <c r="A3958" i="2"/>
  <c r="E3957" i="2"/>
  <c r="C3957" i="2"/>
  <c r="B3957" i="2" s="1"/>
  <c r="A3957" i="2"/>
  <c r="E3956" i="2"/>
  <c r="C3956" i="2"/>
  <c r="B3956" i="2" s="1"/>
  <c r="A3956" i="2"/>
  <c r="E3955" i="2"/>
  <c r="C3955" i="2"/>
  <c r="B3955" i="2" s="1"/>
  <c r="A3955" i="2"/>
  <c r="E3954" i="2"/>
  <c r="C3954" i="2"/>
  <c r="B3954" i="2" s="1"/>
  <c r="A3954" i="2"/>
  <c r="E3953" i="2"/>
  <c r="C3953" i="2"/>
  <c r="B3953" i="2" s="1"/>
  <c r="A3953" i="2"/>
  <c r="E3952" i="2"/>
  <c r="C3952" i="2"/>
  <c r="B3952" i="2" s="1"/>
  <c r="A3952" i="2"/>
  <c r="E3951" i="2"/>
  <c r="C3951" i="2"/>
  <c r="A3951" i="2"/>
  <c r="E3950" i="2"/>
  <c r="C3950" i="2"/>
  <c r="B3950" i="2" s="1"/>
  <c r="A3950" i="2"/>
  <c r="E3949" i="2"/>
  <c r="C3949" i="2"/>
  <c r="B3949" i="2" s="1"/>
  <c r="A3949" i="2"/>
  <c r="E3948" i="2"/>
  <c r="C3948" i="2"/>
  <c r="B3948" i="2" s="1"/>
  <c r="A3948" i="2"/>
  <c r="E3947" i="2"/>
  <c r="C3947" i="2"/>
  <c r="A3947" i="2"/>
  <c r="E3946" i="2"/>
  <c r="C3946" i="2"/>
  <c r="B3946" i="2" s="1"/>
  <c r="A3946" i="2"/>
  <c r="E3945" i="2"/>
  <c r="C3945" i="2"/>
  <c r="B3945" i="2" s="1"/>
  <c r="A3945" i="2"/>
  <c r="E3944" i="2"/>
  <c r="C3944" i="2"/>
  <c r="B3944" i="2" s="1"/>
  <c r="A3944" i="2"/>
  <c r="E3943" i="2"/>
  <c r="C3943" i="2"/>
  <c r="B3943" i="2" s="1"/>
  <c r="A3943" i="2"/>
  <c r="E3942" i="2"/>
  <c r="C3942" i="2"/>
  <c r="B3942" i="2" s="1"/>
  <c r="A3942" i="2"/>
  <c r="E3941" i="2"/>
  <c r="C3941" i="2"/>
  <c r="B3941" i="2" s="1"/>
  <c r="A3941" i="2"/>
  <c r="E3940" i="2"/>
  <c r="C3940" i="2"/>
  <c r="B3940" i="2" s="1"/>
  <c r="A3940" i="2"/>
  <c r="E3939" i="2"/>
  <c r="C3939" i="2"/>
  <c r="B3939" i="2" s="1"/>
  <c r="A3939" i="2"/>
  <c r="E3938" i="2"/>
  <c r="C3938" i="2"/>
  <c r="B3938" i="2" s="1"/>
  <c r="A3938" i="2"/>
  <c r="E3937" i="2"/>
  <c r="C3937" i="2"/>
  <c r="B3937" i="2" s="1"/>
  <c r="A3937" i="2"/>
  <c r="E3936" i="2"/>
  <c r="C3936" i="2"/>
  <c r="B3936" i="2" s="1"/>
  <c r="A3936" i="2"/>
  <c r="E3935" i="2"/>
  <c r="C3935" i="2"/>
  <c r="A3935" i="2"/>
  <c r="E3934" i="2"/>
  <c r="C3934" i="2"/>
  <c r="B3934" i="2" s="1"/>
  <c r="A3934" i="2"/>
  <c r="E3933" i="2"/>
  <c r="C3933" i="2"/>
  <c r="B3933" i="2" s="1"/>
  <c r="A3933" i="2"/>
  <c r="E3932" i="2"/>
  <c r="C3932" i="2"/>
  <c r="B3932" i="2" s="1"/>
  <c r="A3932" i="2"/>
  <c r="E3931" i="2"/>
  <c r="C3931" i="2"/>
  <c r="A3931" i="2"/>
  <c r="E3930" i="2"/>
  <c r="C3930" i="2"/>
  <c r="B3930" i="2" s="1"/>
  <c r="A3930" i="2"/>
  <c r="E3929" i="2"/>
  <c r="C3929" i="2"/>
  <c r="B3929" i="2" s="1"/>
  <c r="A3929" i="2"/>
  <c r="E3928" i="2"/>
  <c r="C3928" i="2"/>
  <c r="B3928" i="2" s="1"/>
  <c r="A3928" i="2"/>
  <c r="E3927" i="2"/>
  <c r="C3927" i="2"/>
  <c r="B3927" i="2" s="1"/>
  <c r="A3927" i="2"/>
  <c r="E3926" i="2"/>
  <c r="C3926" i="2"/>
  <c r="B3926" i="2" s="1"/>
  <c r="A3926" i="2"/>
  <c r="E3925" i="2"/>
  <c r="C3925" i="2"/>
  <c r="B3925" i="2" s="1"/>
  <c r="A3925" i="2"/>
  <c r="E3924" i="2"/>
  <c r="C3924" i="2"/>
  <c r="B3924" i="2" s="1"/>
  <c r="A3924" i="2"/>
  <c r="E3923" i="2"/>
  <c r="C3923" i="2"/>
  <c r="B3923" i="2" s="1"/>
  <c r="A3923" i="2"/>
  <c r="E3922" i="2"/>
  <c r="C3922" i="2"/>
  <c r="B3922" i="2" s="1"/>
  <c r="A3922" i="2"/>
  <c r="E3921" i="2"/>
  <c r="C3921" i="2"/>
  <c r="B3921" i="2" s="1"/>
  <c r="A3921" i="2"/>
  <c r="E3920" i="2"/>
  <c r="C3920" i="2"/>
  <c r="B3920" i="2" s="1"/>
  <c r="A3920" i="2"/>
  <c r="E3919" i="2"/>
  <c r="C3919" i="2"/>
  <c r="A3919" i="2"/>
  <c r="E3918" i="2"/>
  <c r="C3918" i="2"/>
  <c r="B3918" i="2" s="1"/>
  <c r="A3918" i="2"/>
  <c r="E3917" i="2"/>
  <c r="C3917" i="2"/>
  <c r="B3917" i="2" s="1"/>
  <c r="A3917" i="2"/>
  <c r="E3916" i="2"/>
  <c r="C3916" i="2"/>
  <c r="B3916" i="2" s="1"/>
  <c r="A3916" i="2"/>
  <c r="E3915" i="2"/>
  <c r="C3915" i="2"/>
  <c r="A3915" i="2"/>
  <c r="E3914" i="2"/>
  <c r="C3914" i="2"/>
  <c r="B3914" i="2" s="1"/>
  <c r="A3914" i="2"/>
  <c r="E3913" i="2"/>
  <c r="C3913" i="2"/>
  <c r="B3913" i="2" s="1"/>
  <c r="A3913" i="2"/>
  <c r="E3912" i="2"/>
  <c r="C3912" i="2"/>
  <c r="B3912" i="2" s="1"/>
  <c r="A3912" i="2"/>
  <c r="E3911" i="2"/>
  <c r="C3911" i="2"/>
  <c r="B3911" i="2" s="1"/>
  <c r="A3911" i="2"/>
  <c r="E3910" i="2"/>
  <c r="C3910" i="2"/>
  <c r="B3910" i="2" s="1"/>
  <c r="A3910" i="2"/>
  <c r="E3909" i="2"/>
  <c r="C3909" i="2"/>
  <c r="B3909" i="2" s="1"/>
  <c r="A3909" i="2"/>
  <c r="E3908" i="2"/>
  <c r="C3908" i="2"/>
  <c r="B3908" i="2" s="1"/>
  <c r="A3908" i="2"/>
  <c r="E3907" i="2"/>
  <c r="C3907" i="2"/>
  <c r="B3907" i="2" s="1"/>
  <c r="A3907" i="2"/>
  <c r="E3906" i="2"/>
  <c r="C3906" i="2"/>
  <c r="B3906" i="2" s="1"/>
  <c r="A3906" i="2"/>
  <c r="E3905" i="2"/>
  <c r="C3905" i="2"/>
  <c r="B3905" i="2" s="1"/>
  <c r="A3905" i="2"/>
  <c r="E3904" i="2"/>
  <c r="C3904" i="2"/>
  <c r="B3904" i="2" s="1"/>
  <c r="A3904" i="2"/>
  <c r="E3903" i="2"/>
  <c r="C3903" i="2"/>
  <c r="A3903" i="2"/>
  <c r="E3902" i="2"/>
  <c r="C3902" i="2"/>
  <c r="B3902" i="2" s="1"/>
  <c r="A3902" i="2"/>
  <c r="E3901" i="2"/>
  <c r="C3901" i="2"/>
  <c r="B3901" i="2" s="1"/>
  <c r="A3901" i="2"/>
  <c r="E3900" i="2"/>
  <c r="C3900" i="2"/>
  <c r="B3900" i="2" s="1"/>
  <c r="A3900" i="2"/>
  <c r="E3899" i="2"/>
  <c r="C3899" i="2"/>
  <c r="A3899" i="2"/>
  <c r="E3898" i="2"/>
  <c r="C3898" i="2"/>
  <c r="B3898" i="2" s="1"/>
  <c r="A3898" i="2"/>
  <c r="E3897" i="2"/>
  <c r="C3897" i="2"/>
  <c r="B3897" i="2" s="1"/>
  <c r="A3897" i="2"/>
  <c r="E3896" i="2"/>
  <c r="C3896" i="2"/>
  <c r="B3896" i="2" s="1"/>
  <c r="A3896" i="2"/>
  <c r="E3895" i="2"/>
  <c r="C3895" i="2"/>
  <c r="B3895" i="2" s="1"/>
  <c r="A3895" i="2"/>
  <c r="E3894" i="2"/>
  <c r="C3894" i="2"/>
  <c r="B3894" i="2" s="1"/>
  <c r="A3894" i="2"/>
  <c r="E3893" i="2"/>
  <c r="C3893" i="2"/>
  <c r="B3893" i="2" s="1"/>
  <c r="A3893" i="2"/>
  <c r="E3892" i="2"/>
  <c r="C3892" i="2"/>
  <c r="B3892" i="2" s="1"/>
  <c r="A3892" i="2"/>
  <c r="E3891" i="2"/>
  <c r="C3891" i="2"/>
  <c r="B3891" i="2" s="1"/>
  <c r="A3891" i="2"/>
  <c r="E3890" i="2"/>
  <c r="C3890" i="2"/>
  <c r="B3890" i="2" s="1"/>
  <c r="A3890" i="2"/>
  <c r="E3889" i="2"/>
  <c r="C3889" i="2"/>
  <c r="B3889" i="2" s="1"/>
  <c r="A3889" i="2"/>
  <c r="E3888" i="2"/>
  <c r="C3888" i="2"/>
  <c r="B3888" i="2" s="1"/>
  <c r="A3888" i="2"/>
  <c r="E3887" i="2"/>
  <c r="C3887" i="2"/>
  <c r="A3887" i="2"/>
  <c r="E3886" i="2"/>
  <c r="C3886" i="2"/>
  <c r="B3886" i="2" s="1"/>
  <c r="A3886" i="2"/>
  <c r="E3885" i="2"/>
  <c r="C3885" i="2"/>
  <c r="B3885" i="2" s="1"/>
  <c r="A3885" i="2"/>
  <c r="E3884" i="2"/>
  <c r="C3884" i="2"/>
  <c r="B3884" i="2" s="1"/>
  <c r="A3884" i="2"/>
  <c r="E3883" i="2"/>
  <c r="C3883" i="2"/>
  <c r="A3883" i="2"/>
  <c r="E3882" i="2"/>
  <c r="C3882" i="2"/>
  <c r="B3882" i="2" s="1"/>
  <c r="A3882" i="2"/>
  <c r="E3881" i="2"/>
  <c r="C3881" i="2"/>
  <c r="B3881" i="2" s="1"/>
  <c r="A3881" i="2"/>
  <c r="E3880" i="2"/>
  <c r="C3880" i="2"/>
  <c r="B3880" i="2" s="1"/>
  <c r="A3880" i="2"/>
  <c r="E3879" i="2"/>
  <c r="C3879" i="2"/>
  <c r="B3879" i="2" s="1"/>
  <c r="A3879" i="2"/>
  <c r="E3878" i="2"/>
  <c r="C3878" i="2"/>
  <c r="B3878" i="2" s="1"/>
  <c r="A3878" i="2"/>
  <c r="E3877" i="2"/>
  <c r="C3877" i="2"/>
  <c r="B3877" i="2" s="1"/>
  <c r="A3877" i="2"/>
  <c r="E3876" i="2"/>
  <c r="C3876" i="2"/>
  <c r="B3876" i="2" s="1"/>
  <c r="A3876" i="2"/>
  <c r="E3875" i="2"/>
  <c r="C3875" i="2"/>
  <c r="B3875" i="2" s="1"/>
  <c r="A3875" i="2"/>
  <c r="E3874" i="2"/>
  <c r="C3874" i="2"/>
  <c r="B3874" i="2" s="1"/>
  <c r="A3874" i="2"/>
  <c r="E3873" i="2"/>
  <c r="C3873" i="2"/>
  <c r="B3873" i="2" s="1"/>
  <c r="A3873" i="2"/>
  <c r="E3872" i="2"/>
  <c r="C3872" i="2"/>
  <c r="B3872" i="2" s="1"/>
  <c r="A3872" i="2"/>
  <c r="E3871" i="2"/>
  <c r="C3871" i="2"/>
  <c r="A3871" i="2"/>
  <c r="E3870" i="2"/>
  <c r="C3870" i="2"/>
  <c r="B3870" i="2" s="1"/>
  <c r="A3870" i="2"/>
  <c r="E3869" i="2"/>
  <c r="C3869" i="2"/>
  <c r="B3869" i="2" s="1"/>
  <c r="A3869" i="2"/>
  <c r="E3868" i="2"/>
  <c r="C3868" i="2"/>
  <c r="B3868" i="2" s="1"/>
  <c r="A3868" i="2"/>
  <c r="E3867" i="2"/>
  <c r="C3867" i="2"/>
  <c r="A3867" i="2"/>
  <c r="E3866" i="2"/>
  <c r="C3866" i="2"/>
  <c r="B3866" i="2" s="1"/>
  <c r="A3866" i="2"/>
  <c r="E3865" i="2"/>
  <c r="C3865" i="2"/>
  <c r="B3865" i="2" s="1"/>
  <c r="A3865" i="2"/>
  <c r="E3864" i="2"/>
  <c r="C3864" i="2"/>
  <c r="B3864" i="2" s="1"/>
  <c r="A3864" i="2"/>
  <c r="E3863" i="2"/>
  <c r="C3863" i="2"/>
  <c r="B3863" i="2" s="1"/>
  <c r="A3863" i="2"/>
  <c r="E3862" i="2"/>
  <c r="C3862" i="2"/>
  <c r="B3862" i="2" s="1"/>
  <c r="A3862" i="2"/>
  <c r="E3861" i="2"/>
  <c r="C3861" i="2"/>
  <c r="B3861" i="2" s="1"/>
  <c r="A3861" i="2"/>
  <c r="E3860" i="2"/>
  <c r="C3860" i="2"/>
  <c r="B3860" i="2" s="1"/>
  <c r="A3860" i="2"/>
  <c r="E3859" i="2"/>
  <c r="C3859" i="2"/>
  <c r="B3859" i="2" s="1"/>
  <c r="A3859" i="2"/>
  <c r="E3858" i="2"/>
  <c r="C3858" i="2"/>
  <c r="B3858" i="2" s="1"/>
  <c r="A3858" i="2"/>
  <c r="E3857" i="2"/>
  <c r="C3857" i="2"/>
  <c r="B3857" i="2" s="1"/>
  <c r="A3857" i="2"/>
  <c r="E3856" i="2"/>
  <c r="C3856" i="2"/>
  <c r="B3856" i="2" s="1"/>
  <c r="A3856" i="2"/>
  <c r="E3855" i="2"/>
  <c r="C3855" i="2"/>
  <c r="A3855" i="2"/>
  <c r="E3854" i="2"/>
  <c r="C3854" i="2"/>
  <c r="B3854" i="2" s="1"/>
  <c r="A3854" i="2"/>
  <c r="E3853" i="2"/>
  <c r="C3853" i="2"/>
  <c r="B3853" i="2" s="1"/>
  <c r="A3853" i="2"/>
  <c r="E3852" i="2"/>
  <c r="C3852" i="2"/>
  <c r="B3852" i="2" s="1"/>
  <c r="A3852" i="2"/>
  <c r="E3851" i="2"/>
  <c r="C3851" i="2"/>
  <c r="A3851" i="2"/>
  <c r="E3850" i="2"/>
  <c r="C3850" i="2"/>
  <c r="B3850" i="2" s="1"/>
  <c r="A3850" i="2"/>
  <c r="E3849" i="2"/>
  <c r="C3849" i="2"/>
  <c r="B3849" i="2" s="1"/>
  <c r="A3849" i="2"/>
  <c r="E3848" i="2"/>
  <c r="C3848" i="2"/>
  <c r="B3848" i="2" s="1"/>
  <c r="A3848" i="2"/>
  <c r="E3847" i="2"/>
  <c r="C3847" i="2"/>
  <c r="B3847" i="2" s="1"/>
  <c r="A3847" i="2"/>
  <c r="E3846" i="2"/>
  <c r="C3846" i="2"/>
  <c r="B3846" i="2" s="1"/>
  <c r="A3846" i="2"/>
  <c r="E3845" i="2"/>
  <c r="C3845" i="2"/>
  <c r="B3845" i="2" s="1"/>
  <c r="A3845" i="2"/>
  <c r="E3844" i="2"/>
  <c r="C3844" i="2"/>
  <c r="B3844" i="2" s="1"/>
  <c r="A3844" i="2"/>
  <c r="E3843" i="2"/>
  <c r="C3843" i="2"/>
  <c r="B3843" i="2" s="1"/>
  <c r="A3843" i="2"/>
  <c r="E3842" i="2"/>
  <c r="C3842" i="2"/>
  <c r="B3842" i="2" s="1"/>
  <c r="A3842" i="2"/>
  <c r="E3841" i="2"/>
  <c r="C3841" i="2"/>
  <c r="B3841" i="2" s="1"/>
  <c r="A3841" i="2"/>
  <c r="E3840" i="2"/>
  <c r="C3840" i="2"/>
  <c r="B3840" i="2" s="1"/>
  <c r="A3840" i="2"/>
  <c r="E3839" i="2"/>
  <c r="C3839" i="2"/>
  <c r="A3839" i="2"/>
  <c r="E3838" i="2"/>
  <c r="C3838" i="2"/>
  <c r="B3838" i="2" s="1"/>
  <c r="A3838" i="2"/>
  <c r="E3837" i="2"/>
  <c r="C3837" i="2"/>
  <c r="B3837" i="2" s="1"/>
  <c r="A3837" i="2"/>
  <c r="E3836" i="2"/>
  <c r="C3836" i="2"/>
  <c r="B3836" i="2" s="1"/>
  <c r="A3836" i="2"/>
  <c r="E3835" i="2"/>
  <c r="C3835" i="2"/>
  <c r="A3835" i="2"/>
  <c r="E3834" i="2"/>
  <c r="C3834" i="2"/>
  <c r="B3834" i="2" s="1"/>
  <c r="A3834" i="2"/>
  <c r="E3833" i="2"/>
  <c r="C3833" i="2"/>
  <c r="B3833" i="2" s="1"/>
  <c r="A3833" i="2"/>
  <c r="E3832" i="2"/>
  <c r="C3832" i="2"/>
  <c r="B3832" i="2" s="1"/>
  <c r="A3832" i="2"/>
  <c r="E3831" i="2"/>
  <c r="C3831" i="2"/>
  <c r="B3831" i="2" s="1"/>
  <c r="A3831" i="2"/>
  <c r="E3830" i="2"/>
  <c r="C3830" i="2"/>
  <c r="B3830" i="2" s="1"/>
  <c r="A3830" i="2"/>
  <c r="E3829" i="2"/>
  <c r="C3829" i="2"/>
  <c r="B3829" i="2" s="1"/>
  <c r="A3829" i="2"/>
  <c r="E3828" i="2"/>
  <c r="C3828" i="2"/>
  <c r="B3828" i="2" s="1"/>
  <c r="A3828" i="2"/>
  <c r="E3827" i="2"/>
  <c r="C3827" i="2"/>
  <c r="B3827" i="2" s="1"/>
  <c r="A3827" i="2"/>
  <c r="E3826" i="2"/>
  <c r="C3826" i="2"/>
  <c r="B3826" i="2" s="1"/>
  <c r="A3826" i="2"/>
  <c r="E3825" i="2"/>
  <c r="C3825" i="2"/>
  <c r="B3825" i="2" s="1"/>
  <c r="A3825" i="2"/>
  <c r="E3824" i="2"/>
  <c r="C3824" i="2"/>
  <c r="B3824" i="2" s="1"/>
  <c r="A3824" i="2"/>
  <c r="E3823" i="2"/>
  <c r="C3823" i="2"/>
  <c r="A3823" i="2"/>
  <c r="E3822" i="2"/>
  <c r="C3822" i="2"/>
  <c r="B3822" i="2" s="1"/>
  <c r="A3822" i="2"/>
  <c r="E3821" i="2"/>
  <c r="C3821" i="2"/>
  <c r="B3821" i="2" s="1"/>
  <c r="A3821" i="2"/>
  <c r="E3820" i="2"/>
  <c r="C3820" i="2"/>
  <c r="B3820" i="2" s="1"/>
  <c r="A3820" i="2"/>
  <c r="E3819" i="2"/>
  <c r="C3819" i="2"/>
  <c r="A3819" i="2"/>
  <c r="E3818" i="2"/>
  <c r="C3818" i="2"/>
  <c r="B3818" i="2" s="1"/>
  <c r="A3818" i="2"/>
  <c r="E3817" i="2"/>
  <c r="C3817" i="2"/>
  <c r="B3817" i="2" s="1"/>
  <c r="A3817" i="2"/>
  <c r="E3816" i="2"/>
  <c r="C3816" i="2"/>
  <c r="A3816" i="2"/>
  <c r="E3815" i="2"/>
  <c r="C3815" i="2"/>
  <c r="B3815" i="2" s="1"/>
  <c r="A3815" i="2"/>
  <c r="E3814" i="2"/>
  <c r="C3814" i="2"/>
  <c r="A3814" i="2"/>
  <c r="E3813" i="2"/>
  <c r="C3813" i="2"/>
  <c r="B3813" i="2" s="1"/>
  <c r="A3813" i="2"/>
  <c r="E3812" i="2"/>
  <c r="C3812" i="2"/>
  <c r="B3812" i="2" s="1"/>
  <c r="A3812" i="2"/>
  <c r="E3811" i="2"/>
  <c r="C3811" i="2"/>
  <c r="B3811" i="2" s="1"/>
  <c r="A3811" i="2"/>
  <c r="E3810" i="2"/>
  <c r="C3810" i="2"/>
  <c r="B3810" i="2" s="1"/>
  <c r="A3810" i="2"/>
  <c r="E3809" i="2"/>
  <c r="C3809" i="2"/>
  <c r="B3809" i="2" s="1"/>
  <c r="A3809" i="2"/>
  <c r="E3808" i="2"/>
  <c r="C3808" i="2"/>
  <c r="A3808" i="2"/>
  <c r="E3807" i="2"/>
  <c r="C3807" i="2"/>
  <c r="B3807" i="2" s="1"/>
  <c r="A3807" i="2"/>
  <c r="E3806" i="2"/>
  <c r="C3806" i="2"/>
  <c r="A3806" i="2"/>
  <c r="E3805" i="2"/>
  <c r="C3805" i="2"/>
  <c r="B3805" i="2" s="1"/>
  <c r="A3805" i="2"/>
  <c r="E3804" i="2"/>
  <c r="C3804" i="2"/>
  <c r="B3804" i="2" s="1"/>
  <c r="A3804" i="2"/>
  <c r="E3803" i="2"/>
  <c r="C3803" i="2"/>
  <c r="B3803" i="2" s="1"/>
  <c r="A3803" i="2"/>
  <c r="E3802" i="2"/>
  <c r="C3802" i="2"/>
  <c r="B3802" i="2" s="1"/>
  <c r="A3802" i="2"/>
  <c r="E3801" i="2"/>
  <c r="C3801" i="2"/>
  <c r="B3801" i="2" s="1"/>
  <c r="A3801" i="2"/>
  <c r="E3800" i="2"/>
  <c r="C3800" i="2"/>
  <c r="A3800" i="2"/>
  <c r="E3799" i="2"/>
  <c r="C3799" i="2"/>
  <c r="B3799" i="2" s="1"/>
  <c r="A3799" i="2"/>
  <c r="E3798" i="2"/>
  <c r="C3798" i="2"/>
  <c r="A3798" i="2"/>
  <c r="E3797" i="2"/>
  <c r="C3797" i="2"/>
  <c r="B3797" i="2" s="1"/>
  <c r="A3797" i="2"/>
  <c r="E3796" i="2"/>
  <c r="C3796" i="2"/>
  <c r="B3796" i="2" s="1"/>
  <c r="A3796" i="2"/>
  <c r="E3795" i="2"/>
  <c r="C3795" i="2"/>
  <c r="B3795" i="2" s="1"/>
  <c r="A3795" i="2"/>
  <c r="E3794" i="2"/>
  <c r="C3794" i="2"/>
  <c r="B3794" i="2" s="1"/>
  <c r="A3794" i="2"/>
  <c r="E3793" i="2"/>
  <c r="C3793" i="2"/>
  <c r="B3793" i="2" s="1"/>
  <c r="A3793" i="2"/>
  <c r="E3792" i="2"/>
  <c r="C3792" i="2"/>
  <c r="A3792" i="2"/>
  <c r="E3791" i="2"/>
  <c r="C3791" i="2"/>
  <c r="B3791" i="2" s="1"/>
  <c r="A3791" i="2"/>
  <c r="E3790" i="2"/>
  <c r="C3790" i="2"/>
  <c r="A3790" i="2"/>
  <c r="E3789" i="2"/>
  <c r="C3789" i="2"/>
  <c r="B3789" i="2" s="1"/>
  <c r="A3789" i="2"/>
  <c r="E3788" i="2"/>
  <c r="C3788" i="2"/>
  <c r="B3788" i="2" s="1"/>
  <c r="A3788" i="2"/>
  <c r="E3787" i="2"/>
  <c r="C3787" i="2"/>
  <c r="B3787" i="2" s="1"/>
  <c r="A3787" i="2"/>
  <c r="E3786" i="2"/>
  <c r="C3786" i="2"/>
  <c r="B3786" i="2" s="1"/>
  <c r="A3786" i="2"/>
  <c r="E3785" i="2"/>
  <c r="C3785" i="2"/>
  <c r="B3785" i="2" s="1"/>
  <c r="A3785" i="2"/>
  <c r="E3784" i="2"/>
  <c r="C3784" i="2"/>
  <c r="A3784" i="2"/>
  <c r="E3783" i="2"/>
  <c r="C3783" i="2"/>
  <c r="B3783" i="2" s="1"/>
  <c r="A3783" i="2"/>
  <c r="E3782" i="2"/>
  <c r="C3782" i="2"/>
  <c r="A3782" i="2"/>
  <c r="E3781" i="2"/>
  <c r="C3781" i="2"/>
  <c r="B3781" i="2" s="1"/>
  <c r="A3781" i="2"/>
  <c r="E3780" i="2"/>
  <c r="C3780" i="2"/>
  <c r="B3780" i="2" s="1"/>
  <c r="A3780" i="2"/>
  <c r="E3779" i="2"/>
  <c r="C3779" i="2"/>
  <c r="B3779" i="2" s="1"/>
  <c r="A3779" i="2"/>
  <c r="E3778" i="2"/>
  <c r="C3778" i="2"/>
  <c r="B3778" i="2" s="1"/>
  <c r="A3778" i="2"/>
  <c r="E3777" i="2"/>
  <c r="C3777" i="2"/>
  <c r="B3777" i="2" s="1"/>
  <c r="A3777" i="2"/>
  <c r="E3776" i="2"/>
  <c r="C3776" i="2"/>
  <c r="A3776" i="2"/>
  <c r="E3775" i="2"/>
  <c r="C3775" i="2"/>
  <c r="B3775" i="2" s="1"/>
  <c r="A3775" i="2"/>
  <c r="E3774" i="2"/>
  <c r="C3774" i="2"/>
  <c r="A3774" i="2"/>
  <c r="E3773" i="2"/>
  <c r="C3773" i="2"/>
  <c r="B3773" i="2" s="1"/>
  <c r="A3773" i="2"/>
  <c r="E3772" i="2"/>
  <c r="C3772" i="2"/>
  <c r="B3772" i="2" s="1"/>
  <c r="A3772" i="2"/>
  <c r="E3771" i="2"/>
  <c r="C3771" i="2"/>
  <c r="B3771" i="2" s="1"/>
  <c r="A3771" i="2"/>
  <c r="E3770" i="2"/>
  <c r="C3770" i="2"/>
  <c r="B3770" i="2" s="1"/>
  <c r="A3770" i="2"/>
  <c r="E3769" i="2"/>
  <c r="C3769" i="2"/>
  <c r="B3769" i="2" s="1"/>
  <c r="A3769" i="2"/>
  <c r="E3768" i="2"/>
  <c r="C3768" i="2"/>
  <c r="A3768" i="2"/>
  <c r="E3767" i="2"/>
  <c r="C3767" i="2"/>
  <c r="B3767" i="2" s="1"/>
  <c r="A3767" i="2"/>
  <c r="E3766" i="2"/>
  <c r="C3766" i="2"/>
  <c r="A3766" i="2"/>
  <c r="E3765" i="2"/>
  <c r="C3765" i="2"/>
  <c r="B3765" i="2" s="1"/>
  <c r="A3765" i="2"/>
  <c r="E3764" i="2"/>
  <c r="C3764" i="2"/>
  <c r="B3764" i="2" s="1"/>
  <c r="A3764" i="2"/>
  <c r="E3763" i="2"/>
  <c r="C3763" i="2"/>
  <c r="B3763" i="2" s="1"/>
  <c r="A3763" i="2"/>
  <c r="E3762" i="2"/>
  <c r="C3762" i="2"/>
  <c r="B3762" i="2" s="1"/>
  <c r="A3762" i="2"/>
  <c r="E3761" i="2"/>
  <c r="C3761" i="2"/>
  <c r="B3761" i="2" s="1"/>
  <c r="A3761" i="2"/>
  <c r="E3760" i="2"/>
  <c r="C3760" i="2"/>
  <c r="A3760" i="2"/>
  <c r="E3759" i="2"/>
  <c r="C3759" i="2"/>
  <c r="B3759" i="2" s="1"/>
  <c r="A3759" i="2"/>
  <c r="E3758" i="2"/>
  <c r="C3758" i="2"/>
  <c r="A3758" i="2"/>
  <c r="E3757" i="2"/>
  <c r="C3757" i="2"/>
  <c r="B3757" i="2" s="1"/>
  <c r="A3757" i="2"/>
  <c r="E3756" i="2"/>
  <c r="C3756" i="2"/>
  <c r="B3756" i="2" s="1"/>
  <c r="A3756" i="2"/>
  <c r="E3755" i="2"/>
  <c r="C3755" i="2"/>
  <c r="B3755" i="2" s="1"/>
  <c r="A3755" i="2"/>
  <c r="E3754" i="2"/>
  <c r="C3754" i="2"/>
  <c r="B3754" i="2" s="1"/>
  <c r="A3754" i="2"/>
  <c r="E3753" i="2"/>
  <c r="C3753" i="2"/>
  <c r="B3753" i="2" s="1"/>
  <c r="A3753" i="2"/>
  <c r="E3752" i="2"/>
  <c r="C3752" i="2"/>
  <c r="A3752" i="2"/>
  <c r="E3751" i="2"/>
  <c r="C3751" i="2"/>
  <c r="B3751" i="2" s="1"/>
  <c r="A3751" i="2"/>
  <c r="E3750" i="2"/>
  <c r="C3750" i="2"/>
  <c r="A3750" i="2"/>
  <c r="E3749" i="2"/>
  <c r="C3749" i="2"/>
  <c r="B3749" i="2" s="1"/>
  <c r="A3749" i="2"/>
  <c r="E3748" i="2"/>
  <c r="C3748" i="2"/>
  <c r="B3748" i="2" s="1"/>
  <c r="A3748" i="2"/>
  <c r="E3747" i="2"/>
  <c r="C3747" i="2"/>
  <c r="B3747" i="2" s="1"/>
  <c r="A3747" i="2"/>
  <c r="E3746" i="2"/>
  <c r="C3746" i="2"/>
  <c r="B3746" i="2" s="1"/>
  <c r="A3746" i="2"/>
  <c r="E3745" i="2"/>
  <c r="C3745" i="2"/>
  <c r="B3745" i="2" s="1"/>
  <c r="A3745" i="2"/>
  <c r="E3744" i="2"/>
  <c r="C3744" i="2"/>
  <c r="A3744" i="2"/>
  <c r="E3743" i="2"/>
  <c r="C3743" i="2"/>
  <c r="B3743" i="2" s="1"/>
  <c r="A3743" i="2"/>
  <c r="E3742" i="2"/>
  <c r="C3742" i="2"/>
  <c r="A3742" i="2"/>
  <c r="E3741" i="2"/>
  <c r="C3741" i="2"/>
  <c r="B3741" i="2" s="1"/>
  <c r="A3741" i="2"/>
  <c r="E3740" i="2"/>
  <c r="C3740" i="2"/>
  <c r="B3740" i="2" s="1"/>
  <c r="A3740" i="2"/>
  <c r="E3739" i="2"/>
  <c r="C3739" i="2"/>
  <c r="B3739" i="2" s="1"/>
  <c r="A3739" i="2"/>
  <c r="E3738" i="2"/>
  <c r="C3738" i="2"/>
  <c r="B3738" i="2" s="1"/>
  <c r="A3738" i="2"/>
  <c r="E3737" i="2"/>
  <c r="C3737" i="2"/>
  <c r="B3737" i="2" s="1"/>
  <c r="A3737" i="2"/>
  <c r="E3736" i="2"/>
  <c r="C3736" i="2"/>
  <c r="A3736" i="2"/>
  <c r="E3735" i="2"/>
  <c r="C3735" i="2"/>
  <c r="B3735" i="2" s="1"/>
  <c r="A3735" i="2"/>
  <c r="E3734" i="2"/>
  <c r="C3734" i="2"/>
  <c r="A3734" i="2"/>
  <c r="E3733" i="2"/>
  <c r="C3733" i="2"/>
  <c r="B3733" i="2" s="1"/>
  <c r="A3733" i="2"/>
  <c r="E3732" i="2"/>
  <c r="C3732" i="2"/>
  <c r="B3732" i="2" s="1"/>
  <c r="A3732" i="2"/>
  <c r="E3731" i="2"/>
  <c r="C3731" i="2"/>
  <c r="B3731" i="2" s="1"/>
  <c r="A3731" i="2"/>
  <c r="E3730" i="2"/>
  <c r="C3730" i="2"/>
  <c r="B3730" i="2" s="1"/>
  <c r="A3730" i="2"/>
  <c r="E3729" i="2"/>
  <c r="C3729" i="2"/>
  <c r="B3729" i="2" s="1"/>
  <c r="A3729" i="2"/>
  <c r="E3728" i="2"/>
  <c r="C3728" i="2"/>
  <c r="A3728" i="2"/>
  <c r="E3727" i="2"/>
  <c r="C3727" i="2"/>
  <c r="B3727" i="2" s="1"/>
  <c r="A3727" i="2"/>
  <c r="E3726" i="2"/>
  <c r="C3726" i="2"/>
  <c r="A3726" i="2"/>
  <c r="E3725" i="2"/>
  <c r="C3725" i="2"/>
  <c r="B3725" i="2" s="1"/>
  <c r="A3725" i="2"/>
  <c r="E3724" i="2"/>
  <c r="C3724" i="2"/>
  <c r="B3724" i="2" s="1"/>
  <c r="A3724" i="2"/>
  <c r="E3723" i="2"/>
  <c r="C3723" i="2"/>
  <c r="B3723" i="2" s="1"/>
  <c r="A3723" i="2"/>
  <c r="E3722" i="2"/>
  <c r="C3722" i="2"/>
  <c r="B3722" i="2" s="1"/>
  <c r="A3722" i="2"/>
  <c r="E3721" i="2"/>
  <c r="C3721" i="2"/>
  <c r="B3721" i="2" s="1"/>
  <c r="A3721" i="2"/>
  <c r="E3720" i="2"/>
  <c r="C3720" i="2"/>
  <c r="A3720" i="2"/>
  <c r="E3719" i="2"/>
  <c r="C3719" i="2"/>
  <c r="B3719" i="2" s="1"/>
  <c r="A3719" i="2"/>
  <c r="E3718" i="2"/>
  <c r="C3718" i="2"/>
  <c r="A3718" i="2"/>
  <c r="E3717" i="2"/>
  <c r="C3717" i="2"/>
  <c r="B3717" i="2" s="1"/>
  <c r="A3717" i="2"/>
  <c r="E3716" i="2"/>
  <c r="C3716" i="2"/>
  <c r="A3716" i="2"/>
  <c r="E3715" i="2"/>
  <c r="C3715" i="2"/>
  <c r="B3715" i="2" s="1"/>
  <c r="A3715" i="2"/>
  <c r="E3714" i="2"/>
  <c r="C3714" i="2"/>
  <c r="B3714" i="2" s="1"/>
  <c r="A3714" i="2"/>
  <c r="E3713" i="2"/>
  <c r="C3713" i="2"/>
  <c r="B3713" i="2" s="1"/>
  <c r="A3713" i="2"/>
  <c r="E3712" i="2"/>
  <c r="C3712" i="2"/>
  <c r="A3712" i="2"/>
  <c r="E3711" i="2"/>
  <c r="C3711" i="2"/>
  <c r="B3711" i="2" s="1"/>
  <c r="A3711" i="2"/>
  <c r="E3710" i="2"/>
  <c r="C3710" i="2"/>
  <c r="B3710" i="2" s="1"/>
  <c r="A3710" i="2"/>
  <c r="E3709" i="2"/>
  <c r="C3709" i="2"/>
  <c r="B3709" i="2" s="1"/>
  <c r="A3709" i="2"/>
  <c r="E3708" i="2"/>
  <c r="C3708" i="2"/>
  <c r="A3708" i="2"/>
  <c r="E3707" i="2"/>
  <c r="C3707" i="2"/>
  <c r="B3707" i="2" s="1"/>
  <c r="A3707" i="2"/>
  <c r="E3706" i="2"/>
  <c r="C3706" i="2"/>
  <c r="A3706" i="2"/>
  <c r="E3705" i="2"/>
  <c r="C3705" i="2"/>
  <c r="B3705" i="2" s="1"/>
  <c r="A3705" i="2"/>
  <c r="E3704" i="2"/>
  <c r="C3704" i="2"/>
  <c r="A3704" i="2"/>
  <c r="E3703" i="2"/>
  <c r="C3703" i="2"/>
  <c r="B3703" i="2" s="1"/>
  <c r="A3703" i="2"/>
  <c r="E3702" i="2"/>
  <c r="C3702" i="2"/>
  <c r="A3702" i="2"/>
  <c r="E3701" i="2"/>
  <c r="C3701" i="2"/>
  <c r="B3701" i="2" s="1"/>
  <c r="A3701" i="2"/>
  <c r="E3700" i="2"/>
  <c r="C3700" i="2"/>
  <c r="A3700" i="2"/>
  <c r="E3699" i="2"/>
  <c r="C3699" i="2"/>
  <c r="B3699" i="2" s="1"/>
  <c r="A3699" i="2"/>
  <c r="E3698" i="2"/>
  <c r="C3698" i="2"/>
  <c r="B3698" i="2" s="1"/>
  <c r="A3698" i="2"/>
  <c r="E3697" i="2"/>
  <c r="C3697" i="2"/>
  <c r="B3697" i="2" s="1"/>
  <c r="A3697" i="2"/>
  <c r="E3696" i="2"/>
  <c r="C3696" i="2"/>
  <c r="A3696" i="2"/>
  <c r="E3695" i="2"/>
  <c r="C3695" i="2"/>
  <c r="B3695" i="2" s="1"/>
  <c r="A3695" i="2"/>
  <c r="E3694" i="2"/>
  <c r="C3694" i="2"/>
  <c r="B3694" i="2" s="1"/>
  <c r="A3694" i="2"/>
  <c r="E3693" i="2"/>
  <c r="C3693" i="2"/>
  <c r="B3693" i="2" s="1"/>
  <c r="A3693" i="2"/>
  <c r="E3692" i="2"/>
  <c r="C3692" i="2"/>
  <c r="A3692" i="2"/>
  <c r="E3691" i="2"/>
  <c r="C3691" i="2"/>
  <c r="B3691" i="2" s="1"/>
  <c r="A3691" i="2"/>
  <c r="E3690" i="2"/>
  <c r="C3690" i="2"/>
  <c r="A3690" i="2"/>
  <c r="E3689" i="2"/>
  <c r="C3689" i="2"/>
  <c r="B3689" i="2" s="1"/>
  <c r="A3689" i="2"/>
  <c r="E3688" i="2"/>
  <c r="C3688" i="2"/>
  <c r="A3688" i="2"/>
  <c r="E3687" i="2"/>
  <c r="C3687" i="2"/>
  <c r="B3687" i="2" s="1"/>
  <c r="A3687" i="2"/>
  <c r="E3686" i="2"/>
  <c r="C3686" i="2"/>
  <c r="A3686" i="2"/>
  <c r="E3685" i="2"/>
  <c r="C3685" i="2"/>
  <c r="B3685" i="2" s="1"/>
  <c r="A3685" i="2"/>
  <c r="E3684" i="2"/>
  <c r="C3684" i="2"/>
  <c r="A3684" i="2"/>
  <c r="E3683" i="2"/>
  <c r="C3683" i="2"/>
  <c r="B3683" i="2" s="1"/>
  <c r="A3683" i="2"/>
  <c r="E3682" i="2"/>
  <c r="C3682" i="2"/>
  <c r="B3682" i="2" s="1"/>
  <c r="A3682" i="2"/>
  <c r="E3681" i="2"/>
  <c r="C3681" i="2"/>
  <c r="B3681" i="2" s="1"/>
  <c r="A3681" i="2"/>
  <c r="E3680" i="2"/>
  <c r="C3680" i="2"/>
  <c r="A3680" i="2"/>
  <c r="E3679" i="2"/>
  <c r="C3679" i="2"/>
  <c r="B3679" i="2" s="1"/>
  <c r="A3679" i="2"/>
  <c r="E3678" i="2"/>
  <c r="C3678" i="2"/>
  <c r="B3678" i="2" s="1"/>
  <c r="A3678" i="2"/>
  <c r="E3677" i="2"/>
  <c r="C3677" i="2"/>
  <c r="B3677" i="2" s="1"/>
  <c r="A3677" i="2"/>
  <c r="E3676" i="2"/>
  <c r="C3676" i="2"/>
  <c r="A3676" i="2"/>
  <c r="E3675" i="2"/>
  <c r="C3675" i="2"/>
  <c r="B3675" i="2" s="1"/>
  <c r="A3675" i="2"/>
  <c r="E3674" i="2"/>
  <c r="C3674" i="2"/>
  <c r="A3674" i="2"/>
  <c r="E3673" i="2"/>
  <c r="C3673" i="2"/>
  <c r="B3673" i="2" s="1"/>
  <c r="A3673" i="2"/>
  <c r="E3672" i="2"/>
  <c r="C3672" i="2"/>
  <c r="A3672" i="2"/>
  <c r="E3671" i="2"/>
  <c r="C3671" i="2"/>
  <c r="B3671" i="2" s="1"/>
  <c r="A3671" i="2"/>
  <c r="E3670" i="2"/>
  <c r="C3670" i="2"/>
  <c r="A3670" i="2"/>
  <c r="E3669" i="2"/>
  <c r="C3669" i="2"/>
  <c r="B3669" i="2" s="1"/>
  <c r="A3669" i="2"/>
  <c r="E3668" i="2"/>
  <c r="C3668" i="2"/>
  <c r="A3668" i="2"/>
  <c r="E3667" i="2"/>
  <c r="C3667" i="2"/>
  <c r="B3667" i="2" s="1"/>
  <c r="A3667" i="2"/>
  <c r="E3666" i="2"/>
  <c r="C3666" i="2"/>
  <c r="B3666" i="2" s="1"/>
  <c r="A3666" i="2"/>
  <c r="E3665" i="2"/>
  <c r="C3665" i="2"/>
  <c r="B3665" i="2" s="1"/>
  <c r="A3665" i="2"/>
  <c r="E3664" i="2"/>
  <c r="C3664" i="2"/>
  <c r="A3664" i="2"/>
  <c r="E3663" i="2"/>
  <c r="C3663" i="2"/>
  <c r="B3663" i="2" s="1"/>
  <c r="A3663" i="2"/>
  <c r="E3662" i="2"/>
  <c r="C3662" i="2"/>
  <c r="B3662" i="2" s="1"/>
  <c r="A3662" i="2"/>
  <c r="E3661" i="2"/>
  <c r="C3661" i="2"/>
  <c r="B3661" i="2" s="1"/>
  <c r="A3661" i="2"/>
  <c r="E3660" i="2"/>
  <c r="C3660" i="2"/>
  <c r="A3660" i="2"/>
  <c r="E3659" i="2"/>
  <c r="C3659" i="2"/>
  <c r="B3659" i="2" s="1"/>
  <c r="A3659" i="2"/>
  <c r="E3658" i="2"/>
  <c r="C3658" i="2"/>
  <c r="A3658" i="2"/>
  <c r="E3657" i="2"/>
  <c r="C3657" i="2"/>
  <c r="B3657" i="2" s="1"/>
  <c r="A3657" i="2"/>
  <c r="E3656" i="2"/>
  <c r="C3656" i="2"/>
  <c r="A3656" i="2"/>
  <c r="E3655" i="2"/>
  <c r="C3655" i="2"/>
  <c r="B3655" i="2" s="1"/>
  <c r="A3655" i="2"/>
  <c r="E3654" i="2"/>
  <c r="C3654" i="2"/>
  <c r="A3654" i="2"/>
  <c r="E3653" i="2"/>
  <c r="C3653" i="2"/>
  <c r="B3653" i="2" s="1"/>
  <c r="A3653" i="2"/>
  <c r="E3652" i="2"/>
  <c r="C3652" i="2"/>
  <c r="A3652" i="2"/>
  <c r="E3651" i="2"/>
  <c r="C3651" i="2"/>
  <c r="B3651" i="2" s="1"/>
  <c r="A3651" i="2"/>
  <c r="E3650" i="2"/>
  <c r="C3650" i="2"/>
  <c r="B3650" i="2" s="1"/>
  <c r="A3650" i="2"/>
  <c r="E3649" i="2"/>
  <c r="C3649" i="2"/>
  <c r="B3649" i="2" s="1"/>
  <c r="A3649" i="2"/>
  <c r="E3648" i="2"/>
  <c r="C3648" i="2"/>
  <c r="A3648" i="2"/>
  <c r="E3647" i="2"/>
  <c r="C3647" i="2"/>
  <c r="B3647" i="2" s="1"/>
  <c r="A3647" i="2"/>
  <c r="E3646" i="2"/>
  <c r="C3646" i="2"/>
  <c r="B3646" i="2" s="1"/>
  <c r="A3646" i="2"/>
  <c r="E3645" i="2"/>
  <c r="C3645" i="2"/>
  <c r="B3645" i="2" s="1"/>
  <c r="A3645" i="2"/>
  <c r="E3644" i="2"/>
  <c r="C3644" i="2"/>
  <c r="A3644" i="2"/>
  <c r="E3643" i="2"/>
  <c r="C3643" i="2"/>
  <c r="B3643" i="2" s="1"/>
  <c r="A3643" i="2"/>
  <c r="E3642" i="2"/>
  <c r="C3642" i="2"/>
  <c r="A3642" i="2"/>
  <c r="E3641" i="2"/>
  <c r="C3641" i="2"/>
  <c r="B3641" i="2" s="1"/>
  <c r="A3641" i="2"/>
  <c r="E3640" i="2"/>
  <c r="C3640" i="2"/>
  <c r="A3640" i="2"/>
  <c r="E3639" i="2"/>
  <c r="C3639" i="2"/>
  <c r="B3639" i="2" s="1"/>
  <c r="A3639" i="2"/>
  <c r="E3638" i="2"/>
  <c r="C3638" i="2"/>
  <c r="A3638" i="2"/>
  <c r="E3637" i="2"/>
  <c r="C3637" i="2"/>
  <c r="B3637" i="2" s="1"/>
  <c r="A3637" i="2"/>
  <c r="E3636" i="2"/>
  <c r="C3636" i="2"/>
  <c r="A3636" i="2"/>
  <c r="E3635" i="2"/>
  <c r="C3635" i="2"/>
  <c r="B3635" i="2" s="1"/>
  <c r="A3635" i="2"/>
  <c r="E3634" i="2"/>
  <c r="C3634" i="2"/>
  <c r="B3634" i="2" s="1"/>
  <c r="A3634" i="2"/>
  <c r="E3633" i="2"/>
  <c r="C3633" i="2"/>
  <c r="B3633" i="2" s="1"/>
  <c r="A3633" i="2"/>
  <c r="E3632" i="2"/>
  <c r="C3632" i="2"/>
  <c r="A3632" i="2"/>
  <c r="E3631" i="2"/>
  <c r="C3631" i="2"/>
  <c r="B3631" i="2" s="1"/>
  <c r="A3631" i="2"/>
  <c r="E3630" i="2"/>
  <c r="C3630" i="2"/>
  <c r="B3630" i="2" s="1"/>
  <c r="A3630" i="2"/>
  <c r="E3629" i="2"/>
  <c r="C3629" i="2"/>
  <c r="B3629" i="2" s="1"/>
  <c r="A3629" i="2"/>
  <c r="E3628" i="2"/>
  <c r="C3628" i="2"/>
  <c r="A3628" i="2"/>
  <c r="E3627" i="2"/>
  <c r="C3627" i="2"/>
  <c r="B3627" i="2" s="1"/>
  <c r="A3627" i="2"/>
  <c r="E3626" i="2"/>
  <c r="C3626" i="2"/>
  <c r="A3626" i="2"/>
  <c r="E3625" i="2"/>
  <c r="C3625" i="2"/>
  <c r="B3625" i="2" s="1"/>
  <c r="A3625" i="2"/>
  <c r="E3624" i="2"/>
  <c r="C3624" i="2"/>
  <c r="A3624" i="2"/>
  <c r="E3623" i="2"/>
  <c r="C3623" i="2"/>
  <c r="B3623" i="2" s="1"/>
  <c r="A3623" i="2"/>
  <c r="E3622" i="2"/>
  <c r="C3622" i="2"/>
  <c r="A3622" i="2"/>
  <c r="E3621" i="2"/>
  <c r="C3621" i="2"/>
  <c r="B3621" i="2" s="1"/>
  <c r="A3621" i="2"/>
  <c r="E3620" i="2"/>
  <c r="C3620" i="2"/>
  <c r="A3620" i="2"/>
  <c r="E3619" i="2"/>
  <c r="C3619" i="2"/>
  <c r="B3619" i="2" s="1"/>
  <c r="A3619" i="2"/>
  <c r="E3618" i="2"/>
  <c r="C3618" i="2"/>
  <c r="B3618" i="2" s="1"/>
  <c r="A3618" i="2"/>
  <c r="E3617" i="2"/>
  <c r="C3617" i="2"/>
  <c r="B3617" i="2" s="1"/>
  <c r="A3617" i="2"/>
  <c r="E3616" i="2"/>
  <c r="C3616" i="2"/>
  <c r="A3616" i="2"/>
  <c r="E3615" i="2"/>
  <c r="C3615" i="2"/>
  <c r="B3615" i="2" s="1"/>
  <c r="A3615" i="2"/>
  <c r="E3614" i="2"/>
  <c r="C3614" i="2"/>
  <c r="B3614" i="2" s="1"/>
  <c r="A3614" i="2"/>
  <c r="E3613" i="2"/>
  <c r="C3613" i="2"/>
  <c r="B3613" i="2" s="1"/>
  <c r="A3613" i="2"/>
  <c r="E3612" i="2"/>
  <c r="C3612" i="2"/>
  <c r="A3612" i="2"/>
  <c r="E3611" i="2"/>
  <c r="C3611" i="2"/>
  <c r="B3611" i="2" s="1"/>
  <c r="A3611" i="2"/>
  <c r="E3610" i="2"/>
  <c r="C3610" i="2"/>
  <c r="A3610" i="2"/>
  <c r="E3609" i="2"/>
  <c r="C3609" i="2"/>
  <c r="B3609" i="2" s="1"/>
  <c r="A3609" i="2"/>
  <c r="E3608" i="2"/>
  <c r="C3608" i="2"/>
  <c r="A3608" i="2"/>
  <c r="E3607" i="2"/>
  <c r="C3607" i="2"/>
  <c r="B3607" i="2" s="1"/>
  <c r="A3607" i="2"/>
  <c r="E3606" i="2"/>
  <c r="C3606" i="2"/>
  <c r="A3606" i="2"/>
  <c r="E3605" i="2"/>
  <c r="C3605" i="2"/>
  <c r="B3605" i="2" s="1"/>
  <c r="A3605" i="2"/>
  <c r="E3604" i="2"/>
  <c r="C3604" i="2"/>
  <c r="A3604" i="2"/>
  <c r="E3603" i="2"/>
  <c r="C3603" i="2"/>
  <c r="B3603" i="2" s="1"/>
  <c r="A3603" i="2"/>
  <c r="E3602" i="2"/>
  <c r="C3602" i="2"/>
  <c r="B3602" i="2" s="1"/>
  <c r="A3602" i="2"/>
  <c r="E3601" i="2"/>
  <c r="C3601" i="2"/>
  <c r="B3601" i="2" s="1"/>
  <c r="A3601" i="2"/>
  <c r="E3600" i="2"/>
  <c r="C3600" i="2"/>
  <c r="A3600" i="2"/>
  <c r="E3599" i="2"/>
  <c r="C3599" i="2"/>
  <c r="B3599" i="2" s="1"/>
  <c r="A3599" i="2"/>
  <c r="E3598" i="2"/>
  <c r="C3598" i="2"/>
  <c r="B3598" i="2" s="1"/>
  <c r="A3598" i="2"/>
  <c r="E3597" i="2"/>
  <c r="C3597" i="2"/>
  <c r="B3597" i="2" s="1"/>
  <c r="A3597" i="2"/>
  <c r="E3596" i="2"/>
  <c r="C3596" i="2"/>
  <c r="A3596" i="2"/>
  <c r="E3595" i="2"/>
  <c r="C3595" i="2"/>
  <c r="B3595" i="2" s="1"/>
  <c r="A3595" i="2"/>
  <c r="E3594" i="2"/>
  <c r="C3594" i="2"/>
  <c r="A3594" i="2"/>
  <c r="E3593" i="2"/>
  <c r="C3593" i="2"/>
  <c r="B3593" i="2" s="1"/>
  <c r="A3593" i="2"/>
  <c r="E3592" i="2"/>
  <c r="C3592" i="2"/>
  <c r="A3592" i="2"/>
  <c r="E3591" i="2"/>
  <c r="C3591" i="2"/>
  <c r="B3591" i="2" s="1"/>
  <c r="A3591" i="2"/>
  <c r="E3590" i="2"/>
  <c r="C3590" i="2"/>
  <c r="A3590" i="2"/>
  <c r="E3589" i="2"/>
  <c r="C3589" i="2"/>
  <c r="B3589" i="2" s="1"/>
  <c r="A3589" i="2"/>
  <c r="E3588" i="2"/>
  <c r="C3588" i="2"/>
  <c r="A3588" i="2"/>
  <c r="E3587" i="2"/>
  <c r="C3587" i="2"/>
  <c r="B3587" i="2" s="1"/>
  <c r="A3587" i="2"/>
  <c r="E3586" i="2"/>
  <c r="C3586" i="2"/>
  <c r="B3586" i="2" s="1"/>
  <c r="A3586" i="2"/>
  <c r="E3585" i="2"/>
  <c r="C3585" i="2"/>
  <c r="B3585" i="2" s="1"/>
  <c r="A3585" i="2"/>
  <c r="E3584" i="2"/>
  <c r="C3584" i="2"/>
  <c r="A3584" i="2"/>
  <c r="E3583" i="2"/>
  <c r="C3583" i="2"/>
  <c r="B3583" i="2" s="1"/>
  <c r="A3583" i="2"/>
  <c r="E3582" i="2"/>
  <c r="C3582" i="2"/>
  <c r="B3582" i="2" s="1"/>
  <c r="A3582" i="2"/>
  <c r="E3581" i="2"/>
  <c r="C3581" i="2"/>
  <c r="B3581" i="2" s="1"/>
  <c r="A3581" i="2"/>
  <c r="E3580" i="2"/>
  <c r="C3580" i="2"/>
  <c r="A3580" i="2"/>
  <c r="E3579" i="2"/>
  <c r="C3579" i="2"/>
  <c r="B3579" i="2" s="1"/>
  <c r="A3579" i="2"/>
  <c r="E3578" i="2"/>
  <c r="C3578" i="2"/>
  <c r="A3578" i="2"/>
  <c r="E3577" i="2"/>
  <c r="C3577" i="2"/>
  <c r="B3577" i="2" s="1"/>
  <c r="A3577" i="2"/>
  <c r="E3576" i="2"/>
  <c r="C3576" i="2"/>
  <c r="A3576" i="2"/>
  <c r="E3575" i="2"/>
  <c r="C3575" i="2"/>
  <c r="B3575" i="2" s="1"/>
  <c r="A3575" i="2"/>
  <c r="E3574" i="2"/>
  <c r="C3574" i="2"/>
  <c r="B3574" i="2" s="1"/>
  <c r="A3574" i="2"/>
  <c r="E3573" i="2"/>
  <c r="C3573" i="2"/>
  <c r="B3573" i="2" s="1"/>
  <c r="A3573" i="2"/>
  <c r="E3572" i="2"/>
  <c r="C3572" i="2"/>
  <c r="B3572" i="2" s="1"/>
  <c r="A3572" i="2"/>
  <c r="E3571" i="2"/>
  <c r="C3571" i="2"/>
  <c r="B3571" i="2" s="1"/>
  <c r="A3571" i="2"/>
  <c r="E3570" i="2"/>
  <c r="C3570" i="2"/>
  <c r="B3570" i="2" s="1"/>
  <c r="A3570" i="2"/>
  <c r="E3569" i="2"/>
  <c r="C3569" i="2"/>
  <c r="B3569" i="2" s="1"/>
  <c r="A3569" i="2"/>
  <c r="E3568" i="2"/>
  <c r="C3568" i="2"/>
  <c r="B3568" i="2" s="1"/>
  <c r="A3568" i="2"/>
  <c r="E3567" i="2"/>
  <c r="C3567" i="2"/>
  <c r="B3567" i="2" s="1"/>
  <c r="A3567" i="2"/>
  <c r="E3566" i="2"/>
  <c r="C3566" i="2"/>
  <c r="B3566" i="2" s="1"/>
  <c r="A3566" i="2"/>
  <c r="E3565" i="2"/>
  <c r="C3565" i="2"/>
  <c r="B3565" i="2" s="1"/>
  <c r="A3565" i="2"/>
  <c r="E3564" i="2"/>
  <c r="C3564" i="2"/>
  <c r="B3564" i="2" s="1"/>
  <c r="A3564" i="2"/>
  <c r="E3563" i="2"/>
  <c r="C3563" i="2"/>
  <c r="B3563" i="2" s="1"/>
  <c r="A3563" i="2"/>
  <c r="E3562" i="2"/>
  <c r="C3562" i="2"/>
  <c r="B3562" i="2" s="1"/>
  <c r="A3562" i="2"/>
  <c r="E3561" i="2"/>
  <c r="C3561" i="2"/>
  <c r="B3561" i="2" s="1"/>
  <c r="A3561" i="2"/>
  <c r="E3560" i="2"/>
  <c r="C3560" i="2"/>
  <c r="B3560" i="2" s="1"/>
  <c r="A3560" i="2"/>
  <c r="E3559" i="2"/>
  <c r="C3559" i="2"/>
  <c r="B3559" i="2" s="1"/>
  <c r="A3559" i="2"/>
  <c r="E3558" i="2"/>
  <c r="C3558" i="2"/>
  <c r="B3558" i="2" s="1"/>
  <c r="A3558" i="2"/>
  <c r="E3557" i="2"/>
  <c r="C3557" i="2"/>
  <c r="B3557" i="2" s="1"/>
  <c r="A3557" i="2"/>
  <c r="E3556" i="2"/>
  <c r="C3556" i="2"/>
  <c r="B3556" i="2" s="1"/>
  <c r="A3556" i="2"/>
  <c r="E3555" i="2"/>
  <c r="C3555" i="2"/>
  <c r="B3555" i="2" s="1"/>
  <c r="A3555" i="2"/>
  <c r="E3554" i="2"/>
  <c r="C3554" i="2"/>
  <c r="B3554" i="2" s="1"/>
  <c r="A3554" i="2"/>
  <c r="E3553" i="2"/>
  <c r="C3553" i="2"/>
  <c r="B3553" i="2" s="1"/>
  <c r="A3553" i="2"/>
  <c r="E3552" i="2"/>
  <c r="C3552" i="2"/>
  <c r="B3552" i="2" s="1"/>
  <c r="A3552" i="2"/>
  <c r="E3551" i="2"/>
  <c r="C3551" i="2"/>
  <c r="B3551" i="2" s="1"/>
  <c r="A3551" i="2"/>
  <c r="E3550" i="2"/>
  <c r="C3550" i="2"/>
  <c r="B3550" i="2" s="1"/>
  <c r="A3550" i="2"/>
  <c r="E3549" i="2"/>
  <c r="C3549" i="2"/>
  <c r="B3549" i="2" s="1"/>
  <c r="A3549" i="2"/>
  <c r="E3548" i="2"/>
  <c r="C3548" i="2"/>
  <c r="B3548" i="2" s="1"/>
  <c r="A3548" i="2"/>
  <c r="E3547" i="2"/>
  <c r="C3547" i="2"/>
  <c r="B3547" i="2" s="1"/>
  <c r="A3547" i="2"/>
  <c r="E3546" i="2"/>
  <c r="C3546" i="2"/>
  <c r="B3546" i="2" s="1"/>
  <c r="A3546" i="2"/>
  <c r="E3545" i="2"/>
  <c r="C3545" i="2"/>
  <c r="B3545" i="2" s="1"/>
  <c r="A3545" i="2"/>
  <c r="E3544" i="2"/>
  <c r="C3544" i="2"/>
  <c r="B3544" i="2" s="1"/>
  <c r="A3544" i="2"/>
  <c r="E3543" i="2"/>
  <c r="C3543" i="2"/>
  <c r="B3543" i="2" s="1"/>
  <c r="A3543" i="2"/>
  <c r="E3542" i="2"/>
  <c r="C3542" i="2"/>
  <c r="B3542" i="2" s="1"/>
  <c r="A3542" i="2"/>
  <c r="E3541" i="2"/>
  <c r="C3541" i="2"/>
  <c r="B3541" i="2" s="1"/>
  <c r="A3541" i="2"/>
  <c r="E3540" i="2"/>
  <c r="C3540" i="2"/>
  <c r="A3540" i="2"/>
  <c r="E3539" i="2"/>
  <c r="C3539" i="2"/>
  <c r="B3539" i="2" s="1"/>
  <c r="A3539" i="2"/>
  <c r="E3538" i="2"/>
  <c r="C3538" i="2"/>
  <c r="B3538" i="2" s="1"/>
  <c r="A3538" i="2"/>
  <c r="E3537" i="2"/>
  <c r="C3537" i="2"/>
  <c r="B3537" i="2" s="1"/>
  <c r="A3537" i="2"/>
  <c r="E3536" i="2"/>
  <c r="C3536" i="2"/>
  <c r="A3536" i="2"/>
  <c r="E3535" i="2"/>
  <c r="C3535" i="2"/>
  <c r="B3535" i="2" s="1"/>
  <c r="A3535" i="2"/>
  <c r="E3534" i="2"/>
  <c r="C3534" i="2"/>
  <c r="B3534" i="2" s="1"/>
  <c r="A3534" i="2"/>
  <c r="E3533" i="2"/>
  <c r="C3533" i="2"/>
  <c r="B3533" i="2" s="1"/>
  <c r="A3533" i="2"/>
  <c r="E3532" i="2"/>
  <c r="C3532" i="2"/>
  <c r="A3532" i="2"/>
  <c r="E3531" i="2"/>
  <c r="C3531" i="2"/>
  <c r="B3531" i="2" s="1"/>
  <c r="A3531" i="2"/>
  <c r="E3530" i="2"/>
  <c r="C3530" i="2"/>
  <c r="B3530" i="2" s="1"/>
  <c r="A3530" i="2"/>
  <c r="E3529" i="2"/>
  <c r="C3529" i="2"/>
  <c r="B3529" i="2" s="1"/>
  <c r="A3529" i="2"/>
  <c r="E3528" i="2"/>
  <c r="C3528" i="2"/>
  <c r="A3528" i="2"/>
  <c r="E3527" i="2"/>
  <c r="C3527" i="2"/>
  <c r="B3527" i="2" s="1"/>
  <c r="A3527" i="2"/>
  <c r="E3526" i="2"/>
  <c r="C3526" i="2"/>
  <c r="B3526" i="2" s="1"/>
  <c r="A3526" i="2"/>
  <c r="E3525" i="2"/>
  <c r="C3525" i="2"/>
  <c r="B3525" i="2" s="1"/>
  <c r="A3525" i="2"/>
  <c r="E3524" i="2"/>
  <c r="C3524" i="2"/>
  <c r="A3524" i="2"/>
  <c r="E3523" i="2"/>
  <c r="C3523" i="2"/>
  <c r="B3523" i="2" s="1"/>
  <c r="A3523" i="2"/>
  <c r="E3522" i="2"/>
  <c r="C3522" i="2"/>
  <c r="B3522" i="2" s="1"/>
  <c r="A3522" i="2"/>
  <c r="E3521" i="2"/>
  <c r="C3521" i="2"/>
  <c r="B3521" i="2" s="1"/>
  <c r="A3521" i="2"/>
  <c r="E3520" i="2"/>
  <c r="C3520" i="2"/>
  <c r="A3520" i="2"/>
  <c r="E3519" i="2"/>
  <c r="C3519" i="2"/>
  <c r="B3519" i="2" s="1"/>
  <c r="A3519" i="2"/>
  <c r="E3518" i="2"/>
  <c r="C3518" i="2"/>
  <c r="B3518" i="2" s="1"/>
  <c r="A3518" i="2"/>
  <c r="E3517" i="2"/>
  <c r="C3517" i="2"/>
  <c r="B3517" i="2" s="1"/>
  <c r="A3517" i="2"/>
  <c r="E3516" i="2"/>
  <c r="C3516" i="2"/>
  <c r="A3516" i="2"/>
  <c r="E3515" i="2"/>
  <c r="C3515" i="2"/>
  <c r="B3515" i="2" s="1"/>
  <c r="A3515" i="2"/>
  <c r="E3514" i="2"/>
  <c r="C3514" i="2"/>
  <c r="B3514" i="2" s="1"/>
  <c r="A3514" i="2"/>
  <c r="E3513" i="2"/>
  <c r="C3513" i="2"/>
  <c r="B3513" i="2" s="1"/>
  <c r="A3513" i="2"/>
  <c r="E3512" i="2"/>
  <c r="C3512" i="2"/>
  <c r="A3512" i="2"/>
  <c r="E3511" i="2"/>
  <c r="C3511" i="2"/>
  <c r="B3511" i="2" s="1"/>
  <c r="A3511" i="2"/>
  <c r="E3510" i="2"/>
  <c r="C3510" i="2"/>
  <c r="B3510" i="2" s="1"/>
  <c r="A3510" i="2"/>
  <c r="E3509" i="2"/>
  <c r="C3509" i="2"/>
  <c r="B3509" i="2" s="1"/>
  <c r="A3509" i="2"/>
  <c r="E3508" i="2"/>
  <c r="C3508" i="2"/>
  <c r="A3508" i="2"/>
  <c r="E3507" i="2"/>
  <c r="C3507" i="2"/>
  <c r="B3507" i="2" s="1"/>
  <c r="A3507" i="2"/>
  <c r="E3506" i="2"/>
  <c r="C3506" i="2"/>
  <c r="B3506" i="2" s="1"/>
  <c r="A3506" i="2"/>
  <c r="E3505" i="2"/>
  <c r="C3505" i="2"/>
  <c r="B3505" i="2" s="1"/>
  <c r="A3505" i="2"/>
  <c r="E3504" i="2"/>
  <c r="C3504" i="2"/>
  <c r="A3504" i="2"/>
  <c r="E3503" i="2"/>
  <c r="C3503" i="2"/>
  <c r="B3503" i="2" s="1"/>
  <c r="A3503" i="2"/>
  <c r="E3502" i="2"/>
  <c r="C3502" i="2"/>
  <c r="B3502" i="2" s="1"/>
  <c r="A3502" i="2"/>
  <c r="E3501" i="2"/>
  <c r="C3501" i="2"/>
  <c r="B3501" i="2" s="1"/>
  <c r="A3501" i="2"/>
  <c r="E3500" i="2"/>
  <c r="C3500" i="2"/>
  <c r="B3500" i="2" s="1"/>
  <c r="A3500" i="2"/>
  <c r="E3499" i="2"/>
  <c r="C3499" i="2"/>
  <c r="B3499" i="2" s="1"/>
  <c r="A3499" i="2"/>
  <c r="E3498" i="2"/>
  <c r="C3498" i="2"/>
  <c r="B3498" i="2" s="1"/>
  <c r="A3498" i="2"/>
  <c r="E3497" i="2"/>
  <c r="C3497" i="2"/>
  <c r="B3497" i="2" s="1"/>
  <c r="A3497" i="2"/>
  <c r="E3496" i="2"/>
  <c r="C3496" i="2"/>
  <c r="B3496" i="2" s="1"/>
  <c r="A3496" i="2"/>
  <c r="E3495" i="2"/>
  <c r="C3495" i="2"/>
  <c r="B3495" i="2" s="1"/>
  <c r="A3495" i="2"/>
  <c r="E3494" i="2"/>
  <c r="C3494" i="2"/>
  <c r="B3494" i="2" s="1"/>
  <c r="A3494" i="2"/>
  <c r="E3493" i="2"/>
  <c r="C3493" i="2"/>
  <c r="B3493" i="2" s="1"/>
  <c r="A3493" i="2"/>
  <c r="E3492" i="2"/>
  <c r="C3492" i="2"/>
  <c r="B3492" i="2" s="1"/>
  <c r="A3492" i="2"/>
  <c r="E3491" i="2"/>
  <c r="C3491" i="2"/>
  <c r="B3491" i="2" s="1"/>
  <c r="A3491" i="2"/>
  <c r="E3490" i="2"/>
  <c r="C3490" i="2"/>
  <c r="B3490" i="2" s="1"/>
  <c r="A3490" i="2"/>
  <c r="E3489" i="2"/>
  <c r="C3489" i="2"/>
  <c r="B3489" i="2" s="1"/>
  <c r="A3489" i="2"/>
  <c r="E3488" i="2"/>
  <c r="C3488" i="2"/>
  <c r="B3488" i="2" s="1"/>
  <c r="A3488" i="2"/>
  <c r="E3487" i="2"/>
  <c r="C3487" i="2"/>
  <c r="B3487" i="2" s="1"/>
  <c r="A3487" i="2"/>
  <c r="E3486" i="2"/>
  <c r="C3486" i="2"/>
  <c r="B3486" i="2" s="1"/>
  <c r="A3486" i="2"/>
  <c r="E3485" i="2"/>
  <c r="C3485" i="2"/>
  <c r="B3485" i="2" s="1"/>
  <c r="A3485" i="2"/>
  <c r="E3484" i="2"/>
  <c r="C3484" i="2"/>
  <c r="B3484" i="2" s="1"/>
  <c r="A3484" i="2"/>
  <c r="E3483" i="2"/>
  <c r="C3483" i="2"/>
  <c r="B3483" i="2" s="1"/>
  <c r="A3483" i="2"/>
  <c r="E3482" i="2"/>
  <c r="C3482" i="2"/>
  <c r="B3482" i="2" s="1"/>
  <c r="A3482" i="2"/>
  <c r="E3481" i="2"/>
  <c r="C3481" i="2"/>
  <c r="B3481" i="2" s="1"/>
  <c r="A3481" i="2"/>
  <c r="E3480" i="2"/>
  <c r="C3480" i="2"/>
  <c r="A3480" i="2"/>
  <c r="E3479" i="2"/>
  <c r="C3479" i="2"/>
  <c r="B3479" i="2" s="1"/>
  <c r="A3479" i="2"/>
  <c r="E3478" i="2"/>
  <c r="C3478" i="2"/>
  <c r="B3478" i="2" s="1"/>
  <c r="A3478" i="2"/>
  <c r="E3477" i="2"/>
  <c r="C3477" i="2"/>
  <c r="B3477" i="2" s="1"/>
  <c r="A3477" i="2"/>
  <c r="E3476" i="2"/>
  <c r="C3476" i="2"/>
  <c r="B3476" i="2" s="1"/>
  <c r="A3476" i="2"/>
  <c r="E3475" i="2"/>
  <c r="C3475" i="2"/>
  <c r="B3475" i="2" s="1"/>
  <c r="A3475" i="2"/>
  <c r="E3474" i="2"/>
  <c r="C3474" i="2"/>
  <c r="B3474" i="2" s="1"/>
  <c r="A3474" i="2"/>
  <c r="E3473" i="2"/>
  <c r="C3473" i="2"/>
  <c r="B3473" i="2" s="1"/>
  <c r="A3473" i="2"/>
  <c r="E3472" i="2"/>
  <c r="C3472" i="2"/>
  <c r="B3472" i="2" s="1"/>
  <c r="A3472" i="2"/>
  <c r="E3471" i="2"/>
  <c r="C3471" i="2"/>
  <c r="B3471" i="2" s="1"/>
  <c r="A3471" i="2"/>
  <c r="E3470" i="2"/>
  <c r="C3470" i="2"/>
  <c r="B3470" i="2" s="1"/>
  <c r="A3470" i="2"/>
  <c r="E3469" i="2"/>
  <c r="C3469" i="2"/>
  <c r="B3469" i="2" s="1"/>
  <c r="A3469" i="2"/>
  <c r="E3468" i="2"/>
  <c r="C3468" i="2"/>
  <c r="B3468" i="2" s="1"/>
  <c r="A3468" i="2"/>
  <c r="E3467" i="2"/>
  <c r="C3467" i="2"/>
  <c r="B3467" i="2" s="1"/>
  <c r="A3467" i="2"/>
  <c r="E3466" i="2"/>
  <c r="C3466" i="2"/>
  <c r="B3466" i="2" s="1"/>
  <c r="A3466" i="2"/>
  <c r="E3465" i="2"/>
  <c r="C3465" i="2"/>
  <c r="B3465" i="2" s="1"/>
  <c r="A3465" i="2"/>
  <c r="E3464" i="2"/>
  <c r="C3464" i="2"/>
  <c r="B3464" i="2" s="1"/>
  <c r="A3464" i="2"/>
  <c r="E3463" i="2"/>
  <c r="C3463" i="2"/>
  <c r="B3463" i="2" s="1"/>
  <c r="A3463" i="2"/>
  <c r="E3462" i="2"/>
  <c r="C3462" i="2"/>
  <c r="B3462" i="2" s="1"/>
  <c r="A3462" i="2"/>
  <c r="E3461" i="2"/>
  <c r="C3461" i="2"/>
  <c r="B3461" i="2" s="1"/>
  <c r="A3461" i="2"/>
  <c r="E3460" i="2"/>
  <c r="C3460" i="2"/>
  <c r="B3460" i="2" s="1"/>
  <c r="A3460" i="2"/>
  <c r="E3459" i="2"/>
  <c r="C3459" i="2"/>
  <c r="B3459" i="2" s="1"/>
  <c r="A3459" i="2"/>
  <c r="E3458" i="2"/>
  <c r="C3458" i="2"/>
  <c r="B3458" i="2" s="1"/>
  <c r="A3458" i="2"/>
  <c r="E3457" i="2"/>
  <c r="C3457" i="2"/>
  <c r="B3457" i="2" s="1"/>
  <c r="A3457" i="2"/>
  <c r="E3456" i="2"/>
  <c r="C3456" i="2"/>
  <c r="B3456" i="2" s="1"/>
  <c r="A3456" i="2"/>
  <c r="E3455" i="2"/>
  <c r="C3455" i="2"/>
  <c r="B3455" i="2" s="1"/>
  <c r="A3455" i="2"/>
  <c r="E3454" i="2"/>
  <c r="C3454" i="2"/>
  <c r="B3454" i="2" s="1"/>
  <c r="A3454" i="2"/>
  <c r="E3453" i="2"/>
  <c r="C3453" i="2"/>
  <c r="B3453" i="2" s="1"/>
  <c r="A3453" i="2"/>
  <c r="E3452" i="2"/>
  <c r="C3452" i="2"/>
  <c r="B3452" i="2" s="1"/>
  <c r="A3452" i="2"/>
  <c r="E3451" i="2"/>
  <c r="C3451" i="2"/>
  <c r="B3451" i="2" s="1"/>
  <c r="A3451" i="2"/>
  <c r="E3450" i="2"/>
  <c r="C3450" i="2"/>
  <c r="B3450" i="2" s="1"/>
  <c r="A3450" i="2"/>
  <c r="E3449" i="2"/>
  <c r="C3449" i="2"/>
  <c r="B3449" i="2" s="1"/>
  <c r="A3449" i="2"/>
  <c r="E3448" i="2"/>
  <c r="C3448" i="2"/>
  <c r="B3448" i="2" s="1"/>
  <c r="A3448" i="2"/>
  <c r="E3447" i="2"/>
  <c r="C3447" i="2"/>
  <c r="B3447" i="2" s="1"/>
  <c r="A3447" i="2"/>
  <c r="E3446" i="2"/>
  <c r="C3446" i="2"/>
  <c r="B3446" i="2" s="1"/>
  <c r="A3446" i="2"/>
  <c r="E3445" i="2"/>
  <c r="C3445" i="2"/>
  <c r="B3445" i="2" s="1"/>
  <c r="A3445" i="2"/>
  <c r="E3444" i="2"/>
  <c r="C3444" i="2"/>
  <c r="B3444" i="2" s="1"/>
  <c r="A3444" i="2"/>
  <c r="E3443" i="2"/>
  <c r="C3443" i="2"/>
  <c r="B3443" i="2" s="1"/>
  <c r="A3443" i="2"/>
  <c r="E3442" i="2"/>
  <c r="C3442" i="2"/>
  <c r="B3442" i="2" s="1"/>
  <c r="A3442" i="2"/>
  <c r="E3441" i="2"/>
  <c r="C3441" i="2"/>
  <c r="B3441" i="2" s="1"/>
  <c r="A3441" i="2"/>
  <c r="E3440" i="2"/>
  <c r="C3440" i="2"/>
  <c r="A3440" i="2"/>
  <c r="E3439" i="2"/>
  <c r="C3439" i="2"/>
  <c r="B3439" i="2" s="1"/>
  <c r="A3439" i="2"/>
  <c r="E3438" i="2"/>
  <c r="C3438" i="2"/>
  <c r="B3438" i="2" s="1"/>
  <c r="A3438" i="2"/>
  <c r="E3437" i="2"/>
  <c r="C3437" i="2"/>
  <c r="B3437" i="2" s="1"/>
  <c r="A3437" i="2"/>
  <c r="E3436" i="2"/>
  <c r="C3436" i="2"/>
  <c r="B3436" i="2" s="1"/>
  <c r="A3436" i="2"/>
  <c r="E3435" i="2"/>
  <c r="C3435" i="2"/>
  <c r="B3435" i="2" s="1"/>
  <c r="A3435" i="2"/>
  <c r="E3434" i="2"/>
  <c r="C3434" i="2"/>
  <c r="B3434" i="2" s="1"/>
  <c r="A3434" i="2"/>
  <c r="E3433" i="2"/>
  <c r="C3433" i="2"/>
  <c r="B3433" i="2" s="1"/>
  <c r="A3433" i="2"/>
  <c r="E3432" i="2"/>
  <c r="C3432" i="2"/>
  <c r="B3432" i="2" s="1"/>
  <c r="A3432" i="2"/>
  <c r="E3431" i="2"/>
  <c r="C3431" i="2"/>
  <c r="B3431" i="2" s="1"/>
  <c r="A3431" i="2"/>
  <c r="E3430" i="2"/>
  <c r="C3430" i="2"/>
  <c r="B3430" i="2" s="1"/>
  <c r="A3430" i="2"/>
  <c r="E3429" i="2"/>
  <c r="C3429" i="2"/>
  <c r="B3429" i="2" s="1"/>
  <c r="A3429" i="2"/>
  <c r="E3428" i="2"/>
  <c r="C3428" i="2"/>
  <c r="B3428" i="2" s="1"/>
  <c r="A3428" i="2"/>
  <c r="E3427" i="2"/>
  <c r="C3427" i="2"/>
  <c r="B3427" i="2" s="1"/>
  <c r="A3427" i="2"/>
  <c r="E3426" i="2"/>
  <c r="C3426" i="2"/>
  <c r="B3426" i="2" s="1"/>
  <c r="A3426" i="2"/>
  <c r="E3425" i="2"/>
  <c r="C3425" i="2"/>
  <c r="B3425" i="2" s="1"/>
  <c r="A3425" i="2"/>
  <c r="E3424" i="2"/>
  <c r="C3424" i="2"/>
  <c r="B3424" i="2" s="1"/>
  <c r="A3424" i="2"/>
  <c r="E3423" i="2"/>
  <c r="C3423" i="2"/>
  <c r="B3423" i="2" s="1"/>
  <c r="A3423" i="2"/>
  <c r="E3422" i="2"/>
  <c r="C3422" i="2"/>
  <c r="B3422" i="2" s="1"/>
  <c r="A3422" i="2"/>
  <c r="E3421" i="2"/>
  <c r="C3421" i="2"/>
  <c r="B3421" i="2" s="1"/>
  <c r="A3421" i="2"/>
  <c r="E3420" i="2"/>
  <c r="C3420" i="2"/>
  <c r="B3420" i="2" s="1"/>
  <c r="A3420" i="2"/>
  <c r="E3419" i="2"/>
  <c r="C3419" i="2"/>
  <c r="B3419" i="2" s="1"/>
  <c r="A3419" i="2"/>
  <c r="E3418" i="2"/>
  <c r="C3418" i="2"/>
  <c r="B3418" i="2" s="1"/>
  <c r="A3418" i="2"/>
  <c r="E3417" i="2"/>
  <c r="C3417" i="2"/>
  <c r="B3417" i="2" s="1"/>
  <c r="A3417" i="2"/>
  <c r="E3416" i="2"/>
  <c r="C3416" i="2"/>
  <c r="A3416" i="2"/>
  <c r="E3415" i="2"/>
  <c r="C3415" i="2"/>
  <c r="B3415" i="2" s="1"/>
  <c r="A3415" i="2"/>
  <c r="E3414" i="2"/>
  <c r="C3414" i="2"/>
  <c r="B3414" i="2" s="1"/>
  <c r="A3414" i="2"/>
  <c r="E3413" i="2"/>
  <c r="C3413" i="2"/>
  <c r="B3413" i="2" s="1"/>
  <c r="A3413" i="2"/>
  <c r="E3412" i="2"/>
  <c r="C3412" i="2"/>
  <c r="B3412" i="2" s="1"/>
  <c r="A3412" i="2"/>
  <c r="E3411" i="2"/>
  <c r="C3411" i="2"/>
  <c r="B3411" i="2" s="1"/>
  <c r="A3411" i="2"/>
  <c r="E3410" i="2"/>
  <c r="C3410" i="2"/>
  <c r="B3410" i="2" s="1"/>
  <c r="A3410" i="2"/>
  <c r="E3409" i="2"/>
  <c r="C3409" i="2"/>
  <c r="B3409" i="2" s="1"/>
  <c r="A3409" i="2"/>
  <c r="E3408" i="2"/>
  <c r="C3408" i="2"/>
  <c r="B3408" i="2" s="1"/>
  <c r="A3408" i="2"/>
  <c r="E3407" i="2"/>
  <c r="C3407" i="2"/>
  <c r="B3407" i="2" s="1"/>
  <c r="A3407" i="2"/>
  <c r="E3406" i="2"/>
  <c r="C3406" i="2"/>
  <c r="B3406" i="2" s="1"/>
  <c r="A3406" i="2"/>
  <c r="E3405" i="2"/>
  <c r="C3405" i="2"/>
  <c r="B3405" i="2" s="1"/>
  <c r="A3405" i="2"/>
  <c r="E3404" i="2"/>
  <c r="C3404" i="2"/>
  <c r="B3404" i="2" s="1"/>
  <c r="A3404" i="2"/>
  <c r="E3403" i="2"/>
  <c r="C3403" i="2"/>
  <c r="B3403" i="2" s="1"/>
  <c r="A3403" i="2"/>
  <c r="E3402" i="2"/>
  <c r="C3402" i="2"/>
  <c r="B3402" i="2" s="1"/>
  <c r="A3402" i="2"/>
  <c r="E3401" i="2"/>
  <c r="C3401" i="2"/>
  <c r="B3401" i="2" s="1"/>
  <c r="A3401" i="2"/>
  <c r="E3400" i="2"/>
  <c r="C3400" i="2"/>
  <c r="B3400" i="2" s="1"/>
  <c r="A3400" i="2"/>
  <c r="E3399" i="2"/>
  <c r="C3399" i="2"/>
  <c r="B3399" i="2" s="1"/>
  <c r="A3399" i="2"/>
  <c r="E3398" i="2"/>
  <c r="C3398" i="2"/>
  <c r="B3398" i="2" s="1"/>
  <c r="A3398" i="2"/>
  <c r="E3397" i="2"/>
  <c r="C3397" i="2"/>
  <c r="B3397" i="2" s="1"/>
  <c r="A3397" i="2"/>
  <c r="E3396" i="2"/>
  <c r="C3396" i="2"/>
  <c r="B3396" i="2" s="1"/>
  <c r="A3396" i="2"/>
  <c r="E3395" i="2"/>
  <c r="C3395" i="2"/>
  <c r="B3395" i="2" s="1"/>
  <c r="A3395" i="2"/>
  <c r="E3394" i="2"/>
  <c r="C3394" i="2"/>
  <c r="B3394" i="2" s="1"/>
  <c r="A3394" i="2"/>
  <c r="E3393" i="2"/>
  <c r="C3393" i="2"/>
  <c r="B3393" i="2" s="1"/>
  <c r="A3393" i="2"/>
  <c r="E3392" i="2"/>
  <c r="C3392" i="2"/>
  <c r="B3392" i="2" s="1"/>
  <c r="A3392" i="2"/>
  <c r="E3391" i="2"/>
  <c r="C3391" i="2"/>
  <c r="B3391" i="2" s="1"/>
  <c r="A3391" i="2"/>
  <c r="E3390" i="2"/>
  <c r="C3390" i="2"/>
  <c r="B3390" i="2" s="1"/>
  <c r="A3390" i="2"/>
  <c r="E3389" i="2"/>
  <c r="C3389" i="2"/>
  <c r="B3389" i="2" s="1"/>
  <c r="A3389" i="2"/>
  <c r="E3388" i="2"/>
  <c r="C3388" i="2"/>
  <c r="B3388" i="2" s="1"/>
  <c r="A3388" i="2"/>
  <c r="E3387" i="2"/>
  <c r="C3387" i="2"/>
  <c r="B3387" i="2" s="1"/>
  <c r="A3387" i="2"/>
  <c r="E3386" i="2"/>
  <c r="C3386" i="2"/>
  <c r="B3386" i="2" s="1"/>
  <c r="A3386" i="2"/>
  <c r="E3385" i="2"/>
  <c r="C3385" i="2"/>
  <c r="B3385" i="2" s="1"/>
  <c r="A3385" i="2"/>
  <c r="E3384" i="2"/>
  <c r="C3384" i="2"/>
  <c r="B3384" i="2" s="1"/>
  <c r="A3384" i="2"/>
  <c r="E3383" i="2"/>
  <c r="C3383" i="2"/>
  <c r="B3383" i="2" s="1"/>
  <c r="A3383" i="2"/>
  <c r="E3382" i="2"/>
  <c r="C3382" i="2"/>
  <c r="B3382" i="2" s="1"/>
  <c r="A3382" i="2"/>
  <c r="E3381" i="2"/>
  <c r="C3381" i="2"/>
  <c r="B3381" i="2" s="1"/>
  <c r="A3381" i="2"/>
  <c r="E3380" i="2"/>
  <c r="C3380" i="2"/>
  <c r="B3380" i="2" s="1"/>
  <c r="A3380" i="2"/>
  <c r="E3379" i="2"/>
  <c r="C3379" i="2"/>
  <c r="B3379" i="2" s="1"/>
  <c r="A3379" i="2"/>
  <c r="E3378" i="2"/>
  <c r="C3378" i="2"/>
  <c r="B3378" i="2" s="1"/>
  <c r="A3378" i="2"/>
  <c r="E3377" i="2"/>
  <c r="C3377" i="2"/>
  <c r="B3377" i="2" s="1"/>
  <c r="A3377" i="2"/>
  <c r="E3376" i="2"/>
  <c r="C3376" i="2"/>
  <c r="B3376" i="2" s="1"/>
  <c r="A3376" i="2"/>
  <c r="E3375" i="2"/>
  <c r="C3375" i="2"/>
  <c r="B3375" i="2" s="1"/>
  <c r="A3375" i="2"/>
  <c r="E3374" i="2"/>
  <c r="C3374" i="2"/>
  <c r="B3374" i="2" s="1"/>
  <c r="A3374" i="2"/>
  <c r="E3373" i="2"/>
  <c r="C3373" i="2"/>
  <c r="B3373" i="2" s="1"/>
  <c r="A3373" i="2"/>
  <c r="E3372" i="2"/>
  <c r="C3372" i="2"/>
  <c r="B3372" i="2" s="1"/>
  <c r="A3372" i="2"/>
  <c r="E3371" i="2"/>
  <c r="C3371" i="2"/>
  <c r="B3371" i="2" s="1"/>
  <c r="A3371" i="2"/>
  <c r="E3370" i="2"/>
  <c r="C3370" i="2"/>
  <c r="B3370" i="2" s="1"/>
  <c r="A3370" i="2"/>
  <c r="E3369" i="2"/>
  <c r="C3369" i="2"/>
  <c r="B3369" i="2" s="1"/>
  <c r="A3369" i="2"/>
  <c r="E3368" i="2"/>
  <c r="C3368" i="2"/>
  <c r="B3368" i="2" s="1"/>
  <c r="A3368" i="2"/>
  <c r="E3367" i="2"/>
  <c r="C3367" i="2"/>
  <c r="B3367" i="2" s="1"/>
  <c r="A3367" i="2"/>
  <c r="E3366" i="2"/>
  <c r="C3366" i="2"/>
  <c r="B3366" i="2" s="1"/>
  <c r="A3366" i="2"/>
  <c r="E3365" i="2"/>
  <c r="C3365" i="2"/>
  <c r="B3365" i="2" s="1"/>
  <c r="A3365" i="2"/>
  <c r="E3364" i="2"/>
  <c r="C3364" i="2"/>
  <c r="B3364" i="2" s="1"/>
  <c r="A3364" i="2"/>
  <c r="E3363" i="2"/>
  <c r="C3363" i="2"/>
  <c r="B3363" i="2" s="1"/>
  <c r="A3363" i="2"/>
  <c r="E3362" i="2"/>
  <c r="C3362" i="2"/>
  <c r="B3362" i="2" s="1"/>
  <c r="A3362" i="2"/>
  <c r="E3361" i="2"/>
  <c r="C3361" i="2"/>
  <c r="B3361" i="2" s="1"/>
  <c r="A3361" i="2"/>
  <c r="E3360" i="2"/>
  <c r="C3360" i="2"/>
  <c r="B3360" i="2" s="1"/>
  <c r="A3360" i="2"/>
  <c r="E3359" i="2"/>
  <c r="C3359" i="2"/>
  <c r="B3359" i="2" s="1"/>
  <c r="A3359" i="2"/>
  <c r="E3358" i="2"/>
  <c r="C3358" i="2"/>
  <c r="B3358" i="2" s="1"/>
  <c r="A3358" i="2"/>
  <c r="E3357" i="2"/>
  <c r="C3357" i="2"/>
  <c r="B3357" i="2" s="1"/>
  <c r="A3357" i="2"/>
  <c r="E3356" i="2"/>
  <c r="C3356" i="2"/>
  <c r="B3356" i="2" s="1"/>
  <c r="A3356" i="2"/>
  <c r="E3355" i="2"/>
  <c r="C3355" i="2"/>
  <c r="B3355" i="2" s="1"/>
  <c r="A3355" i="2"/>
  <c r="E3354" i="2"/>
  <c r="C3354" i="2"/>
  <c r="B3354" i="2" s="1"/>
  <c r="A3354" i="2"/>
  <c r="E3353" i="2"/>
  <c r="C3353" i="2"/>
  <c r="B3353" i="2" s="1"/>
  <c r="A3353" i="2"/>
  <c r="E3352" i="2"/>
  <c r="C3352" i="2"/>
  <c r="B3352" i="2" s="1"/>
  <c r="A3352" i="2"/>
  <c r="E3351" i="2"/>
  <c r="C3351" i="2"/>
  <c r="B3351" i="2" s="1"/>
  <c r="A3351" i="2"/>
  <c r="E3350" i="2"/>
  <c r="C3350" i="2"/>
  <c r="B3350" i="2" s="1"/>
  <c r="A3350" i="2"/>
  <c r="E3349" i="2"/>
  <c r="C3349" i="2"/>
  <c r="B3349" i="2" s="1"/>
  <c r="A3349" i="2"/>
  <c r="E3348" i="2"/>
  <c r="C3348" i="2"/>
  <c r="B3348" i="2" s="1"/>
  <c r="A3348" i="2"/>
  <c r="E3347" i="2"/>
  <c r="C3347" i="2"/>
  <c r="B3347" i="2" s="1"/>
  <c r="A3347" i="2"/>
  <c r="E3346" i="2"/>
  <c r="C3346" i="2"/>
  <c r="B3346" i="2" s="1"/>
  <c r="A3346" i="2"/>
  <c r="E3345" i="2"/>
  <c r="C3345" i="2"/>
  <c r="B3345" i="2" s="1"/>
  <c r="A3345" i="2"/>
  <c r="E3344" i="2"/>
  <c r="C3344" i="2"/>
  <c r="B3344" i="2" s="1"/>
  <c r="A3344" i="2"/>
  <c r="E3343" i="2"/>
  <c r="C3343" i="2"/>
  <c r="B3343" i="2" s="1"/>
  <c r="A3343" i="2"/>
  <c r="E3342" i="2"/>
  <c r="C3342" i="2"/>
  <c r="B3342" i="2" s="1"/>
  <c r="A3342" i="2"/>
  <c r="E3341" i="2"/>
  <c r="C3341" i="2"/>
  <c r="B3341" i="2" s="1"/>
  <c r="A3341" i="2"/>
  <c r="E3340" i="2"/>
  <c r="C3340" i="2"/>
  <c r="B3340" i="2" s="1"/>
  <c r="A3340" i="2"/>
  <c r="E3339" i="2"/>
  <c r="C3339" i="2"/>
  <c r="B3339" i="2" s="1"/>
  <c r="A3339" i="2"/>
  <c r="E3338" i="2"/>
  <c r="C3338" i="2"/>
  <c r="B3338" i="2" s="1"/>
  <c r="A3338" i="2"/>
  <c r="E3337" i="2"/>
  <c r="C3337" i="2"/>
  <c r="B3337" i="2" s="1"/>
  <c r="A3337" i="2"/>
  <c r="E3336" i="2"/>
  <c r="C3336" i="2"/>
  <c r="B3336" i="2" s="1"/>
  <c r="A3336" i="2"/>
  <c r="E3335" i="2"/>
  <c r="C3335" i="2"/>
  <c r="B3335" i="2" s="1"/>
  <c r="A3335" i="2"/>
  <c r="E3334" i="2"/>
  <c r="C3334" i="2"/>
  <c r="B3334" i="2" s="1"/>
  <c r="A3334" i="2"/>
  <c r="E3333" i="2"/>
  <c r="C3333" i="2"/>
  <c r="B3333" i="2" s="1"/>
  <c r="A3333" i="2"/>
  <c r="E3332" i="2"/>
  <c r="C3332" i="2"/>
  <c r="B3332" i="2" s="1"/>
  <c r="A3332" i="2"/>
  <c r="E3331" i="2"/>
  <c r="C3331" i="2"/>
  <c r="B3331" i="2" s="1"/>
  <c r="A3331" i="2"/>
  <c r="E3330" i="2"/>
  <c r="C3330" i="2"/>
  <c r="B3330" i="2" s="1"/>
  <c r="A3330" i="2"/>
  <c r="E3329" i="2"/>
  <c r="C3329" i="2"/>
  <c r="B3329" i="2" s="1"/>
  <c r="A3329" i="2"/>
  <c r="E3328" i="2"/>
  <c r="C3328" i="2"/>
  <c r="A3328" i="2"/>
  <c r="E3327" i="2"/>
  <c r="C3327" i="2"/>
  <c r="B3327" i="2" s="1"/>
  <c r="A3327" i="2"/>
  <c r="E3326" i="2"/>
  <c r="C3326" i="2"/>
  <c r="B3326" i="2" s="1"/>
  <c r="A3326" i="2"/>
  <c r="E3325" i="2"/>
  <c r="C3325" i="2"/>
  <c r="B3325" i="2" s="1"/>
  <c r="A3325" i="2"/>
  <c r="E3324" i="2"/>
  <c r="C3324" i="2"/>
  <c r="B3324" i="2" s="1"/>
  <c r="A3324" i="2"/>
  <c r="E3323" i="2"/>
  <c r="C3323" i="2"/>
  <c r="B3323" i="2" s="1"/>
  <c r="A3323" i="2"/>
  <c r="E3322" i="2"/>
  <c r="C3322" i="2"/>
  <c r="B3322" i="2" s="1"/>
  <c r="A3322" i="2"/>
  <c r="E3321" i="2"/>
  <c r="C3321" i="2"/>
  <c r="B3321" i="2" s="1"/>
  <c r="A3321" i="2"/>
  <c r="E3320" i="2"/>
  <c r="C3320" i="2"/>
  <c r="B3320" i="2" s="1"/>
  <c r="A3320" i="2"/>
  <c r="E3319" i="2"/>
  <c r="C3319" i="2"/>
  <c r="B3319" i="2" s="1"/>
  <c r="A3319" i="2"/>
  <c r="E3318" i="2"/>
  <c r="C3318" i="2"/>
  <c r="B3318" i="2" s="1"/>
  <c r="A3318" i="2"/>
  <c r="E3317" i="2"/>
  <c r="C3317" i="2"/>
  <c r="B3317" i="2" s="1"/>
  <c r="A3317" i="2"/>
  <c r="E3316" i="2"/>
  <c r="C3316" i="2"/>
  <c r="B3316" i="2" s="1"/>
  <c r="A3316" i="2"/>
  <c r="E3315" i="2"/>
  <c r="C3315" i="2"/>
  <c r="B3315" i="2" s="1"/>
  <c r="A3315" i="2"/>
  <c r="E3314" i="2"/>
  <c r="C3314" i="2"/>
  <c r="B3314" i="2" s="1"/>
  <c r="A3314" i="2"/>
  <c r="E3313" i="2"/>
  <c r="C3313" i="2"/>
  <c r="B3313" i="2" s="1"/>
  <c r="A3313" i="2"/>
  <c r="E3312" i="2"/>
  <c r="C3312" i="2"/>
  <c r="B3312" i="2" s="1"/>
  <c r="A3312" i="2"/>
  <c r="E3311" i="2"/>
  <c r="C3311" i="2"/>
  <c r="B3311" i="2" s="1"/>
  <c r="A3311" i="2"/>
  <c r="E3310" i="2"/>
  <c r="C3310" i="2"/>
  <c r="B3310" i="2" s="1"/>
  <c r="A3310" i="2"/>
  <c r="E3309" i="2"/>
  <c r="C3309" i="2"/>
  <c r="B3309" i="2" s="1"/>
  <c r="A3309" i="2"/>
  <c r="E3308" i="2"/>
  <c r="C3308" i="2"/>
  <c r="B3308" i="2" s="1"/>
  <c r="A3308" i="2"/>
  <c r="E3307" i="2"/>
  <c r="C3307" i="2"/>
  <c r="B3307" i="2" s="1"/>
  <c r="A3307" i="2"/>
  <c r="E3306" i="2"/>
  <c r="C3306" i="2"/>
  <c r="B3306" i="2" s="1"/>
  <c r="A3306" i="2"/>
  <c r="E3305" i="2"/>
  <c r="C3305" i="2"/>
  <c r="B3305" i="2" s="1"/>
  <c r="A3305" i="2"/>
  <c r="E3304" i="2"/>
  <c r="C3304" i="2"/>
  <c r="B3304" i="2" s="1"/>
  <c r="A3304" i="2"/>
  <c r="E3303" i="2"/>
  <c r="C3303" i="2"/>
  <c r="B3303" i="2" s="1"/>
  <c r="A3303" i="2"/>
  <c r="E3302" i="2"/>
  <c r="C3302" i="2"/>
  <c r="B3302" i="2" s="1"/>
  <c r="A3302" i="2"/>
  <c r="E3301" i="2"/>
  <c r="C3301" i="2"/>
  <c r="B3301" i="2" s="1"/>
  <c r="A3301" i="2"/>
  <c r="E3300" i="2"/>
  <c r="C3300" i="2"/>
  <c r="A3300" i="2"/>
  <c r="E3299" i="2"/>
  <c r="C3299" i="2"/>
  <c r="B3299" i="2" s="1"/>
  <c r="A3299" i="2"/>
  <c r="E3298" i="2"/>
  <c r="C3298" i="2"/>
  <c r="B3298" i="2" s="1"/>
  <c r="A3298" i="2"/>
  <c r="E3297" i="2"/>
  <c r="C3297" i="2"/>
  <c r="B3297" i="2" s="1"/>
  <c r="A3297" i="2"/>
  <c r="E3296" i="2"/>
  <c r="C3296" i="2"/>
  <c r="B3296" i="2" s="1"/>
  <c r="A3296" i="2"/>
  <c r="E3295" i="2"/>
  <c r="C3295" i="2"/>
  <c r="B3295" i="2" s="1"/>
  <c r="A3295" i="2"/>
  <c r="E3294" i="2"/>
  <c r="C3294" i="2"/>
  <c r="B3294" i="2" s="1"/>
  <c r="A3294" i="2"/>
  <c r="E3293" i="2"/>
  <c r="C3293" i="2"/>
  <c r="B3293" i="2" s="1"/>
  <c r="A3293" i="2"/>
  <c r="E3292" i="2"/>
  <c r="C3292" i="2"/>
  <c r="B3292" i="2" s="1"/>
  <c r="A3292" i="2"/>
  <c r="E3291" i="2"/>
  <c r="C3291" i="2"/>
  <c r="B3291" i="2" s="1"/>
  <c r="A3291" i="2"/>
  <c r="E3290" i="2"/>
  <c r="C3290" i="2"/>
  <c r="B3290" i="2" s="1"/>
  <c r="A3290" i="2"/>
  <c r="E3289" i="2"/>
  <c r="C3289" i="2"/>
  <c r="B3289" i="2" s="1"/>
  <c r="A3289" i="2"/>
  <c r="E3288" i="2"/>
  <c r="C3288" i="2"/>
  <c r="B3288" i="2" s="1"/>
  <c r="A3288" i="2"/>
  <c r="E3287" i="2"/>
  <c r="C3287" i="2"/>
  <c r="B3287" i="2" s="1"/>
  <c r="A3287" i="2"/>
  <c r="E3286" i="2"/>
  <c r="C3286" i="2"/>
  <c r="B3286" i="2" s="1"/>
  <c r="A3286" i="2"/>
  <c r="E3285" i="2"/>
  <c r="C3285" i="2"/>
  <c r="B3285" i="2" s="1"/>
  <c r="A3285" i="2"/>
  <c r="E3284" i="2"/>
  <c r="C3284" i="2"/>
  <c r="B3284" i="2" s="1"/>
  <c r="A3284" i="2"/>
  <c r="E3283" i="2"/>
  <c r="C3283" i="2"/>
  <c r="B3283" i="2" s="1"/>
  <c r="A3283" i="2"/>
  <c r="E3282" i="2"/>
  <c r="C3282" i="2"/>
  <c r="A3282" i="2"/>
  <c r="E3281" i="2"/>
  <c r="C3281" i="2"/>
  <c r="B3281" i="2" s="1"/>
  <c r="A3281" i="2"/>
  <c r="E3280" i="2"/>
  <c r="C3280" i="2"/>
  <c r="B3280" i="2" s="1"/>
  <c r="A3280" i="2"/>
  <c r="E3279" i="2"/>
  <c r="C3279" i="2"/>
  <c r="B3279" i="2" s="1"/>
  <c r="A3279" i="2"/>
  <c r="E3278" i="2"/>
  <c r="C3278" i="2"/>
  <c r="B3278" i="2" s="1"/>
  <c r="A3278" i="2"/>
  <c r="E3277" i="2"/>
  <c r="C3277" i="2"/>
  <c r="B3277" i="2" s="1"/>
  <c r="A3277" i="2"/>
  <c r="E3276" i="2"/>
  <c r="C3276" i="2"/>
  <c r="B3276" i="2" s="1"/>
  <c r="A3276" i="2"/>
  <c r="E3275" i="2"/>
  <c r="C3275" i="2"/>
  <c r="B3275" i="2" s="1"/>
  <c r="A3275" i="2"/>
  <c r="E3274" i="2"/>
  <c r="C3274" i="2"/>
  <c r="B3274" i="2" s="1"/>
  <c r="A3274" i="2"/>
  <c r="E3273" i="2"/>
  <c r="C3273" i="2"/>
  <c r="B3273" i="2" s="1"/>
  <c r="A3273" i="2"/>
  <c r="E3272" i="2"/>
  <c r="C3272" i="2"/>
  <c r="B3272" i="2" s="1"/>
  <c r="A3272" i="2"/>
  <c r="E3271" i="2"/>
  <c r="C3271" i="2"/>
  <c r="B3271" i="2" s="1"/>
  <c r="A3271" i="2"/>
  <c r="E3270" i="2"/>
  <c r="C3270" i="2"/>
  <c r="B3270" i="2" s="1"/>
  <c r="A3270" i="2"/>
  <c r="E3269" i="2"/>
  <c r="C3269" i="2"/>
  <c r="B3269" i="2" s="1"/>
  <c r="A3269" i="2"/>
  <c r="E3268" i="2"/>
  <c r="C3268" i="2"/>
  <c r="A3268" i="2"/>
  <c r="E3267" i="2"/>
  <c r="C3267" i="2"/>
  <c r="B3267" i="2" s="1"/>
  <c r="A3267" i="2"/>
  <c r="E3266" i="2"/>
  <c r="C3266" i="2"/>
  <c r="B3266" i="2" s="1"/>
  <c r="A3266" i="2"/>
  <c r="E3265" i="2"/>
  <c r="C3265" i="2"/>
  <c r="B3265" i="2" s="1"/>
  <c r="A3265" i="2"/>
  <c r="E3264" i="2"/>
  <c r="C3264" i="2"/>
  <c r="B3264" i="2" s="1"/>
  <c r="A3264" i="2"/>
  <c r="E3263" i="2"/>
  <c r="C3263" i="2"/>
  <c r="B3263" i="2" s="1"/>
  <c r="A3263" i="2"/>
  <c r="E3262" i="2"/>
  <c r="C3262" i="2"/>
  <c r="B3262" i="2" s="1"/>
  <c r="A3262" i="2"/>
  <c r="E3261" i="2"/>
  <c r="C3261" i="2"/>
  <c r="B3261" i="2" s="1"/>
  <c r="A3261" i="2"/>
  <c r="E3260" i="2"/>
  <c r="C3260" i="2"/>
  <c r="B3260" i="2" s="1"/>
  <c r="A3260" i="2"/>
  <c r="E3259" i="2"/>
  <c r="C3259" i="2"/>
  <c r="B3259" i="2" s="1"/>
  <c r="A3259" i="2"/>
  <c r="E3258" i="2"/>
  <c r="C3258" i="2"/>
  <c r="B3258" i="2" s="1"/>
  <c r="A3258" i="2"/>
  <c r="E3257" i="2"/>
  <c r="C3257" i="2"/>
  <c r="B3257" i="2" s="1"/>
  <c r="A3257" i="2"/>
  <c r="E3256" i="2"/>
  <c r="C3256" i="2"/>
  <c r="B3256" i="2" s="1"/>
  <c r="A3256" i="2"/>
  <c r="E3255" i="2"/>
  <c r="C3255" i="2"/>
  <c r="B3255" i="2" s="1"/>
  <c r="A3255" i="2"/>
  <c r="E3254" i="2"/>
  <c r="C3254" i="2"/>
  <c r="B3254" i="2" s="1"/>
  <c r="A3254" i="2"/>
  <c r="E3253" i="2"/>
  <c r="C3253" i="2"/>
  <c r="B3253" i="2" s="1"/>
  <c r="A3253" i="2"/>
  <c r="E3252" i="2"/>
  <c r="C3252" i="2"/>
  <c r="B3252" i="2" s="1"/>
  <c r="A3252" i="2"/>
  <c r="E3251" i="2"/>
  <c r="C3251" i="2"/>
  <c r="B3251" i="2" s="1"/>
  <c r="A3251" i="2"/>
  <c r="E3250" i="2"/>
  <c r="C3250" i="2"/>
  <c r="B3250" i="2" s="1"/>
  <c r="A3250" i="2"/>
  <c r="E3249" i="2"/>
  <c r="C3249" i="2"/>
  <c r="B3249" i="2" s="1"/>
  <c r="A3249" i="2"/>
  <c r="E3248" i="2"/>
  <c r="C3248" i="2"/>
  <c r="B3248" i="2" s="1"/>
  <c r="A3248" i="2"/>
  <c r="E3247" i="2"/>
  <c r="C3247" i="2"/>
  <c r="B3247" i="2" s="1"/>
  <c r="A3247" i="2"/>
  <c r="E3246" i="2"/>
  <c r="C3246" i="2"/>
  <c r="A3246" i="2"/>
  <c r="E3245" i="2"/>
  <c r="C3245" i="2"/>
  <c r="B3245" i="2" s="1"/>
  <c r="A3245" i="2"/>
  <c r="E3244" i="2"/>
  <c r="C3244" i="2"/>
  <c r="A3244" i="2"/>
  <c r="E3243" i="2"/>
  <c r="C3243" i="2"/>
  <c r="B3243" i="2" s="1"/>
  <c r="A3243" i="2"/>
  <c r="E3242" i="2"/>
  <c r="C3242" i="2"/>
  <c r="A3242" i="2"/>
  <c r="E3241" i="2"/>
  <c r="C3241" i="2"/>
  <c r="B3241" i="2" s="1"/>
  <c r="A3241" i="2"/>
  <c r="E3240" i="2"/>
  <c r="C3240" i="2"/>
  <c r="A3240" i="2"/>
  <c r="E3239" i="2"/>
  <c r="C3239" i="2"/>
  <c r="B3239" i="2" s="1"/>
  <c r="A3239" i="2"/>
  <c r="E3238" i="2"/>
  <c r="C3238" i="2"/>
  <c r="A3238" i="2"/>
  <c r="E3237" i="2"/>
  <c r="C3237" i="2"/>
  <c r="B3237" i="2" s="1"/>
  <c r="A3237" i="2"/>
  <c r="E3236" i="2"/>
  <c r="C3236" i="2"/>
  <c r="A3236" i="2"/>
  <c r="E3235" i="2"/>
  <c r="C3235" i="2"/>
  <c r="B3235" i="2" s="1"/>
  <c r="A3235" i="2"/>
  <c r="E3234" i="2"/>
  <c r="C3234" i="2"/>
  <c r="A3234" i="2"/>
  <c r="E3233" i="2"/>
  <c r="C3233" i="2"/>
  <c r="B3233" i="2" s="1"/>
  <c r="A3233" i="2"/>
  <c r="E3232" i="2"/>
  <c r="C3232" i="2"/>
  <c r="A3232" i="2"/>
  <c r="E3231" i="2"/>
  <c r="C3231" i="2"/>
  <c r="B3231" i="2" s="1"/>
  <c r="A3231" i="2"/>
  <c r="E3230" i="2"/>
  <c r="C3230" i="2"/>
  <c r="A3230" i="2"/>
  <c r="E3229" i="2"/>
  <c r="C3229" i="2"/>
  <c r="A3229" i="2"/>
  <c r="E3228" i="2"/>
  <c r="C3228" i="2"/>
  <c r="A3228" i="2"/>
  <c r="E3227" i="2"/>
  <c r="C3227" i="2"/>
  <c r="A3227" i="2"/>
  <c r="E3226" i="2"/>
  <c r="C3226" i="2"/>
  <c r="A3226" i="2"/>
  <c r="E3225" i="2"/>
  <c r="C3225" i="2"/>
  <c r="A3225" i="2"/>
  <c r="E3224" i="2"/>
  <c r="C3224" i="2"/>
  <c r="A3224" i="2"/>
  <c r="E3223" i="2"/>
  <c r="C3223" i="2"/>
  <c r="A3223" i="2"/>
  <c r="E3222" i="2"/>
  <c r="C3222" i="2"/>
  <c r="A3222" i="2"/>
  <c r="E3221" i="2"/>
  <c r="C3221" i="2"/>
  <c r="A3221" i="2"/>
  <c r="E3220" i="2"/>
  <c r="C3220" i="2"/>
  <c r="A3220" i="2"/>
  <c r="E3219" i="2"/>
  <c r="C3219" i="2"/>
  <c r="A3219" i="2"/>
  <c r="E3218" i="2"/>
  <c r="C3218" i="2"/>
  <c r="A3218" i="2"/>
  <c r="E3217" i="2"/>
  <c r="C3217" i="2"/>
  <c r="A3217" i="2"/>
  <c r="E3216" i="2"/>
  <c r="C3216" i="2"/>
  <c r="A3216" i="2"/>
  <c r="E3215" i="2"/>
  <c r="C3215" i="2"/>
  <c r="A3215" i="2"/>
  <c r="E3214" i="2"/>
  <c r="C3214" i="2"/>
  <c r="A3214" i="2"/>
  <c r="E3213" i="2"/>
  <c r="C3213" i="2"/>
  <c r="A3213" i="2"/>
  <c r="E3212" i="2"/>
  <c r="C3212" i="2"/>
  <c r="A3212" i="2"/>
  <c r="E3211" i="2"/>
  <c r="C3211" i="2"/>
  <c r="A3211" i="2"/>
  <c r="E3210" i="2"/>
  <c r="C3210" i="2"/>
  <c r="A3210" i="2"/>
  <c r="E3209" i="2"/>
  <c r="C3209" i="2"/>
  <c r="A3209" i="2"/>
  <c r="E3208" i="2"/>
  <c r="C3208" i="2"/>
  <c r="A3208" i="2"/>
  <c r="E3207" i="2"/>
  <c r="C3207" i="2"/>
  <c r="A3207" i="2"/>
  <c r="E3206" i="2"/>
  <c r="C3206" i="2"/>
  <c r="A3206" i="2"/>
  <c r="E3205" i="2"/>
  <c r="C3205" i="2"/>
  <c r="A3205" i="2"/>
  <c r="E3204" i="2"/>
  <c r="C3204" i="2"/>
  <c r="A3204" i="2"/>
  <c r="E3203" i="2"/>
  <c r="C3203" i="2"/>
  <c r="A3203" i="2"/>
  <c r="E3202" i="2"/>
  <c r="C3202" i="2"/>
  <c r="A3202" i="2"/>
  <c r="E3201" i="2"/>
  <c r="C3201" i="2"/>
  <c r="A3201" i="2"/>
  <c r="E3200" i="2"/>
  <c r="C3200" i="2"/>
  <c r="A3200" i="2"/>
  <c r="E3199" i="2"/>
  <c r="C3199" i="2"/>
  <c r="A3199" i="2"/>
  <c r="E3198" i="2"/>
  <c r="C3198" i="2"/>
  <c r="A3198" i="2"/>
  <c r="E3197" i="2"/>
  <c r="C3197" i="2"/>
  <c r="A3197" i="2"/>
  <c r="E3196" i="2"/>
  <c r="C3196" i="2"/>
  <c r="A3196" i="2"/>
  <c r="E3195" i="2"/>
  <c r="C3195" i="2"/>
  <c r="A3195" i="2"/>
  <c r="E3194" i="2"/>
  <c r="C3194" i="2"/>
  <c r="A3194" i="2"/>
  <c r="E3193" i="2"/>
  <c r="C3193" i="2"/>
  <c r="A3193" i="2"/>
  <c r="E3192" i="2"/>
  <c r="C3192" i="2"/>
  <c r="A3192" i="2"/>
  <c r="E3191" i="2"/>
  <c r="C3191" i="2"/>
  <c r="A3191" i="2"/>
  <c r="E3190" i="2"/>
  <c r="C3190" i="2"/>
  <c r="A3190" i="2"/>
  <c r="E3189" i="2"/>
  <c r="C3189" i="2"/>
  <c r="A3189" i="2"/>
  <c r="E3188" i="2"/>
  <c r="C3188" i="2"/>
  <c r="A3188" i="2"/>
  <c r="E3187" i="2"/>
  <c r="C3187" i="2"/>
  <c r="A3187" i="2"/>
  <c r="E3186" i="2"/>
  <c r="C3186" i="2"/>
  <c r="A3186" i="2"/>
  <c r="E3185" i="2"/>
  <c r="C3185" i="2"/>
  <c r="A3185" i="2"/>
  <c r="E3184" i="2"/>
  <c r="C3184" i="2"/>
  <c r="A3184" i="2"/>
  <c r="E3183" i="2"/>
  <c r="C3183" i="2"/>
  <c r="A3183" i="2"/>
  <c r="E3182" i="2"/>
  <c r="C3182" i="2"/>
  <c r="A3182" i="2"/>
  <c r="E3181" i="2"/>
  <c r="C3181" i="2"/>
  <c r="A3181" i="2"/>
  <c r="E3180" i="2"/>
  <c r="C3180" i="2"/>
  <c r="A3180" i="2"/>
  <c r="E3179" i="2"/>
  <c r="C3179" i="2"/>
  <c r="A3179" i="2"/>
  <c r="E3178" i="2"/>
  <c r="C3178" i="2"/>
  <c r="A3178" i="2"/>
  <c r="E3177" i="2"/>
  <c r="C3177" i="2"/>
  <c r="A3177" i="2"/>
  <c r="E3176" i="2"/>
  <c r="C3176" i="2"/>
  <c r="A3176" i="2"/>
  <c r="E3175" i="2"/>
  <c r="C3175" i="2"/>
  <c r="A3175" i="2"/>
  <c r="E3174" i="2"/>
  <c r="C3174" i="2"/>
  <c r="A3174" i="2"/>
  <c r="E3173" i="2"/>
  <c r="C3173" i="2"/>
  <c r="A3173" i="2"/>
  <c r="E3172" i="2"/>
  <c r="C3172" i="2"/>
  <c r="A3172" i="2"/>
  <c r="E3171" i="2"/>
  <c r="C3171" i="2"/>
  <c r="A3171" i="2"/>
  <c r="E3170" i="2"/>
  <c r="C3170" i="2"/>
  <c r="A3170" i="2"/>
  <c r="E3169" i="2"/>
  <c r="C3169" i="2"/>
  <c r="A3169" i="2"/>
  <c r="E3168" i="2"/>
  <c r="C3168" i="2"/>
  <c r="A3168" i="2"/>
  <c r="E3167" i="2"/>
  <c r="C3167" i="2"/>
  <c r="A3167" i="2"/>
  <c r="E3166" i="2"/>
  <c r="C3166" i="2"/>
  <c r="A3166" i="2"/>
  <c r="E3165" i="2"/>
  <c r="C3165" i="2"/>
  <c r="A3165" i="2"/>
  <c r="E3164" i="2"/>
  <c r="C3164" i="2"/>
  <c r="A3164" i="2"/>
  <c r="E3163" i="2"/>
  <c r="C3163" i="2"/>
  <c r="A3163" i="2"/>
  <c r="E3162" i="2"/>
  <c r="C3162" i="2"/>
  <c r="A3162" i="2"/>
  <c r="E3161" i="2"/>
  <c r="C3161" i="2"/>
  <c r="A3161" i="2"/>
  <c r="E3160" i="2"/>
  <c r="C3160" i="2"/>
  <c r="A3160" i="2"/>
  <c r="E3159" i="2"/>
  <c r="C3159" i="2"/>
  <c r="A3159" i="2"/>
  <c r="E3158" i="2"/>
  <c r="C3158" i="2"/>
  <c r="A3158" i="2"/>
  <c r="E3157" i="2"/>
  <c r="C3157" i="2"/>
  <c r="A3157" i="2"/>
  <c r="E3156" i="2"/>
  <c r="C3156" i="2"/>
  <c r="A3156" i="2"/>
  <c r="E3155" i="2"/>
  <c r="C3155" i="2"/>
  <c r="A3155" i="2"/>
  <c r="E3154" i="2"/>
  <c r="C3154" i="2"/>
  <c r="A3154" i="2"/>
  <c r="E3153" i="2"/>
  <c r="C3153" i="2"/>
  <c r="A3153" i="2"/>
  <c r="E3152" i="2"/>
  <c r="C3152" i="2"/>
  <c r="A3152" i="2"/>
  <c r="E3151" i="2"/>
  <c r="C3151" i="2"/>
  <c r="A3151" i="2"/>
  <c r="E3150" i="2"/>
  <c r="C3150" i="2"/>
  <c r="A3150" i="2"/>
  <c r="E3149" i="2"/>
  <c r="C3149" i="2"/>
  <c r="A3149" i="2"/>
  <c r="E3148" i="2"/>
  <c r="C3148" i="2"/>
  <c r="A3148" i="2"/>
  <c r="E3147" i="2"/>
  <c r="C3147" i="2"/>
  <c r="A3147" i="2"/>
  <c r="E3146" i="2"/>
  <c r="C3146" i="2"/>
  <c r="A3146" i="2"/>
  <c r="E3145" i="2"/>
  <c r="C3145" i="2"/>
  <c r="A3145" i="2"/>
  <c r="E3144" i="2"/>
  <c r="C3144" i="2"/>
  <c r="A3144" i="2"/>
  <c r="E3143" i="2"/>
  <c r="C3143" i="2"/>
  <c r="A3143" i="2"/>
  <c r="E3142" i="2"/>
  <c r="C3142" i="2"/>
  <c r="A3142" i="2"/>
  <c r="E3141" i="2"/>
  <c r="C3141" i="2"/>
  <c r="A3141" i="2"/>
  <c r="E3140" i="2"/>
  <c r="C3140" i="2"/>
  <c r="A3140" i="2"/>
  <c r="E3139" i="2"/>
  <c r="C3139" i="2"/>
  <c r="A3139" i="2"/>
  <c r="E3138" i="2"/>
  <c r="C3138" i="2"/>
  <c r="A3138" i="2"/>
  <c r="E3137" i="2"/>
  <c r="C3137" i="2"/>
  <c r="A3137" i="2"/>
  <c r="E3136" i="2"/>
  <c r="C3136" i="2"/>
  <c r="A3136" i="2"/>
  <c r="E3135" i="2"/>
  <c r="C3135" i="2"/>
  <c r="A3135" i="2"/>
  <c r="E3134" i="2"/>
  <c r="C3134" i="2"/>
  <c r="A3134" i="2"/>
  <c r="E3133" i="2"/>
  <c r="C3133" i="2"/>
  <c r="A3133" i="2"/>
  <c r="E3132" i="2"/>
  <c r="C3132" i="2"/>
  <c r="A3132" i="2"/>
  <c r="E3131" i="2"/>
  <c r="C3131" i="2"/>
  <c r="A3131" i="2"/>
  <c r="E3130" i="2"/>
  <c r="C3130" i="2"/>
  <c r="A3130" i="2"/>
  <c r="E3129" i="2"/>
  <c r="C3129" i="2"/>
  <c r="A3129" i="2"/>
  <c r="E3128" i="2"/>
  <c r="C3128" i="2"/>
  <c r="A3128" i="2"/>
  <c r="E3127" i="2"/>
  <c r="C3127" i="2"/>
  <c r="A3127" i="2"/>
  <c r="E3126" i="2"/>
  <c r="C3126" i="2"/>
  <c r="A3126" i="2"/>
  <c r="E3125" i="2"/>
  <c r="C3125" i="2"/>
  <c r="A3125" i="2"/>
  <c r="E3124" i="2"/>
  <c r="C3124" i="2"/>
  <c r="A3124" i="2"/>
  <c r="E3123" i="2"/>
  <c r="C3123" i="2"/>
  <c r="A3123" i="2"/>
  <c r="E3122" i="2"/>
  <c r="C3122" i="2"/>
  <c r="A3122" i="2"/>
  <c r="E3121" i="2"/>
  <c r="C3121" i="2"/>
  <c r="A3121" i="2"/>
  <c r="E3120" i="2"/>
  <c r="C3120" i="2"/>
  <c r="A3120" i="2"/>
  <c r="E3119" i="2"/>
  <c r="C3119" i="2"/>
  <c r="A3119" i="2"/>
  <c r="E3118" i="2"/>
  <c r="C3118" i="2"/>
  <c r="A3118" i="2"/>
  <c r="E3117" i="2"/>
  <c r="C3117" i="2"/>
  <c r="A3117" i="2"/>
  <c r="E3116" i="2"/>
  <c r="C3116" i="2"/>
  <c r="A3116" i="2"/>
  <c r="E3115" i="2"/>
  <c r="C3115" i="2"/>
  <c r="A3115" i="2"/>
  <c r="E3114" i="2"/>
  <c r="C3114" i="2"/>
  <c r="A3114" i="2"/>
  <c r="E3113" i="2"/>
  <c r="C3113" i="2"/>
  <c r="A3113" i="2"/>
  <c r="E3112" i="2"/>
  <c r="C3112" i="2"/>
  <c r="A3112" i="2"/>
  <c r="E3111" i="2"/>
  <c r="C3111" i="2"/>
  <c r="A3111" i="2"/>
  <c r="E3110" i="2"/>
  <c r="C3110" i="2"/>
  <c r="A3110" i="2"/>
  <c r="E3109" i="2"/>
  <c r="C3109" i="2"/>
  <c r="A3109" i="2"/>
  <c r="E3108" i="2"/>
  <c r="C3108" i="2"/>
  <c r="A3108" i="2"/>
  <c r="E3107" i="2"/>
  <c r="C3107" i="2"/>
  <c r="A3107" i="2"/>
  <c r="E3106" i="2"/>
  <c r="C3106" i="2"/>
  <c r="A3106" i="2"/>
  <c r="E3105" i="2"/>
  <c r="C3105" i="2"/>
  <c r="A3105" i="2"/>
  <c r="E3104" i="2"/>
  <c r="C3104" i="2"/>
  <c r="A3104" i="2"/>
  <c r="E3103" i="2"/>
  <c r="C3103" i="2"/>
  <c r="A3103" i="2"/>
  <c r="E3102" i="2"/>
  <c r="C3102" i="2"/>
  <c r="A3102" i="2"/>
  <c r="E3101" i="2"/>
  <c r="C3101" i="2"/>
  <c r="A3101" i="2"/>
  <c r="E3100" i="2"/>
  <c r="C3100" i="2"/>
  <c r="A3100" i="2"/>
  <c r="E3099" i="2"/>
  <c r="C3099" i="2"/>
  <c r="A3099" i="2"/>
  <c r="E3098" i="2"/>
  <c r="C3098" i="2"/>
  <c r="A3098" i="2"/>
  <c r="E3097" i="2"/>
  <c r="C3097" i="2"/>
  <c r="A3097" i="2"/>
  <c r="E3096" i="2"/>
  <c r="C3096" i="2"/>
  <c r="A3096" i="2"/>
  <c r="E3095" i="2"/>
  <c r="C3095" i="2"/>
  <c r="A3095" i="2"/>
  <c r="E3094" i="2"/>
  <c r="C3094" i="2"/>
  <c r="A3094" i="2"/>
  <c r="E3093" i="2"/>
  <c r="C3093" i="2"/>
  <c r="A3093" i="2"/>
  <c r="E3092" i="2"/>
  <c r="C3092" i="2"/>
  <c r="A3092" i="2"/>
  <c r="E3091" i="2"/>
  <c r="C3091" i="2"/>
  <c r="A3091" i="2"/>
  <c r="E3090" i="2"/>
  <c r="C3090" i="2"/>
  <c r="A3090" i="2"/>
  <c r="E3089" i="2"/>
  <c r="C3089" i="2"/>
  <c r="A3089" i="2"/>
  <c r="E3088" i="2"/>
  <c r="C3088" i="2"/>
  <c r="A3088" i="2"/>
  <c r="E3087" i="2"/>
  <c r="C3087" i="2"/>
  <c r="A3087" i="2"/>
  <c r="E3086" i="2"/>
  <c r="C3086" i="2"/>
  <c r="A3086" i="2"/>
  <c r="E3085" i="2"/>
  <c r="C3085" i="2"/>
  <c r="A3085" i="2"/>
  <c r="E3084" i="2"/>
  <c r="C3084" i="2"/>
  <c r="A3084" i="2"/>
  <c r="E3083" i="2"/>
  <c r="C3083" i="2"/>
  <c r="A3083" i="2"/>
  <c r="E3082" i="2"/>
  <c r="C3082" i="2"/>
  <c r="A3082" i="2"/>
  <c r="E3081" i="2"/>
  <c r="C3081" i="2"/>
  <c r="A3081" i="2"/>
  <c r="E3080" i="2"/>
  <c r="C3080" i="2"/>
  <c r="A3080" i="2"/>
  <c r="E3079" i="2"/>
  <c r="C3079" i="2"/>
  <c r="A3079" i="2"/>
  <c r="E3078" i="2"/>
  <c r="C3078" i="2"/>
  <c r="A3078" i="2"/>
  <c r="E3077" i="2"/>
  <c r="C3077" i="2"/>
  <c r="B3077" i="2" s="1"/>
  <c r="A3077" i="2"/>
  <c r="E3076" i="2"/>
  <c r="C3076" i="2"/>
  <c r="A3076" i="2"/>
  <c r="E3075" i="2"/>
  <c r="C3075" i="2"/>
  <c r="B3075" i="2" s="1"/>
  <c r="A3075" i="2"/>
  <c r="E3074" i="2"/>
  <c r="C3074" i="2"/>
  <c r="A3074" i="2"/>
  <c r="E3073" i="2"/>
  <c r="C3073" i="2"/>
  <c r="B3073" i="2" s="1"/>
  <c r="A3073" i="2"/>
  <c r="E3072" i="2"/>
  <c r="C3072" i="2"/>
  <c r="A3072" i="2"/>
  <c r="E3071" i="2"/>
  <c r="C3071" i="2"/>
  <c r="B3071" i="2" s="1"/>
  <c r="A3071" i="2"/>
  <c r="E3070" i="2"/>
  <c r="C3070" i="2"/>
  <c r="A3070" i="2"/>
  <c r="E3069" i="2"/>
  <c r="C3069" i="2"/>
  <c r="B3069" i="2" s="1"/>
  <c r="A3069" i="2"/>
  <c r="E3068" i="2"/>
  <c r="C3068" i="2"/>
  <c r="A3068" i="2"/>
  <c r="E3067" i="2"/>
  <c r="C3067" i="2"/>
  <c r="B3067" i="2" s="1"/>
  <c r="A3067" i="2"/>
  <c r="E3066" i="2"/>
  <c r="C3066" i="2"/>
  <c r="A3066" i="2"/>
  <c r="E3065" i="2"/>
  <c r="C3065" i="2"/>
  <c r="B3065" i="2" s="1"/>
  <c r="A3065" i="2"/>
  <c r="E3064" i="2"/>
  <c r="C3064" i="2"/>
  <c r="A3064" i="2"/>
  <c r="E3063" i="2"/>
  <c r="C3063" i="2"/>
  <c r="B3063" i="2" s="1"/>
  <c r="A3063" i="2"/>
  <c r="E3062" i="2"/>
  <c r="C3062" i="2"/>
  <c r="A3062" i="2"/>
  <c r="E3061" i="2"/>
  <c r="C3061" i="2"/>
  <c r="B3061" i="2" s="1"/>
  <c r="A3061" i="2"/>
  <c r="E3060" i="2"/>
  <c r="C3060" i="2"/>
  <c r="A3060" i="2"/>
  <c r="E3059" i="2"/>
  <c r="C3059" i="2"/>
  <c r="B3059" i="2" s="1"/>
  <c r="A3059" i="2"/>
  <c r="E3058" i="2"/>
  <c r="C3058" i="2"/>
  <c r="A3058" i="2"/>
  <c r="E3057" i="2"/>
  <c r="C3057" i="2"/>
  <c r="B3057" i="2" s="1"/>
  <c r="A3057" i="2"/>
  <c r="E3056" i="2"/>
  <c r="C3056" i="2"/>
  <c r="A3056" i="2"/>
  <c r="E3055" i="2"/>
  <c r="C3055" i="2"/>
  <c r="B3055" i="2" s="1"/>
  <c r="A3055" i="2"/>
  <c r="E3054" i="2"/>
  <c r="C3054" i="2"/>
  <c r="A3054" i="2"/>
  <c r="E3053" i="2"/>
  <c r="C3053" i="2"/>
  <c r="B3053" i="2" s="1"/>
  <c r="A3053" i="2"/>
  <c r="E3052" i="2"/>
  <c r="C3052" i="2"/>
  <c r="A3052" i="2"/>
  <c r="E3051" i="2"/>
  <c r="C3051" i="2"/>
  <c r="B3051" i="2" s="1"/>
  <c r="A3051" i="2"/>
  <c r="E3050" i="2"/>
  <c r="C3050" i="2"/>
  <c r="A3050" i="2"/>
  <c r="E3049" i="2"/>
  <c r="C3049" i="2"/>
  <c r="B3049" i="2" s="1"/>
  <c r="A3049" i="2"/>
  <c r="E3048" i="2"/>
  <c r="C3048" i="2"/>
  <c r="A3048" i="2"/>
  <c r="E3047" i="2"/>
  <c r="C3047" i="2"/>
  <c r="B3047" i="2" s="1"/>
  <c r="A3047" i="2"/>
  <c r="E3046" i="2"/>
  <c r="C3046" i="2"/>
  <c r="A3046" i="2"/>
  <c r="E3045" i="2"/>
  <c r="C3045" i="2"/>
  <c r="B3045" i="2" s="1"/>
  <c r="A3045" i="2"/>
  <c r="E3044" i="2"/>
  <c r="C3044" i="2"/>
  <c r="A3044" i="2"/>
  <c r="E3043" i="2"/>
  <c r="C3043" i="2"/>
  <c r="B3043" i="2" s="1"/>
  <c r="A3043" i="2"/>
  <c r="E3042" i="2"/>
  <c r="C3042" i="2"/>
  <c r="A3042" i="2"/>
  <c r="E3041" i="2"/>
  <c r="C3041" i="2"/>
  <c r="B3041" i="2" s="1"/>
  <c r="A3041" i="2"/>
  <c r="E3040" i="2"/>
  <c r="C3040" i="2"/>
  <c r="A3040" i="2"/>
  <c r="E3039" i="2"/>
  <c r="C3039" i="2"/>
  <c r="B3039" i="2" s="1"/>
  <c r="A3039" i="2"/>
  <c r="E3038" i="2"/>
  <c r="C3038" i="2"/>
  <c r="A3038" i="2"/>
  <c r="E3037" i="2"/>
  <c r="C3037" i="2"/>
  <c r="B3037" i="2" s="1"/>
  <c r="A3037" i="2"/>
  <c r="E3036" i="2"/>
  <c r="C3036" i="2"/>
  <c r="A3036" i="2"/>
  <c r="E3035" i="2"/>
  <c r="C3035" i="2"/>
  <c r="B3035" i="2" s="1"/>
  <c r="A3035" i="2"/>
  <c r="E3034" i="2"/>
  <c r="C3034" i="2"/>
  <c r="A3034" i="2"/>
  <c r="E3033" i="2"/>
  <c r="C3033" i="2"/>
  <c r="B3033" i="2" s="1"/>
  <c r="A3033" i="2"/>
  <c r="E3032" i="2"/>
  <c r="C3032" i="2"/>
  <c r="A3032" i="2"/>
  <c r="E3031" i="2"/>
  <c r="C3031" i="2"/>
  <c r="B3031" i="2" s="1"/>
  <c r="A3031" i="2"/>
  <c r="E3030" i="2"/>
  <c r="C3030" i="2"/>
  <c r="A3030" i="2"/>
  <c r="E3029" i="2"/>
  <c r="C3029" i="2"/>
  <c r="B3029" i="2" s="1"/>
  <c r="A3029" i="2"/>
  <c r="E3028" i="2"/>
  <c r="C3028" i="2"/>
  <c r="A3028" i="2"/>
  <c r="E3027" i="2"/>
  <c r="C3027" i="2"/>
  <c r="B3027" i="2" s="1"/>
  <c r="A3027" i="2"/>
  <c r="E3026" i="2"/>
  <c r="C3026" i="2"/>
  <c r="A3026" i="2"/>
  <c r="E3025" i="2"/>
  <c r="C3025" i="2"/>
  <c r="B3025" i="2" s="1"/>
  <c r="A3025" i="2"/>
  <c r="E3024" i="2"/>
  <c r="C3024" i="2"/>
  <c r="A3024" i="2"/>
  <c r="E3023" i="2"/>
  <c r="C3023" i="2"/>
  <c r="B3023" i="2" s="1"/>
  <c r="A3023" i="2"/>
  <c r="E3022" i="2"/>
  <c r="C3022" i="2"/>
  <c r="A3022" i="2"/>
  <c r="E3021" i="2"/>
  <c r="C3021" i="2"/>
  <c r="B3021" i="2" s="1"/>
  <c r="A3021" i="2"/>
  <c r="E3020" i="2"/>
  <c r="C3020" i="2"/>
  <c r="A3020" i="2"/>
  <c r="E3019" i="2"/>
  <c r="C3019" i="2"/>
  <c r="B3019" i="2" s="1"/>
  <c r="A3019" i="2"/>
  <c r="E3018" i="2"/>
  <c r="C3018" i="2"/>
  <c r="A3018" i="2"/>
  <c r="E3017" i="2"/>
  <c r="C3017" i="2"/>
  <c r="B3017" i="2" s="1"/>
  <c r="A3017" i="2"/>
  <c r="E3016" i="2"/>
  <c r="C3016" i="2"/>
  <c r="A3016" i="2"/>
  <c r="E3015" i="2"/>
  <c r="C3015" i="2"/>
  <c r="B3015" i="2" s="1"/>
  <c r="A3015" i="2"/>
  <c r="E3014" i="2"/>
  <c r="C3014" i="2"/>
  <c r="A3014" i="2"/>
  <c r="E3013" i="2"/>
  <c r="C3013" i="2"/>
  <c r="B3013" i="2" s="1"/>
  <c r="A3013" i="2"/>
  <c r="E3012" i="2"/>
  <c r="C3012" i="2"/>
  <c r="A3012" i="2"/>
  <c r="E3011" i="2"/>
  <c r="C3011" i="2"/>
  <c r="B3011" i="2" s="1"/>
  <c r="A3011" i="2"/>
  <c r="E3010" i="2"/>
  <c r="C3010" i="2"/>
  <c r="A3010" i="2"/>
  <c r="E3009" i="2"/>
  <c r="C3009" i="2"/>
  <c r="B3009" i="2" s="1"/>
  <c r="A3009" i="2"/>
  <c r="E3008" i="2"/>
  <c r="C3008" i="2"/>
  <c r="A3008" i="2"/>
  <c r="E3007" i="2"/>
  <c r="C3007" i="2"/>
  <c r="B3007" i="2" s="1"/>
  <c r="A3007" i="2"/>
  <c r="E3006" i="2"/>
  <c r="C3006" i="2"/>
  <c r="A3006" i="2"/>
  <c r="E3005" i="2"/>
  <c r="C3005" i="2"/>
  <c r="B3005" i="2" s="1"/>
  <c r="A3005" i="2"/>
  <c r="E3004" i="2"/>
  <c r="C3004" i="2"/>
  <c r="A3004" i="2"/>
  <c r="E3003" i="2"/>
  <c r="C3003" i="2"/>
  <c r="B3003" i="2" s="1"/>
  <c r="A3003" i="2"/>
  <c r="E3002" i="2"/>
  <c r="C3002" i="2"/>
  <c r="A3002" i="2"/>
  <c r="E3001" i="2"/>
  <c r="C3001" i="2"/>
  <c r="B3001" i="2" s="1"/>
  <c r="A3001" i="2"/>
  <c r="E3000" i="2"/>
  <c r="C3000" i="2"/>
  <c r="A3000" i="2"/>
  <c r="E2999" i="2"/>
  <c r="C2999" i="2"/>
  <c r="B2999" i="2" s="1"/>
  <c r="A2999" i="2"/>
  <c r="E2998" i="2"/>
  <c r="C2998" i="2"/>
  <c r="A2998" i="2"/>
  <c r="E2997" i="2"/>
  <c r="C2997" i="2"/>
  <c r="B2997" i="2" s="1"/>
  <c r="A2997" i="2"/>
  <c r="E2996" i="2"/>
  <c r="C2996" i="2"/>
  <c r="A2996" i="2"/>
  <c r="E2995" i="2"/>
  <c r="C2995" i="2"/>
  <c r="B2995" i="2" s="1"/>
  <c r="A2995" i="2"/>
  <c r="E2994" i="2"/>
  <c r="C2994" i="2"/>
  <c r="A2994" i="2"/>
  <c r="E2993" i="2"/>
  <c r="C2993" i="2"/>
  <c r="B2993" i="2" s="1"/>
  <c r="A2993" i="2"/>
  <c r="E2992" i="2"/>
  <c r="C2992" i="2"/>
  <c r="A2992" i="2"/>
  <c r="E2991" i="2"/>
  <c r="C2991" i="2"/>
  <c r="B2991" i="2" s="1"/>
  <c r="A2991" i="2"/>
  <c r="E2990" i="2"/>
  <c r="C2990" i="2"/>
  <c r="A2990" i="2"/>
  <c r="E2989" i="2"/>
  <c r="C2989" i="2"/>
  <c r="B2989" i="2" s="1"/>
  <c r="A2989" i="2"/>
  <c r="E2988" i="2"/>
  <c r="C2988" i="2"/>
  <c r="A2988" i="2"/>
  <c r="E2987" i="2"/>
  <c r="C2987" i="2"/>
  <c r="B2987" i="2" s="1"/>
  <c r="A2987" i="2"/>
  <c r="E2986" i="2"/>
  <c r="C2986" i="2"/>
  <c r="A2986" i="2"/>
  <c r="E2985" i="2"/>
  <c r="C2985" i="2"/>
  <c r="B2985" i="2" s="1"/>
  <c r="A2985" i="2"/>
  <c r="E2984" i="2"/>
  <c r="C2984" i="2"/>
  <c r="A2984" i="2"/>
  <c r="E2983" i="2"/>
  <c r="C2983" i="2"/>
  <c r="B2983" i="2" s="1"/>
  <c r="A2983" i="2"/>
  <c r="E2982" i="2"/>
  <c r="C2982" i="2"/>
  <c r="A2982" i="2"/>
  <c r="E2981" i="2"/>
  <c r="C2981" i="2"/>
  <c r="B2981" i="2" s="1"/>
  <c r="A2981" i="2"/>
  <c r="E2980" i="2"/>
  <c r="C2980" i="2"/>
  <c r="A2980" i="2"/>
  <c r="E2979" i="2"/>
  <c r="C2979" i="2"/>
  <c r="B2979" i="2" s="1"/>
  <c r="A2979" i="2"/>
  <c r="E2978" i="2"/>
  <c r="C2978" i="2"/>
  <c r="A2978" i="2"/>
  <c r="E2977" i="2"/>
  <c r="C2977" i="2"/>
  <c r="B2977" i="2" s="1"/>
  <c r="A2977" i="2"/>
  <c r="E2976" i="2"/>
  <c r="C2976" i="2"/>
  <c r="A2976" i="2"/>
  <c r="E2975" i="2"/>
  <c r="C2975" i="2"/>
  <c r="B2975" i="2" s="1"/>
  <c r="A2975" i="2"/>
  <c r="E2974" i="2"/>
  <c r="C2974" i="2"/>
  <c r="A2974" i="2"/>
  <c r="E2973" i="2"/>
  <c r="C2973" i="2"/>
  <c r="B2973" i="2" s="1"/>
  <c r="A2973" i="2"/>
  <c r="E2972" i="2"/>
  <c r="C2972" i="2"/>
  <c r="A2972" i="2"/>
  <c r="E2971" i="2"/>
  <c r="C2971" i="2"/>
  <c r="B2971" i="2" s="1"/>
  <c r="A2971" i="2"/>
  <c r="E2970" i="2"/>
  <c r="C2970" i="2"/>
  <c r="A2970" i="2"/>
  <c r="E2969" i="2"/>
  <c r="C2969" i="2"/>
  <c r="B2969" i="2" s="1"/>
  <c r="A2969" i="2"/>
  <c r="E2968" i="2"/>
  <c r="C2968" i="2"/>
  <c r="A2968" i="2"/>
  <c r="E2967" i="2"/>
  <c r="C2967" i="2"/>
  <c r="B2967" i="2" s="1"/>
  <c r="A2967" i="2"/>
  <c r="E2966" i="2"/>
  <c r="C2966" i="2"/>
  <c r="A2966" i="2"/>
  <c r="E2965" i="2"/>
  <c r="C2965" i="2"/>
  <c r="B2965" i="2" s="1"/>
  <c r="A2965" i="2"/>
  <c r="E2964" i="2"/>
  <c r="C2964" i="2"/>
  <c r="A2964" i="2"/>
  <c r="E2963" i="2"/>
  <c r="C2963" i="2"/>
  <c r="B2963" i="2" s="1"/>
  <c r="A2963" i="2"/>
  <c r="E2962" i="2"/>
  <c r="C2962" i="2"/>
  <c r="A2962" i="2"/>
  <c r="E2961" i="2"/>
  <c r="C2961" i="2"/>
  <c r="B2961" i="2" s="1"/>
  <c r="A2961" i="2"/>
  <c r="E2960" i="2"/>
  <c r="C2960" i="2"/>
  <c r="A2960" i="2"/>
  <c r="E2959" i="2"/>
  <c r="C2959" i="2"/>
  <c r="B2959" i="2" s="1"/>
  <c r="A2959" i="2"/>
  <c r="E2958" i="2"/>
  <c r="C2958" i="2"/>
  <c r="A2958" i="2"/>
  <c r="E2957" i="2"/>
  <c r="C2957" i="2"/>
  <c r="B2957" i="2" s="1"/>
  <c r="A2957" i="2"/>
  <c r="E2956" i="2"/>
  <c r="C2956" i="2"/>
  <c r="A2956" i="2"/>
  <c r="E2955" i="2"/>
  <c r="C2955" i="2"/>
  <c r="B2955" i="2" s="1"/>
  <c r="A2955" i="2"/>
  <c r="E2954" i="2"/>
  <c r="C2954" i="2"/>
  <c r="A2954" i="2"/>
  <c r="E2953" i="2"/>
  <c r="C2953" i="2"/>
  <c r="B2953" i="2" s="1"/>
  <c r="A2953" i="2"/>
  <c r="E2952" i="2"/>
  <c r="C2952" i="2"/>
  <c r="A2952" i="2"/>
  <c r="E2951" i="2"/>
  <c r="C2951" i="2"/>
  <c r="B2951" i="2" s="1"/>
  <c r="A2951" i="2"/>
  <c r="E2950" i="2"/>
  <c r="C2950" i="2"/>
  <c r="A2950" i="2"/>
  <c r="E2949" i="2"/>
  <c r="C2949" i="2"/>
  <c r="B2949" i="2" s="1"/>
  <c r="A2949" i="2"/>
  <c r="E2948" i="2"/>
  <c r="C2948" i="2"/>
  <c r="A2948" i="2"/>
  <c r="E2947" i="2"/>
  <c r="C2947" i="2"/>
  <c r="B2947" i="2" s="1"/>
  <c r="A2947" i="2"/>
  <c r="E2946" i="2"/>
  <c r="C2946" i="2"/>
  <c r="A2946" i="2"/>
  <c r="E2945" i="2"/>
  <c r="C2945" i="2"/>
  <c r="B2945" i="2" s="1"/>
  <c r="A2945" i="2"/>
  <c r="E2944" i="2"/>
  <c r="C2944" i="2"/>
  <c r="A2944" i="2"/>
  <c r="E2943" i="2"/>
  <c r="C2943" i="2"/>
  <c r="B2943" i="2" s="1"/>
  <c r="A2943" i="2"/>
  <c r="E2942" i="2"/>
  <c r="C2942" i="2"/>
  <c r="A2942" i="2"/>
  <c r="E2941" i="2"/>
  <c r="C2941" i="2"/>
  <c r="B2941" i="2" s="1"/>
  <c r="A2941" i="2"/>
  <c r="E2940" i="2"/>
  <c r="C2940" i="2"/>
  <c r="A2940" i="2"/>
  <c r="E2939" i="2"/>
  <c r="C2939" i="2"/>
  <c r="B2939" i="2" s="1"/>
  <c r="A2939" i="2"/>
  <c r="E2938" i="2"/>
  <c r="C2938" i="2"/>
  <c r="A2938" i="2"/>
  <c r="E2937" i="2"/>
  <c r="C2937" i="2"/>
  <c r="B2937" i="2" s="1"/>
  <c r="A2937" i="2"/>
  <c r="E2936" i="2"/>
  <c r="C2936" i="2"/>
  <c r="A2936" i="2"/>
  <c r="E2935" i="2"/>
  <c r="C2935" i="2"/>
  <c r="B2935" i="2" s="1"/>
  <c r="A2935" i="2"/>
  <c r="E2934" i="2"/>
  <c r="C2934" i="2"/>
  <c r="B2934" i="2" s="1"/>
  <c r="A2934" i="2"/>
  <c r="E2933" i="2"/>
  <c r="C2933" i="2"/>
  <c r="B2933" i="2" s="1"/>
  <c r="A2933" i="2"/>
  <c r="E2932" i="2"/>
  <c r="C2932" i="2"/>
  <c r="B2932" i="2" s="1"/>
  <c r="A2932" i="2"/>
  <c r="E2931" i="2"/>
  <c r="C2931" i="2"/>
  <c r="B2931" i="2" s="1"/>
  <c r="A2931" i="2"/>
  <c r="E2930" i="2"/>
  <c r="C2930" i="2"/>
  <c r="B2930" i="2" s="1"/>
  <c r="A2930" i="2"/>
  <c r="E2929" i="2"/>
  <c r="C2929" i="2"/>
  <c r="B2929" i="2" s="1"/>
  <c r="A2929" i="2"/>
  <c r="E2928" i="2"/>
  <c r="C2928" i="2"/>
  <c r="B2928" i="2" s="1"/>
  <c r="A2928" i="2"/>
  <c r="E2927" i="2"/>
  <c r="C2927" i="2"/>
  <c r="B2927" i="2" s="1"/>
  <c r="A2927" i="2"/>
  <c r="E2926" i="2"/>
  <c r="C2926" i="2"/>
  <c r="B2926" i="2" s="1"/>
  <c r="A2926" i="2"/>
  <c r="E2925" i="2"/>
  <c r="C2925" i="2"/>
  <c r="B2925" i="2" s="1"/>
  <c r="A2925" i="2"/>
  <c r="E2924" i="2"/>
  <c r="C2924" i="2"/>
  <c r="A2924" i="2"/>
  <c r="E2923" i="2"/>
  <c r="C2923" i="2"/>
  <c r="A2923" i="2"/>
  <c r="E2922" i="2"/>
  <c r="C2922" i="2"/>
  <c r="A2922" i="2"/>
  <c r="E2921" i="2"/>
  <c r="C2921" i="2"/>
  <c r="A2921" i="2"/>
  <c r="E2920" i="2"/>
  <c r="C2920" i="2"/>
  <c r="B2920" i="2" s="1"/>
  <c r="A2920" i="2"/>
  <c r="E2919" i="2"/>
  <c r="C2919" i="2"/>
  <c r="B2919" i="2" s="1"/>
  <c r="A2919" i="2"/>
  <c r="E2918" i="2"/>
  <c r="C2918" i="2"/>
  <c r="B2918" i="2" s="1"/>
  <c r="A2918" i="2"/>
  <c r="E2917" i="2"/>
  <c r="C2917" i="2"/>
  <c r="B2917" i="2" s="1"/>
  <c r="A2917" i="2"/>
  <c r="E2916" i="2"/>
  <c r="C2916" i="2"/>
  <c r="A2916" i="2"/>
  <c r="E2915" i="2"/>
  <c r="C2915" i="2"/>
  <c r="A2915" i="2"/>
  <c r="E2914" i="2"/>
  <c r="C2914" i="2"/>
  <c r="A2914" i="2"/>
  <c r="E2913" i="2"/>
  <c r="C2913" i="2"/>
  <c r="A2913" i="2"/>
  <c r="E2912" i="2"/>
  <c r="C2912" i="2"/>
  <c r="A2912" i="2"/>
  <c r="E2911" i="2"/>
  <c r="C2911" i="2"/>
  <c r="A2911" i="2"/>
  <c r="E2910" i="2"/>
  <c r="C2910" i="2"/>
  <c r="B2910" i="2" s="1"/>
  <c r="A2910" i="2"/>
  <c r="E2909" i="2"/>
  <c r="C2909" i="2"/>
  <c r="A2909" i="2"/>
  <c r="E2908" i="2"/>
  <c r="C2908" i="2"/>
  <c r="A2908" i="2"/>
  <c r="E2907" i="2"/>
  <c r="C2907" i="2"/>
  <c r="A2907" i="2"/>
  <c r="E2906" i="2"/>
  <c r="C2906" i="2"/>
  <c r="A2906" i="2"/>
  <c r="E2905" i="2"/>
  <c r="C2905" i="2"/>
  <c r="A2905" i="2"/>
  <c r="E2904" i="2"/>
  <c r="C2904" i="2"/>
  <c r="B2904" i="2" s="1"/>
  <c r="A2904" i="2"/>
  <c r="E2903" i="2"/>
  <c r="C2903" i="2"/>
  <c r="B2903" i="2" s="1"/>
  <c r="A2903" i="2"/>
  <c r="E2902" i="2"/>
  <c r="C2902" i="2"/>
  <c r="B2902" i="2" s="1"/>
  <c r="A2902" i="2"/>
  <c r="E2901" i="2"/>
  <c r="C2901" i="2"/>
  <c r="B2901" i="2" s="1"/>
  <c r="A2901" i="2"/>
  <c r="E2900" i="2"/>
  <c r="C2900" i="2"/>
  <c r="A2900" i="2"/>
  <c r="E2899" i="2"/>
  <c r="C2899" i="2"/>
  <c r="A2899" i="2"/>
  <c r="E2898" i="2"/>
  <c r="C2898" i="2"/>
  <c r="A2898" i="2"/>
  <c r="E2897" i="2"/>
  <c r="C2897" i="2"/>
  <c r="A2897" i="2"/>
  <c r="E2896" i="2"/>
  <c r="C2896" i="2"/>
  <c r="B2896" i="2" s="1"/>
  <c r="A2896" i="2"/>
  <c r="E2895" i="2"/>
  <c r="C2895" i="2"/>
  <c r="A2895" i="2"/>
  <c r="E2894" i="2"/>
  <c r="C2894" i="2"/>
  <c r="B2894" i="2" s="1"/>
  <c r="A2894" i="2"/>
  <c r="E2893" i="2"/>
  <c r="C2893" i="2"/>
  <c r="B2893" i="2" s="1"/>
  <c r="A2893" i="2"/>
  <c r="E2892" i="2"/>
  <c r="C2892" i="2"/>
  <c r="A2892" i="2"/>
  <c r="E2891" i="2"/>
  <c r="C2891" i="2"/>
  <c r="A2891" i="2"/>
  <c r="E2890" i="2"/>
  <c r="C2890" i="2"/>
  <c r="A2890" i="2"/>
  <c r="E2889" i="2"/>
  <c r="C2889" i="2"/>
  <c r="A2889" i="2"/>
  <c r="E2888" i="2"/>
  <c r="C2888" i="2"/>
  <c r="B2888" i="2" s="1"/>
  <c r="A2888" i="2"/>
  <c r="E2887" i="2"/>
  <c r="C2887" i="2"/>
  <c r="B2887" i="2" s="1"/>
  <c r="A2887" i="2"/>
  <c r="E2886" i="2"/>
  <c r="C2886" i="2"/>
  <c r="B2886" i="2" s="1"/>
  <c r="A2886" i="2"/>
  <c r="E2885" i="2"/>
  <c r="C2885" i="2"/>
  <c r="B2885" i="2" s="1"/>
  <c r="A2885" i="2"/>
  <c r="E2884" i="2"/>
  <c r="C2884" i="2"/>
  <c r="A2884" i="2"/>
  <c r="E2883" i="2"/>
  <c r="C2883" i="2"/>
  <c r="A2883" i="2"/>
  <c r="E2882" i="2"/>
  <c r="C2882" i="2"/>
  <c r="A2882" i="2"/>
  <c r="E2881" i="2"/>
  <c r="C2881" i="2"/>
  <c r="A2881" i="2"/>
  <c r="E2880" i="2"/>
  <c r="C2880" i="2"/>
  <c r="B2880" i="2" s="1"/>
  <c r="A2880" i="2"/>
  <c r="E2879" i="2"/>
  <c r="C2879" i="2"/>
  <c r="B2879" i="2" s="1"/>
  <c r="A2879" i="2"/>
  <c r="E2878" i="2"/>
  <c r="C2878" i="2"/>
  <c r="B2878" i="2" s="1"/>
  <c r="A2878" i="2"/>
  <c r="E2877" i="2"/>
  <c r="C2877" i="2"/>
  <c r="B2877" i="2" s="1"/>
  <c r="A2877" i="2"/>
  <c r="E2876" i="2"/>
  <c r="C2876" i="2"/>
  <c r="A2876" i="2"/>
  <c r="E2875" i="2"/>
  <c r="C2875" i="2"/>
  <c r="A2875" i="2"/>
  <c r="E2874" i="2"/>
  <c r="C2874" i="2"/>
  <c r="A2874" i="2"/>
  <c r="E2873" i="2"/>
  <c r="C2873" i="2"/>
  <c r="A2873" i="2"/>
  <c r="E2872" i="2"/>
  <c r="C2872" i="2"/>
  <c r="B2872" i="2" s="1"/>
  <c r="A2872" i="2"/>
  <c r="E2871" i="2"/>
  <c r="C2871" i="2"/>
  <c r="B2871" i="2" s="1"/>
  <c r="A2871" i="2"/>
  <c r="E2870" i="2"/>
  <c r="C2870" i="2"/>
  <c r="B2870" i="2" s="1"/>
  <c r="A2870" i="2"/>
  <c r="E2869" i="2"/>
  <c r="C2869" i="2"/>
  <c r="B2869" i="2" s="1"/>
  <c r="A2869" i="2"/>
  <c r="E2868" i="2"/>
  <c r="C2868" i="2"/>
  <c r="A2868" i="2"/>
  <c r="E2867" i="2"/>
  <c r="C2867" i="2"/>
  <c r="A2867" i="2"/>
  <c r="E2866" i="2"/>
  <c r="C2866" i="2"/>
  <c r="A2866" i="2"/>
  <c r="E2865" i="2"/>
  <c r="C2865" i="2"/>
  <c r="A2865" i="2"/>
  <c r="E2864" i="2"/>
  <c r="C2864" i="2"/>
  <c r="A2864" i="2"/>
  <c r="E2863" i="2"/>
  <c r="C2863" i="2"/>
  <c r="B2863" i="2" s="1"/>
  <c r="A2863" i="2"/>
  <c r="E2862" i="2"/>
  <c r="C2862" i="2"/>
  <c r="A2862" i="2"/>
  <c r="E2861" i="2"/>
  <c r="C2861" i="2"/>
  <c r="B2861" i="2" s="1"/>
  <c r="A2861" i="2"/>
  <c r="E2860" i="2"/>
  <c r="C2860" i="2"/>
  <c r="A2860" i="2"/>
  <c r="E2859" i="2"/>
  <c r="C2859" i="2"/>
  <c r="A2859" i="2"/>
  <c r="E2858" i="2"/>
  <c r="C2858" i="2"/>
  <c r="A2858" i="2"/>
  <c r="E2857" i="2"/>
  <c r="C2857" i="2"/>
  <c r="A2857" i="2"/>
  <c r="E2856" i="2"/>
  <c r="C2856" i="2"/>
  <c r="B2856" i="2" s="1"/>
  <c r="A2856" i="2"/>
  <c r="E2855" i="2"/>
  <c r="C2855" i="2"/>
  <c r="B2855" i="2" s="1"/>
  <c r="A2855" i="2"/>
  <c r="E2854" i="2"/>
  <c r="C2854" i="2"/>
  <c r="B2854" i="2" s="1"/>
  <c r="A2854" i="2"/>
  <c r="E2853" i="2"/>
  <c r="C2853" i="2"/>
  <c r="B2853" i="2" s="1"/>
  <c r="A2853" i="2"/>
  <c r="E2852" i="2"/>
  <c r="C2852" i="2"/>
  <c r="A2852" i="2"/>
  <c r="E2851" i="2"/>
  <c r="C2851" i="2"/>
  <c r="A2851" i="2"/>
  <c r="E2850" i="2"/>
  <c r="C2850" i="2"/>
  <c r="A2850" i="2"/>
  <c r="E2849" i="2"/>
  <c r="C2849" i="2"/>
  <c r="A2849" i="2"/>
  <c r="E2848" i="2"/>
  <c r="C2848" i="2"/>
  <c r="B2848" i="2" s="1"/>
  <c r="A2848" i="2"/>
  <c r="E2847" i="2"/>
  <c r="C2847" i="2"/>
  <c r="B2847" i="2" s="1"/>
  <c r="A2847" i="2"/>
  <c r="E2846" i="2"/>
  <c r="C2846" i="2"/>
  <c r="B2846" i="2" s="1"/>
  <c r="A2846" i="2"/>
  <c r="E2845" i="2"/>
  <c r="C2845" i="2"/>
  <c r="B2845" i="2" s="1"/>
  <c r="A2845" i="2"/>
  <c r="E2844" i="2"/>
  <c r="C2844" i="2"/>
  <c r="A2844" i="2"/>
  <c r="E2843" i="2"/>
  <c r="C2843" i="2"/>
  <c r="A2843" i="2"/>
  <c r="E2842" i="2"/>
  <c r="C2842" i="2"/>
  <c r="A2842" i="2"/>
  <c r="E2841" i="2"/>
  <c r="C2841" i="2"/>
  <c r="A2841" i="2"/>
  <c r="E2840" i="2"/>
  <c r="C2840" i="2"/>
  <c r="B2840" i="2" s="1"/>
  <c r="A2840" i="2"/>
  <c r="E2839" i="2"/>
  <c r="C2839" i="2"/>
  <c r="B2839" i="2" s="1"/>
  <c r="A2839" i="2"/>
  <c r="E2838" i="2"/>
  <c r="C2838" i="2"/>
  <c r="B2838" i="2" s="1"/>
  <c r="A2838" i="2"/>
  <c r="E2837" i="2"/>
  <c r="C2837" i="2"/>
  <c r="B2837" i="2" s="1"/>
  <c r="A2837" i="2"/>
  <c r="E2836" i="2"/>
  <c r="C2836" i="2"/>
  <c r="A2836" i="2"/>
  <c r="E2835" i="2"/>
  <c r="C2835" i="2"/>
  <c r="A2835" i="2"/>
  <c r="E2834" i="2"/>
  <c r="C2834" i="2"/>
  <c r="A2834" i="2"/>
  <c r="E2833" i="2"/>
  <c r="C2833" i="2"/>
  <c r="A2833" i="2"/>
  <c r="E2832" i="2"/>
  <c r="C2832" i="2"/>
  <c r="B2832" i="2" s="1"/>
  <c r="A2832" i="2"/>
  <c r="E2831" i="2"/>
  <c r="C2831" i="2"/>
  <c r="B2831" i="2" s="1"/>
  <c r="A2831" i="2"/>
  <c r="E2830" i="2"/>
  <c r="C2830" i="2"/>
  <c r="B2830" i="2" s="1"/>
  <c r="A2830" i="2"/>
  <c r="E2829" i="2"/>
  <c r="C2829" i="2"/>
  <c r="B2829" i="2" s="1"/>
  <c r="A2829" i="2"/>
  <c r="E2828" i="2"/>
  <c r="C2828" i="2"/>
  <c r="A2828" i="2"/>
  <c r="E2827" i="2"/>
  <c r="C2827" i="2"/>
  <c r="A2827" i="2"/>
  <c r="E2826" i="2"/>
  <c r="C2826" i="2"/>
  <c r="A2826" i="2"/>
  <c r="E2825" i="2"/>
  <c r="C2825" i="2"/>
  <c r="A2825" i="2"/>
  <c r="E2824" i="2"/>
  <c r="C2824" i="2"/>
  <c r="B2824" i="2" s="1"/>
  <c r="A2824" i="2"/>
  <c r="E2823" i="2"/>
  <c r="C2823" i="2"/>
  <c r="B2823" i="2" s="1"/>
  <c r="A2823" i="2"/>
  <c r="E2822" i="2"/>
  <c r="C2822" i="2"/>
  <c r="B2822" i="2" s="1"/>
  <c r="A2822" i="2"/>
  <c r="E2821" i="2"/>
  <c r="C2821" i="2"/>
  <c r="B2821" i="2" s="1"/>
  <c r="A2821" i="2"/>
  <c r="E2820" i="2"/>
  <c r="C2820" i="2"/>
  <c r="A2820" i="2"/>
  <c r="E2819" i="2"/>
  <c r="C2819" i="2"/>
  <c r="A2819" i="2"/>
  <c r="E2818" i="2"/>
  <c r="C2818" i="2"/>
  <c r="A2818" i="2"/>
  <c r="E2817" i="2"/>
  <c r="C2817" i="2"/>
  <c r="A2817" i="2"/>
  <c r="E2816" i="2"/>
  <c r="C2816" i="2"/>
  <c r="A2816" i="2"/>
  <c r="E2815" i="2"/>
  <c r="C2815" i="2"/>
  <c r="B2815" i="2" s="1"/>
  <c r="A2815" i="2"/>
  <c r="E2814" i="2"/>
  <c r="C2814" i="2"/>
  <c r="A2814" i="2"/>
  <c r="E2813" i="2"/>
  <c r="C2813" i="2"/>
  <c r="B2813" i="2" s="1"/>
  <c r="A2813" i="2"/>
  <c r="E2812" i="2"/>
  <c r="C2812" i="2"/>
  <c r="A2812" i="2"/>
  <c r="E2811" i="2"/>
  <c r="C2811" i="2"/>
  <c r="A2811" i="2"/>
  <c r="E2810" i="2"/>
  <c r="C2810" i="2"/>
  <c r="A2810" i="2"/>
  <c r="E2809" i="2"/>
  <c r="C2809" i="2"/>
  <c r="A2809" i="2"/>
  <c r="E2808" i="2"/>
  <c r="C2808" i="2"/>
  <c r="B2808" i="2" s="1"/>
  <c r="A2808" i="2"/>
  <c r="E2807" i="2"/>
  <c r="C2807" i="2"/>
  <c r="B2807" i="2" s="1"/>
  <c r="A2807" i="2"/>
  <c r="E2806" i="2"/>
  <c r="C2806" i="2"/>
  <c r="B2806" i="2" s="1"/>
  <c r="A2806" i="2"/>
  <c r="E2805" i="2"/>
  <c r="C2805" i="2"/>
  <c r="B2805" i="2" s="1"/>
  <c r="A2805" i="2"/>
  <c r="E2804" i="2"/>
  <c r="C2804" i="2"/>
  <c r="A2804" i="2"/>
  <c r="E2803" i="2"/>
  <c r="C2803" i="2"/>
  <c r="A2803" i="2"/>
  <c r="E2802" i="2"/>
  <c r="C2802" i="2"/>
  <c r="A2802" i="2"/>
  <c r="E2801" i="2"/>
  <c r="C2801" i="2"/>
  <c r="A2801" i="2"/>
  <c r="E2800" i="2"/>
  <c r="C2800" i="2"/>
  <c r="A2800" i="2"/>
  <c r="E2799" i="2"/>
  <c r="C2799" i="2"/>
  <c r="B2799" i="2" s="1"/>
  <c r="A2799" i="2"/>
  <c r="E2798" i="2"/>
  <c r="C2798" i="2"/>
  <c r="B2798" i="2" s="1"/>
  <c r="A2798" i="2"/>
  <c r="E2797" i="2"/>
  <c r="C2797" i="2"/>
  <c r="B2797" i="2" s="1"/>
  <c r="A2797" i="2"/>
  <c r="E2796" i="2"/>
  <c r="C2796" i="2"/>
  <c r="A2796" i="2"/>
  <c r="E2795" i="2"/>
  <c r="C2795" i="2"/>
  <c r="A2795" i="2"/>
  <c r="E2794" i="2"/>
  <c r="C2794" i="2"/>
  <c r="A2794" i="2"/>
  <c r="E2793" i="2"/>
  <c r="C2793" i="2"/>
  <c r="A2793" i="2"/>
  <c r="E2792" i="2"/>
  <c r="C2792" i="2"/>
  <c r="B2792" i="2" s="1"/>
  <c r="A2792" i="2"/>
  <c r="E2791" i="2"/>
  <c r="C2791" i="2"/>
  <c r="B2791" i="2" s="1"/>
  <c r="A2791" i="2"/>
  <c r="E2790" i="2"/>
  <c r="C2790" i="2"/>
  <c r="B2790" i="2" s="1"/>
  <c r="A2790" i="2"/>
  <c r="E2789" i="2"/>
  <c r="C2789" i="2"/>
  <c r="B2789" i="2" s="1"/>
  <c r="A2789" i="2"/>
  <c r="E2788" i="2"/>
  <c r="C2788" i="2"/>
  <c r="A2788" i="2"/>
  <c r="E2787" i="2"/>
  <c r="C2787" i="2"/>
  <c r="A2787" i="2"/>
  <c r="E2786" i="2"/>
  <c r="C2786" i="2"/>
  <c r="A2786" i="2"/>
  <c r="E2785" i="2"/>
  <c r="C2785" i="2"/>
  <c r="A2785" i="2"/>
  <c r="E2784" i="2"/>
  <c r="C2784" i="2"/>
  <c r="A2784" i="2"/>
  <c r="E2783" i="2"/>
  <c r="C2783" i="2"/>
  <c r="A2783" i="2"/>
  <c r="E2782" i="2"/>
  <c r="C2782" i="2"/>
  <c r="B2782" i="2" s="1"/>
  <c r="A2782" i="2"/>
  <c r="E2781" i="2"/>
  <c r="C2781" i="2"/>
  <c r="A2781" i="2"/>
  <c r="E2780" i="2"/>
  <c r="C2780" i="2"/>
  <c r="A2780" i="2"/>
  <c r="E2779" i="2"/>
  <c r="C2779" i="2"/>
  <c r="A2779" i="2"/>
  <c r="E2778" i="2"/>
  <c r="C2778" i="2"/>
  <c r="A2778" i="2"/>
  <c r="E2777" i="2"/>
  <c r="C2777" i="2"/>
  <c r="A2777" i="2"/>
  <c r="E2776" i="2"/>
  <c r="C2776" i="2"/>
  <c r="B2776" i="2" s="1"/>
  <c r="A2776" i="2"/>
  <c r="E2775" i="2"/>
  <c r="C2775" i="2"/>
  <c r="B2775" i="2" s="1"/>
  <c r="A2775" i="2"/>
  <c r="E2774" i="2"/>
  <c r="C2774" i="2"/>
  <c r="B2774" i="2" s="1"/>
  <c r="A2774" i="2"/>
  <c r="E2773" i="2"/>
  <c r="C2773" i="2"/>
  <c r="B2773" i="2" s="1"/>
  <c r="A2773" i="2"/>
  <c r="E2772" i="2"/>
  <c r="C2772" i="2"/>
  <c r="A2772" i="2"/>
  <c r="E2771" i="2"/>
  <c r="C2771" i="2"/>
  <c r="A2771" i="2"/>
  <c r="E2770" i="2"/>
  <c r="C2770" i="2"/>
  <c r="A2770" i="2"/>
  <c r="E2769" i="2"/>
  <c r="C2769" i="2"/>
  <c r="A2769" i="2"/>
  <c r="E2768" i="2"/>
  <c r="C2768" i="2"/>
  <c r="B2768" i="2" s="1"/>
  <c r="A2768" i="2"/>
  <c r="E2767" i="2"/>
  <c r="C2767" i="2"/>
  <c r="A2767" i="2"/>
  <c r="E2766" i="2"/>
  <c r="C2766" i="2"/>
  <c r="B2766" i="2" s="1"/>
  <c r="A2766" i="2"/>
  <c r="E2765" i="2"/>
  <c r="C2765" i="2"/>
  <c r="A2765" i="2"/>
  <c r="E2764" i="2"/>
  <c r="C2764" i="2"/>
  <c r="A2764" i="2"/>
  <c r="E2763" i="2"/>
  <c r="C2763" i="2"/>
  <c r="A2763" i="2"/>
  <c r="E2762" i="2"/>
  <c r="C2762" i="2"/>
  <c r="A2762" i="2"/>
  <c r="E2761" i="2"/>
  <c r="C2761" i="2"/>
  <c r="A2761" i="2"/>
  <c r="E2760" i="2"/>
  <c r="C2760" i="2"/>
  <c r="B2760" i="2" s="1"/>
  <c r="A2760" i="2"/>
  <c r="E2759" i="2"/>
  <c r="C2759" i="2"/>
  <c r="B2759" i="2" s="1"/>
  <c r="A2759" i="2"/>
  <c r="E2758" i="2"/>
  <c r="C2758" i="2"/>
  <c r="B2758" i="2" s="1"/>
  <c r="A2758" i="2"/>
  <c r="E2757" i="2"/>
  <c r="C2757" i="2"/>
  <c r="B2757" i="2" s="1"/>
  <c r="A2757" i="2"/>
  <c r="E2756" i="2"/>
  <c r="C2756" i="2"/>
  <c r="A2756" i="2"/>
  <c r="E2755" i="2"/>
  <c r="C2755" i="2"/>
  <c r="A2755" i="2"/>
  <c r="E2754" i="2"/>
  <c r="C2754" i="2"/>
  <c r="A2754" i="2"/>
  <c r="E2753" i="2"/>
  <c r="C2753" i="2"/>
  <c r="A2753" i="2"/>
  <c r="E2752" i="2"/>
  <c r="C2752" i="2"/>
  <c r="B2752" i="2" s="1"/>
  <c r="A2752" i="2"/>
  <c r="E2751" i="2"/>
  <c r="C2751" i="2"/>
  <c r="A2751" i="2"/>
  <c r="E2750" i="2"/>
  <c r="C2750" i="2"/>
  <c r="B2750" i="2" s="1"/>
  <c r="A2750" i="2"/>
  <c r="E2749" i="2"/>
  <c r="C2749" i="2"/>
  <c r="A2749" i="2"/>
  <c r="E2748" i="2"/>
  <c r="C2748" i="2"/>
  <c r="A2748" i="2"/>
  <c r="E2747" i="2"/>
  <c r="C2747" i="2"/>
  <c r="A2747" i="2"/>
  <c r="E2746" i="2"/>
  <c r="C2746" i="2"/>
  <c r="A2746" i="2"/>
  <c r="E2745" i="2"/>
  <c r="C2745" i="2"/>
  <c r="A2745" i="2"/>
  <c r="E2744" i="2"/>
  <c r="C2744" i="2"/>
  <c r="B2744" i="2" s="1"/>
  <c r="A2744" i="2"/>
  <c r="E2743" i="2"/>
  <c r="C2743" i="2"/>
  <c r="B2743" i="2" s="1"/>
  <c r="A2743" i="2"/>
  <c r="E2742" i="2"/>
  <c r="C2742" i="2"/>
  <c r="B2742" i="2" s="1"/>
  <c r="A2742" i="2"/>
  <c r="E2741" i="2"/>
  <c r="C2741" i="2"/>
  <c r="B2741" i="2" s="1"/>
  <c r="A2741" i="2"/>
  <c r="E2740" i="2"/>
  <c r="C2740" i="2"/>
  <c r="A2740" i="2"/>
  <c r="E2739" i="2"/>
  <c r="C2739" i="2"/>
  <c r="A2739" i="2"/>
  <c r="E2738" i="2"/>
  <c r="C2738" i="2"/>
  <c r="A2738" i="2"/>
  <c r="E2737" i="2"/>
  <c r="C2737" i="2"/>
  <c r="A2737" i="2"/>
  <c r="E2736" i="2"/>
  <c r="C2736" i="2"/>
  <c r="A2736" i="2"/>
  <c r="E2735" i="2"/>
  <c r="C2735" i="2"/>
  <c r="B2735" i="2" s="1"/>
  <c r="A2735" i="2"/>
  <c r="E2734" i="2"/>
  <c r="C2734" i="2"/>
  <c r="A2734" i="2"/>
  <c r="E2733" i="2"/>
  <c r="C2733" i="2"/>
  <c r="B2733" i="2" s="1"/>
  <c r="A2733" i="2"/>
  <c r="E2732" i="2"/>
  <c r="C2732" i="2"/>
  <c r="A2732" i="2"/>
  <c r="E2731" i="2"/>
  <c r="C2731" i="2"/>
  <c r="A2731" i="2"/>
  <c r="E2730" i="2"/>
  <c r="C2730" i="2"/>
  <c r="A2730" i="2"/>
  <c r="E2729" i="2"/>
  <c r="C2729" i="2"/>
  <c r="A2729" i="2"/>
  <c r="E2728" i="2"/>
  <c r="C2728" i="2"/>
  <c r="B2728" i="2" s="1"/>
  <c r="A2728" i="2"/>
  <c r="E2727" i="2"/>
  <c r="C2727" i="2"/>
  <c r="B2727" i="2" s="1"/>
  <c r="A2727" i="2"/>
  <c r="E2726" i="2"/>
  <c r="C2726" i="2"/>
  <c r="B2726" i="2" s="1"/>
  <c r="A2726" i="2"/>
  <c r="E2725" i="2"/>
  <c r="C2725" i="2"/>
  <c r="B2725" i="2" s="1"/>
  <c r="A2725" i="2"/>
  <c r="E2724" i="2"/>
  <c r="C2724" i="2"/>
  <c r="A2724" i="2"/>
  <c r="E2723" i="2"/>
  <c r="C2723" i="2"/>
  <c r="A2723" i="2"/>
  <c r="E2722" i="2"/>
  <c r="C2722" i="2"/>
  <c r="A2722" i="2"/>
  <c r="E2721" i="2"/>
  <c r="C2721" i="2"/>
  <c r="A2721" i="2"/>
  <c r="E2720" i="2"/>
  <c r="C2720" i="2"/>
  <c r="A2720" i="2"/>
  <c r="E2719" i="2"/>
  <c r="C2719" i="2"/>
  <c r="A2719" i="2"/>
  <c r="E2718" i="2"/>
  <c r="C2718" i="2"/>
  <c r="A2718" i="2"/>
  <c r="E2717" i="2"/>
  <c r="C2717" i="2"/>
  <c r="A2717" i="2"/>
  <c r="E2716" i="2"/>
  <c r="C2716" i="2"/>
  <c r="A2716" i="2"/>
  <c r="E2715" i="2"/>
  <c r="C2715" i="2"/>
  <c r="A2715" i="2"/>
  <c r="E2714" i="2"/>
  <c r="C2714" i="2"/>
  <c r="A2714" i="2"/>
  <c r="E2713" i="2"/>
  <c r="C2713" i="2"/>
  <c r="A2713" i="2"/>
  <c r="E2712" i="2"/>
  <c r="C2712" i="2"/>
  <c r="A2712" i="2"/>
  <c r="E2711" i="2"/>
  <c r="C2711" i="2"/>
  <c r="A2711" i="2"/>
  <c r="E2710" i="2"/>
  <c r="C2710" i="2"/>
  <c r="A2710" i="2"/>
  <c r="E2709" i="2"/>
  <c r="C2709" i="2"/>
  <c r="A2709" i="2"/>
  <c r="E2708" i="2"/>
  <c r="C2708" i="2"/>
  <c r="B2708" i="2" s="1"/>
  <c r="A2708" i="2"/>
  <c r="E2707" i="2"/>
  <c r="C2707" i="2"/>
  <c r="A2707" i="2"/>
  <c r="E2706" i="2"/>
  <c r="C2706" i="2"/>
  <c r="A2706" i="2"/>
  <c r="E2705" i="2"/>
  <c r="C2705" i="2"/>
  <c r="A2705" i="2"/>
  <c r="E2704" i="2"/>
  <c r="C2704" i="2"/>
  <c r="B2704" i="2" s="1"/>
  <c r="A2704" i="2"/>
  <c r="E2703" i="2"/>
  <c r="C2703" i="2"/>
  <c r="A2703" i="2"/>
  <c r="E2702" i="2"/>
  <c r="C2702" i="2"/>
  <c r="B2702" i="2" s="1"/>
  <c r="A2702" i="2"/>
  <c r="E2701" i="2"/>
  <c r="C2701" i="2"/>
  <c r="A2701" i="2"/>
  <c r="E2700" i="2"/>
  <c r="C2700" i="2"/>
  <c r="A2700" i="2"/>
  <c r="E2699" i="2"/>
  <c r="C2699" i="2"/>
  <c r="A2699" i="2"/>
  <c r="E2698" i="2"/>
  <c r="C2698" i="2"/>
  <c r="A2698" i="2"/>
  <c r="E2697" i="2"/>
  <c r="C2697" i="2"/>
  <c r="A2697" i="2"/>
  <c r="E2696" i="2"/>
  <c r="C2696" i="2"/>
  <c r="A2696" i="2"/>
  <c r="E2695" i="2"/>
  <c r="C2695" i="2"/>
  <c r="A2695" i="2"/>
  <c r="E2694" i="2"/>
  <c r="C2694" i="2"/>
  <c r="A2694" i="2"/>
  <c r="E2693" i="2"/>
  <c r="C2693" i="2"/>
  <c r="A2693" i="2"/>
  <c r="E2692" i="2"/>
  <c r="C2692" i="2"/>
  <c r="B2692" i="2" s="1"/>
  <c r="A2692" i="2"/>
  <c r="E2691" i="2"/>
  <c r="C2691" i="2"/>
  <c r="B2691" i="2" s="1"/>
  <c r="A2691" i="2"/>
  <c r="E2690" i="2"/>
  <c r="C2690" i="2"/>
  <c r="B2690" i="2" s="1"/>
  <c r="A2690" i="2"/>
  <c r="E2689" i="2"/>
  <c r="C2689" i="2"/>
  <c r="B2689" i="2" s="1"/>
  <c r="A2689" i="2"/>
  <c r="E2688" i="2"/>
  <c r="C2688" i="2"/>
  <c r="A2688" i="2"/>
  <c r="E2687" i="2"/>
  <c r="C2687" i="2"/>
  <c r="B2687" i="2" s="1"/>
  <c r="A2687" i="2"/>
  <c r="E2686" i="2"/>
  <c r="C2686" i="2"/>
  <c r="B2686" i="2" s="1"/>
  <c r="A2686" i="2"/>
  <c r="E2685" i="2"/>
  <c r="C2685" i="2"/>
  <c r="B2685" i="2" s="1"/>
  <c r="A2685" i="2"/>
  <c r="E2684" i="2"/>
  <c r="C2684" i="2"/>
  <c r="A2684" i="2"/>
  <c r="E2683" i="2"/>
  <c r="C2683" i="2"/>
  <c r="B2683" i="2" s="1"/>
  <c r="A2683" i="2"/>
  <c r="E2682" i="2"/>
  <c r="C2682" i="2"/>
  <c r="B2682" i="2" s="1"/>
  <c r="A2682" i="2"/>
  <c r="E2681" i="2"/>
  <c r="C2681" i="2"/>
  <c r="B2681" i="2" s="1"/>
  <c r="A2681" i="2"/>
  <c r="E2680" i="2"/>
  <c r="C2680" i="2"/>
  <c r="A2680" i="2"/>
  <c r="E2679" i="2"/>
  <c r="C2679" i="2"/>
  <c r="B2679" i="2" s="1"/>
  <c r="A2679" i="2"/>
  <c r="E2678" i="2"/>
  <c r="C2678" i="2"/>
  <c r="B2678" i="2" s="1"/>
  <c r="A2678" i="2"/>
  <c r="E2677" i="2"/>
  <c r="C2677" i="2"/>
  <c r="B2677" i="2" s="1"/>
  <c r="A2677" i="2"/>
  <c r="E2676" i="2"/>
  <c r="C2676" i="2"/>
  <c r="B2676" i="2" s="1"/>
  <c r="A2676" i="2"/>
  <c r="E2675" i="2"/>
  <c r="C2675" i="2"/>
  <c r="B2675" i="2" s="1"/>
  <c r="A2675" i="2"/>
  <c r="E2674" i="2"/>
  <c r="C2674" i="2"/>
  <c r="B2674" i="2" s="1"/>
  <c r="A2674" i="2"/>
  <c r="E2673" i="2"/>
  <c r="C2673" i="2"/>
  <c r="B2673" i="2" s="1"/>
  <c r="A2673" i="2"/>
  <c r="E2672" i="2"/>
  <c r="C2672" i="2"/>
  <c r="A2672" i="2"/>
  <c r="E2671" i="2"/>
  <c r="C2671" i="2"/>
  <c r="A2671" i="2"/>
  <c r="E2670" i="2"/>
  <c r="C2670" i="2"/>
  <c r="A2670" i="2"/>
  <c r="E2669" i="2"/>
  <c r="C2669" i="2"/>
  <c r="B2669" i="2" s="1"/>
  <c r="A2669" i="2"/>
  <c r="E2668" i="2"/>
  <c r="C2668" i="2"/>
  <c r="B2668" i="2" s="1"/>
  <c r="A2668" i="2"/>
  <c r="E2667" i="2"/>
  <c r="C2667" i="2"/>
  <c r="B2667" i="2" s="1"/>
  <c r="A2667" i="2"/>
  <c r="E2666" i="2"/>
  <c r="C2666" i="2"/>
  <c r="B2666" i="2" s="1"/>
  <c r="A2666" i="2"/>
  <c r="E2665" i="2"/>
  <c r="C2665" i="2"/>
  <c r="A2665" i="2"/>
  <c r="E2664" i="2"/>
  <c r="C2664" i="2"/>
  <c r="A2664" i="2"/>
  <c r="E2663" i="2"/>
  <c r="C2663" i="2"/>
  <c r="B2663" i="2" s="1"/>
  <c r="A2663" i="2"/>
  <c r="E2662" i="2"/>
  <c r="C2662" i="2"/>
  <c r="B2662" i="2" s="1"/>
  <c r="A2662" i="2"/>
  <c r="E2661" i="2"/>
  <c r="C2661" i="2"/>
  <c r="B2661" i="2" s="1"/>
  <c r="A2661" i="2"/>
  <c r="E2660" i="2"/>
  <c r="C2660" i="2"/>
  <c r="A2660" i="2"/>
  <c r="E2659" i="2"/>
  <c r="C2659" i="2"/>
  <c r="B2659" i="2" s="1"/>
  <c r="A2659" i="2"/>
  <c r="E2658" i="2"/>
  <c r="C2658" i="2"/>
  <c r="A2658" i="2"/>
  <c r="E2657" i="2"/>
  <c r="C2657" i="2"/>
  <c r="B2657" i="2" s="1"/>
  <c r="A2657" i="2"/>
  <c r="E2656" i="2"/>
  <c r="C2656" i="2"/>
  <c r="A2656" i="2"/>
  <c r="E2655" i="2"/>
  <c r="C2655" i="2"/>
  <c r="A2655" i="2"/>
  <c r="E2654" i="2"/>
  <c r="C2654" i="2"/>
  <c r="B2654" i="2" s="1"/>
  <c r="A2654" i="2"/>
  <c r="E2653" i="2"/>
  <c r="C2653" i="2"/>
  <c r="A2653" i="2"/>
  <c r="E2652" i="2"/>
  <c r="C2652" i="2"/>
  <c r="A2652" i="2"/>
  <c r="E2651" i="2"/>
  <c r="C2651" i="2"/>
  <c r="B2651" i="2" s="1"/>
  <c r="A2651" i="2"/>
  <c r="E2650" i="2"/>
  <c r="C2650" i="2"/>
  <c r="A2650" i="2"/>
  <c r="E2649" i="2"/>
  <c r="C2649" i="2"/>
  <c r="B2649" i="2" s="1"/>
  <c r="A2649" i="2"/>
  <c r="E2648" i="2"/>
  <c r="C2648" i="2"/>
  <c r="A2648" i="2"/>
  <c r="E2647" i="2"/>
  <c r="C2647" i="2"/>
  <c r="A2647" i="2"/>
  <c r="E2646" i="2"/>
  <c r="C2646" i="2"/>
  <c r="B2646" i="2" s="1"/>
  <c r="A2646" i="2"/>
  <c r="E2645" i="2"/>
  <c r="C2645" i="2"/>
  <c r="A2645" i="2"/>
  <c r="E2644" i="2"/>
  <c r="C2644" i="2"/>
  <c r="B2644" i="2" s="1"/>
  <c r="A2644" i="2"/>
  <c r="E2643" i="2"/>
  <c r="C2643" i="2"/>
  <c r="B2643" i="2" s="1"/>
  <c r="A2643" i="2"/>
  <c r="E2642" i="2"/>
  <c r="C2642" i="2"/>
  <c r="A2642" i="2"/>
  <c r="E2641" i="2"/>
  <c r="C2641" i="2"/>
  <c r="B2641" i="2" s="1"/>
  <c r="A2641" i="2"/>
  <c r="E2640" i="2"/>
  <c r="C2640" i="2"/>
  <c r="B2640" i="2" s="1"/>
  <c r="A2640" i="2"/>
  <c r="E2639" i="2"/>
  <c r="C2639" i="2"/>
  <c r="B2639" i="2" s="1"/>
  <c r="A2639" i="2"/>
  <c r="E2638" i="2"/>
  <c r="C2638" i="2"/>
  <c r="B2638" i="2" s="1"/>
  <c r="A2638" i="2"/>
  <c r="E2637" i="2"/>
  <c r="C2637" i="2"/>
  <c r="B2637" i="2" s="1"/>
  <c r="A2637" i="2"/>
  <c r="E2636" i="2"/>
  <c r="C2636" i="2"/>
  <c r="B2636" i="2" s="1"/>
  <c r="A2636" i="2"/>
  <c r="E2635" i="2"/>
  <c r="C2635" i="2"/>
  <c r="A2635" i="2"/>
  <c r="E2634" i="2"/>
  <c r="C2634" i="2"/>
  <c r="B2634" i="2" s="1"/>
  <c r="A2634" i="2"/>
  <c r="E2633" i="2"/>
  <c r="C2633" i="2"/>
  <c r="A2633" i="2"/>
  <c r="E2632" i="2"/>
  <c r="C2632" i="2"/>
  <c r="A2632" i="2"/>
  <c r="E2631" i="2"/>
  <c r="C2631" i="2"/>
  <c r="B2631" i="2" s="1"/>
  <c r="A2631" i="2"/>
  <c r="E2630" i="2"/>
  <c r="C2630" i="2"/>
  <c r="A2630" i="2"/>
  <c r="E2629" i="2"/>
  <c r="C2629" i="2"/>
  <c r="B2629" i="2" s="1"/>
  <c r="A2629" i="2"/>
  <c r="E2628" i="2"/>
  <c r="C2628" i="2"/>
  <c r="B2628" i="2" s="1"/>
  <c r="A2628" i="2"/>
  <c r="E2627" i="2"/>
  <c r="C2627" i="2"/>
  <c r="A2627" i="2"/>
  <c r="E2626" i="2"/>
  <c r="C2626" i="2"/>
  <c r="B2626" i="2" s="1"/>
  <c r="A2626" i="2"/>
  <c r="E2625" i="2"/>
  <c r="C2625" i="2"/>
  <c r="A2625" i="2"/>
  <c r="E2624" i="2"/>
  <c r="C2624" i="2"/>
  <c r="A2624" i="2"/>
  <c r="E2623" i="2"/>
  <c r="C2623" i="2"/>
  <c r="B2623" i="2" s="1"/>
  <c r="A2623" i="2"/>
  <c r="E2622" i="2"/>
  <c r="C2622" i="2"/>
  <c r="A2622" i="2"/>
  <c r="E2621" i="2"/>
  <c r="C2621" i="2"/>
  <c r="A2621" i="2"/>
  <c r="E2620" i="2"/>
  <c r="C2620" i="2"/>
  <c r="A2620" i="2"/>
  <c r="E2619" i="2"/>
  <c r="C2619" i="2"/>
  <c r="B2619" i="2" s="1"/>
  <c r="A2619" i="2"/>
  <c r="E2618" i="2"/>
  <c r="C2618" i="2"/>
  <c r="A2618" i="2"/>
  <c r="E2617" i="2"/>
  <c r="C2617" i="2"/>
  <c r="B2617" i="2" s="1"/>
  <c r="A2617" i="2"/>
  <c r="E2616" i="2"/>
  <c r="C2616" i="2"/>
  <c r="A2616" i="2"/>
  <c r="E2615" i="2"/>
  <c r="C2615" i="2"/>
  <c r="A2615" i="2"/>
  <c r="E2614" i="2"/>
  <c r="C2614" i="2"/>
  <c r="B2614" i="2" s="1"/>
  <c r="A2614" i="2"/>
  <c r="E2613" i="2"/>
  <c r="C2613" i="2"/>
  <c r="A2613" i="2"/>
  <c r="E2612" i="2"/>
  <c r="C2612" i="2"/>
  <c r="B2612" i="2" s="1"/>
  <c r="A2612" i="2"/>
  <c r="E2611" i="2"/>
  <c r="C2611" i="2"/>
  <c r="B2611" i="2" s="1"/>
  <c r="A2611" i="2"/>
  <c r="E2610" i="2"/>
  <c r="C2610" i="2"/>
  <c r="A2610" i="2"/>
  <c r="E2609" i="2"/>
  <c r="C2609" i="2"/>
  <c r="B2609" i="2" s="1"/>
  <c r="A2609" i="2"/>
  <c r="E2608" i="2"/>
  <c r="C2608" i="2"/>
  <c r="B2608" i="2" s="1"/>
  <c r="A2608" i="2"/>
  <c r="E2607" i="2"/>
  <c r="C2607" i="2"/>
  <c r="B2607" i="2" s="1"/>
  <c r="A2607" i="2"/>
  <c r="E2606" i="2"/>
  <c r="C2606" i="2"/>
  <c r="B2606" i="2" s="1"/>
  <c r="A2606" i="2"/>
  <c r="E2605" i="2"/>
  <c r="C2605" i="2"/>
  <c r="B2605" i="2" s="1"/>
  <c r="A2605" i="2"/>
  <c r="E2604" i="2"/>
  <c r="C2604" i="2"/>
  <c r="B2604" i="2" s="1"/>
  <c r="A2604" i="2"/>
  <c r="E2603" i="2"/>
  <c r="C2603" i="2"/>
  <c r="A2603" i="2"/>
  <c r="E2602" i="2"/>
  <c r="C2602" i="2"/>
  <c r="B2602" i="2" s="1"/>
  <c r="A2602" i="2"/>
  <c r="E2601" i="2"/>
  <c r="C2601" i="2"/>
  <c r="A2601" i="2"/>
  <c r="E2600" i="2"/>
  <c r="C2600" i="2"/>
  <c r="A2600" i="2"/>
  <c r="E2599" i="2"/>
  <c r="C2599" i="2"/>
  <c r="B2599" i="2" s="1"/>
  <c r="A2599" i="2"/>
  <c r="E2598" i="2"/>
  <c r="C2598" i="2"/>
  <c r="A2598" i="2"/>
  <c r="E2597" i="2"/>
  <c r="C2597" i="2"/>
  <c r="B2597" i="2" s="1"/>
  <c r="A2597" i="2"/>
  <c r="E2596" i="2"/>
  <c r="C2596" i="2"/>
  <c r="B2596" i="2" s="1"/>
  <c r="A2596" i="2"/>
  <c r="E2595" i="2"/>
  <c r="C2595" i="2"/>
  <c r="B2595" i="2" s="1"/>
  <c r="A2595" i="2"/>
  <c r="E2594" i="2"/>
  <c r="C2594" i="2"/>
  <c r="B2594" i="2" s="1"/>
  <c r="A2594" i="2"/>
  <c r="E2593" i="2"/>
  <c r="C2593" i="2"/>
  <c r="B2593" i="2" s="1"/>
  <c r="A2593" i="2"/>
  <c r="E2592" i="2"/>
  <c r="C2592" i="2"/>
  <c r="B2592" i="2" s="1"/>
  <c r="A2592" i="2"/>
  <c r="E2591" i="2"/>
  <c r="C2591" i="2"/>
  <c r="B2591" i="2" s="1"/>
  <c r="A2591" i="2"/>
  <c r="E2590" i="2"/>
  <c r="C2590" i="2"/>
  <c r="B2590" i="2" s="1"/>
  <c r="A2590" i="2"/>
  <c r="E2589" i="2"/>
  <c r="C2589" i="2"/>
  <c r="B2589" i="2" s="1"/>
  <c r="A2589" i="2"/>
  <c r="E2588" i="2"/>
  <c r="C2588" i="2"/>
  <c r="B2588" i="2" s="1"/>
  <c r="A2588" i="2"/>
  <c r="E2587" i="2"/>
  <c r="C2587" i="2"/>
  <c r="B2587" i="2" s="1"/>
  <c r="A2587" i="2"/>
  <c r="E2586" i="2"/>
  <c r="C2586" i="2"/>
  <c r="B2586" i="2" s="1"/>
  <c r="A2586" i="2"/>
  <c r="E2585" i="2"/>
  <c r="C2585" i="2"/>
  <c r="B2585" i="2" s="1"/>
  <c r="A2585" i="2"/>
  <c r="E2584" i="2"/>
  <c r="C2584" i="2"/>
  <c r="B2584" i="2" s="1"/>
  <c r="A2584" i="2"/>
  <c r="E2583" i="2"/>
  <c r="C2583" i="2"/>
  <c r="B2583" i="2" s="1"/>
  <c r="A2583" i="2"/>
  <c r="E2582" i="2"/>
  <c r="C2582" i="2"/>
  <c r="B2582" i="2" s="1"/>
  <c r="A2582" i="2"/>
  <c r="E2581" i="2"/>
  <c r="C2581" i="2"/>
  <c r="A2581" i="2"/>
  <c r="E2580" i="2"/>
  <c r="C2580" i="2"/>
  <c r="B2580" i="2" s="1"/>
  <c r="A2580" i="2"/>
  <c r="E2579" i="2"/>
  <c r="C2579" i="2"/>
  <c r="B2579" i="2" s="1"/>
  <c r="A2579" i="2"/>
  <c r="E2578" i="2"/>
  <c r="C2578" i="2"/>
  <c r="B2578" i="2" s="1"/>
  <c r="A2578" i="2"/>
  <c r="E2577" i="2"/>
  <c r="C2577" i="2"/>
  <c r="A2577" i="2"/>
  <c r="E2576" i="2"/>
  <c r="C2576" i="2"/>
  <c r="B2576" i="2" s="1"/>
  <c r="A2576" i="2"/>
  <c r="E2575" i="2"/>
  <c r="C2575" i="2"/>
  <c r="B2575" i="2" s="1"/>
  <c r="A2575" i="2"/>
  <c r="E2574" i="2"/>
  <c r="C2574" i="2"/>
  <c r="B2574" i="2" s="1"/>
  <c r="A2574" i="2"/>
  <c r="E2573" i="2"/>
  <c r="C2573" i="2"/>
  <c r="A2573" i="2"/>
  <c r="E2572" i="2"/>
  <c r="C2572" i="2"/>
  <c r="B2572" i="2" s="1"/>
  <c r="A2572" i="2"/>
  <c r="E2571" i="2"/>
  <c r="C2571" i="2"/>
  <c r="B2571" i="2" s="1"/>
  <c r="A2571" i="2"/>
  <c r="E2570" i="2"/>
  <c r="C2570" i="2"/>
  <c r="B2570" i="2" s="1"/>
  <c r="A2570" i="2"/>
  <c r="E2569" i="2"/>
  <c r="C2569" i="2"/>
  <c r="B2569" i="2" s="1"/>
  <c r="A2569" i="2"/>
  <c r="E2568" i="2"/>
  <c r="C2568" i="2"/>
  <c r="B2568" i="2" s="1"/>
  <c r="A2568" i="2"/>
  <c r="E2567" i="2"/>
  <c r="C2567" i="2"/>
  <c r="B2567" i="2" s="1"/>
  <c r="A2567" i="2"/>
  <c r="E2566" i="2"/>
  <c r="C2566" i="2"/>
  <c r="B2566" i="2" s="1"/>
  <c r="A2566" i="2"/>
  <c r="E2565" i="2"/>
  <c r="C2565" i="2"/>
  <c r="A2565" i="2"/>
  <c r="E2564" i="2"/>
  <c r="C2564" i="2"/>
  <c r="B2564" i="2" s="1"/>
  <c r="A2564" i="2"/>
  <c r="E2563" i="2"/>
  <c r="C2563" i="2"/>
  <c r="B2563" i="2" s="1"/>
  <c r="A2563" i="2"/>
  <c r="E2562" i="2"/>
  <c r="C2562" i="2"/>
  <c r="B2562" i="2" s="1"/>
  <c r="A2562" i="2"/>
  <c r="E2561" i="2"/>
  <c r="C2561" i="2"/>
  <c r="A2561" i="2"/>
  <c r="E2560" i="2"/>
  <c r="C2560" i="2"/>
  <c r="B2560" i="2" s="1"/>
  <c r="A2560" i="2"/>
  <c r="E2559" i="2"/>
  <c r="C2559" i="2"/>
  <c r="B2559" i="2" s="1"/>
  <c r="A2559" i="2"/>
  <c r="E2558" i="2"/>
  <c r="C2558" i="2"/>
  <c r="B2558" i="2" s="1"/>
  <c r="A2558" i="2"/>
  <c r="E2557" i="2"/>
  <c r="C2557" i="2"/>
  <c r="B2557" i="2" s="1"/>
  <c r="A2557" i="2"/>
  <c r="E2556" i="2"/>
  <c r="C2556" i="2"/>
  <c r="B2556" i="2" s="1"/>
  <c r="A2556" i="2"/>
  <c r="E2555" i="2"/>
  <c r="C2555" i="2"/>
  <c r="B2555" i="2" s="1"/>
  <c r="A2555" i="2"/>
  <c r="E2554" i="2"/>
  <c r="C2554" i="2"/>
  <c r="B2554" i="2" s="1"/>
  <c r="A2554" i="2"/>
  <c r="E2553" i="2"/>
  <c r="C2553" i="2"/>
  <c r="B2553" i="2" s="1"/>
  <c r="A2553" i="2"/>
  <c r="E2552" i="2"/>
  <c r="C2552" i="2"/>
  <c r="B2552" i="2" s="1"/>
  <c r="A2552" i="2"/>
  <c r="E2551" i="2"/>
  <c r="C2551" i="2"/>
  <c r="B2551" i="2" s="1"/>
  <c r="A2551" i="2"/>
  <c r="E2550" i="2"/>
  <c r="C2550" i="2"/>
  <c r="B2550" i="2" s="1"/>
  <c r="A2550" i="2"/>
  <c r="E2549" i="2"/>
  <c r="C2549" i="2"/>
  <c r="A2549" i="2"/>
  <c r="E2548" i="2"/>
  <c r="C2548" i="2"/>
  <c r="B2548" i="2" s="1"/>
  <c r="A2548" i="2"/>
  <c r="E2547" i="2"/>
  <c r="C2547" i="2"/>
  <c r="B2547" i="2" s="1"/>
  <c r="A2547" i="2"/>
  <c r="E2546" i="2"/>
  <c r="C2546" i="2"/>
  <c r="B2546" i="2" s="1"/>
  <c r="A2546" i="2"/>
  <c r="E2545" i="2"/>
  <c r="C2545" i="2"/>
  <c r="A2545" i="2"/>
  <c r="E2544" i="2"/>
  <c r="C2544" i="2"/>
  <c r="B2544" i="2" s="1"/>
  <c r="A2544" i="2"/>
  <c r="E2543" i="2"/>
  <c r="C2543" i="2"/>
  <c r="B2543" i="2" s="1"/>
  <c r="A2543" i="2"/>
  <c r="E2542" i="2"/>
  <c r="C2542" i="2"/>
  <c r="B2542" i="2" s="1"/>
  <c r="A2542" i="2"/>
  <c r="E2541" i="2"/>
  <c r="C2541" i="2"/>
  <c r="A2541" i="2"/>
  <c r="E2540" i="2"/>
  <c r="C2540" i="2"/>
  <c r="B2540" i="2" s="1"/>
  <c r="A2540" i="2"/>
  <c r="E2539" i="2"/>
  <c r="C2539" i="2"/>
  <c r="B2539" i="2" s="1"/>
  <c r="A2539" i="2"/>
  <c r="E2538" i="2"/>
  <c r="C2538" i="2"/>
  <c r="B2538" i="2" s="1"/>
  <c r="A2538" i="2"/>
  <c r="E2537" i="2"/>
  <c r="C2537" i="2"/>
  <c r="B2537" i="2" s="1"/>
  <c r="A2537" i="2"/>
  <c r="E2536" i="2"/>
  <c r="C2536" i="2"/>
  <c r="B2536" i="2" s="1"/>
  <c r="A2536" i="2"/>
  <c r="E2535" i="2"/>
  <c r="C2535" i="2"/>
  <c r="B2535" i="2" s="1"/>
  <c r="A2535" i="2"/>
  <c r="E2534" i="2"/>
  <c r="C2534" i="2"/>
  <c r="B2534" i="2" s="1"/>
  <c r="A2534" i="2"/>
  <c r="E2533" i="2"/>
  <c r="C2533" i="2"/>
  <c r="A2533" i="2"/>
  <c r="E2532" i="2"/>
  <c r="C2532" i="2"/>
  <c r="B2532" i="2" s="1"/>
  <c r="A2532" i="2"/>
  <c r="E2531" i="2"/>
  <c r="C2531" i="2"/>
  <c r="B2531" i="2" s="1"/>
  <c r="A2531" i="2"/>
  <c r="E2530" i="2"/>
  <c r="C2530" i="2"/>
  <c r="B2530" i="2" s="1"/>
  <c r="A2530" i="2"/>
  <c r="E2529" i="2"/>
  <c r="C2529" i="2"/>
  <c r="B2529" i="2" s="1"/>
  <c r="A2529" i="2"/>
  <c r="E2528" i="2"/>
  <c r="C2528" i="2"/>
  <c r="B2528" i="2" s="1"/>
  <c r="A2528" i="2"/>
  <c r="E2527" i="2"/>
  <c r="C2527" i="2"/>
  <c r="B2527" i="2" s="1"/>
  <c r="A2527" i="2"/>
  <c r="E2526" i="2"/>
  <c r="C2526" i="2"/>
  <c r="B2526" i="2" s="1"/>
  <c r="A2526" i="2"/>
  <c r="E2525" i="2"/>
  <c r="C2525" i="2"/>
  <c r="B2525" i="2" s="1"/>
  <c r="A2525" i="2"/>
  <c r="E2524" i="2"/>
  <c r="C2524" i="2"/>
  <c r="B2524" i="2" s="1"/>
  <c r="A2524" i="2"/>
  <c r="E2523" i="2"/>
  <c r="C2523" i="2"/>
  <c r="B2523" i="2" s="1"/>
  <c r="A2523" i="2"/>
  <c r="E2522" i="2"/>
  <c r="C2522" i="2"/>
  <c r="B2522" i="2" s="1"/>
  <c r="A2522" i="2"/>
  <c r="E2521" i="2"/>
  <c r="C2521" i="2"/>
  <c r="B2521" i="2" s="1"/>
  <c r="A2521" i="2"/>
  <c r="E2520" i="2"/>
  <c r="C2520" i="2"/>
  <c r="B2520" i="2" s="1"/>
  <c r="A2520" i="2"/>
  <c r="E2519" i="2"/>
  <c r="C2519" i="2"/>
  <c r="B2519" i="2" s="1"/>
  <c r="A2519" i="2"/>
  <c r="E2518" i="2"/>
  <c r="C2518" i="2"/>
  <c r="B2518" i="2" s="1"/>
  <c r="A2518" i="2"/>
  <c r="E2517" i="2"/>
  <c r="C2517" i="2"/>
  <c r="B2517" i="2" s="1"/>
  <c r="A2517" i="2"/>
  <c r="E2516" i="2"/>
  <c r="C2516" i="2"/>
  <c r="B2516" i="2" s="1"/>
  <c r="A2516" i="2"/>
  <c r="E2515" i="2"/>
  <c r="C2515" i="2"/>
  <c r="B2515" i="2" s="1"/>
  <c r="A2515" i="2"/>
  <c r="E2514" i="2"/>
  <c r="C2514" i="2"/>
  <c r="B2514" i="2" s="1"/>
  <c r="A2514" i="2"/>
  <c r="E2513" i="2"/>
  <c r="C2513" i="2"/>
  <c r="B2513" i="2" s="1"/>
  <c r="A2513" i="2"/>
  <c r="E2512" i="2"/>
  <c r="C2512" i="2"/>
  <c r="B2512" i="2" s="1"/>
  <c r="A2512" i="2"/>
  <c r="E2511" i="2"/>
  <c r="C2511" i="2"/>
  <c r="B2511" i="2" s="1"/>
  <c r="A2511" i="2"/>
  <c r="E2510" i="2"/>
  <c r="C2510" i="2"/>
  <c r="B2510" i="2" s="1"/>
  <c r="A2510" i="2"/>
  <c r="E2509" i="2"/>
  <c r="C2509" i="2"/>
  <c r="B2509" i="2" s="1"/>
  <c r="A2509" i="2"/>
  <c r="E2508" i="2"/>
  <c r="C2508" i="2"/>
  <c r="B2508" i="2" s="1"/>
  <c r="A2508" i="2"/>
  <c r="E2507" i="2"/>
  <c r="C2507" i="2"/>
  <c r="B2507" i="2" s="1"/>
  <c r="A2507" i="2"/>
  <c r="E2506" i="2"/>
  <c r="C2506" i="2"/>
  <c r="B2506" i="2" s="1"/>
  <c r="A2506" i="2"/>
  <c r="E2505" i="2"/>
  <c r="C2505" i="2"/>
  <c r="B2505" i="2" s="1"/>
  <c r="A2505" i="2"/>
  <c r="E2504" i="2"/>
  <c r="C2504" i="2"/>
  <c r="B2504" i="2" s="1"/>
  <c r="A2504" i="2"/>
  <c r="E2503" i="2"/>
  <c r="C2503" i="2"/>
  <c r="B2503" i="2" s="1"/>
  <c r="A2503" i="2"/>
  <c r="E2502" i="2"/>
  <c r="C2502" i="2"/>
  <c r="B2502" i="2" s="1"/>
  <c r="A2502" i="2"/>
  <c r="E2501" i="2"/>
  <c r="C2501" i="2"/>
  <c r="B2501" i="2" s="1"/>
  <c r="A2501" i="2"/>
  <c r="E2500" i="2"/>
  <c r="C2500" i="2"/>
  <c r="B2500" i="2" s="1"/>
  <c r="A2500" i="2"/>
  <c r="E2499" i="2"/>
  <c r="C2499" i="2"/>
  <c r="B2499" i="2" s="1"/>
  <c r="A2499" i="2"/>
  <c r="E2498" i="2"/>
  <c r="C2498" i="2"/>
  <c r="B2498" i="2" s="1"/>
  <c r="A2498" i="2"/>
  <c r="E2497" i="2"/>
  <c r="C2497" i="2"/>
  <c r="B2497" i="2" s="1"/>
  <c r="A2497" i="2"/>
  <c r="E2496" i="2"/>
  <c r="C2496" i="2"/>
  <c r="B2496" i="2" s="1"/>
  <c r="A2496" i="2"/>
  <c r="E2495" i="2"/>
  <c r="C2495" i="2"/>
  <c r="B2495" i="2" s="1"/>
  <c r="A2495" i="2"/>
  <c r="E2494" i="2"/>
  <c r="C2494" i="2"/>
  <c r="B2494" i="2" s="1"/>
  <c r="A2494" i="2"/>
  <c r="E2493" i="2"/>
  <c r="C2493" i="2"/>
  <c r="B2493" i="2" s="1"/>
  <c r="A2493" i="2"/>
  <c r="E2492" i="2"/>
  <c r="C2492" i="2"/>
  <c r="B2492" i="2" s="1"/>
  <c r="A2492" i="2"/>
  <c r="E2491" i="2"/>
  <c r="C2491" i="2"/>
  <c r="B2491" i="2" s="1"/>
  <c r="A2491" i="2"/>
  <c r="E2490" i="2"/>
  <c r="C2490" i="2"/>
  <c r="B2490" i="2" s="1"/>
  <c r="A2490" i="2"/>
  <c r="E2489" i="2"/>
  <c r="C2489" i="2"/>
  <c r="B2489" i="2" s="1"/>
  <c r="A2489" i="2"/>
  <c r="E2488" i="2"/>
  <c r="C2488" i="2"/>
  <c r="B2488" i="2" s="1"/>
  <c r="A2488" i="2"/>
  <c r="E2487" i="2"/>
  <c r="C2487" i="2"/>
  <c r="B2487" i="2" s="1"/>
  <c r="A2487" i="2"/>
  <c r="E2486" i="2"/>
  <c r="C2486" i="2"/>
  <c r="B2486" i="2" s="1"/>
  <c r="A2486" i="2"/>
  <c r="E2485" i="2"/>
  <c r="C2485" i="2"/>
  <c r="B2485" i="2" s="1"/>
  <c r="A2485" i="2"/>
  <c r="E2484" i="2"/>
  <c r="C2484" i="2"/>
  <c r="B2484" i="2" s="1"/>
  <c r="A2484" i="2"/>
  <c r="E2483" i="2"/>
  <c r="C2483" i="2"/>
  <c r="B2483" i="2" s="1"/>
  <c r="A2483" i="2"/>
  <c r="E2482" i="2"/>
  <c r="C2482" i="2"/>
  <c r="B2482" i="2" s="1"/>
  <c r="A2482" i="2"/>
  <c r="E2481" i="2"/>
  <c r="C2481" i="2"/>
  <c r="B2481" i="2" s="1"/>
  <c r="A2481" i="2"/>
  <c r="E2480" i="2"/>
  <c r="C2480" i="2"/>
  <c r="B2480" i="2" s="1"/>
  <c r="A2480" i="2"/>
  <c r="E2479" i="2"/>
  <c r="C2479" i="2"/>
  <c r="B2479" i="2" s="1"/>
  <c r="A2479" i="2"/>
  <c r="E2478" i="2"/>
  <c r="C2478" i="2"/>
  <c r="B2478" i="2" s="1"/>
  <c r="A2478" i="2"/>
  <c r="E2477" i="2"/>
  <c r="C2477" i="2"/>
  <c r="A2477" i="2"/>
  <c r="E2476" i="2"/>
  <c r="C2476" i="2"/>
  <c r="B2476" i="2" s="1"/>
  <c r="A2476" i="2"/>
  <c r="E2475" i="2"/>
  <c r="C2475" i="2"/>
  <c r="B2475" i="2" s="1"/>
  <c r="A2475" i="2"/>
  <c r="E2474" i="2"/>
  <c r="C2474" i="2"/>
  <c r="B2474" i="2" s="1"/>
  <c r="A2474" i="2"/>
  <c r="E2473" i="2"/>
  <c r="C2473" i="2"/>
  <c r="B2473" i="2" s="1"/>
  <c r="A2473" i="2"/>
  <c r="E2472" i="2"/>
  <c r="C2472" i="2"/>
  <c r="B2472" i="2" s="1"/>
  <c r="A2472" i="2"/>
  <c r="E2471" i="2"/>
  <c r="C2471" i="2"/>
  <c r="A2471" i="2"/>
  <c r="E2470" i="2"/>
  <c r="C2470" i="2"/>
  <c r="B2470" i="2" s="1"/>
  <c r="A2470" i="2"/>
  <c r="E2469" i="2"/>
  <c r="C2469" i="2"/>
  <c r="B2469" i="2" s="1"/>
  <c r="A2469" i="2"/>
  <c r="E2468" i="2"/>
  <c r="C2468" i="2"/>
  <c r="B2468" i="2" s="1"/>
  <c r="A2468" i="2"/>
  <c r="E2467" i="2"/>
  <c r="C2467" i="2"/>
  <c r="B2467" i="2" s="1"/>
  <c r="A2467" i="2"/>
  <c r="E2466" i="2"/>
  <c r="C2466" i="2"/>
  <c r="B2466" i="2" s="1"/>
  <c r="A2466" i="2"/>
  <c r="E2465" i="2"/>
  <c r="C2465" i="2"/>
  <c r="A2465" i="2"/>
  <c r="E2464" i="2"/>
  <c r="C2464" i="2"/>
  <c r="A2464" i="2"/>
  <c r="E2463" i="2"/>
  <c r="C2463" i="2"/>
  <c r="A2463" i="2"/>
  <c r="E2462" i="2"/>
  <c r="C2462" i="2"/>
  <c r="B2462" i="2" s="1"/>
  <c r="A2462" i="2"/>
  <c r="E2461" i="2"/>
  <c r="C2461" i="2"/>
  <c r="A2461" i="2"/>
  <c r="E2460" i="2"/>
  <c r="C2460" i="2"/>
  <c r="B2460" i="2" s="1"/>
  <c r="A2460" i="2"/>
  <c r="E2459" i="2"/>
  <c r="C2459" i="2"/>
  <c r="B2459" i="2" s="1"/>
  <c r="A2459" i="2"/>
  <c r="E2458" i="2"/>
  <c r="C2458" i="2"/>
  <c r="B2458" i="2" s="1"/>
  <c r="A2458" i="2"/>
  <c r="E2457" i="2"/>
  <c r="C2457" i="2"/>
  <c r="B2457" i="2" s="1"/>
  <c r="A2457" i="2"/>
  <c r="E2456" i="2"/>
  <c r="C2456" i="2"/>
  <c r="B2456" i="2" s="1"/>
  <c r="A2456" i="2"/>
  <c r="E2455" i="2"/>
  <c r="C2455" i="2"/>
  <c r="A2455" i="2"/>
  <c r="E2454" i="2"/>
  <c r="C2454" i="2"/>
  <c r="B2454" i="2" s="1"/>
  <c r="A2454" i="2"/>
  <c r="E2453" i="2"/>
  <c r="C2453" i="2"/>
  <c r="A2453" i="2"/>
  <c r="E2452" i="2"/>
  <c r="C2452" i="2"/>
  <c r="B2452" i="2" s="1"/>
  <c r="A2452" i="2"/>
  <c r="E2451" i="2"/>
  <c r="C2451" i="2"/>
  <c r="A2451" i="2"/>
  <c r="E2450" i="2"/>
  <c r="C2450" i="2"/>
  <c r="B2450" i="2" s="1"/>
  <c r="A2450" i="2"/>
  <c r="E2449" i="2"/>
  <c r="C2449" i="2"/>
  <c r="B2449" i="2" s="1"/>
  <c r="A2449" i="2"/>
  <c r="E2448" i="2"/>
  <c r="C2448" i="2"/>
  <c r="A2448" i="2"/>
  <c r="E2447" i="2"/>
  <c r="C2447" i="2"/>
  <c r="A2447" i="2"/>
  <c r="E2446" i="2"/>
  <c r="C2446" i="2"/>
  <c r="B2446" i="2" s="1"/>
  <c r="A2446" i="2"/>
  <c r="E2445" i="2"/>
  <c r="C2445" i="2"/>
  <c r="B2445" i="2" s="1"/>
  <c r="A2445" i="2"/>
  <c r="E2444" i="2"/>
  <c r="C2444" i="2"/>
  <c r="A2444" i="2"/>
  <c r="E2443" i="2"/>
  <c r="C2443" i="2"/>
  <c r="A2443" i="2"/>
  <c r="E2442" i="2"/>
  <c r="C2442" i="2"/>
  <c r="B2442" i="2" s="1"/>
  <c r="A2442" i="2"/>
  <c r="E2441" i="2"/>
  <c r="C2441" i="2"/>
  <c r="A2441" i="2"/>
  <c r="E2440" i="2"/>
  <c r="C2440" i="2"/>
  <c r="A2440" i="2"/>
  <c r="E2439" i="2"/>
  <c r="C2439" i="2"/>
  <c r="A2439" i="2"/>
  <c r="E2438" i="2"/>
  <c r="C2438" i="2"/>
  <c r="B2438" i="2" s="1"/>
  <c r="A2438" i="2"/>
  <c r="E2437" i="2"/>
  <c r="C2437" i="2"/>
  <c r="B2437" i="2" s="1"/>
  <c r="A2437" i="2"/>
  <c r="E2436" i="2"/>
  <c r="C2436" i="2"/>
  <c r="B2436" i="2" s="1"/>
  <c r="A2436" i="2"/>
  <c r="E2435" i="2"/>
  <c r="C2435" i="2"/>
  <c r="A2435" i="2"/>
  <c r="E2434" i="2"/>
  <c r="C2434" i="2"/>
  <c r="B2434" i="2" s="1"/>
  <c r="A2434" i="2"/>
  <c r="E2433" i="2"/>
  <c r="C2433" i="2"/>
  <c r="A2433" i="2"/>
  <c r="E2432" i="2"/>
  <c r="C2432" i="2"/>
  <c r="B2432" i="2" s="1"/>
  <c r="A2432" i="2"/>
  <c r="E2431" i="2"/>
  <c r="C2431" i="2"/>
  <c r="A2431" i="2"/>
  <c r="E2430" i="2"/>
  <c r="C2430" i="2"/>
  <c r="B2430" i="2" s="1"/>
  <c r="A2430" i="2"/>
  <c r="E2429" i="2"/>
  <c r="C2429" i="2"/>
  <c r="B2429" i="2" s="1"/>
  <c r="A2429" i="2"/>
  <c r="E2428" i="2"/>
  <c r="C2428" i="2"/>
  <c r="B2428" i="2" s="1"/>
  <c r="A2428" i="2"/>
  <c r="E2427" i="2"/>
  <c r="C2427" i="2"/>
  <c r="A2427" i="2"/>
  <c r="E2426" i="2"/>
  <c r="C2426" i="2"/>
  <c r="B2426" i="2" s="1"/>
  <c r="A2426" i="2"/>
  <c r="E2425" i="2"/>
  <c r="C2425" i="2"/>
  <c r="A2425" i="2"/>
  <c r="E2424" i="2"/>
  <c r="C2424" i="2"/>
  <c r="B2424" i="2" s="1"/>
  <c r="A2424" i="2"/>
  <c r="E2423" i="2"/>
  <c r="C2423" i="2"/>
  <c r="A2423" i="2"/>
  <c r="E2422" i="2"/>
  <c r="C2422" i="2"/>
  <c r="B2422" i="2" s="1"/>
  <c r="A2422" i="2"/>
  <c r="E2421" i="2"/>
  <c r="C2421" i="2"/>
  <c r="B2421" i="2" s="1"/>
  <c r="A2421" i="2"/>
  <c r="E2420" i="2"/>
  <c r="C2420" i="2"/>
  <c r="B2420" i="2" s="1"/>
  <c r="A2420" i="2"/>
  <c r="E2419" i="2"/>
  <c r="C2419" i="2"/>
  <c r="A2419" i="2"/>
  <c r="E2418" i="2"/>
  <c r="C2418" i="2"/>
  <c r="B2418" i="2" s="1"/>
  <c r="A2418" i="2"/>
  <c r="E2417" i="2"/>
  <c r="C2417" i="2"/>
  <c r="A2417" i="2"/>
  <c r="E2416" i="2"/>
  <c r="C2416" i="2"/>
  <c r="B2416" i="2" s="1"/>
  <c r="A2416" i="2"/>
  <c r="E2415" i="2"/>
  <c r="C2415" i="2"/>
  <c r="A2415" i="2"/>
  <c r="E2414" i="2"/>
  <c r="C2414" i="2"/>
  <c r="B2414" i="2" s="1"/>
  <c r="A2414" i="2"/>
  <c r="E2413" i="2"/>
  <c r="C2413" i="2"/>
  <c r="B2413" i="2" s="1"/>
  <c r="A2413" i="2"/>
  <c r="E2412" i="2"/>
  <c r="C2412" i="2"/>
  <c r="A2412" i="2"/>
  <c r="E2411" i="2"/>
  <c r="C2411" i="2"/>
  <c r="A2411" i="2"/>
  <c r="E2410" i="2"/>
  <c r="C2410" i="2"/>
  <c r="B2410" i="2" s="1"/>
  <c r="A2410" i="2"/>
  <c r="E2409" i="2"/>
  <c r="C2409" i="2"/>
  <c r="A2409" i="2"/>
  <c r="E2408" i="2"/>
  <c r="C2408" i="2"/>
  <c r="A2408" i="2"/>
  <c r="E2407" i="2"/>
  <c r="C2407" i="2"/>
  <c r="A2407" i="2"/>
  <c r="E2406" i="2"/>
  <c r="C2406" i="2"/>
  <c r="B2406" i="2" s="1"/>
  <c r="A2406" i="2"/>
  <c r="E2405" i="2"/>
  <c r="C2405" i="2"/>
  <c r="B2405" i="2" s="1"/>
  <c r="A2405" i="2"/>
  <c r="E2404" i="2"/>
  <c r="C2404" i="2"/>
  <c r="B2404" i="2" s="1"/>
  <c r="A2404" i="2"/>
  <c r="E2403" i="2"/>
  <c r="C2403" i="2"/>
  <c r="A2403" i="2"/>
  <c r="E2402" i="2"/>
  <c r="C2402" i="2"/>
  <c r="B2402" i="2" s="1"/>
  <c r="A2402" i="2"/>
  <c r="E2401" i="2"/>
  <c r="C2401" i="2"/>
  <c r="A2401" i="2"/>
  <c r="E2400" i="2"/>
  <c r="C2400" i="2"/>
  <c r="B2400" i="2" s="1"/>
  <c r="A2400" i="2"/>
  <c r="E2399" i="2"/>
  <c r="C2399" i="2"/>
  <c r="A2399" i="2"/>
  <c r="E2398" i="2"/>
  <c r="C2398" i="2"/>
  <c r="B2398" i="2" s="1"/>
  <c r="A2398" i="2"/>
  <c r="E2397" i="2"/>
  <c r="C2397" i="2"/>
  <c r="B2397" i="2" s="1"/>
  <c r="A2397" i="2"/>
  <c r="E2396" i="2"/>
  <c r="C2396" i="2"/>
  <c r="B2396" i="2" s="1"/>
  <c r="A2396" i="2"/>
  <c r="E2395" i="2"/>
  <c r="C2395" i="2"/>
  <c r="A2395" i="2"/>
  <c r="E2394" i="2"/>
  <c r="C2394" i="2"/>
  <c r="B2394" i="2" s="1"/>
  <c r="A2394" i="2"/>
  <c r="E2393" i="2"/>
  <c r="C2393" i="2"/>
  <c r="A2393" i="2"/>
  <c r="E2392" i="2"/>
  <c r="C2392" i="2"/>
  <c r="B2392" i="2" s="1"/>
  <c r="A2392" i="2"/>
  <c r="E2391" i="2"/>
  <c r="C2391" i="2"/>
  <c r="A2391" i="2"/>
  <c r="E2390" i="2"/>
  <c r="C2390" i="2"/>
  <c r="B2390" i="2" s="1"/>
  <c r="A2390" i="2"/>
  <c r="E2389" i="2"/>
  <c r="C2389" i="2"/>
  <c r="B2389" i="2" s="1"/>
  <c r="A2389" i="2"/>
  <c r="E2388" i="2"/>
  <c r="C2388" i="2"/>
  <c r="B2388" i="2" s="1"/>
  <c r="A2388" i="2"/>
  <c r="E2387" i="2"/>
  <c r="C2387" i="2"/>
  <c r="A2387" i="2"/>
  <c r="E2386" i="2"/>
  <c r="C2386" i="2"/>
  <c r="B2386" i="2" s="1"/>
  <c r="A2386" i="2"/>
  <c r="E2385" i="2"/>
  <c r="C2385" i="2"/>
  <c r="A2385" i="2"/>
  <c r="E2384" i="2"/>
  <c r="C2384" i="2"/>
  <c r="B2384" i="2" s="1"/>
  <c r="A2384" i="2"/>
  <c r="E2383" i="2"/>
  <c r="C2383" i="2"/>
  <c r="A2383" i="2"/>
  <c r="E2382" i="2"/>
  <c r="C2382" i="2"/>
  <c r="B2382" i="2" s="1"/>
  <c r="A2382" i="2"/>
  <c r="E2381" i="2"/>
  <c r="C2381" i="2"/>
  <c r="B2381" i="2" s="1"/>
  <c r="A2381" i="2"/>
  <c r="E2380" i="2"/>
  <c r="C2380" i="2"/>
  <c r="A2380" i="2"/>
  <c r="E2379" i="2"/>
  <c r="C2379" i="2"/>
  <c r="A2379" i="2"/>
  <c r="E2378" i="2"/>
  <c r="C2378" i="2"/>
  <c r="B2378" i="2" s="1"/>
  <c r="A2378" i="2"/>
  <c r="E2377" i="2"/>
  <c r="C2377" i="2"/>
  <c r="A2377" i="2"/>
  <c r="E2376" i="2"/>
  <c r="C2376" i="2"/>
  <c r="A2376" i="2"/>
  <c r="E2375" i="2"/>
  <c r="C2375" i="2"/>
  <c r="A2375" i="2"/>
  <c r="E2374" i="2"/>
  <c r="C2374" i="2"/>
  <c r="B2374" i="2" s="1"/>
  <c r="A2374" i="2"/>
  <c r="E2373" i="2"/>
  <c r="C2373" i="2"/>
  <c r="B2373" i="2" s="1"/>
  <c r="A2373" i="2"/>
  <c r="E2372" i="2"/>
  <c r="C2372" i="2"/>
  <c r="B2372" i="2" s="1"/>
  <c r="A2372" i="2"/>
  <c r="E2371" i="2"/>
  <c r="C2371" i="2"/>
  <c r="A2371" i="2"/>
  <c r="E2370" i="2"/>
  <c r="C2370" i="2"/>
  <c r="B2370" i="2" s="1"/>
  <c r="A2370" i="2"/>
  <c r="E2369" i="2"/>
  <c r="C2369" i="2"/>
  <c r="B2369" i="2" s="1"/>
  <c r="A2369" i="2"/>
  <c r="E2368" i="2"/>
  <c r="C2368" i="2"/>
  <c r="B2368" i="2" s="1"/>
  <c r="A2368" i="2"/>
  <c r="E2367" i="2"/>
  <c r="C2367" i="2"/>
  <c r="A2367" i="2"/>
  <c r="E2366" i="2"/>
  <c r="C2366" i="2"/>
  <c r="B2366" i="2" s="1"/>
  <c r="A2366" i="2"/>
  <c r="E2365" i="2"/>
  <c r="C2365" i="2"/>
  <c r="B2365" i="2" s="1"/>
  <c r="A2365" i="2"/>
  <c r="E2364" i="2"/>
  <c r="C2364" i="2"/>
  <c r="A2364" i="2"/>
  <c r="E2363" i="2"/>
  <c r="C2363" i="2"/>
  <c r="A2363" i="2"/>
  <c r="E2362" i="2"/>
  <c r="C2362" i="2"/>
  <c r="B2362" i="2" s="1"/>
  <c r="A2362" i="2"/>
  <c r="E2361" i="2"/>
  <c r="C2361" i="2"/>
  <c r="B2361" i="2" s="1"/>
  <c r="A2361" i="2"/>
  <c r="E2360" i="2"/>
  <c r="C2360" i="2"/>
  <c r="A2360" i="2"/>
  <c r="E2359" i="2"/>
  <c r="C2359" i="2"/>
  <c r="A2359" i="2"/>
  <c r="E2358" i="2"/>
  <c r="C2358" i="2"/>
  <c r="B2358" i="2" s="1"/>
  <c r="A2358" i="2"/>
  <c r="E2357" i="2"/>
  <c r="C2357" i="2"/>
  <c r="A2357" i="2"/>
  <c r="E2356" i="2"/>
  <c r="C2356" i="2"/>
  <c r="B2356" i="2" s="1"/>
  <c r="A2356" i="2"/>
  <c r="E2355" i="2"/>
  <c r="C2355" i="2"/>
  <c r="A2355" i="2"/>
  <c r="E2354" i="2"/>
  <c r="C2354" i="2"/>
  <c r="B2354" i="2" s="1"/>
  <c r="A2354" i="2"/>
  <c r="E2353" i="2"/>
  <c r="C2353" i="2"/>
  <c r="A2353" i="2"/>
  <c r="E2352" i="2"/>
  <c r="C2352" i="2"/>
  <c r="A2352" i="2"/>
  <c r="E2351" i="2"/>
  <c r="C2351" i="2"/>
  <c r="A2351" i="2"/>
  <c r="E2350" i="2"/>
  <c r="C2350" i="2"/>
  <c r="B2350" i="2" s="1"/>
  <c r="A2350" i="2"/>
  <c r="E2349" i="2"/>
  <c r="C2349" i="2"/>
  <c r="B2349" i="2" s="1"/>
  <c r="A2349" i="2"/>
  <c r="E2348" i="2"/>
  <c r="C2348" i="2"/>
  <c r="B2348" i="2" s="1"/>
  <c r="A2348" i="2"/>
  <c r="E2347" i="2"/>
  <c r="C2347" i="2"/>
  <c r="A2347" i="2"/>
  <c r="E2346" i="2"/>
  <c r="C2346" i="2"/>
  <c r="B2346" i="2" s="1"/>
  <c r="A2346" i="2"/>
  <c r="E2345" i="2"/>
  <c r="C2345" i="2"/>
  <c r="B2345" i="2" s="1"/>
  <c r="A2345" i="2"/>
  <c r="E2344" i="2"/>
  <c r="C2344" i="2"/>
  <c r="B2344" i="2" s="1"/>
  <c r="A2344" i="2"/>
  <c r="E2343" i="2"/>
  <c r="C2343" i="2"/>
  <c r="A2343" i="2"/>
  <c r="E2342" i="2"/>
  <c r="C2342" i="2"/>
  <c r="B2342" i="2" s="1"/>
  <c r="A2342" i="2"/>
  <c r="E2341" i="2"/>
  <c r="C2341" i="2"/>
  <c r="B2341" i="2" s="1"/>
  <c r="A2341" i="2"/>
  <c r="E2340" i="2"/>
  <c r="C2340" i="2"/>
  <c r="B2340" i="2" s="1"/>
  <c r="A2340" i="2"/>
  <c r="E2339" i="2"/>
  <c r="C2339" i="2"/>
  <c r="A2339" i="2"/>
  <c r="E2338" i="2"/>
  <c r="C2338" i="2"/>
  <c r="B2338" i="2" s="1"/>
  <c r="A2338" i="2"/>
  <c r="E2337" i="2"/>
  <c r="C2337" i="2"/>
  <c r="B2337" i="2" s="1"/>
  <c r="A2337" i="2"/>
  <c r="E2336" i="2"/>
  <c r="C2336" i="2"/>
  <c r="B2336" i="2" s="1"/>
  <c r="A2336" i="2"/>
  <c r="E2335" i="2"/>
  <c r="C2335" i="2"/>
  <c r="A2335" i="2"/>
  <c r="E2334" i="2"/>
  <c r="C2334" i="2"/>
  <c r="B2334" i="2" s="1"/>
  <c r="A2334" i="2"/>
  <c r="E2333" i="2"/>
  <c r="C2333" i="2"/>
  <c r="B2333" i="2" s="1"/>
  <c r="A2333" i="2"/>
  <c r="E2332" i="2"/>
  <c r="C2332" i="2"/>
  <c r="B2332" i="2" s="1"/>
  <c r="A2332" i="2"/>
  <c r="E2331" i="2"/>
  <c r="C2331" i="2"/>
  <c r="A2331" i="2"/>
  <c r="E2330" i="2"/>
  <c r="C2330" i="2"/>
  <c r="B2330" i="2" s="1"/>
  <c r="A2330" i="2"/>
  <c r="E2329" i="2"/>
  <c r="C2329" i="2"/>
  <c r="B2329" i="2" s="1"/>
  <c r="A2329" i="2"/>
  <c r="E2328" i="2"/>
  <c r="C2328" i="2"/>
  <c r="A2328" i="2"/>
  <c r="E2327" i="2"/>
  <c r="C2327" i="2"/>
  <c r="A2327" i="2"/>
  <c r="E2326" i="2"/>
  <c r="C2326" i="2"/>
  <c r="B2326" i="2" s="1"/>
  <c r="A2326" i="2"/>
  <c r="E2325" i="2"/>
  <c r="C2325" i="2"/>
  <c r="B2325" i="2" s="1"/>
  <c r="A2325" i="2"/>
  <c r="E2324" i="2"/>
  <c r="C2324" i="2"/>
  <c r="B2324" i="2" s="1"/>
  <c r="A2324" i="2"/>
  <c r="E2323" i="2"/>
  <c r="C2323" i="2"/>
  <c r="A2323" i="2"/>
  <c r="E2322" i="2"/>
  <c r="C2322" i="2"/>
  <c r="A2322" i="2"/>
  <c r="E2321" i="2"/>
  <c r="C2321" i="2"/>
  <c r="A2321" i="2"/>
  <c r="E2320" i="2"/>
  <c r="C2320" i="2"/>
  <c r="A2320" i="2"/>
  <c r="E2319" i="2"/>
  <c r="C2319" i="2"/>
  <c r="A2319" i="2"/>
  <c r="E2318" i="2"/>
  <c r="C2318" i="2"/>
  <c r="B2318" i="2" s="1"/>
  <c r="A2318" i="2"/>
  <c r="E2317" i="2"/>
  <c r="C2317" i="2"/>
  <c r="B2317" i="2" s="1"/>
  <c r="A2317" i="2"/>
  <c r="E2316" i="2"/>
  <c r="C2316" i="2"/>
  <c r="B2316" i="2" s="1"/>
  <c r="A2316" i="2"/>
  <c r="E2315" i="2"/>
  <c r="C2315" i="2"/>
  <c r="A2315" i="2"/>
  <c r="E2314" i="2"/>
  <c r="C2314" i="2"/>
  <c r="B2314" i="2" s="1"/>
  <c r="A2314" i="2"/>
  <c r="E2313" i="2"/>
  <c r="C2313" i="2"/>
  <c r="B2313" i="2" s="1"/>
  <c r="A2313" i="2"/>
  <c r="E2312" i="2"/>
  <c r="C2312" i="2"/>
  <c r="A2312" i="2"/>
  <c r="E2311" i="2"/>
  <c r="C2311" i="2"/>
  <c r="A2311" i="2"/>
  <c r="E2310" i="2"/>
  <c r="C2310" i="2"/>
  <c r="B2310" i="2" s="1"/>
  <c r="A2310" i="2"/>
  <c r="E2309" i="2"/>
  <c r="C2309" i="2"/>
  <c r="B2309" i="2" s="1"/>
  <c r="A2309" i="2"/>
  <c r="E2308" i="2"/>
  <c r="C2308" i="2"/>
  <c r="B2308" i="2" s="1"/>
  <c r="A2308" i="2"/>
  <c r="E2307" i="2"/>
  <c r="C2307" i="2"/>
  <c r="A2307" i="2"/>
  <c r="E2306" i="2"/>
  <c r="C2306" i="2"/>
  <c r="B2306" i="2" s="1"/>
  <c r="A2306" i="2"/>
  <c r="E2305" i="2"/>
  <c r="C2305" i="2"/>
  <c r="A2305" i="2"/>
  <c r="E2304" i="2"/>
  <c r="C2304" i="2"/>
  <c r="B2304" i="2" s="1"/>
  <c r="A2304" i="2"/>
  <c r="E2303" i="2"/>
  <c r="C2303" i="2"/>
  <c r="A2303" i="2"/>
  <c r="E2302" i="2"/>
  <c r="C2302" i="2"/>
  <c r="B2302" i="2" s="1"/>
  <c r="A2302" i="2"/>
  <c r="E2301" i="2"/>
  <c r="C2301" i="2"/>
  <c r="A2301" i="2"/>
  <c r="E2300" i="2"/>
  <c r="C2300" i="2"/>
  <c r="B2300" i="2" s="1"/>
  <c r="A2300" i="2"/>
  <c r="E2299" i="2"/>
  <c r="C2299" i="2"/>
  <c r="A2299" i="2"/>
  <c r="E2298" i="2"/>
  <c r="C2298" i="2"/>
  <c r="B2298" i="2" s="1"/>
  <c r="A2298" i="2"/>
  <c r="E2297" i="2"/>
  <c r="C2297" i="2"/>
  <c r="A2297" i="2"/>
  <c r="E2296" i="2"/>
  <c r="C2296" i="2"/>
  <c r="B2296" i="2" s="1"/>
  <c r="A2296" i="2"/>
  <c r="E2295" i="2"/>
  <c r="C2295" i="2"/>
  <c r="B2295" i="2" s="1"/>
  <c r="A2295" i="2"/>
  <c r="E2294" i="2"/>
  <c r="C2294" i="2"/>
  <c r="B2294" i="2" s="1"/>
  <c r="A2294" i="2"/>
  <c r="E2293" i="2"/>
  <c r="C2293" i="2"/>
  <c r="B2293" i="2" s="1"/>
  <c r="A2293" i="2"/>
  <c r="E2292" i="2"/>
  <c r="C2292" i="2"/>
  <c r="A2292" i="2"/>
  <c r="E2291" i="2"/>
  <c r="C2291" i="2"/>
  <c r="A2291" i="2"/>
  <c r="E2290" i="2"/>
  <c r="C2290" i="2"/>
  <c r="B2290" i="2" s="1"/>
  <c r="A2290" i="2"/>
  <c r="E2289" i="2"/>
  <c r="C2289" i="2"/>
  <c r="A2289" i="2"/>
  <c r="E2288" i="2"/>
  <c r="C2288" i="2"/>
  <c r="B2288" i="2" s="1"/>
  <c r="A2288" i="2"/>
  <c r="E2287" i="2"/>
  <c r="C2287" i="2"/>
  <c r="A2287" i="2"/>
  <c r="E2286" i="2"/>
  <c r="C2286" i="2"/>
  <c r="B2286" i="2" s="1"/>
  <c r="A2286" i="2"/>
  <c r="E2285" i="2"/>
  <c r="C2285" i="2"/>
  <c r="A2285" i="2"/>
  <c r="E2284" i="2"/>
  <c r="C2284" i="2"/>
  <c r="B2284" i="2" s="1"/>
  <c r="A2284" i="2"/>
  <c r="E2283" i="2"/>
  <c r="C2283" i="2"/>
  <c r="A2283" i="2"/>
  <c r="E2282" i="2"/>
  <c r="C2282" i="2"/>
  <c r="B2282" i="2" s="1"/>
  <c r="A2282" i="2"/>
  <c r="E2281" i="2"/>
  <c r="C2281" i="2"/>
  <c r="A2281" i="2"/>
  <c r="E2280" i="2"/>
  <c r="C2280" i="2"/>
  <c r="B2280" i="2" s="1"/>
  <c r="A2280" i="2"/>
  <c r="E2279" i="2"/>
  <c r="C2279" i="2"/>
  <c r="B2279" i="2" s="1"/>
  <c r="A2279" i="2"/>
  <c r="E2278" i="2"/>
  <c r="C2278" i="2"/>
  <c r="B2278" i="2" s="1"/>
  <c r="A2278" i="2"/>
  <c r="E2277" i="2"/>
  <c r="C2277" i="2"/>
  <c r="B2277" i="2" s="1"/>
  <c r="A2277" i="2"/>
  <c r="E2276" i="2"/>
  <c r="C2276" i="2"/>
  <c r="B2276" i="2" s="1"/>
  <c r="A2276" i="2"/>
  <c r="E2275" i="2"/>
  <c r="C2275" i="2"/>
  <c r="A2275" i="2"/>
  <c r="E2274" i="2"/>
  <c r="C2274" i="2"/>
  <c r="B2274" i="2" s="1"/>
  <c r="A2274" i="2"/>
  <c r="E2273" i="2"/>
  <c r="C2273" i="2"/>
  <c r="B2273" i="2" s="1"/>
  <c r="A2273" i="2"/>
  <c r="E2272" i="2"/>
  <c r="C2272" i="2"/>
  <c r="B2272" i="2" s="1"/>
  <c r="A2272" i="2"/>
  <c r="E2271" i="2"/>
  <c r="C2271" i="2"/>
  <c r="A2271" i="2"/>
  <c r="E2270" i="2"/>
  <c r="C2270" i="2"/>
  <c r="B2270" i="2" s="1"/>
  <c r="A2270" i="2"/>
  <c r="E2269" i="2"/>
  <c r="C2269" i="2"/>
  <c r="A2269" i="2"/>
  <c r="E2268" i="2"/>
  <c r="C2268" i="2"/>
  <c r="A2268" i="2"/>
  <c r="E2267" i="2"/>
  <c r="C2267" i="2"/>
  <c r="B2267" i="2" s="1"/>
  <c r="A2267" i="2"/>
  <c r="E2266" i="2"/>
  <c r="C2266" i="2"/>
  <c r="B2266" i="2" s="1"/>
  <c r="A2266" i="2"/>
  <c r="E2265" i="2"/>
  <c r="C2265" i="2"/>
  <c r="B2265" i="2" s="1"/>
  <c r="A2265" i="2"/>
  <c r="E2264" i="2"/>
  <c r="C2264" i="2"/>
  <c r="A2264" i="2"/>
  <c r="E2263" i="2"/>
  <c r="C2263" i="2"/>
  <c r="A2263" i="2"/>
  <c r="E2262" i="2"/>
  <c r="C2262" i="2"/>
  <c r="B2262" i="2" s="1"/>
  <c r="A2262" i="2"/>
  <c r="E2261" i="2"/>
  <c r="C2261" i="2"/>
  <c r="A2261" i="2"/>
  <c r="E2260" i="2"/>
  <c r="C2260" i="2"/>
  <c r="A2260" i="2"/>
  <c r="E2259" i="2"/>
  <c r="C2259" i="2"/>
  <c r="A2259" i="2"/>
  <c r="E2258" i="2"/>
  <c r="C2258" i="2"/>
  <c r="B2258" i="2" s="1"/>
  <c r="A2258" i="2"/>
  <c r="E2257" i="2"/>
  <c r="C2257" i="2"/>
  <c r="B2257" i="2" s="1"/>
  <c r="A2257" i="2"/>
  <c r="E2256" i="2"/>
  <c r="C2256" i="2"/>
  <c r="A2256" i="2"/>
  <c r="E2255" i="2"/>
  <c r="C2255" i="2"/>
  <c r="A2255" i="2"/>
  <c r="E2254" i="2"/>
  <c r="C2254" i="2"/>
  <c r="B2254" i="2" s="1"/>
  <c r="A2254" i="2"/>
  <c r="E2253" i="2"/>
  <c r="C2253" i="2"/>
  <c r="A2253" i="2"/>
  <c r="E2252" i="2"/>
  <c r="C2252" i="2"/>
  <c r="B2252" i="2" s="1"/>
  <c r="A2252" i="2"/>
  <c r="E2251" i="2"/>
  <c r="C2251" i="2"/>
  <c r="B2251" i="2" s="1"/>
  <c r="A2251" i="2"/>
  <c r="E2250" i="2"/>
  <c r="C2250" i="2"/>
  <c r="B2250" i="2" s="1"/>
  <c r="A2250" i="2"/>
  <c r="E2249" i="2"/>
  <c r="C2249" i="2"/>
  <c r="A2249" i="2"/>
  <c r="E2248" i="2"/>
  <c r="C2248" i="2"/>
  <c r="A2248" i="2"/>
  <c r="E2247" i="2"/>
  <c r="C2247" i="2"/>
  <c r="A2247" i="2"/>
  <c r="E2246" i="2"/>
  <c r="C2246" i="2"/>
  <c r="B2246" i="2" s="1"/>
  <c r="A2246" i="2"/>
  <c r="E2245" i="2"/>
  <c r="C2245" i="2"/>
  <c r="A2245" i="2"/>
  <c r="E2244" i="2"/>
  <c r="C2244" i="2"/>
  <c r="B2244" i="2" s="1"/>
  <c r="A2244" i="2"/>
  <c r="E2243" i="2"/>
  <c r="C2243" i="2"/>
  <c r="B2243" i="2" s="1"/>
  <c r="A2243" i="2"/>
  <c r="E2242" i="2"/>
  <c r="C2242" i="2"/>
  <c r="B2242" i="2" s="1"/>
  <c r="A2242" i="2"/>
  <c r="E2241" i="2"/>
  <c r="C2241" i="2"/>
  <c r="B2241" i="2" s="1"/>
  <c r="A2241" i="2"/>
  <c r="E2240" i="2"/>
  <c r="C2240" i="2"/>
  <c r="A2240" i="2"/>
  <c r="E2239" i="2"/>
  <c r="C2239" i="2"/>
  <c r="A2239" i="2"/>
  <c r="E2238" i="2"/>
  <c r="C2238" i="2"/>
  <c r="B2238" i="2" s="1"/>
  <c r="A2238" i="2"/>
  <c r="E2237" i="2"/>
  <c r="C2237" i="2"/>
  <c r="A2237" i="2"/>
  <c r="E2236" i="2"/>
  <c r="C2236" i="2"/>
  <c r="A2236" i="2"/>
  <c r="E2235" i="2"/>
  <c r="C2235" i="2"/>
  <c r="A2235" i="2"/>
  <c r="E2234" i="2"/>
  <c r="C2234" i="2"/>
  <c r="B2234" i="2" s="1"/>
  <c r="A2234" i="2"/>
  <c r="E2233" i="2"/>
  <c r="C2233" i="2"/>
  <c r="B2233" i="2" s="1"/>
  <c r="A2233" i="2"/>
  <c r="E2232" i="2"/>
  <c r="C2232" i="2"/>
  <c r="A2232" i="2"/>
  <c r="E2231" i="2"/>
  <c r="C2231" i="2"/>
  <c r="A2231" i="2"/>
  <c r="E2230" i="2"/>
  <c r="C2230" i="2"/>
  <c r="B2230" i="2" s="1"/>
  <c r="A2230" i="2"/>
  <c r="E2229" i="2"/>
  <c r="C2229" i="2"/>
  <c r="A2229" i="2"/>
  <c r="E2228" i="2"/>
  <c r="C2228" i="2"/>
  <c r="B2228" i="2" s="1"/>
  <c r="A2228" i="2"/>
  <c r="E2227" i="2"/>
  <c r="C2227" i="2"/>
  <c r="B2227" i="2" s="1"/>
  <c r="A2227" i="2"/>
  <c r="E2226" i="2"/>
  <c r="C2226" i="2"/>
  <c r="B2226" i="2" s="1"/>
  <c r="A2226" i="2"/>
  <c r="E2225" i="2"/>
  <c r="C2225" i="2"/>
  <c r="B2225" i="2" s="1"/>
  <c r="A2225" i="2"/>
  <c r="E2224" i="2"/>
  <c r="C2224" i="2"/>
  <c r="A2224" i="2"/>
  <c r="E2223" i="2"/>
  <c r="C2223" i="2"/>
  <c r="A2223" i="2"/>
  <c r="E2222" i="2"/>
  <c r="C2222" i="2"/>
  <c r="B2222" i="2" s="1"/>
  <c r="A2222" i="2"/>
  <c r="E2221" i="2"/>
  <c r="C2221" i="2"/>
  <c r="A2221" i="2"/>
  <c r="E2220" i="2"/>
  <c r="C2220" i="2"/>
  <c r="B2220" i="2" s="1"/>
  <c r="A2220" i="2"/>
  <c r="E2219" i="2"/>
  <c r="C2219" i="2"/>
  <c r="B2219" i="2" s="1"/>
  <c r="A2219" i="2"/>
  <c r="E2218" i="2"/>
  <c r="C2218" i="2"/>
  <c r="B2218" i="2" s="1"/>
  <c r="A2218" i="2"/>
  <c r="E2217" i="2"/>
  <c r="C2217" i="2"/>
  <c r="B2217" i="2" s="1"/>
  <c r="A2217" i="2"/>
  <c r="E2216" i="2"/>
  <c r="C2216" i="2"/>
  <c r="A2216" i="2"/>
  <c r="E2215" i="2"/>
  <c r="C2215" i="2"/>
  <c r="A2215" i="2"/>
  <c r="E2214" i="2"/>
  <c r="C2214" i="2"/>
  <c r="B2214" i="2" s="1"/>
  <c r="A2214" i="2"/>
  <c r="E2213" i="2"/>
  <c r="C2213" i="2"/>
  <c r="A2213" i="2"/>
  <c r="E2212" i="2"/>
  <c r="C2212" i="2"/>
  <c r="B2212" i="2" s="1"/>
  <c r="A2212" i="2"/>
  <c r="E2211" i="2"/>
  <c r="C2211" i="2"/>
  <c r="B2211" i="2" s="1"/>
  <c r="A2211" i="2"/>
  <c r="E2210" i="2"/>
  <c r="C2210" i="2"/>
  <c r="B2210" i="2" s="1"/>
  <c r="A2210" i="2"/>
  <c r="E2209" i="2"/>
  <c r="C2209" i="2"/>
  <c r="B2209" i="2" s="1"/>
  <c r="A2209" i="2"/>
  <c r="E2208" i="2"/>
  <c r="C2208" i="2"/>
  <c r="A2208" i="2"/>
  <c r="E2207" i="2"/>
  <c r="C2207" i="2"/>
  <c r="A2207" i="2"/>
  <c r="E2206" i="2"/>
  <c r="C2206" i="2"/>
  <c r="B2206" i="2" s="1"/>
  <c r="A2206" i="2"/>
  <c r="E2205" i="2"/>
  <c r="C2205" i="2"/>
  <c r="A2205" i="2"/>
  <c r="E2204" i="2"/>
  <c r="C2204" i="2"/>
  <c r="A2204" i="2"/>
  <c r="E2203" i="2"/>
  <c r="C2203" i="2"/>
  <c r="B2203" i="2" s="1"/>
  <c r="A2203" i="2"/>
  <c r="E2202" i="2"/>
  <c r="C2202" i="2"/>
  <c r="B2202" i="2" s="1"/>
  <c r="A2202" i="2"/>
  <c r="E2201" i="2"/>
  <c r="C2201" i="2"/>
  <c r="B2201" i="2" s="1"/>
  <c r="A2201" i="2"/>
  <c r="E2200" i="2"/>
  <c r="C2200" i="2"/>
  <c r="A2200" i="2"/>
  <c r="E2199" i="2"/>
  <c r="C2199" i="2"/>
  <c r="A2199" i="2"/>
  <c r="E2198" i="2"/>
  <c r="C2198" i="2"/>
  <c r="B2198" i="2" s="1"/>
  <c r="A2198" i="2"/>
  <c r="E2197" i="2"/>
  <c r="C2197" i="2"/>
  <c r="A2197" i="2"/>
  <c r="E2196" i="2"/>
  <c r="C2196" i="2"/>
  <c r="B2196" i="2" s="1"/>
  <c r="A2196" i="2"/>
  <c r="E2195" i="2"/>
  <c r="C2195" i="2"/>
  <c r="B2195" i="2" s="1"/>
  <c r="A2195" i="2"/>
  <c r="E2194" i="2"/>
  <c r="C2194" i="2"/>
  <c r="B2194" i="2" s="1"/>
  <c r="A2194" i="2"/>
  <c r="E2193" i="2"/>
  <c r="C2193" i="2"/>
  <c r="A2193" i="2"/>
  <c r="E2192" i="2"/>
  <c r="C2192" i="2"/>
  <c r="A2192" i="2"/>
  <c r="E2191" i="2"/>
  <c r="C2191" i="2"/>
  <c r="A2191" i="2"/>
  <c r="E2190" i="2"/>
  <c r="C2190" i="2"/>
  <c r="B2190" i="2" s="1"/>
  <c r="A2190" i="2"/>
  <c r="E2189" i="2"/>
  <c r="C2189" i="2"/>
  <c r="A2189" i="2"/>
  <c r="E2188" i="2"/>
  <c r="C2188" i="2"/>
  <c r="A2188" i="2"/>
  <c r="E2187" i="2"/>
  <c r="C2187" i="2"/>
  <c r="B2187" i="2" s="1"/>
  <c r="A2187" i="2"/>
  <c r="E2186" i="2"/>
  <c r="C2186" i="2"/>
  <c r="B2186" i="2" s="1"/>
  <c r="A2186" i="2"/>
  <c r="E2185" i="2"/>
  <c r="C2185" i="2"/>
  <c r="B2185" i="2" s="1"/>
  <c r="A2185" i="2"/>
  <c r="E2184" i="2"/>
  <c r="C2184" i="2"/>
  <c r="A2184" i="2"/>
  <c r="E2183" i="2"/>
  <c r="C2183" i="2"/>
  <c r="A2183" i="2"/>
  <c r="E2182" i="2"/>
  <c r="C2182" i="2"/>
  <c r="B2182" i="2" s="1"/>
  <c r="A2182" i="2"/>
  <c r="E2181" i="2"/>
  <c r="C2181" i="2"/>
  <c r="A2181" i="2"/>
  <c r="E2180" i="2"/>
  <c r="C2180" i="2"/>
  <c r="B2180" i="2" s="1"/>
  <c r="A2180" i="2"/>
  <c r="E2179" i="2"/>
  <c r="C2179" i="2"/>
  <c r="B2179" i="2" s="1"/>
  <c r="A2179" i="2"/>
  <c r="E2178" i="2"/>
  <c r="C2178" i="2"/>
  <c r="B2178" i="2" s="1"/>
  <c r="A2178" i="2"/>
  <c r="E2177" i="2"/>
  <c r="C2177" i="2"/>
  <c r="B2177" i="2" s="1"/>
  <c r="A2177" i="2"/>
  <c r="E2176" i="2"/>
  <c r="C2176" i="2"/>
  <c r="A2176" i="2"/>
  <c r="E2175" i="2"/>
  <c r="C2175" i="2"/>
  <c r="A2175" i="2"/>
  <c r="E2174" i="2"/>
  <c r="C2174" i="2"/>
  <c r="B2174" i="2" s="1"/>
  <c r="A2174" i="2"/>
  <c r="E2173" i="2"/>
  <c r="C2173" i="2"/>
  <c r="A2173" i="2"/>
  <c r="E2172" i="2"/>
  <c r="C2172" i="2"/>
  <c r="A2172" i="2"/>
  <c r="E2171" i="2"/>
  <c r="C2171" i="2"/>
  <c r="B2171" i="2" s="1"/>
  <c r="A2171" i="2"/>
  <c r="E2170" i="2"/>
  <c r="C2170" i="2"/>
  <c r="B2170" i="2" s="1"/>
  <c r="A2170" i="2"/>
  <c r="E2169" i="2"/>
  <c r="C2169" i="2"/>
  <c r="B2169" i="2" s="1"/>
  <c r="A2169" i="2"/>
  <c r="E2168" i="2"/>
  <c r="C2168" i="2"/>
  <c r="B2168" i="2" s="1"/>
  <c r="A2168" i="2"/>
  <c r="E2167" i="2"/>
  <c r="C2167" i="2"/>
  <c r="A2167" i="2"/>
  <c r="E2166" i="2"/>
  <c r="C2166" i="2"/>
  <c r="B2166" i="2" s="1"/>
  <c r="A2166" i="2"/>
  <c r="E2165" i="2"/>
  <c r="C2165" i="2"/>
  <c r="A2165" i="2"/>
  <c r="E2164" i="2"/>
  <c r="C2164" i="2"/>
  <c r="B2164" i="2" s="1"/>
  <c r="A2164" i="2"/>
  <c r="E2163" i="2"/>
  <c r="C2163" i="2"/>
  <c r="B2163" i="2" s="1"/>
  <c r="A2163" i="2"/>
  <c r="E2162" i="2"/>
  <c r="C2162" i="2"/>
  <c r="B2162" i="2" s="1"/>
  <c r="A2162" i="2"/>
  <c r="E2161" i="2"/>
  <c r="C2161" i="2"/>
  <c r="B2161" i="2" s="1"/>
  <c r="A2161" i="2"/>
  <c r="E2160" i="2"/>
  <c r="C2160" i="2"/>
  <c r="A2160" i="2"/>
  <c r="E2159" i="2"/>
  <c r="C2159" i="2"/>
  <c r="A2159" i="2"/>
  <c r="E2158" i="2"/>
  <c r="C2158" i="2"/>
  <c r="B2158" i="2" s="1"/>
  <c r="A2158" i="2"/>
  <c r="E2157" i="2"/>
  <c r="C2157" i="2"/>
  <c r="A2157" i="2"/>
  <c r="E2156" i="2"/>
  <c r="C2156" i="2"/>
  <c r="B2156" i="2" s="1"/>
  <c r="A2156" i="2"/>
  <c r="E2155" i="2"/>
  <c r="C2155" i="2"/>
  <c r="B2155" i="2" s="1"/>
  <c r="A2155" i="2"/>
  <c r="E2154" i="2"/>
  <c r="C2154" i="2"/>
  <c r="B2154" i="2" s="1"/>
  <c r="A2154" i="2"/>
  <c r="E2153" i="2"/>
  <c r="C2153" i="2"/>
  <c r="B2153" i="2" s="1"/>
  <c r="A2153" i="2"/>
  <c r="E2152" i="2"/>
  <c r="C2152" i="2"/>
  <c r="A2152" i="2"/>
  <c r="E2151" i="2"/>
  <c r="C2151" i="2"/>
  <c r="A2151" i="2"/>
  <c r="E2150" i="2"/>
  <c r="C2150" i="2"/>
  <c r="B2150" i="2" s="1"/>
  <c r="A2150" i="2"/>
  <c r="E2149" i="2"/>
  <c r="C2149" i="2"/>
  <c r="A2149" i="2"/>
  <c r="E2148" i="2"/>
  <c r="C2148" i="2"/>
  <c r="B2148" i="2" s="1"/>
  <c r="A2148" i="2"/>
  <c r="E2147" i="2"/>
  <c r="C2147" i="2"/>
  <c r="B2147" i="2" s="1"/>
  <c r="A2147" i="2"/>
  <c r="E2146" i="2"/>
  <c r="C2146" i="2"/>
  <c r="B2146" i="2" s="1"/>
  <c r="A2146" i="2"/>
  <c r="E2145" i="2"/>
  <c r="C2145" i="2"/>
  <c r="B2145" i="2" s="1"/>
  <c r="A2145" i="2"/>
  <c r="E2144" i="2"/>
  <c r="C2144" i="2"/>
  <c r="A2144" i="2"/>
  <c r="E2143" i="2"/>
  <c r="C2143" i="2"/>
  <c r="A2143" i="2"/>
  <c r="E2142" i="2"/>
  <c r="C2142" i="2"/>
  <c r="B2142" i="2" s="1"/>
  <c r="A2142" i="2"/>
  <c r="E2141" i="2"/>
  <c r="C2141" i="2"/>
  <c r="A2141" i="2"/>
  <c r="E2140" i="2"/>
  <c r="C2140" i="2"/>
  <c r="A2140" i="2"/>
  <c r="E2139" i="2"/>
  <c r="C2139" i="2"/>
  <c r="B2139" i="2" s="1"/>
  <c r="A2139" i="2"/>
  <c r="E2138" i="2"/>
  <c r="C2138" i="2"/>
  <c r="B2138" i="2" s="1"/>
  <c r="A2138" i="2"/>
  <c r="E2137" i="2"/>
  <c r="C2137" i="2"/>
  <c r="B2137" i="2" s="1"/>
  <c r="A2137" i="2"/>
  <c r="E2136" i="2"/>
  <c r="C2136" i="2"/>
  <c r="B2136" i="2" s="1"/>
  <c r="A2136" i="2"/>
  <c r="E2135" i="2"/>
  <c r="C2135" i="2"/>
  <c r="A2135" i="2"/>
  <c r="E2134" i="2"/>
  <c r="C2134" i="2"/>
  <c r="B2134" i="2" s="1"/>
  <c r="A2134" i="2"/>
  <c r="E2133" i="2"/>
  <c r="C2133" i="2"/>
  <c r="A2133" i="2"/>
  <c r="E2132" i="2"/>
  <c r="C2132" i="2"/>
  <c r="A2132" i="2"/>
  <c r="E2131" i="2"/>
  <c r="C2131" i="2"/>
  <c r="A2131" i="2"/>
  <c r="E2130" i="2"/>
  <c r="C2130" i="2"/>
  <c r="B2130" i="2" s="1"/>
  <c r="A2130" i="2"/>
  <c r="E2129" i="2"/>
  <c r="C2129" i="2"/>
  <c r="B2129" i="2" s="1"/>
  <c r="A2129" i="2"/>
  <c r="E2128" i="2"/>
  <c r="C2128" i="2"/>
  <c r="A2128" i="2"/>
  <c r="E2127" i="2"/>
  <c r="C2127" i="2"/>
  <c r="A2127" i="2"/>
  <c r="E2126" i="2"/>
  <c r="C2126" i="2"/>
  <c r="B2126" i="2" s="1"/>
  <c r="A2126" i="2"/>
  <c r="E2125" i="2"/>
  <c r="C2125" i="2"/>
  <c r="A2125" i="2"/>
  <c r="E2124" i="2"/>
  <c r="C2124" i="2"/>
  <c r="B2124" i="2" s="1"/>
  <c r="A2124" i="2"/>
  <c r="E2123" i="2"/>
  <c r="C2123" i="2"/>
  <c r="B2123" i="2" s="1"/>
  <c r="A2123" i="2"/>
  <c r="E2122" i="2"/>
  <c r="C2122" i="2"/>
  <c r="B2122" i="2" s="1"/>
  <c r="A2122" i="2"/>
  <c r="E2121" i="2"/>
  <c r="C2121" i="2"/>
  <c r="A2121" i="2"/>
  <c r="E2120" i="2"/>
  <c r="C2120" i="2"/>
  <c r="A2120" i="2"/>
  <c r="E2119" i="2"/>
  <c r="C2119" i="2"/>
  <c r="A2119" i="2"/>
  <c r="E2118" i="2"/>
  <c r="C2118" i="2"/>
  <c r="B2118" i="2" s="1"/>
  <c r="A2118" i="2"/>
  <c r="E2117" i="2"/>
  <c r="C2117" i="2"/>
  <c r="A2117" i="2"/>
  <c r="E2116" i="2"/>
  <c r="C2116" i="2"/>
  <c r="B2116" i="2" s="1"/>
  <c r="A2116" i="2"/>
  <c r="E2115" i="2"/>
  <c r="C2115" i="2"/>
  <c r="B2115" i="2" s="1"/>
  <c r="A2115" i="2"/>
  <c r="E2114" i="2"/>
  <c r="C2114" i="2"/>
  <c r="B2114" i="2" s="1"/>
  <c r="A2114" i="2"/>
  <c r="E2113" i="2"/>
  <c r="C2113" i="2"/>
  <c r="B2113" i="2" s="1"/>
  <c r="A2113" i="2"/>
  <c r="E2112" i="2"/>
  <c r="C2112" i="2"/>
  <c r="A2112" i="2"/>
  <c r="E2111" i="2"/>
  <c r="C2111" i="2"/>
  <c r="A2111" i="2"/>
  <c r="E2110" i="2"/>
  <c r="C2110" i="2"/>
  <c r="B2110" i="2" s="1"/>
  <c r="A2110" i="2"/>
  <c r="E2109" i="2"/>
  <c r="C2109" i="2"/>
  <c r="A2109" i="2"/>
  <c r="E2108" i="2"/>
  <c r="C2108" i="2"/>
  <c r="A2108" i="2"/>
  <c r="E2107" i="2"/>
  <c r="C2107" i="2"/>
  <c r="A2107" i="2"/>
  <c r="E2106" i="2"/>
  <c r="C2106" i="2"/>
  <c r="B2106" i="2" s="1"/>
  <c r="A2106" i="2"/>
  <c r="E2105" i="2"/>
  <c r="C2105" i="2"/>
  <c r="B2105" i="2" s="1"/>
  <c r="A2105" i="2"/>
  <c r="E2104" i="2"/>
  <c r="C2104" i="2"/>
  <c r="B2104" i="2" s="1"/>
  <c r="A2104" i="2"/>
  <c r="E2103" i="2"/>
  <c r="C2103" i="2"/>
  <c r="A2103" i="2"/>
  <c r="E2102" i="2"/>
  <c r="C2102" i="2"/>
  <c r="B2102" i="2" s="1"/>
  <c r="A2102" i="2"/>
  <c r="E2101" i="2"/>
  <c r="C2101" i="2"/>
  <c r="A2101" i="2"/>
  <c r="E2100" i="2"/>
  <c r="C2100" i="2"/>
  <c r="B2100" i="2" s="1"/>
  <c r="A2100" i="2"/>
  <c r="E2099" i="2"/>
  <c r="C2099" i="2"/>
  <c r="B2099" i="2" s="1"/>
  <c r="A2099" i="2"/>
  <c r="E2098" i="2"/>
  <c r="C2098" i="2"/>
  <c r="B2098" i="2" s="1"/>
  <c r="A2098" i="2"/>
  <c r="E2097" i="2"/>
  <c r="C2097" i="2"/>
  <c r="B2097" i="2" s="1"/>
  <c r="A2097" i="2"/>
  <c r="E2096" i="2"/>
  <c r="C2096" i="2"/>
  <c r="A2096" i="2"/>
  <c r="E2095" i="2"/>
  <c r="C2095" i="2"/>
  <c r="A2095" i="2"/>
  <c r="E2094" i="2"/>
  <c r="C2094" i="2"/>
  <c r="B2094" i="2" s="1"/>
  <c r="A2094" i="2"/>
  <c r="E2093" i="2"/>
  <c r="C2093" i="2"/>
  <c r="A2093" i="2"/>
  <c r="E2092" i="2"/>
  <c r="C2092" i="2"/>
  <c r="A2092" i="2"/>
  <c r="E2091" i="2"/>
  <c r="C2091" i="2"/>
  <c r="B2091" i="2" s="1"/>
  <c r="A2091" i="2"/>
  <c r="E2090" i="2"/>
  <c r="C2090" i="2"/>
  <c r="B2090" i="2" s="1"/>
  <c r="A2090" i="2"/>
  <c r="E2089" i="2"/>
  <c r="C2089" i="2"/>
  <c r="A2089" i="2"/>
  <c r="E2088" i="2"/>
  <c r="C2088" i="2"/>
  <c r="B2088" i="2" s="1"/>
  <c r="A2088" i="2"/>
  <c r="E2087" i="2"/>
  <c r="C2087" i="2"/>
  <c r="A2087" i="2"/>
  <c r="E2086" i="2"/>
  <c r="C2086" i="2"/>
  <c r="B2086" i="2" s="1"/>
  <c r="A2086" i="2"/>
  <c r="E2085" i="2"/>
  <c r="C2085" i="2"/>
  <c r="A2085" i="2"/>
  <c r="E2084" i="2"/>
  <c r="C2084" i="2"/>
  <c r="B2084" i="2" s="1"/>
  <c r="A2084" i="2"/>
  <c r="E2083" i="2"/>
  <c r="C2083" i="2"/>
  <c r="B2083" i="2" s="1"/>
  <c r="A2083" i="2"/>
  <c r="E2082" i="2"/>
  <c r="C2082" i="2"/>
  <c r="B2082" i="2" s="1"/>
  <c r="A2082" i="2"/>
  <c r="E2081" i="2"/>
  <c r="C2081" i="2"/>
  <c r="B2081" i="2" s="1"/>
  <c r="A2081" i="2"/>
  <c r="E2080" i="2"/>
  <c r="C2080" i="2"/>
  <c r="A2080" i="2"/>
  <c r="E2079" i="2"/>
  <c r="C2079" i="2"/>
  <c r="A2079" i="2"/>
  <c r="E2078" i="2"/>
  <c r="C2078" i="2"/>
  <c r="B2078" i="2" s="1"/>
  <c r="A2078" i="2"/>
  <c r="E2077" i="2"/>
  <c r="C2077" i="2"/>
  <c r="A2077" i="2"/>
  <c r="E2076" i="2"/>
  <c r="C2076" i="2"/>
  <c r="A2076" i="2"/>
  <c r="E2075" i="2"/>
  <c r="C2075" i="2"/>
  <c r="B2075" i="2" s="1"/>
  <c r="A2075" i="2"/>
  <c r="E2074" i="2"/>
  <c r="C2074" i="2"/>
  <c r="B2074" i="2" s="1"/>
  <c r="A2074" i="2"/>
  <c r="E2073" i="2"/>
  <c r="C2073" i="2"/>
  <c r="B2073" i="2" s="1"/>
  <c r="A2073" i="2"/>
  <c r="E2072" i="2"/>
  <c r="C2072" i="2"/>
  <c r="A2072" i="2"/>
  <c r="E2071" i="2"/>
  <c r="C2071" i="2"/>
  <c r="A2071" i="2"/>
  <c r="E2070" i="2"/>
  <c r="C2070" i="2"/>
  <c r="B2070" i="2" s="1"/>
  <c r="A2070" i="2"/>
  <c r="E2069" i="2"/>
  <c r="C2069" i="2"/>
  <c r="A2069" i="2"/>
  <c r="E2068" i="2"/>
  <c r="C2068" i="2"/>
  <c r="A2068" i="2"/>
  <c r="E2067" i="2"/>
  <c r="C2067" i="2"/>
  <c r="A2067" i="2"/>
  <c r="E2066" i="2"/>
  <c r="C2066" i="2"/>
  <c r="B2066" i="2" s="1"/>
  <c r="A2066" i="2"/>
  <c r="E2065" i="2"/>
  <c r="C2065" i="2"/>
  <c r="B2065" i="2" s="1"/>
  <c r="A2065" i="2"/>
  <c r="E2064" i="2"/>
  <c r="C2064" i="2"/>
  <c r="A2064" i="2"/>
  <c r="E2063" i="2"/>
  <c r="C2063" i="2"/>
  <c r="A2063" i="2"/>
  <c r="E2062" i="2"/>
  <c r="C2062" i="2"/>
  <c r="B2062" i="2" s="1"/>
  <c r="A2062" i="2"/>
  <c r="E2061" i="2"/>
  <c r="C2061" i="2"/>
  <c r="A2061" i="2"/>
  <c r="E2060" i="2"/>
  <c r="C2060" i="2"/>
  <c r="A2060" i="2"/>
  <c r="E2059" i="2"/>
  <c r="C2059" i="2"/>
  <c r="B2059" i="2" s="1"/>
  <c r="A2059" i="2"/>
  <c r="E2058" i="2"/>
  <c r="C2058" i="2"/>
  <c r="B2058" i="2" s="1"/>
  <c r="A2058" i="2"/>
  <c r="E2057" i="2"/>
  <c r="C2057" i="2"/>
  <c r="B2057" i="2" s="1"/>
  <c r="A2057" i="2"/>
  <c r="E2056" i="2"/>
  <c r="C2056" i="2"/>
  <c r="B2056" i="2" s="1"/>
  <c r="A2056" i="2"/>
  <c r="E2055" i="2"/>
  <c r="C2055" i="2"/>
  <c r="A2055" i="2"/>
  <c r="E2054" i="2"/>
  <c r="C2054" i="2"/>
  <c r="B2054" i="2" s="1"/>
  <c r="A2054" i="2"/>
  <c r="E2053" i="2"/>
  <c r="C2053" i="2"/>
  <c r="B2053" i="2" s="1"/>
  <c r="A2053" i="2"/>
  <c r="E2052" i="2"/>
  <c r="C2052" i="2"/>
  <c r="A2052" i="2"/>
  <c r="E2051" i="2"/>
  <c r="C2051" i="2"/>
  <c r="B2051" i="2" s="1"/>
  <c r="A2051" i="2"/>
  <c r="E2050" i="2"/>
  <c r="C2050" i="2"/>
  <c r="B2050" i="2" s="1"/>
  <c r="A2050" i="2"/>
  <c r="E2049" i="2"/>
  <c r="C2049" i="2"/>
  <c r="B2049" i="2" s="1"/>
  <c r="A2049" i="2"/>
  <c r="E2048" i="2"/>
  <c r="C2048" i="2"/>
  <c r="A2048" i="2"/>
  <c r="E2047" i="2"/>
  <c r="C2047" i="2"/>
  <c r="B2047" i="2" s="1"/>
  <c r="A2047" i="2"/>
  <c r="E2046" i="2"/>
  <c r="C2046" i="2"/>
  <c r="B2046" i="2" s="1"/>
  <c r="A2046" i="2"/>
  <c r="E2045" i="2"/>
  <c r="C2045" i="2"/>
  <c r="B2045" i="2" s="1"/>
  <c r="A2045" i="2"/>
  <c r="E2044" i="2"/>
  <c r="C2044" i="2"/>
  <c r="A2044" i="2"/>
  <c r="E2043" i="2"/>
  <c r="C2043" i="2"/>
  <c r="A2043" i="2"/>
  <c r="E2042" i="2"/>
  <c r="C2042" i="2"/>
  <c r="B2042" i="2" s="1"/>
  <c r="A2042" i="2"/>
  <c r="E2041" i="2"/>
  <c r="C2041" i="2"/>
  <c r="B2041" i="2" s="1"/>
  <c r="A2041" i="2"/>
  <c r="E2040" i="2"/>
  <c r="C2040" i="2"/>
  <c r="B2040" i="2" s="1"/>
  <c r="A2040" i="2"/>
  <c r="E2039" i="2"/>
  <c r="C2039" i="2"/>
  <c r="B2039" i="2" s="1"/>
  <c r="A2039" i="2"/>
  <c r="E2038" i="2"/>
  <c r="C2038" i="2"/>
  <c r="B2038" i="2" s="1"/>
  <c r="A2038" i="2"/>
  <c r="E2037" i="2"/>
  <c r="C2037" i="2"/>
  <c r="B2037" i="2" s="1"/>
  <c r="A2037" i="2"/>
  <c r="E2036" i="2"/>
  <c r="C2036" i="2"/>
  <c r="B2036" i="2" s="1"/>
  <c r="A2036" i="2"/>
  <c r="E2035" i="2"/>
  <c r="C2035" i="2"/>
  <c r="B2035" i="2" s="1"/>
  <c r="A2035" i="2"/>
  <c r="E2034" i="2"/>
  <c r="C2034" i="2"/>
  <c r="B2034" i="2" s="1"/>
  <c r="A2034" i="2"/>
  <c r="E2033" i="2"/>
  <c r="C2033" i="2"/>
  <c r="B2033" i="2" s="1"/>
  <c r="A2033" i="2"/>
  <c r="E2032" i="2"/>
  <c r="C2032" i="2"/>
  <c r="B2032" i="2" s="1"/>
  <c r="A2032" i="2"/>
  <c r="E2031" i="2"/>
  <c r="C2031" i="2"/>
  <c r="B2031" i="2" s="1"/>
  <c r="A2031" i="2"/>
  <c r="E2030" i="2"/>
  <c r="C2030" i="2"/>
  <c r="B2030" i="2" s="1"/>
  <c r="A2030" i="2"/>
  <c r="E2029" i="2"/>
  <c r="C2029" i="2"/>
  <c r="B2029" i="2" s="1"/>
  <c r="A2029" i="2"/>
  <c r="E2028" i="2"/>
  <c r="C2028" i="2"/>
  <c r="A2028" i="2"/>
  <c r="E2027" i="2"/>
  <c r="C2027" i="2"/>
  <c r="B2027" i="2" s="1"/>
  <c r="A2027" i="2"/>
  <c r="E2026" i="2"/>
  <c r="C2026" i="2"/>
  <c r="B2026" i="2" s="1"/>
  <c r="A2026" i="2"/>
  <c r="E2025" i="2"/>
  <c r="C2025" i="2"/>
  <c r="A2025" i="2"/>
  <c r="E2024" i="2"/>
  <c r="C2024" i="2"/>
  <c r="B2024" i="2" s="1"/>
  <c r="A2024" i="2"/>
  <c r="E2023" i="2"/>
  <c r="C2023" i="2"/>
  <c r="B2023" i="2" s="1"/>
  <c r="A2023" i="2"/>
  <c r="E2022" i="2"/>
  <c r="C2022" i="2"/>
  <c r="B2022" i="2" s="1"/>
  <c r="A2022" i="2"/>
  <c r="E2021" i="2"/>
  <c r="C2021" i="2"/>
  <c r="B2021" i="2" s="1"/>
  <c r="A2021" i="2"/>
  <c r="E2020" i="2"/>
  <c r="C2020" i="2"/>
  <c r="A2020" i="2"/>
  <c r="E2019" i="2"/>
  <c r="C2019" i="2"/>
  <c r="B2019" i="2" s="1"/>
  <c r="A2019" i="2"/>
  <c r="E2018" i="2"/>
  <c r="C2018" i="2"/>
  <c r="B2018" i="2" s="1"/>
  <c r="A2018" i="2"/>
  <c r="E2017" i="2"/>
  <c r="C2017" i="2"/>
  <c r="A2017" i="2"/>
  <c r="E2016" i="2"/>
  <c r="C2016" i="2"/>
  <c r="B2016" i="2" s="1"/>
  <c r="A2016" i="2"/>
  <c r="E2015" i="2"/>
  <c r="C2015" i="2"/>
  <c r="B2015" i="2" s="1"/>
  <c r="A2015" i="2"/>
  <c r="E2014" i="2"/>
  <c r="C2014" i="2"/>
  <c r="B2014" i="2" s="1"/>
  <c r="A2014" i="2"/>
  <c r="E2013" i="2"/>
  <c r="C2013" i="2"/>
  <c r="B2013" i="2" s="1"/>
  <c r="A2013" i="2"/>
  <c r="E2012" i="2"/>
  <c r="C2012" i="2"/>
  <c r="B2012" i="2" s="1"/>
  <c r="A2012" i="2"/>
  <c r="E2011" i="2"/>
  <c r="C2011" i="2"/>
  <c r="A2011" i="2"/>
  <c r="E2010" i="2"/>
  <c r="C2010" i="2"/>
  <c r="B2010" i="2" s="1"/>
  <c r="A2010" i="2"/>
  <c r="E2009" i="2"/>
  <c r="C2009" i="2"/>
  <c r="B2009" i="2" s="1"/>
  <c r="A2009" i="2"/>
  <c r="E2008" i="2"/>
  <c r="C2008" i="2"/>
  <c r="B2008" i="2" s="1"/>
  <c r="A2008" i="2"/>
  <c r="E2007" i="2"/>
  <c r="C2007" i="2"/>
  <c r="B2007" i="2" s="1"/>
  <c r="A2007" i="2"/>
  <c r="E2006" i="2"/>
  <c r="C2006" i="2"/>
  <c r="B2006" i="2" s="1"/>
  <c r="A2006" i="2"/>
  <c r="E2005" i="2"/>
  <c r="C2005" i="2"/>
  <c r="B2005" i="2" s="1"/>
  <c r="A2005" i="2"/>
  <c r="E2004" i="2"/>
  <c r="C2004" i="2"/>
  <c r="B2004" i="2" s="1"/>
  <c r="A2004" i="2"/>
  <c r="E2003" i="2"/>
  <c r="C2003" i="2"/>
  <c r="B2003" i="2" s="1"/>
  <c r="A2003" i="2"/>
  <c r="E2002" i="2"/>
  <c r="C2002" i="2"/>
  <c r="B2002" i="2" s="1"/>
  <c r="A2002" i="2"/>
  <c r="E2001" i="2"/>
  <c r="C2001" i="2"/>
  <c r="B2001" i="2" s="1"/>
  <c r="A2001" i="2"/>
  <c r="E2000" i="2"/>
  <c r="C2000" i="2"/>
  <c r="B2000" i="2" s="1"/>
  <c r="A2000" i="2"/>
  <c r="E1999" i="2"/>
  <c r="C1999" i="2"/>
  <c r="B1999" i="2" s="1"/>
  <c r="A1999" i="2"/>
  <c r="E1998" i="2"/>
  <c r="C1998" i="2"/>
  <c r="B1998" i="2" s="1"/>
  <c r="A1998" i="2"/>
  <c r="E1997" i="2"/>
  <c r="C1997" i="2"/>
  <c r="B1997" i="2" s="1"/>
  <c r="A1997" i="2"/>
  <c r="E1996" i="2"/>
  <c r="C1996" i="2"/>
  <c r="A1996" i="2"/>
  <c r="E1995" i="2"/>
  <c r="C1995" i="2"/>
  <c r="A1995" i="2"/>
  <c r="E1994" i="2"/>
  <c r="C1994" i="2"/>
  <c r="B1994" i="2" s="1"/>
  <c r="A1994" i="2"/>
  <c r="E1993" i="2"/>
  <c r="C1993" i="2"/>
  <c r="A1993" i="2"/>
  <c r="E1992" i="2"/>
  <c r="C1992" i="2"/>
  <c r="B1992" i="2" s="1"/>
  <c r="A1992" i="2"/>
  <c r="E1991" i="2"/>
  <c r="C1991" i="2"/>
  <c r="B1991" i="2" s="1"/>
  <c r="A1991" i="2"/>
  <c r="E1990" i="2"/>
  <c r="C1990" i="2"/>
  <c r="B1990" i="2" s="1"/>
  <c r="A1990" i="2"/>
  <c r="E1989" i="2"/>
  <c r="C1989" i="2"/>
  <c r="B1989" i="2" s="1"/>
  <c r="A1989" i="2"/>
  <c r="E1988" i="2"/>
  <c r="C1988" i="2"/>
  <c r="B1988" i="2" s="1"/>
  <c r="A1988" i="2"/>
  <c r="E1987" i="2"/>
  <c r="C1987" i="2"/>
  <c r="B1987" i="2" s="1"/>
  <c r="A1987" i="2"/>
  <c r="E1986" i="2"/>
  <c r="C1986" i="2"/>
  <c r="B1986" i="2" s="1"/>
  <c r="A1986" i="2"/>
  <c r="E1985" i="2"/>
  <c r="C1985" i="2"/>
  <c r="B1985" i="2" s="1"/>
  <c r="A1985" i="2"/>
  <c r="E1984" i="2"/>
  <c r="C1984" i="2"/>
  <c r="B1984" i="2" s="1"/>
  <c r="A1984" i="2"/>
  <c r="E1983" i="2"/>
  <c r="C1983" i="2"/>
  <c r="B1983" i="2" s="1"/>
  <c r="A1983" i="2"/>
  <c r="E1982" i="2"/>
  <c r="C1982" i="2"/>
  <c r="B1982" i="2" s="1"/>
  <c r="A1982" i="2"/>
  <c r="E1981" i="2"/>
  <c r="C1981" i="2"/>
  <c r="B1981" i="2" s="1"/>
  <c r="A1981" i="2"/>
  <c r="E1980" i="2"/>
  <c r="C1980" i="2"/>
  <c r="B1980" i="2" s="1"/>
  <c r="A1980" i="2"/>
  <c r="E1979" i="2"/>
  <c r="C1979" i="2"/>
  <c r="B1979" i="2" s="1"/>
  <c r="A1979" i="2"/>
  <c r="E1978" i="2"/>
  <c r="C1978" i="2"/>
  <c r="B1978" i="2" s="1"/>
  <c r="A1978" i="2"/>
  <c r="E1977" i="2"/>
  <c r="C1977" i="2"/>
  <c r="B1977" i="2" s="1"/>
  <c r="A1977" i="2"/>
  <c r="E1976" i="2"/>
  <c r="C1976" i="2"/>
  <c r="B1976" i="2" s="1"/>
  <c r="A1976" i="2"/>
  <c r="E1975" i="2"/>
  <c r="C1975" i="2"/>
  <c r="B1975" i="2" s="1"/>
  <c r="A1975" i="2"/>
  <c r="E1974" i="2"/>
  <c r="C1974" i="2"/>
  <c r="B1974" i="2" s="1"/>
  <c r="A1974" i="2"/>
  <c r="E1973" i="2"/>
  <c r="C1973" i="2"/>
  <c r="B1973" i="2" s="1"/>
  <c r="A1973" i="2"/>
  <c r="E1972" i="2"/>
  <c r="C1972" i="2"/>
  <c r="A1972" i="2"/>
  <c r="E1971" i="2"/>
  <c r="C1971" i="2"/>
  <c r="B1971" i="2" s="1"/>
  <c r="A1971" i="2"/>
  <c r="E1970" i="2"/>
  <c r="C1970" i="2"/>
  <c r="B1970" i="2" s="1"/>
  <c r="A1970" i="2"/>
  <c r="E1969" i="2"/>
  <c r="C1969" i="2"/>
  <c r="A1969" i="2"/>
  <c r="E1968" i="2"/>
  <c r="C1968" i="2"/>
  <c r="B1968" i="2" s="1"/>
  <c r="A1968" i="2"/>
  <c r="E1967" i="2"/>
  <c r="C1967" i="2"/>
  <c r="A1967" i="2"/>
  <c r="E1966" i="2"/>
  <c r="C1966" i="2"/>
  <c r="B1966" i="2" s="1"/>
  <c r="A1966" i="2"/>
  <c r="E1965" i="2"/>
  <c r="C1965" i="2"/>
  <c r="B1965" i="2" s="1"/>
  <c r="A1965" i="2"/>
  <c r="E1964" i="2"/>
  <c r="C1964" i="2"/>
  <c r="B1964" i="2" s="1"/>
  <c r="A1964" i="2"/>
  <c r="E1963" i="2"/>
  <c r="C1963" i="2"/>
  <c r="B1963" i="2" s="1"/>
  <c r="A1963" i="2"/>
  <c r="E1962" i="2"/>
  <c r="C1962" i="2"/>
  <c r="B1962" i="2" s="1"/>
  <c r="A1962" i="2"/>
  <c r="E1961" i="2"/>
  <c r="C1961" i="2"/>
  <c r="B1961" i="2" s="1"/>
  <c r="A1961" i="2"/>
  <c r="E1960" i="2"/>
  <c r="C1960" i="2"/>
  <c r="A1960" i="2"/>
  <c r="E1959" i="2"/>
  <c r="C1959" i="2"/>
  <c r="B1959" i="2" s="1"/>
  <c r="A1959" i="2"/>
  <c r="E1958" i="2"/>
  <c r="C1958" i="2"/>
  <c r="B1958" i="2" s="1"/>
  <c r="A1958" i="2"/>
  <c r="E1957" i="2"/>
  <c r="C1957" i="2"/>
  <c r="B1957" i="2" s="1"/>
  <c r="A1957" i="2"/>
  <c r="E1956" i="2"/>
  <c r="C1956" i="2"/>
  <c r="A1956" i="2"/>
  <c r="E1955" i="2"/>
  <c r="C1955" i="2"/>
  <c r="B1955" i="2" s="1"/>
  <c r="A1955" i="2"/>
  <c r="E1954" i="2"/>
  <c r="C1954" i="2"/>
  <c r="B1954" i="2" s="1"/>
  <c r="A1954" i="2"/>
  <c r="E1953" i="2"/>
  <c r="C1953" i="2"/>
  <c r="B1953" i="2" s="1"/>
  <c r="A1953" i="2"/>
  <c r="E1952" i="2"/>
  <c r="C1952" i="2"/>
  <c r="A1952" i="2"/>
  <c r="E1951" i="2"/>
  <c r="C1951" i="2"/>
  <c r="B1951" i="2" s="1"/>
  <c r="A1951" i="2"/>
  <c r="E1950" i="2"/>
  <c r="C1950" i="2"/>
  <c r="B1950" i="2" s="1"/>
  <c r="A1950" i="2"/>
  <c r="E1949" i="2"/>
  <c r="C1949" i="2"/>
  <c r="B1949" i="2" s="1"/>
  <c r="A1949" i="2"/>
  <c r="E1948" i="2"/>
  <c r="C1948" i="2"/>
  <c r="A1948" i="2"/>
  <c r="E1947" i="2"/>
  <c r="C1947" i="2"/>
  <c r="B1947" i="2" s="1"/>
  <c r="A1947" i="2"/>
  <c r="E1946" i="2"/>
  <c r="C1946" i="2"/>
  <c r="B1946" i="2" s="1"/>
  <c r="A1946" i="2"/>
  <c r="E1945" i="2"/>
  <c r="C1945" i="2"/>
  <c r="B1945" i="2" s="1"/>
  <c r="A1945" i="2"/>
  <c r="E1944" i="2"/>
  <c r="C1944" i="2"/>
  <c r="A1944" i="2"/>
  <c r="E1943" i="2"/>
  <c r="C1943" i="2"/>
  <c r="B1943" i="2" s="1"/>
  <c r="A1943" i="2"/>
  <c r="E1942" i="2"/>
  <c r="C1942" i="2"/>
  <c r="B1942" i="2" s="1"/>
  <c r="A1942" i="2"/>
  <c r="E1941" i="2"/>
  <c r="C1941" i="2"/>
  <c r="B1941" i="2" s="1"/>
  <c r="A1941" i="2"/>
  <c r="E1940" i="2"/>
  <c r="C1940" i="2"/>
  <c r="A1940" i="2"/>
  <c r="E1939" i="2"/>
  <c r="C1939" i="2"/>
  <c r="B1939" i="2" s="1"/>
  <c r="A1939" i="2"/>
  <c r="E1938" i="2"/>
  <c r="C1938" i="2"/>
  <c r="B1938" i="2" s="1"/>
  <c r="A1938" i="2"/>
  <c r="E1937" i="2"/>
  <c r="C1937" i="2"/>
  <c r="B1937" i="2" s="1"/>
  <c r="A1937" i="2"/>
  <c r="E1936" i="2"/>
  <c r="C1936" i="2"/>
  <c r="A1936" i="2"/>
  <c r="E1935" i="2"/>
  <c r="C1935" i="2"/>
  <c r="B1935" i="2" s="1"/>
  <c r="A1935" i="2"/>
  <c r="E1934" i="2"/>
  <c r="C1934" i="2"/>
  <c r="B1934" i="2" s="1"/>
  <c r="A1934" i="2"/>
  <c r="E1933" i="2"/>
  <c r="C1933" i="2"/>
  <c r="B1933" i="2" s="1"/>
  <c r="A1933" i="2"/>
  <c r="E1932" i="2"/>
  <c r="C1932" i="2"/>
  <c r="A1932" i="2"/>
  <c r="E1931" i="2"/>
  <c r="C1931" i="2"/>
  <c r="B1931" i="2" s="1"/>
  <c r="A1931" i="2"/>
  <c r="E1930" i="2"/>
  <c r="C1930" i="2"/>
  <c r="B1930" i="2" s="1"/>
  <c r="A1930" i="2"/>
  <c r="E1929" i="2"/>
  <c r="C1929" i="2"/>
  <c r="B1929" i="2" s="1"/>
  <c r="A1929" i="2"/>
  <c r="E1928" i="2"/>
  <c r="C1928" i="2"/>
  <c r="A1928" i="2"/>
  <c r="E1927" i="2"/>
  <c r="C1927" i="2"/>
  <c r="B1927" i="2" s="1"/>
  <c r="A1927" i="2"/>
  <c r="E1926" i="2"/>
  <c r="C1926" i="2"/>
  <c r="B1926" i="2" s="1"/>
  <c r="A1926" i="2"/>
  <c r="E1925" i="2"/>
  <c r="C1925" i="2"/>
  <c r="B1925" i="2" s="1"/>
  <c r="A1925" i="2"/>
  <c r="E1924" i="2"/>
  <c r="C1924" i="2"/>
  <c r="A1924" i="2"/>
  <c r="E1923" i="2"/>
  <c r="C1923" i="2"/>
  <c r="B1923" i="2" s="1"/>
  <c r="A1923" i="2"/>
  <c r="E1922" i="2"/>
  <c r="C1922" i="2"/>
  <c r="B1922" i="2" s="1"/>
  <c r="A1922" i="2"/>
  <c r="E1921" i="2"/>
  <c r="C1921" i="2"/>
  <c r="B1921" i="2" s="1"/>
  <c r="A1921" i="2"/>
  <c r="E1920" i="2"/>
  <c r="C1920" i="2"/>
  <c r="A1920" i="2"/>
  <c r="E1919" i="2"/>
  <c r="C1919" i="2"/>
  <c r="B1919" i="2" s="1"/>
  <c r="A1919" i="2"/>
  <c r="E1918" i="2"/>
  <c r="C1918" i="2"/>
  <c r="B1918" i="2" s="1"/>
  <c r="A1918" i="2"/>
  <c r="E1917" i="2"/>
  <c r="C1917" i="2"/>
  <c r="B1917" i="2" s="1"/>
  <c r="A1917" i="2"/>
  <c r="E1916" i="2"/>
  <c r="C1916" i="2"/>
  <c r="A1916" i="2"/>
  <c r="E1915" i="2"/>
  <c r="C1915" i="2"/>
  <c r="B1915" i="2" s="1"/>
  <c r="A1915" i="2"/>
  <c r="E1914" i="2"/>
  <c r="C1914" i="2"/>
  <c r="B1914" i="2" s="1"/>
  <c r="A1914" i="2"/>
  <c r="E1913" i="2"/>
  <c r="C1913" i="2"/>
  <c r="B1913" i="2" s="1"/>
  <c r="A1913" i="2"/>
  <c r="E1912" i="2"/>
  <c r="C1912" i="2"/>
  <c r="A1912" i="2"/>
  <c r="E1911" i="2"/>
  <c r="C1911" i="2"/>
  <c r="B1911" i="2" s="1"/>
  <c r="A1911" i="2"/>
  <c r="E1910" i="2"/>
  <c r="C1910" i="2"/>
  <c r="B1910" i="2" s="1"/>
  <c r="A1910" i="2"/>
  <c r="E1909" i="2"/>
  <c r="C1909" i="2"/>
  <c r="B1909" i="2" s="1"/>
  <c r="A1909" i="2"/>
  <c r="E1908" i="2"/>
  <c r="C1908" i="2"/>
  <c r="A1908" i="2"/>
  <c r="E1907" i="2"/>
  <c r="C1907" i="2"/>
  <c r="B1907" i="2" s="1"/>
  <c r="A1907" i="2"/>
  <c r="E1906" i="2"/>
  <c r="C1906" i="2"/>
  <c r="B1906" i="2" s="1"/>
  <c r="A1906" i="2"/>
  <c r="E1905" i="2"/>
  <c r="C1905" i="2"/>
  <c r="B1905" i="2" s="1"/>
  <c r="A1905" i="2"/>
  <c r="E1904" i="2"/>
  <c r="C1904" i="2"/>
  <c r="A1904" i="2"/>
  <c r="E1903" i="2"/>
  <c r="C1903" i="2"/>
  <c r="B1903" i="2" s="1"/>
  <c r="A1903" i="2"/>
  <c r="E1902" i="2"/>
  <c r="C1902" i="2"/>
  <c r="B1902" i="2" s="1"/>
  <c r="A1902" i="2"/>
  <c r="E1901" i="2"/>
  <c r="C1901" i="2"/>
  <c r="B1901" i="2" s="1"/>
  <c r="A1901" i="2"/>
  <c r="E1900" i="2"/>
  <c r="C1900" i="2"/>
  <c r="A1900" i="2"/>
  <c r="E1899" i="2"/>
  <c r="C1899" i="2"/>
  <c r="B1899" i="2" s="1"/>
  <c r="A1899" i="2"/>
  <c r="E1898" i="2"/>
  <c r="C1898" i="2"/>
  <c r="B1898" i="2" s="1"/>
  <c r="A1898" i="2"/>
  <c r="E1897" i="2"/>
  <c r="C1897" i="2"/>
  <c r="B1897" i="2" s="1"/>
  <c r="A1897" i="2"/>
  <c r="E1896" i="2"/>
  <c r="C1896" i="2"/>
  <c r="A1896" i="2"/>
  <c r="E1895" i="2"/>
  <c r="C1895" i="2"/>
  <c r="B1895" i="2" s="1"/>
  <c r="A1895" i="2"/>
  <c r="E1894" i="2"/>
  <c r="C1894" i="2"/>
  <c r="B1894" i="2" s="1"/>
  <c r="A1894" i="2"/>
  <c r="E1893" i="2"/>
  <c r="C1893" i="2"/>
  <c r="B1893" i="2" s="1"/>
  <c r="A1893" i="2"/>
  <c r="E1892" i="2"/>
  <c r="C1892" i="2"/>
  <c r="A1892" i="2"/>
  <c r="E1891" i="2"/>
  <c r="C1891" i="2"/>
  <c r="B1891" i="2" s="1"/>
  <c r="A1891" i="2"/>
  <c r="E1890" i="2"/>
  <c r="C1890" i="2"/>
  <c r="B1890" i="2" s="1"/>
  <c r="A1890" i="2"/>
  <c r="E1889" i="2"/>
  <c r="C1889" i="2"/>
  <c r="B1889" i="2" s="1"/>
  <c r="A1889" i="2"/>
  <c r="E1888" i="2"/>
  <c r="C1888" i="2"/>
  <c r="A1888" i="2"/>
  <c r="E1887" i="2"/>
  <c r="C1887" i="2"/>
  <c r="B1887" i="2" s="1"/>
  <c r="A1887" i="2"/>
  <c r="E1886" i="2"/>
  <c r="C1886" i="2"/>
  <c r="B1886" i="2" s="1"/>
  <c r="A1886" i="2"/>
  <c r="E1885" i="2"/>
  <c r="C1885" i="2"/>
  <c r="B1885" i="2" s="1"/>
  <c r="A1885" i="2"/>
  <c r="E1884" i="2"/>
  <c r="C1884" i="2"/>
  <c r="A1884" i="2"/>
  <c r="E1883" i="2"/>
  <c r="C1883" i="2"/>
  <c r="B1883" i="2" s="1"/>
  <c r="A1883" i="2"/>
  <c r="E1882" i="2"/>
  <c r="C1882" i="2"/>
  <c r="B1882" i="2" s="1"/>
  <c r="A1882" i="2"/>
  <c r="E1881" i="2"/>
  <c r="C1881" i="2"/>
  <c r="B1881" i="2" s="1"/>
  <c r="A1881" i="2"/>
  <c r="E1880" i="2"/>
  <c r="C1880" i="2"/>
  <c r="A1880" i="2"/>
  <c r="E1879" i="2"/>
  <c r="C1879" i="2"/>
  <c r="B1879" i="2" s="1"/>
  <c r="A1879" i="2"/>
  <c r="E1878" i="2"/>
  <c r="C1878" i="2"/>
  <c r="B1878" i="2" s="1"/>
  <c r="A1878" i="2"/>
  <c r="E1877" i="2"/>
  <c r="C1877" i="2"/>
  <c r="B1877" i="2" s="1"/>
  <c r="A1877" i="2"/>
  <c r="E1876" i="2"/>
  <c r="C1876" i="2"/>
  <c r="A1876" i="2"/>
  <c r="E1875" i="2"/>
  <c r="C1875" i="2"/>
  <c r="B1875" i="2" s="1"/>
  <c r="A1875" i="2"/>
  <c r="E1874" i="2"/>
  <c r="C1874" i="2"/>
  <c r="B1874" i="2" s="1"/>
  <c r="A1874" i="2"/>
  <c r="E1873" i="2"/>
  <c r="C1873" i="2"/>
  <c r="B1873" i="2" s="1"/>
  <c r="A1873" i="2"/>
  <c r="E1872" i="2"/>
  <c r="C1872" i="2"/>
  <c r="A1872" i="2"/>
  <c r="E1871" i="2"/>
  <c r="C1871" i="2"/>
  <c r="B1871" i="2" s="1"/>
  <c r="A1871" i="2"/>
  <c r="E1870" i="2"/>
  <c r="C1870" i="2"/>
  <c r="B1870" i="2" s="1"/>
  <c r="A1870" i="2"/>
  <c r="E1869" i="2"/>
  <c r="C1869" i="2"/>
  <c r="B1869" i="2" s="1"/>
  <c r="A1869" i="2"/>
  <c r="E1868" i="2"/>
  <c r="C1868" i="2"/>
  <c r="A1868" i="2"/>
  <c r="E1867" i="2"/>
  <c r="C1867" i="2"/>
  <c r="B1867" i="2" s="1"/>
  <c r="A1867" i="2"/>
  <c r="E1866" i="2"/>
  <c r="C1866" i="2"/>
  <c r="B1866" i="2" s="1"/>
  <c r="A1866" i="2"/>
  <c r="E1865" i="2"/>
  <c r="C1865" i="2"/>
  <c r="B1865" i="2" s="1"/>
  <c r="A1865" i="2"/>
  <c r="E1864" i="2"/>
  <c r="C1864" i="2"/>
  <c r="A1864" i="2"/>
  <c r="E1863" i="2"/>
  <c r="C1863" i="2"/>
  <c r="B1863" i="2" s="1"/>
  <c r="A1863" i="2"/>
  <c r="E1862" i="2"/>
  <c r="C1862" i="2"/>
  <c r="B1862" i="2" s="1"/>
  <c r="A1862" i="2"/>
  <c r="E1861" i="2"/>
  <c r="C1861" i="2"/>
  <c r="B1861" i="2" s="1"/>
  <c r="A1861" i="2"/>
  <c r="E1860" i="2"/>
  <c r="C1860" i="2"/>
  <c r="A1860" i="2"/>
  <c r="E1859" i="2"/>
  <c r="C1859" i="2"/>
  <c r="B1859" i="2" s="1"/>
  <c r="A1859" i="2"/>
  <c r="E1858" i="2"/>
  <c r="C1858" i="2"/>
  <c r="B1858" i="2" s="1"/>
  <c r="A1858" i="2"/>
  <c r="E1857" i="2"/>
  <c r="C1857" i="2"/>
  <c r="B1857" i="2" s="1"/>
  <c r="A1857" i="2"/>
  <c r="E1856" i="2"/>
  <c r="C1856" i="2"/>
  <c r="A1856" i="2"/>
  <c r="E1855" i="2"/>
  <c r="C1855" i="2"/>
  <c r="B1855" i="2" s="1"/>
  <c r="A1855" i="2"/>
  <c r="E1854" i="2"/>
  <c r="C1854" i="2"/>
  <c r="B1854" i="2" s="1"/>
  <c r="A1854" i="2"/>
  <c r="E1853" i="2"/>
  <c r="C1853" i="2"/>
  <c r="B1853" i="2" s="1"/>
  <c r="A1853" i="2"/>
  <c r="E1852" i="2"/>
  <c r="C1852" i="2"/>
  <c r="A1852" i="2"/>
  <c r="E1851" i="2"/>
  <c r="C1851" i="2"/>
  <c r="B1851" i="2" s="1"/>
  <c r="A1851" i="2"/>
  <c r="E1850" i="2"/>
  <c r="C1850" i="2"/>
  <c r="B1850" i="2" s="1"/>
  <c r="A1850" i="2"/>
  <c r="E1849" i="2"/>
  <c r="C1849" i="2"/>
  <c r="B1849" i="2" s="1"/>
  <c r="A1849" i="2"/>
  <c r="E1848" i="2"/>
  <c r="C1848" i="2"/>
  <c r="B1848" i="2" s="1"/>
  <c r="A1848" i="2"/>
  <c r="E1847" i="2"/>
  <c r="C1847" i="2"/>
  <c r="B1847" i="2" s="1"/>
  <c r="A1847" i="2"/>
  <c r="E1846" i="2"/>
  <c r="C1846" i="2"/>
  <c r="B1846" i="2" s="1"/>
  <c r="A1846" i="2"/>
  <c r="E1845" i="2"/>
  <c r="C1845" i="2"/>
  <c r="B1845" i="2" s="1"/>
  <c r="A1845" i="2"/>
  <c r="E1844" i="2"/>
  <c r="C1844" i="2"/>
  <c r="B1844" i="2" s="1"/>
  <c r="A1844" i="2"/>
  <c r="E1843" i="2"/>
  <c r="C1843" i="2"/>
  <c r="B1843" i="2" s="1"/>
  <c r="A1843" i="2"/>
  <c r="E1842" i="2"/>
  <c r="C1842" i="2"/>
  <c r="B1842" i="2" s="1"/>
  <c r="A1842" i="2"/>
  <c r="E1841" i="2"/>
  <c r="C1841" i="2"/>
  <c r="B1841" i="2" s="1"/>
  <c r="A1841" i="2"/>
  <c r="E1840" i="2"/>
  <c r="C1840" i="2"/>
  <c r="B1840" i="2" s="1"/>
  <c r="A1840" i="2"/>
  <c r="E1839" i="2"/>
  <c r="C1839" i="2"/>
  <c r="B1839" i="2" s="1"/>
  <c r="A1839" i="2"/>
  <c r="E1838" i="2"/>
  <c r="C1838" i="2"/>
  <c r="B1838" i="2" s="1"/>
  <c r="A1838" i="2"/>
  <c r="E1837" i="2"/>
  <c r="C1837" i="2"/>
  <c r="B1837" i="2" s="1"/>
  <c r="A1837" i="2"/>
  <c r="E1836" i="2"/>
  <c r="C1836" i="2"/>
  <c r="B1836" i="2" s="1"/>
  <c r="A1836" i="2"/>
  <c r="E1835" i="2"/>
  <c r="C1835" i="2"/>
  <c r="B1835" i="2" s="1"/>
  <c r="A1835" i="2"/>
  <c r="E1834" i="2"/>
  <c r="C1834" i="2"/>
  <c r="B1834" i="2" s="1"/>
  <c r="A1834" i="2"/>
  <c r="E1833" i="2"/>
  <c r="C1833" i="2"/>
  <c r="B1833" i="2" s="1"/>
  <c r="A1833" i="2"/>
  <c r="E1832" i="2"/>
  <c r="C1832" i="2"/>
  <c r="B1832" i="2" s="1"/>
  <c r="A1832" i="2"/>
  <c r="E1831" i="2"/>
  <c r="C1831" i="2"/>
  <c r="B1831" i="2" s="1"/>
  <c r="A1831" i="2"/>
  <c r="E1830" i="2"/>
  <c r="C1830" i="2"/>
  <c r="B1830" i="2" s="1"/>
  <c r="A1830" i="2"/>
  <c r="E1829" i="2"/>
  <c r="C1829" i="2"/>
  <c r="B1829" i="2" s="1"/>
  <c r="A1829" i="2"/>
  <c r="E1828" i="2"/>
  <c r="C1828" i="2"/>
  <c r="B1828" i="2" s="1"/>
  <c r="A1828" i="2"/>
  <c r="E1827" i="2"/>
  <c r="C1827" i="2"/>
  <c r="B1827" i="2" s="1"/>
  <c r="A1827" i="2"/>
  <c r="E1826" i="2"/>
  <c r="C1826" i="2"/>
  <c r="B1826" i="2" s="1"/>
  <c r="A1826" i="2"/>
  <c r="E1825" i="2"/>
  <c r="C1825" i="2"/>
  <c r="B1825" i="2" s="1"/>
  <c r="A1825" i="2"/>
  <c r="E1824" i="2"/>
  <c r="C1824" i="2"/>
  <c r="B1824" i="2" s="1"/>
  <c r="A1824" i="2"/>
  <c r="E1823" i="2"/>
  <c r="C1823" i="2"/>
  <c r="B1823" i="2" s="1"/>
  <c r="A1823" i="2"/>
  <c r="E1822" i="2"/>
  <c r="C1822" i="2"/>
  <c r="B1822" i="2" s="1"/>
  <c r="A1822" i="2"/>
  <c r="E1821" i="2"/>
  <c r="C1821" i="2"/>
  <c r="B1821" i="2" s="1"/>
  <c r="A1821" i="2"/>
  <c r="E1820" i="2"/>
  <c r="C1820" i="2"/>
  <c r="B1820" i="2" s="1"/>
  <c r="A1820" i="2"/>
  <c r="E1819" i="2"/>
  <c r="C1819" i="2"/>
  <c r="B1819" i="2" s="1"/>
  <c r="A1819" i="2"/>
  <c r="E1818" i="2"/>
  <c r="C1818" i="2"/>
  <c r="B1818" i="2" s="1"/>
  <c r="A1818" i="2"/>
  <c r="E1817" i="2"/>
  <c r="C1817" i="2"/>
  <c r="B1817" i="2" s="1"/>
  <c r="A1817" i="2"/>
  <c r="E1816" i="2"/>
  <c r="C1816" i="2"/>
  <c r="B1816" i="2" s="1"/>
  <c r="A1816" i="2"/>
  <c r="E1815" i="2"/>
  <c r="C1815" i="2"/>
  <c r="B1815" i="2" s="1"/>
  <c r="A1815" i="2"/>
  <c r="E1814" i="2"/>
  <c r="C1814" i="2"/>
  <c r="B1814" i="2" s="1"/>
  <c r="A1814" i="2"/>
  <c r="E1813" i="2"/>
  <c r="C1813" i="2"/>
  <c r="B1813" i="2" s="1"/>
  <c r="A1813" i="2"/>
  <c r="E1812" i="2"/>
  <c r="C1812" i="2"/>
  <c r="B1812" i="2" s="1"/>
  <c r="A1812" i="2"/>
  <c r="E1811" i="2"/>
  <c r="C1811" i="2"/>
  <c r="B1811" i="2" s="1"/>
  <c r="A1811" i="2"/>
  <c r="E1810" i="2"/>
  <c r="C1810" i="2"/>
  <c r="B1810" i="2" s="1"/>
  <c r="A1810" i="2"/>
  <c r="E1809" i="2"/>
  <c r="C1809" i="2"/>
  <c r="B1809" i="2" s="1"/>
  <c r="A1809" i="2"/>
  <c r="E1808" i="2"/>
  <c r="C1808" i="2"/>
  <c r="B1808" i="2" s="1"/>
  <c r="A1808" i="2"/>
  <c r="E1807" i="2"/>
  <c r="C1807" i="2"/>
  <c r="B1807" i="2" s="1"/>
  <c r="A1807" i="2"/>
  <c r="E1806" i="2"/>
  <c r="C1806" i="2"/>
  <c r="B1806" i="2" s="1"/>
  <c r="A1806" i="2"/>
  <c r="E1805" i="2"/>
  <c r="C1805" i="2"/>
  <c r="B1805" i="2" s="1"/>
  <c r="A1805" i="2"/>
  <c r="E1804" i="2"/>
  <c r="C1804" i="2"/>
  <c r="B1804" i="2" s="1"/>
  <c r="A1804" i="2"/>
  <c r="E1803" i="2"/>
  <c r="C1803" i="2"/>
  <c r="B1803" i="2" s="1"/>
  <c r="A1803" i="2"/>
  <c r="E1802" i="2"/>
  <c r="C1802" i="2"/>
  <c r="B1802" i="2" s="1"/>
  <c r="A1802" i="2"/>
  <c r="E1801" i="2"/>
  <c r="C1801" i="2"/>
  <c r="B1801" i="2" s="1"/>
  <c r="A1801" i="2"/>
  <c r="E1800" i="2"/>
  <c r="C1800" i="2"/>
  <c r="B1800" i="2" s="1"/>
  <c r="A1800" i="2"/>
  <c r="E1799" i="2"/>
  <c r="C1799" i="2"/>
  <c r="B1799" i="2" s="1"/>
  <c r="A1799" i="2"/>
  <c r="E1798" i="2"/>
  <c r="C1798" i="2"/>
  <c r="B1798" i="2" s="1"/>
  <c r="A1798" i="2"/>
  <c r="E1797" i="2"/>
  <c r="C1797" i="2"/>
  <c r="B1797" i="2" s="1"/>
  <c r="A1797" i="2"/>
  <c r="E1796" i="2"/>
  <c r="C1796" i="2"/>
  <c r="B1796" i="2" s="1"/>
  <c r="A1796" i="2"/>
  <c r="E1795" i="2"/>
  <c r="C1795" i="2"/>
  <c r="B1795" i="2" s="1"/>
  <c r="A1795" i="2"/>
  <c r="E1794" i="2"/>
  <c r="C1794" i="2"/>
  <c r="B1794" i="2" s="1"/>
  <c r="A1794" i="2"/>
  <c r="E1793" i="2"/>
  <c r="C1793" i="2"/>
  <c r="B1793" i="2" s="1"/>
  <c r="A1793" i="2"/>
  <c r="E1792" i="2"/>
  <c r="C1792" i="2"/>
  <c r="B1792" i="2" s="1"/>
  <c r="A1792" i="2"/>
  <c r="E1791" i="2"/>
  <c r="C1791" i="2"/>
  <c r="B1791" i="2" s="1"/>
  <c r="A1791" i="2"/>
  <c r="E1790" i="2"/>
  <c r="C1790" i="2"/>
  <c r="B1790" i="2" s="1"/>
  <c r="A1790" i="2"/>
  <c r="E1789" i="2"/>
  <c r="C1789" i="2"/>
  <c r="B1789" i="2" s="1"/>
  <c r="A1789" i="2"/>
  <c r="E1788" i="2"/>
  <c r="C1788" i="2"/>
  <c r="B1788" i="2" s="1"/>
  <c r="A1788" i="2"/>
  <c r="E1787" i="2"/>
  <c r="C1787" i="2"/>
  <c r="B1787" i="2" s="1"/>
  <c r="A1787" i="2"/>
  <c r="E1786" i="2"/>
  <c r="C1786" i="2"/>
  <c r="B1786" i="2" s="1"/>
  <c r="A1786" i="2"/>
  <c r="E1785" i="2"/>
  <c r="C1785" i="2"/>
  <c r="B1785" i="2" s="1"/>
  <c r="A1785" i="2"/>
  <c r="E1784" i="2"/>
  <c r="C1784" i="2"/>
  <c r="B1784" i="2" s="1"/>
  <c r="A1784" i="2"/>
  <c r="E1783" i="2"/>
  <c r="C1783" i="2"/>
  <c r="B1783" i="2" s="1"/>
  <c r="A1783" i="2"/>
  <c r="E1782" i="2"/>
  <c r="C1782" i="2"/>
  <c r="B1782" i="2" s="1"/>
  <c r="A1782" i="2"/>
  <c r="E1781" i="2"/>
  <c r="C1781" i="2"/>
  <c r="B1781" i="2" s="1"/>
  <c r="A1781" i="2"/>
  <c r="E1780" i="2"/>
  <c r="C1780" i="2"/>
  <c r="B1780" i="2" s="1"/>
  <c r="A1780" i="2"/>
  <c r="E1779" i="2"/>
  <c r="C1779" i="2"/>
  <c r="B1779" i="2" s="1"/>
  <c r="A1779" i="2"/>
  <c r="E1778" i="2"/>
  <c r="C1778" i="2"/>
  <c r="B1778" i="2" s="1"/>
  <c r="A1778" i="2"/>
  <c r="E1777" i="2"/>
  <c r="C1777" i="2"/>
  <c r="B1777" i="2" s="1"/>
  <c r="A1777" i="2"/>
  <c r="E1776" i="2"/>
  <c r="C1776" i="2"/>
  <c r="B1776" i="2" s="1"/>
  <c r="A1776" i="2"/>
  <c r="E1775" i="2"/>
  <c r="C1775" i="2"/>
  <c r="B1775" i="2" s="1"/>
  <c r="A1775" i="2"/>
  <c r="E1774" i="2"/>
  <c r="C1774" i="2"/>
  <c r="B1774" i="2" s="1"/>
  <c r="A1774" i="2"/>
  <c r="E1773" i="2"/>
  <c r="C1773" i="2"/>
  <c r="B1773" i="2" s="1"/>
  <c r="A1773" i="2"/>
  <c r="E1772" i="2"/>
  <c r="C1772" i="2"/>
  <c r="B1772" i="2" s="1"/>
  <c r="A1772" i="2"/>
  <c r="E1771" i="2"/>
  <c r="C1771" i="2"/>
  <c r="B1771" i="2" s="1"/>
  <c r="A1771" i="2"/>
  <c r="E1770" i="2"/>
  <c r="C1770" i="2"/>
  <c r="B1770" i="2" s="1"/>
  <c r="A1770" i="2"/>
  <c r="E1769" i="2"/>
  <c r="C1769" i="2"/>
  <c r="B1769" i="2" s="1"/>
  <c r="A1769" i="2"/>
  <c r="E1768" i="2"/>
  <c r="C1768" i="2"/>
  <c r="B1768" i="2" s="1"/>
  <c r="A1768" i="2"/>
  <c r="E1767" i="2"/>
  <c r="C1767" i="2"/>
  <c r="B1767" i="2" s="1"/>
  <c r="A1767" i="2"/>
  <c r="E1766" i="2"/>
  <c r="C1766" i="2"/>
  <c r="B1766" i="2" s="1"/>
  <c r="A1766" i="2"/>
  <c r="E1765" i="2"/>
  <c r="C1765" i="2"/>
  <c r="B1765" i="2" s="1"/>
  <c r="A1765" i="2"/>
  <c r="E1764" i="2"/>
  <c r="C1764" i="2"/>
  <c r="B1764" i="2" s="1"/>
  <c r="A1764" i="2"/>
  <c r="E1763" i="2"/>
  <c r="C1763" i="2"/>
  <c r="B1763" i="2" s="1"/>
  <c r="A1763" i="2"/>
  <c r="E1762" i="2"/>
  <c r="C1762" i="2"/>
  <c r="B1762" i="2" s="1"/>
  <c r="A1762" i="2"/>
  <c r="E1761" i="2"/>
  <c r="C1761" i="2"/>
  <c r="B1761" i="2" s="1"/>
  <c r="A1761" i="2"/>
  <c r="E1760" i="2"/>
  <c r="C1760" i="2"/>
  <c r="B1760" i="2" s="1"/>
  <c r="A1760" i="2"/>
  <c r="E1759" i="2"/>
  <c r="C1759" i="2"/>
  <c r="B1759" i="2" s="1"/>
  <c r="A1759" i="2"/>
  <c r="E1758" i="2"/>
  <c r="C1758" i="2"/>
  <c r="B1758" i="2" s="1"/>
  <c r="A1758" i="2"/>
  <c r="E1757" i="2"/>
  <c r="C1757" i="2"/>
  <c r="B1757" i="2" s="1"/>
  <c r="A1757" i="2"/>
  <c r="E1756" i="2"/>
  <c r="C1756" i="2"/>
  <c r="B1756" i="2" s="1"/>
  <c r="A1756" i="2"/>
  <c r="E1755" i="2"/>
  <c r="C1755" i="2"/>
  <c r="B1755" i="2" s="1"/>
  <c r="A1755" i="2"/>
  <c r="E1754" i="2"/>
  <c r="C1754" i="2"/>
  <c r="B1754" i="2" s="1"/>
  <c r="A1754" i="2"/>
  <c r="E1753" i="2"/>
  <c r="C1753" i="2"/>
  <c r="B1753" i="2" s="1"/>
  <c r="A1753" i="2"/>
  <c r="E1752" i="2"/>
  <c r="C1752" i="2"/>
  <c r="B1752" i="2" s="1"/>
  <c r="A1752" i="2"/>
  <c r="E1751" i="2"/>
  <c r="C1751" i="2"/>
  <c r="B1751" i="2" s="1"/>
  <c r="A1751" i="2"/>
  <c r="E1750" i="2"/>
  <c r="C1750" i="2"/>
  <c r="B1750" i="2" s="1"/>
  <c r="A1750" i="2"/>
  <c r="E1749" i="2"/>
  <c r="C1749" i="2"/>
  <c r="B1749" i="2" s="1"/>
  <c r="A1749" i="2"/>
  <c r="E1748" i="2"/>
  <c r="C1748" i="2"/>
  <c r="B1748" i="2" s="1"/>
  <c r="A1748" i="2"/>
  <c r="E1747" i="2"/>
  <c r="C1747" i="2"/>
  <c r="B1747" i="2" s="1"/>
  <c r="A1747" i="2"/>
  <c r="E1746" i="2"/>
  <c r="C1746" i="2"/>
  <c r="B1746" i="2" s="1"/>
  <c r="A1746" i="2"/>
  <c r="E1745" i="2"/>
  <c r="C1745" i="2"/>
  <c r="B1745" i="2" s="1"/>
  <c r="A1745" i="2"/>
  <c r="E1744" i="2"/>
  <c r="C1744" i="2"/>
  <c r="B1744" i="2" s="1"/>
  <c r="A1744" i="2"/>
  <c r="E1743" i="2"/>
  <c r="C1743" i="2"/>
  <c r="B1743" i="2" s="1"/>
  <c r="A1743" i="2"/>
  <c r="E1742" i="2"/>
  <c r="C1742" i="2"/>
  <c r="B1742" i="2" s="1"/>
  <c r="A1742" i="2"/>
  <c r="E1741" i="2"/>
  <c r="C1741" i="2"/>
  <c r="B1741" i="2" s="1"/>
  <c r="A1741" i="2"/>
  <c r="E1740" i="2"/>
  <c r="C1740" i="2"/>
  <c r="B1740" i="2" s="1"/>
  <c r="A1740" i="2"/>
  <c r="E1739" i="2"/>
  <c r="C1739" i="2"/>
  <c r="B1739" i="2" s="1"/>
  <c r="A1739" i="2"/>
  <c r="E1738" i="2"/>
  <c r="C1738" i="2"/>
  <c r="B1738" i="2" s="1"/>
  <c r="A1738" i="2"/>
  <c r="E1737" i="2"/>
  <c r="C1737" i="2"/>
  <c r="B1737" i="2" s="1"/>
  <c r="A1737" i="2"/>
  <c r="E1736" i="2"/>
  <c r="C1736" i="2"/>
  <c r="B1736" i="2" s="1"/>
  <c r="A1736" i="2"/>
  <c r="E1735" i="2"/>
  <c r="C1735" i="2"/>
  <c r="B1735" i="2" s="1"/>
  <c r="A1735" i="2"/>
  <c r="E1734" i="2"/>
  <c r="C1734" i="2"/>
  <c r="B1734" i="2" s="1"/>
  <c r="A1734" i="2"/>
  <c r="E1733" i="2"/>
  <c r="C1733" i="2"/>
  <c r="B1733" i="2" s="1"/>
  <c r="A1733" i="2"/>
  <c r="E1732" i="2"/>
  <c r="C1732" i="2"/>
  <c r="B1732" i="2" s="1"/>
  <c r="A1732" i="2"/>
  <c r="E1731" i="2"/>
  <c r="C1731" i="2"/>
  <c r="B1731" i="2" s="1"/>
  <c r="A1731" i="2"/>
  <c r="E1730" i="2"/>
  <c r="C1730" i="2"/>
  <c r="B1730" i="2" s="1"/>
  <c r="A1730" i="2"/>
  <c r="E1729" i="2"/>
  <c r="C1729" i="2"/>
  <c r="B1729" i="2" s="1"/>
  <c r="A1729" i="2"/>
  <c r="E1728" i="2"/>
  <c r="C1728" i="2"/>
  <c r="B1728" i="2" s="1"/>
  <c r="A1728" i="2"/>
  <c r="E1727" i="2"/>
  <c r="C1727" i="2"/>
  <c r="B1727" i="2" s="1"/>
  <c r="A1727" i="2"/>
  <c r="E1726" i="2"/>
  <c r="C1726" i="2"/>
  <c r="B1726" i="2" s="1"/>
  <c r="A1726" i="2"/>
  <c r="E1725" i="2"/>
  <c r="C1725" i="2"/>
  <c r="B1725" i="2" s="1"/>
  <c r="A1725" i="2"/>
  <c r="E1724" i="2"/>
  <c r="C1724" i="2"/>
  <c r="B1724" i="2" s="1"/>
  <c r="A1724" i="2"/>
  <c r="E1723" i="2"/>
  <c r="C1723" i="2"/>
  <c r="B1723" i="2" s="1"/>
  <c r="A1723" i="2"/>
  <c r="E1722" i="2"/>
  <c r="C1722" i="2"/>
  <c r="B1722" i="2" s="1"/>
  <c r="A1722" i="2"/>
  <c r="E1721" i="2"/>
  <c r="C1721" i="2"/>
  <c r="B1721" i="2" s="1"/>
  <c r="A1721" i="2"/>
  <c r="E1720" i="2"/>
  <c r="C1720" i="2"/>
  <c r="B1720" i="2" s="1"/>
  <c r="A1720" i="2"/>
  <c r="E1719" i="2"/>
  <c r="C1719" i="2"/>
  <c r="B1719" i="2" s="1"/>
  <c r="A1719" i="2"/>
  <c r="E1718" i="2"/>
  <c r="C1718" i="2"/>
  <c r="B1718" i="2" s="1"/>
  <c r="A1718" i="2"/>
  <c r="E1717" i="2"/>
  <c r="C1717" i="2"/>
  <c r="B1717" i="2" s="1"/>
  <c r="A1717" i="2"/>
  <c r="E1716" i="2"/>
  <c r="C1716" i="2"/>
  <c r="B1716" i="2" s="1"/>
  <c r="A1716" i="2"/>
  <c r="E1715" i="2"/>
  <c r="C1715" i="2"/>
  <c r="B1715" i="2" s="1"/>
  <c r="A1715" i="2"/>
  <c r="E1714" i="2"/>
  <c r="C1714" i="2"/>
  <c r="B1714" i="2" s="1"/>
  <c r="A1714" i="2"/>
  <c r="E1713" i="2"/>
  <c r="C1713" i="2"/>
  <c r="B1713" i="2" s="1"/>
  <c r="A1713" i="2"/>
  <c r="E1712" i="2"/>
  <c r="C1712" i="2"/>
  <c r="B1712" i="2" s="1"/>
  <c r="A1712" i="2"/>
  <c r="E1711" i="2"/>
  <c r="C1711" i="2"/>
  <c r="B1711" i="2" s="1"/>
  <c r="A1711" i="2"/>
  <c r="E1710" i="2"/>
  <c r="C1710" i="2"/>
  <c r="B1710" i="2" s="1"/>
  <c r="A1710" i="2"/>
  <c r="E1709" i="2"/>
  <c r="C1709" i="2"/>
  <c r="B1709" i="2" s="1"/>
  <c r="A1709" i="2"/>
  <c r="E1708" i="2"/>
  <c r="C1708" i="2"/>
  <c r="B1708" i="2" s="1"/>
  <c r="A1708" i="2"/>
  <c r="E1707" i="2"/>
  <c r="C1707" i="2"/>
  <c r="B1707" i="2" s="1"/>
  <c r="A1707" i="2"/>
  <c r="E1706" i="2"/>
  <c r="C1706" i="2"/>
  <c r="B1706" i="2" s="1"/>
  <c r="A1706" i="2"/>
  <c r="E1705" i="2"/>
  <c r="C1705" i="2"/>
  <c r="B1705" i="2" s="1"/>
  <c r="A1705" i="2"/>
  <c r="E1704" i="2"/>
  <c r="C1704" i="2"/>
  <c r="B1704" i="2" s="1"/>
  <c r="A1704" i="2"/>
  <c r="E1703" i="2"/>
  <c r="C1703" i="2"/>
  <c r="B1703" i="2" s="1"/>
  <c r="A1703" i="2"/>
  <c r="E1702" i="2"/>
  <c r="C1702" i="2"/>
  <c r="B1702" i="2" s="1"/>
  <c r="A1702" i="2"/>
  <c r="E1701" i="2"/>
  <c r="C1701" i="2"/>
  <c r="B1701" i="2" s="1"/>
  <c r="A1701" i="2"/>
  <c r="E1700" i="2"/>
  <c r="C1700" i="2"/>
  <c r="A1700" i="2"/>
  <c r="E1699" i="2"/>
  <c r="C1699" i="2"/>
  <c r="B1699" i="2" s="1"/>
  <c r="A1699" i="2"/>
  <c r="E1698" i="2"/>
  <c r="C1698" i="2"/>
  <c r="B1698" i="2" s="1"/>
  <c r="A1698" i="2"/>
  <c r="E1697" i="2"/>
  <c r="C1697" i="2"/>
  <c r="B1697" i="2" s="1"/>
  <c r="A1697" i="2"/>
  <c r="E1696" i="2"/>
  <c r="C1696" i="2"/>
  <c r="A1696" i="2"/>
  <c r="E1695" i="2"/>
  <c r="C1695" i="2"/>
  <c r="B1695" i="2" s="1"/>
  <c r="A1695" i="2"/>
  <c r="E1694" i="2"/>
  <c r="C1694" i="2"/>
  <c r="B1694" i="2" s="1"/>
  <c r="A1694" i="2"/>
  <c r="E1693" i="2"/>
  <c r="C1693" i="2"/>
  <c r="B1693" i="2" s="1"/>
  <c r="A1693" i="2"/>
  <c r="E1692" i="2"/>
  <c r="C1692" i="2"/>
  <c r="A1692" i="2"/>
  <c r="E1691" i="2"/>
  <c r="C1691" i="2"/>
  <c r="B1691" i="2" s="1"/>
  <c r="A1691" i="2"/>
  <c r="E1690" i="2"/>
  <c r="C1690" i="2"/>
  <c r="B1690" i="2" s="1"/>
  <c r="A1690" i="2"/>
  <c r="E1689" i="2"/>
  <c r="C1689" i="2"/>
  <c r="B1689" i="2" s="1"/>
  <c r="A1689" i="2"/>
  <c r="E1688" i="2"/>
  <c r="C1688" i="2"/>
  <c r="A1688" i="2"/>
  <c r="E1687" i="2"/>
  <c r="C1687" i="2"/>
  <c r="B1687" i="2" s="1"/>
  <c r="A1687" i="2"/>
  <c r="E1686" i="2"/>
  <c r="C1686" i="2"/>
  <c r="B1686" i="2" s="1"/>
  <c r="A1686" i="2"/>
  <c r="E1685" i="2"/>
  <c r="C1685" i="2"/>
  <c r="B1685" i="2" s="1"/>
  <c r="A1685" i="2"/>
  <c r="E1684" i="2"/>
  <c r="C1684" i="2"/>
  <c r="A1684" i="2"/>
  <c r="E1683" i="2"/>
  <c r="C1683" i="2"/>
  <c r="B1683" i="2" s="1"/>
  <c r="A1683" i="2"/>
  <c r="E1682" i="2"/>
  <c r="C1682" i="2"/>
  <c r="B1682" i="2" s="1"/>
  <c r="A1682" i="2"/>
  <c r="E1681" i="2"/>
  <c r="C1681" i="2"/>
  <c r="B1681" i="2" s="1"/>
  <c r="A1681" i="2"/>
  <c r="E1680" i="2"/>
  <c r="C1680" i="2"/>
  <c r="A1680" i="2"/>
  <c r="E1679" i="2"/>
  <c r="C1679" i="2"/>
  <c r="B1679" i="2" s="1"/>
  <c r="A1679" i="2"/>
  <c r="E1678" i="2"/>
  <c r="C1678" i="2"/>
  <c r="B1678" i="2" s="1"/>
  <c r="A1678" i="2"/>
  <c r="E1677" i="2"/>
  <c r="C1677" i="2"/>
  <c r="B1677" i="2" s="1"/>
  <c r="A1677" i="2"/>
  <c r="E1676" i="2"/>
  <c r="C1676" i="2"/>
  <c r="A1676" i="2"/>
  <c r="E1675" i="2"/>
  <c r="C1675" i="2"/>
  <c r="B1675" i="2" s="1"/>
  <c r="A1675" i="2"/>
  <c r="E1674" i="2"/>
  <c r="C1674" i="2"/>
  <c r="B1674" i="2" s="1"/>
  <c r="A1674" i="2"/>
  <c r="E1673" i="2"/>
  <c r="C1673" i="2"/>
  <c r="B1673" i="2" s="1"/>
  <c r="A1673" i="2"/>
  <c r="E1672" i="2"/>
  <c r="C1672" i="2"/>
  <c r="B1672" i="2" s="1"/>
  <c r="A1672" i="2"/>
  <c r="E1671" i="2"/>
  <c r="C1671" i="2"/>
  <c r="B1671" i="2" s="1"/>
  <c r="A1671" i="2"/>
  <c r="E1670" i="2"/>
  <c r="C1670" i="2"/>
  <c r="B1670" i="2" s="1"/>
  <c r="A1670" i="2"/>
  <c r="E1669" i="2"/>
  <c r="C1669" i="2"/>
  <c r="B1669" i="2" s="1"/>
  <c r="A1669" i="2"/>
  <c r="E1668" i="2"/>
  <c r="C1668" i="2"/>
  <c r="A1668" i="2"/>
  <c r="E1667" i="2"/>
  <c r="C1667" i="2"/>
  <c r="B1667" i="2" s="1"/>
  <c r="A1667" i="2"/>
  <c r="E1666" i="2"/>
  <c r="C1666" i="2"/>
  <c r="B1666" i="2" s="1"/>
  <c r="A1666" i="2"/>
  <c r="E1665" i="2"/>
  <c r="C1665" i="2"/>
  <c r="B1665" i="2" s="1"/>
  <c r="A1665" i="2"/>
  <c r="E1664" i="2"/>
  <c r="C1664" i="2"/>
  <c r="A1664" i="2"/>
  <c r="E1663" i="2"/>
  <c r="C1663" i="2"/>
  <c r="B1663" i="2" s="1"/>
  <c r="A1663" i="2"/>
  <c r="E1662" i="2"/>
  <c r="C1662" i="2"/>
  <c r="B1662" i="2" s="1"/>
  <c r="A1662" i="2"/>
  <c r="E1661" i="2"/>
  <c r="C1661" i="2"/>
  <c r="B1661" i="2" s="1"/>
  <c r="A1661" i="2"/>
  <c r="E1660" i="2"/>
  <c r="C1660" i="2"/>
  <c r="B1660" i="2" s="1"/>
  <c r="A1660" i="2"/>
  <c r="E1659" i="2"/>
  <c r="C1659" i="2"/>
  <c r="B1659" i="2" s="1"/>
  <c r="A1659" i="2"/>
  <c r="E1658" i="2"/>
  <c r="C1658" i="2"/>
  <c r="B1658" i="2" s="1"/>
  <c r="A1658" i="2"/>
  <c r="E1657" i="2"/>
  <c r="C1657" i="2"/>
  <c r="B1657" i="2" s="1"/>
  <c r="A1657" i="2"/>
  <c r="E1656" i="2"/>
  <c r="C1656" i="2"/>
  <c r="B1656" i="2" s="1"/>
  <c r="A1656" i="2"/>
  <c r="E1655" i="2"/>
  <c r="C1655" i="2"/>
  <c r="B1655" i="2" s="1"/>
  <c r="A1655" i="2"/>
  <c r="E1654" i="2"/>
  <c r="C1654" i="2"/>
  <c r="B1654" i="2" s="1"/>
  <c r="A1654" i="2"/>
  <c r="E1653" i="2"/>
  <c r="C1653" i="2"/>
  <c r="B1653" i="2" s="1"/>
  <c r="A1653" i="2"/>
  <c r="E1652" i="2"/>
  <c r="C1652" i="2"/>
  <c r="B1652" i="2" s="1"/>
  <c r="A1652" i="2"/>
  <c r="E1651" i="2"/>
  <c r="C1651" i="2"/>
  <c r="B1651" i="2" s="1"/>
  <c r="A1651" i="2"/>
  <c r="E1650" i="2"/>
  <c r="C1650" i="2"/>
  <c r="B1650" i="2" s="1"/>
  <c r="A1650" i="2"/>
  <c r="E1649" i="2"/>
  <c r="C1649" i="2"/>
  <c r="B1649" i="2" s="1"/>
  <c r="A1649" i="2"/>
  <c r="E1648" i="2"/>
  <c r="C1648" i="2"/>
  <c r="B1648" i="2" s="1"/>
  <c r="A1648" i="2"/>
  <c r="E1647" i="2"/>
  <c r="C1647" i="2"/>
  <c r="B1647" i="2" s="1"/>
  <c r="A1647" i="2"/>
  <c r="E1646" i="2"/>
  <c r="C1646" i="2"/>
  <c r="B1646" i="2" s="1"/>
  <c r="A1646" i="2"/>
  <c r="E1645" i="2"/>
  <c r="C1645" i="2"/>
  <c r="B1645" i="2" s="1"/>
  <c r="A1645" i="2"/>
  <c r="E1644" i="2"/>
  <c r="C1644" i="2"/>
  <c r="A1644" i="2"/>
  <c r="E1643" i="2"/>
  <c r="C1643" i="2"/>
  <c r="B1643" i="2" s="1"/>
  <c r="A1643" i="2"/>
  <c r="E1642" i="2"/>
  <c r="C1642" i="2"/>
  <c r="A1642" i="2"/>
  <c r="E1641" i="2"/>
  <c r="C1641" i="2"/>
  <c r="B1641" i="2" s="1"/>
  <c r="A1641" i="2"/>
  <c r="E1640" i="2"/>
  <c r="C1640" i="2"/>
  <c r="B1640" i="2" s="1"/>
  <c r="A1640" i="2"/>
  <c r="E1639" i="2"/>
  <c r="C1639" i="2"/>
  <c r="B1639" i="2" s="1"/>
  <c r="A1639" i="2"/>
  <c r="E1638" i="2"/>
  <c r="C1638" i="2"/>
  <c r="A1638" i="2"/>
  <c r="E1637" i="2"/>
  <c r="C1637" i="2"/>
  <c r="B1637" i="2" s="1"/>
  <c r="A1637" i="2"/>
  <c r="E1636" i="2"/>
  <c r="C1636" i="2"/>
  <c r="A1636" i="2"/>
  <c r="E1635" i="2"/>
  <c r="C1635" i="2"/>
  <c r="B1635" i="2" s="1"/>
  <c r="A1635" i="2"/>
  <c r="E1634" i="2"/>
  <c r="C1634" i="2"/>
  <c r="A1634" i="2"/>
  <c r="E1633" i="2"/>
  <c r="C1633" i="2"/>
  <c r="B1633" i="2" s="1"/>
  <c r="A1633" i="2"/>
  <c r="E1632" i="2"/>
  <c r="C1632" i="2"/>
  <c r="A1632" i="2"/>
  <c r="E1631" i="2"/>
  <c r="C1631" i="2"/>
  <c r="B1631" i="2" s="1"/>
  <c r="A1631" i="2"/>
  <c r="E1630" i="2"/>
  <c r="C1630" i="2"/>
  <c r="B1630" i="2" s="1"/>
  <c r="A1630" i="2"/>
  <c r="E1629" i="2"/>
  <c r="C1629" i="2"/>
  <c r="B1629" i="2" s="1"/>
  <c r="A1629" i="2"/>
  <c r="E1628" i="2"/>
  <c r="C1628" i="2"/>
  <c r="A1628" i="2"/>
  <c r="E1627" i="2"/>
  <c r="C1627" i="2"/>
  <c r="B1627" i="2" s="1"/>
  <c r="A1627" i="2"/>
  <c r="E1626" i="2"/>
  <c r="C1626" i="2"/>
  <c r="B1626" i="2" s="1"/>
  <c r="A1626" i="2"/>
  <c r="E1625" i="2"/>
  <c r="C1625" i="2"/>
  <c r="B1625" i="2" s="1"/>
  <c r="A1625" i="2"/>
  <c r="E1624" i="2"/>
  <c r="C1624" i="2"/>
  <c r="B1624" i="2" s="1"/>
  <c r="A1624" i="2"/>
  <c r="E1623" i="2"/>
  <c r="C1623" i="2"/>
  <c r="B1623" i="2" s="1"/>
  <c r="A1623" i="2"/>
  <c r="E1622" i="2"/>
  <c r="C1622" i="2"/>
  <c r="B1622" i="2" s="1"/>
  <c r="A1622" i="2"/>
  <c r="E1621" i="2"/>
  <c r="C1621" i="2"/>
  <c r="B1621" i="2" s="1"/>
  <c r="A1621" i="2"/>
  <c r="E1620" i="2"/>
  <c r="C1620" i="2"/>
  <c r="A1620" i="2"/>
  <c r="E1619" i="2"/>
  <c r="C1619" i="2"/>
  <c r="B1619" i="2" s="1"/>
  <c r="A1619" i="2"/>
  <c r="E1618" i="2"/>
  <c r="C1618" i="2"/>
  <c r="B1618" i="2" s="1"/>
  <c r="A1618" i="2"/>
  <c r="E1617" i="2"/>
  <c r="C1617" i="2"/>
  <c r="B1617" i="2" s="1"/>
  <c r="A1617" i="2"/>
  <c r="E1616" i="2"/>
  <c r="C1616" i="2"/>
  <c r="A1616" i="2"/>
  <c r="E1615" i="2"/>
  <c r="C1615" i="2"/>
  <c r="B1615" i="2" s="1"/>
  <c r="A1615" i="2"/>
  <c r="E1614" i="2"/>
  <c r="C1614" i="2"/>
  <c r="B1614" i="2" s="1"/>
  <c r="A1614" i="2"/>
  <c r="E1613" i="2"/>
  <c r="C1613" i="2"/>
  <c r="B1613" i="2" s="1"/>
  <c r="A1613" i="2"/>
  <c r="E1612" i="2"/>
  <c r="C1612" i="2"/>
  <c r="A1612" i="2"/>
  <c r="E1611" i="2"/>
  <c r="C1611" i="2"/>
  <c r="B1611" i="2" s="1"/>
  <c r="A1611" i="2"/>
  <c r="E1610" i="2"/>
  <c r="C1610" i="2"/>
  <c r="B1610" i="2" s="1"/>
  <c r="A1610" i="2"/>
  <c r="E1609" i="2"/>
  <c r="C1609" i="2"/>
  <c r="B1609" i="2" s="1"/>
  <c r="A1609" i="2"/>
  <c r="E1608" i="2"/>
  <c r="C1608" i="2"/>
  <c r="B1608" i="2" s="1"/>
  <c r="A1608" i="2"/>
  <c r="E1607" i="2"/>
  <c r="C1607" i="2"/>
  <c r="B1607" i="2" s="1"/>
  <c r="A1607" i="2"/>
  <c r="E1606" i="2"/>
  <c r="C1606" i="2"/>
  <c r="A1606" i="2"/>
  <c r="E1605" i="2"/>
  <c r="C1605" i="2"/>
  <c r="B1605" i="2" s="1"/>
  <c r="A1605" i="2"/>
  <c r="E1604" i="2"/>
  <c r="C1604" i="2"/>
  <c r="A1604" i="2"/>
  <c r="E1603" i="2"/>
  <c r="C1603" i="2"/>
  <c r="B1603" i="2" s="1"/>
  <c r="A1603" i="2"/>
  <c r="E1602" i="2"/>
  <c r="C1602" i="2"/>
  <c r="A1602" i="2"/>
  <c r="E1601" i="2"/>
  <c r="C1601" i="2"/>
  <c r="B1601" i="2" s="1"/>
  <c r="A1601" i="2"/>
  <c r="E1600" i="2"/>
  <c r="C1600" i="2"/>
  <c r="A1600" i="2"/>
  <c r="E1599" i="2"/>
  <c r="C1599" i="2"/>
  <c r="B1599" i="2" s="1"/>
  <c r="A1599" i="2"/>
  <c r="E1598" i="2"/>
  <c r="C1598" i="2"/>
  <c r="A1598" i="2"/>
  <c r="E1597" i="2"/>
  <c r="C1597" i="2"/>
  <c r="B1597" i="2" s="1"/>
  <c r="A1597" i="2"/>
  <c r="E1596" i="2"/>
  <c r="C1596" i="2"/>
  <c r="B1596" i="2" s="1"/>
  <c r="A1596" i="2"/>
  <c r="E1595" i="2"/>
  <c r="C1595" i="2"/>
  <c r="B1595" i="2" s="1"/>
  <c r="A1595" i="2"/>
  <c r="E1594" i="2"/>
  <c r="C1594" i="2"/>
  <c r="A1594" i="2"/>
  <c r="E1593" i="2"/>
  <c r="C1593" i="2"/>
  <c r="B1593" i="2" s="1"/>
  <c r="A1593" i="2"/>
  <c r="E1592" i="2"/>
  <c r="C1592" i="2"/>
  <c r="A1592" i="2"/>
  <c r="E1591" i="2"/>
  <c r="C1591" i="2"/>
  <c r="B1591" i="2" s="1"/>
  <c r="A1591" i="2"/>
  <c r="E1590" i="2"/>
  <c r="C1590" i="2"/>
  <c r="A1590" i="2"/>
  <c r="E1589" i="2"/>
  <c r="C1589" i="2"/>
  <c r="B1589" i="2" s="1"/>
  <c r="A1589" i="2"/>
  <c r="E1588" i="2"/>
  <c r="C1588" i="2"/>
  <c r="B1588" i="2" s="1"/>
  <c r="A1588" i="2"/>
  <c r="E1587" i="2"/>
  <c r="C1587" i="2"/>
  <c r="B1587" i="2" s="1"/>
  <c r="A1587" i="2"/>
  <c r="E1586" i="2"/>
  <c r="C1586" i="2"/>
  <c r="A1586" i="2"/>
  <c r="E1585" i="2"/>
  <c r="C1585" i="2"/>
  <c r="B1585" i="2" s="1"/>
  <c r="A1585" i="2"/>
  <c r="E1584" i="2"/>
  <c r="C1584" i="2"/>
  <c r="A1584" i="2"/>
  <c r="E1583" i="2"/>
  <c r="C1583" i="2"/>
  <c r="B1583" i="2" s="1"/>
  <c r="A1583" i="2"/>
  <c r="E1582" i="2"/>
  <c r="C1582" i="2"/>
  <c r="A1582" i="2"/>
  <c r="E1581" i="2"/>
  <c r="C1581" i="2"/>
  <c r="B1581" i="2" s="1"/>
  <c r="A1581" i="2"/>
  <c r="E1580" i="2"/>
  <c r="C1580" i="2"/>
  <c r="A1580" i="2"/>
  <c r="E1579" i="2"/>
  <c r="C1579" i="2"/>
  <c r="B1579" i="2" s="1"/>
  <c r="A1579" i="2"/>
  <c r="E1578" i="2"/>
  <c r="C1578" i="2"/>
  <c r="A1578" i="2"/>
  <c r="E1577" i="2"/>
  <c r="C1577" i="2"/>
  <c r="B1577" i="2" s="1"/>
  <c r="A1577" i="2"/>
  <c r="E1576" i="2"/>
  <c r="C1576" i="2"/>
  <c r="B1576" i="2" s="1"/>
  <c r="A1576" i="2"/>
  <c r="E1575" i="2"/>
  <c r="C1575" i="2"/>
  <c r="B1575" i="2" s="1"/>
  <c r="A1575" i="2"/>
  <c r="E1574" i="2"/>
  <c r="C1574" i="2"/>
  <c r="B1574" i="2" s="1"/>
  <c r="A1574" i="2"/>
  <c r="E1573" i="2"/>
  <c r="C1573" i="2"/>
  <c r="B1573" i="2" s="1"/>
  <c r="A1573" i="2"/>
  <c r="E1572" i="2"/>
  <c r="C1572" i="2"/>
  <c r="B1572" i="2" s="1"/>
  <c r="A1572" i="2"/>
  <c r="E1571" i="2"/>
  <c r="C1571" i="2"/>
  <c r="B1571" i="2" s="1"/>
  <c r="A1571" i="2"/>
  <c r="E1570" i="2"/>
  <c r="C1570" i="2"/>
  <c r="A1570" i="2"/>
  <c r="E1569" i="2"/>
  <c r="C1569" i="2"/>
  <c r="B1569" i="2" s="1"/>
  <c r="A1569" i="2"/>
  <c r="E1568" i="2"/>
  <c r="C1568" i="2"/>
  <c r="A1568" i="2"/>
  <c r="E1567" i="2"/>
  <c r="C1567" i="2"/>
  <c r="B1567" i="2" s="1"/>
  <c r="A1567" i="2"/>
  <c r="E1566" i="2"/>
  <c r="C1566" i="2"/>
  <c r="A1566" i="2"/>
  <c r="E1565" i="2"/>
  <c r="C1565" i="2"/>
  <c r="B1565" i="2" s="1"/>
  <c r="A1565" i="2"/>
  <c r="E1564" i="2"/>
  <c r="C1564" i="2"/>
  <c r="B1564" i="2" s="1"/>
  <c r="A1564" i="2"/>
  <c r="E1563" i="2"/>
  <c r="C1563" i="2"/>
  <c r="B1563" i="2" s="1"/>
  <c r="A1563" i="2"/>
  <c r="E1562" i="2"/>
  <c r="C1562" i="2"/>
  <c r="A1562" i="2"/>
  <c r="E1561" i="2"/>
  <c r="C1561" i="2"/>
  <c r="B1561" i="2" s="1"/>
  <c r="A1561" i="2"/>
  <c r="E1560" i="2"/>
  <c r="C1560" i="2"/>
  <c r="A1560" i="2"/>
  <c r="E1559" i="2"/>
  <c r="C1559" i="2"/>
  <c r="B1559" i="2" s="1"/>
  <c r="A1559" i="2"/>
  <c r="E1558" i="2"/>
  <c r="C1558" i="2"/>
  <c r="A1558" i="2"/>
  <c r="E1557" i="2"/>
  <c r="C1557" i="2"/>
  <c r="B1557" i="2" s="1"/>
  <c r="A1557" i="2"/>
  <c r="E1556" i="2"/>
  <c r="C1556" i="2"/>
  <c r="B1556" i="2" s="1"/>
  <c r="A1556" i="2"/>
  <c r="E1555" i="2"/>
  <c r="C1555" i="2"/>
  <c r="B1555" i="2" s="1"/>
  <c r="A1555" i="2"/>
  <c r="E1554" i="2"/>
  <c r="C1554" i="2"/>
  <c r="A1554" i="2"/>
  <c r="E1553" i="2"/>
  <c r="C1553" i="2"/>
  <c r="B1553" i="2" s="1"/>
  <c r="A1553" i="2"/>
  <c r="E1552" i="2"/>
  <c r="C1552" i="2"/>
  <c r="A1552" i="2"/>
  <c r="E1551" i="2"/>
  <c r="C1551" i="2"/>
  <c r="B1551" i="2" s="1"/>
  <c r="A1551" i="2"/>
  <c r="E1550" i="2"/>
  <c r="C1550" i="2"/>
  <c r="A1550" i="2"/>
  <c r="E1549" i="2"/>
  <c r="C1549" i="2"/>
  <c r="B1549" i="2" s="1"/>
  <c r="A1549" i="2"/>
  <c r="E1548" i="2"/>
  <c r="C1548" i="2"/>
  <c r="A1548" i="2"/>
  <c r="E1547" i="2"/>
  <c r="C1547" i="2"/>
  <c r="B1547" i="2" s="1"/>
  <c r="A1547" i="2"/>
  <c r="E1546" i="2"/>
  <c r="C1546" i="2"/>
  <c r="A1546" i="2"/>
  <c r="E1545" i="2"/>
  <c r="C1545" i="2"/>
  <c r="B1545" i="2" s="1"/>
  <c r="A1545" i="2"/>
  <c r="E1544" i="2"/>
  <c r="C1544" i="2"/>
  <c r="A1544" i="2"/>
  <c r="E1543" i="2"/>
  <c r="C1543" i="2"/>
  <c r="B1543" i="2" s="1"/>
  <c r="A1543" i="2"/>
  <c r="E1542" i="2"/>
  <c r="C1542" i="2"/>
  <c r="A1542" i="2"/>
  <c r="E1541" i="2"/>
  <c r="C1541" i="2"/>
  <c r="B1541" i="2" s="1"/>
  <c r="A1541" i="2"/>
  <c r="E1540" i="2"/>
  <c r="C1540" i="2"/>
  <c r="B1540" i="2" s="1"/>
  <c r="A1540" i="2"/>
  <c r="E1539" i="2"/>
  <c r="C1539" i="2"/>
  <c r="B1539" i="2" s="1"/>
  <c r="A1539" i="2"/>
  <c r="E1538" i="2"/>
  <c r="C1538" i="2"/>
  <c r="A1538" i="2"/>
  <c r="E1537" i="2"/>
  <c r="C1537" i="2"/>
  <c r="B1537" i="2" s="1"/>
  <c r="A1537" i="2"/>
  <c r="E1536" i="2"/>
  <c r="C1536" i="2"/>
  <c r="A1536" i="2"/>
  <c r="E1535" i="2"/>
  <c r="C1535" i="2"/>
  <c r="B1535" i="2" s="1"/>
  <c r="A1535" i="2"/>
  <c r="E1534" i="2"/>
  <c r="C1534" i="2"/>
  <c r="A1534" i="2"/>
  <c r="E1533" i="2"/>
  <c r="C1533" i="2"/>
  <c r="B1533" i="2" s="1"/>
  <c r="A1533" i="2"/>
  <c r="E1532" i="2"/>
  <c r="C1532" i="2"/>
  <c r="B1532" i="2" s="1"/>
  <c r="A1532" i="2"/>
  <c r="E1531" i="2"/>
  <c r="C1531" i="2"/>
  <c r="B1531" i="2" s="1"/>
  <c r="A1531" i="2"/>
  <c r="E1530" i="2"/>
  <c r="C1530" i="2"/>
  <c r="A1530" i="2"/>
  <c r="E1529" i="2"/>
  <c r="C1529" i="2"/>
  <c r="B1529" i="2" s="1"/>
  <c r="A1529" i="2"/>
  <c r="E1528" i="2"/>
  <c r="C1528" i="2"/>
  <c r="A1528" i="2"/>
  <c r="E1527" i="2"/>
  <c r="C1527" i="2"/>
  <c r="B1527" i="2" s="1"/>
  <c r="A1527" i="2"/>
  <c r="E1526" i="2"/>
  <c r="C1526" i="2"/>
  <c r="A1526" i="2"/>
  <c r="E1525" i="2"/>
  <c r="C1525" i="2"/>
  <c r="B1525" i="2" s="1"/>
  <c r="A1525" i="2"/>
  <c r="E1524" i="2"/>
  <c r="C1524" i="2"/>
  <c r="B1524" i="2" s="1"/>
  <c r="A1524" i="2"/>
  <c r="E1523" i="2"/>
  <c r="C1523" i="2"/>
  <c r="B1523" i="2" s="1"/>
  <c r="A1523" i="2"/>
  <c r="E1522" i="2"/>
  <c r="C1522" i="2"/>
  <c r="A1522" i="2"/>
  <c r="E1521" i="2"/>
  <c r="C1521" i="2"/>
  <c r="B1521" i="2" s="1"/>
  <c r="A1521" i="2"/>
  <c r="E1520" i="2"/>
  <c r="C1520" i="2"/>
  <c r="A1520" i="2"/>
  <c r="E1519" i="2"/>
  <c r="C1519" i="2"/>
  <c r="B1519" i="2" s="1"/>
  <c r="A1519" i="2"/>
  <c r="E1518" i="2"/>
  <c r="C1518" i="2"/>
  <c r="B1518" i="2" s="1"/>
  <c r="A1518" i="2"/>
  <c r="E1517" i="2"/>
  <c r="C1517" i="2"/>
  <c r="B1517" i="2" s="1"/>
  <c r="A1517" i="2"/>
  <c r="E1516" i="2"/>
  <c r="C1516" i="2"/>
  <c r="A1516" i="2"/>
  <c r="E1515" i="2"/>
  <c r="C1515" i="2"/>
  <c r="B1515" i="2" s="1"/>
  <c r="A1515" i="2"/>
  <c r="E1514" i="2"/>
  <c r="C1514" i="2"/>
  <c r="A1514" i="2"/>
  <c r="E1513" i="2"/>
  <c r="C1513" i="2"/>
  <c r="B1513" i="2" s="1"/>
  <c r="A1513" i="2"/>
  <c r="E1512" i="2"/>
  <c r="C1512" i="2"/>
  <c r="B1512" i="2" s="1"/>
  <c r="A1512" i="2"/>
  <c r="E1511" i="2"/>
  <c r="C1511" i="2"/>
  <c r="B1511" i="2" s="1"/>
  <c r="A1511" i="2"/>
  <c r="E1510" i="2"/>
  <c r="C1510" i="2"/>
  <c r="B1510" i="2" s="1"/>
  <c r="A1510" i="2"/>
  <c r="E1509" i="2"/>
  <c r="C1509" i="2"/>
  <c r="B1509" i="2" s="1"/>
  <c r="A1509" i="2"/>
  <c r="E1508" i="2"/>
  <c r="C1508" i="2"/>
  <c r="B1508" i="2" s="1"/>
  <c r="A1508" i="2"/>
  <c r="E1507" i="2"/>
  <c r="C1507" i="2"/>
  <c r="B1507" i="2" s="1"/>
  <c r="A1507" i="2"/>
  <c r="E1506" i="2"/>
  <c r="C1506" i="2"/>
  <c r="A1506" i="2"/>
  <c r="E1505" i="2"/>
  <c r="C1505" i="2"/>
  <c r="B1505" i="2" s="1"/>
  <c r="A1505" i="2"/>
  <c r="E1504" i="2"/>
  <c r="C1504" i="2"/>
  <c r="A1504" i="2"/>
  <c r="E1503" i="2"/>
  <c r="C1503" i="2"/>
  <c r="A1503" i="2"/>
  <c r="E1502" i="2"/>
  <c r="C1502" i="2"/>
  <c r="B1502" i="2" s="1"/>
  <c r="A1502" i="2"/>
  <c r="E1501" i="2"/>
  <c r="C1501" i="2"/>
  <c r="B1501" i="2" s="1"/>
  <c r="A1501" i="2"/>
  <c r="E1500" i="2"/>
  <c r="C1500" i="2"/>
  <c r="B1500" i="2" s="1"/>
  <c r="A1500" i="2"/>
  <c r="E1499" i="2"/>
  <c r="C1499" i="2"/>
  <c r="B1499" i="2" s="1"/>
  <c r="A1499" i="2"/>
  <c r="E1498" i="2"/>
  <c r="C1498" i="2"/>
  <c r="A1498" i="2"/>
  <c r="E1497" i="2"/>
  <c r="C1497" i="2"/>
  <c r="B1497" i="2" s="1"/>
  <c r="A1497" i="2"/>
  <c r="E1496" i="2"/>
  <c r="C1496" i="2"/>
  <c r="A1496" i="2"/>
  <c r="E1495" i="2"/>
  <c r="C1495" i="2"/>
  <c r="B1495" i="2" s="1"/>
  <c r="A1495" i="2"/>
  <c r="E1494" i="2"/>
  <c r="C1494" i="2"/>
  <c r="B1494" i="2" s="1"/>
  <c r="A1494" i="2"/>
  <c r="E1493" i="2"/>
  <c r="C1493" i="2"/>
  <c r="B1493" i="2" s="1"/>
  <c r="A1493" i="2"/>
  <c r="E1492" i="2"/>
  <c r="C1492" i="2"/>
  <c r="B1492" i="2" s="1"/>
  <c r="A1492" i="2"/>
  <c r="E1491" i="2"/>
  <c r="C1491" i="2"/>
  <c r="B1491" i="2" s="1"/>
  <c r="A1491" i="2"/>
  <c r="E1490" i="2"/>
  <c r="C1490" i="2"/>
  <c r="A1490" i="2"/>
  <c r="E1489" i="2"/>
  <c r="C1489" i="2"/>
  <c r="B1489" i="2" s="1"/>
  <c r="A1489" i="2"/>
  <c r="E1488" i="2"/>
  <c r="C1488" i="2"/>
  <c r="A1488" i="2"/>
  <c r="E1487" i="2"/>
  <c r="C1487" i="2"/>
  <c r="B1487" i="2" s="1"/>
  <c r="A1487" i="2"/>
  <c r="E1486" i="2"/>
  <c r="C1486" i="2"/>
  <c r="B1486" i="2" s="1"/>
  <c r="A1486" i="2"/>
  <c r="E1485" i="2"/>
  <c r="C1485" i="2"/>
  <c r="B1485" i="2" s="1"/>
  <c r="A1485" i="2"/>
  <c r="E1484" i="2"/>
  <c r="C1484" i="2"/>
  <c r="B1484" i="2" s="1"/>
  <c r="A1484" i="2"/>
  <c r="E1483" i="2"/>
  <c r="C1483" i="2"/>
  <c r="B1483" i="2" s="1"/>
  <c r="A1483" i="2"/>
  <c r="E1482" i="2"/>
  <c r="C1482" i="2"/>
  <c r="A1482" i="2"/>
  <c r="E1481" i="2"/>
  <c r="C1481" i="2"/>
  <c r="B1481" i="2" s="1"/>
  <c r="A1481" i="2"/>
  <c r="E1480" i="2"/>
  <c r="C1480" i="2"/>
  <c r="A1480" i="2"/>
  <c r="E1479" i="2"/>
  <c r="C1479" i="2"/>
  <c r="B1479" i="2" s="1"/>
  <c r="A1479" i="2"/>
  <c r="E1478" i="2"/>
  <c r="C1478" i="2"/>
  <c r="B1478" i="2" s="1"/>
  <c r="A1478" i="2"/>
  <c r="E1477" i="2"/>
  <c r="C1477" i="2"/>
  <c r="B1477" i="2" s="1"/>
  <c r="A1477" i="2"/>
  <c r="E1476" i="2"/>
  <c r="C1476" i="2"/>
  <c r="B1476" i="2" s="1"/>
  <c r="A1476" i="2"/>
  <c r="E1475" i="2"/>
  <c r="C1475" i="2"/>
  <c r="B1475" i="2" s="1"/>
  <c r="A1475" i="2"/>
  <c r="E1474" i="2"/>
  <c r="C1474" i="2"/>
  <c r="A1474" i="2"/>
  <c r="E1473" i="2"/>
  <c r="C1473" i="2"/>
  <c r="B1473" i="2" s="1"/>
  <c r="A1473" i="2"/>
  <c r="E1472" i="2"/>
  <c r="C1472" i="2"/>
  <c r="A1472" i="2"/>
  <c r="E1471" i="2"/>
  <c r="C1471" i="2"/>
  <c r="B1471" i="2" s="1"/>
  <c r="A1471" i="2"/>
  <c r="E1470" i="2"/>
  <c r="C1470" i="2"/>
  <c r="B1470" i="2" s="1"/>
  <c r="A1470" i="2"/>
  <c r="E1469" i="2"/>
  <c r="C1469" i="2"/>
  <c r="B1469" i="2" s="1"/>
  <c r="A1469" i="2"/>
  <c r="E1468" i="2"/>
  <c r="C1468" i="2"/>
  <c r="A1468" i="2"/>
  <c r="E1467" i="2"/>
  <c r="C1467" i="2"/>
  <c r="B1467" i="2" s="1"/>
  <c r="A1467" i="2"/>
  <c r="E1466" i="2"/>
  <c r="C1466" i="2"/>
  <c r="B1466" i="2" s="1"/>
  <c r="A1466" i="2"/>
  <c r="E1465" i="2"/>
  <c r="C1465" i="2"/>
  <c r="B1465" i="2" s="1"/>
  <c r="A1465" i="2"/>
  <c r="E1464" i="2"/>
  <c r="C1464" i="2"/>
  <c r="A1464" i="2"/>
  <c r="E1463" i="2"/>
  <c r="C1463" i="2"/>
  <c r="B1463" i="2" s="1"/>
  <c r="A1463" i="2"/>
  <c r="E1462" i="2"/>
  <c r="C1462" i="2"/>
  <c r="B1462" i="2" s="1"/>
  <c r="A1462" i="2"/>
  <c r="E1461" i="2"/>
  <c r="C1461" i="2"/>
  <c r="B1461" i="2" s="1"/>
  <c r="A1461" i="2"/>
  <c r="E1460" i="2"/>
  <c r="C1460" i="2"/>
  <c r="A1460" i="2"/>
  <c r="E1459" i="2"/>
  <c r="C1459" i="2"/>
  <c r="B1459" i="2" s="1"/>
  <c r="A1459" i="2"/>
  <c r="E1458" i="2"/>
  <c r="C1458" i="2"/>
  <c r="B1458" i="2" s="1"/>
  <c r="A1458" i="2"/>
  <c r="E1457" i="2"/>
  <c r="C1457" i="2"/>
  <c r="B1457" i="2" s="1"/>
  <c r="A1457" i="2"/>
  <c r="E1456" i="2"/>
  <c r="C1456" i="2"/>
  <c r="A1456" i="2"/>
  <c r="E1455" i="2"/>
  <c r="C1455" i="2"/>
  <c r="B1455" i="2" s="1"/>
  <c r="A1455" i="2"/>
  <c r="E1454" i="2"/>
  <c r="C1454" i="2"/>
  <c r="B1454" i="2" s="1"/>
  <c r="A1454" i="2"/>
  <c r="E1453" i="2"/>
  <c r="C1453" i="2"/>
  <c r="B1453" i="2" s="1"/>
  <c r="A1453" i="2"/>
  <c r="E1452" i="2"/>
  <c r="C1452" i="2"/>
  <c r="A1452" i="2"/>
  <c r="E1451" i="2"/>
  <c r="C1451" i="2"/>
  <c r="B1451" i="2" s="1"/>
  <c r="A1451" i="2"/>
  <c r="E1450" i="2"/>
  <c r="C1450" i="2"/>
  <c r="B1450" i="2" s="1"/>
  <c r="A1450" i="2"/>
  <c r="E1449" i="2"/>
  <c r="C1449" i="2"/>
  <c r="B1449" i="2" s="1"/>
  <c r="A1449" i="2"/>
  <c r="E1448" i="2"/>
  <c r="C1448" i="2"/>
  <c r="B1448" i="2" s="1"/>
  <c r="A1448" i="2"/>
  <c r="E1447" i="2"/>
  <c r="C1447" i="2"/>
  <c r="B1447" i="2" s="1"/>
  <c r="A1447" i="2"/>
  <c r="E1446" i="2"/>
  <c r="C1446" i="2"/>
  <c r="B1446" i="2" s="1"/>
  <c r="A1446" i="2"/>
  <c r="E1445" i="2"/>
  <c r="C1445" i="2"/>
  <c r="B1445" i="2" s="1"/>
  <c r="A1445" i="2"/>
  <c r="E1444" i="2"/>
  <c r="C1444" i="2"/>
  <c r="A1444" i="2"/>
  <c r="E1443" i="2"/>
  <c r="C1443" i="2"/>
  <c r="B1443" i="2" s="1"/>
  <c r="A1443" i="2"/>
  <c r="E1442" i="2"/>
  <c r="C1442" i="2"/>
  <c r="B1442" i="2" s="1"/>
  <c r="A1442" i="2"/>
  <c r="E1441" i="2"/>
  <c r="C1441" i="2"/>
  <c r="B1441" i="2" s="1"/>
  <c r="A1441" i="2"/>
  <c r="E1440" i="2"/>
  <c r="C1440" i="2"/>
  <c r="A1440" i="2"/>
  <c r="E1439" i="2"/>
  <c r="C1439" i="2"/>
  <c r="B1439" i="2" s="1"/>
  <c r="A1439" i="2"/>
  <c r="E1438" i="2"/>
  <c r="C1438" i="2"/>
  <c r="B1438" i="2" s="1"/>
  <c r="A1438" i="2"/>
  <c r="E1437" i="2"/>
  <c r="C1437" i="2"/>
  <c r="B1437" i="2" s="1"/>
  <c r="A1437" i="2"/>
  <c r="E1436" i="2"/>
  <c r="C1436" i="2"/>
  <c r="A1436" i="2"/>
  <c r="E1435" i="2"/>
  <c r="C1435" i="2"/>
  <c r="B1435" i="2" s="1"/>
  <c r="A1435" i="2"/>
  <c r="E1434" i="2"/>
  <c r="C1434" i="2"/>
  <c r="B1434" i="2" s="1"/>
  <c r="A1434" i="2"/>
  <c r="E1433" i="2"/>
  <c r="B1433" i="2"/>
  <c r="A1433" i="2"/>
  <c r="E1432" i="2"/>
  <c r="C1432" i="2"/>
  <c r="A1432" i="2"/>
  <c r="E1431" i="2"/>
  <c r="C1431" i="2"/>
  <c r="B1431" i="2" s="1"/>
  <c r="A1431" i="2"/>
  <c r="E1430" i="2"/>
  <c r="C1430" i="2"/>
  <c r="B1430" i="2" s="1"/>
  <c r="A1430" i="2"/>
  <c r="E1429" i="2"/>
  <c r="C1429" i="2"/>
  <c r="B1429" i="2" s="1"/>
  <c r="A1429" i="2"/>
  <c r="E1428" i="2"/>
  <c r="C1428" i="2"/>
  <c r="A1428" i="2"/>
  <c r="E1427" i="2"/>
  <c r="C1427" i="2"/>
  <c r="B1427" i="2" s="1"/>
  <c r="A1427" i="2"/>
  <c r="E1426" i="2"/>
  <c r="C1426" i="2"/>
  <c r="B1426" i="2" s="1"/>
  <c r="A1426" i="2"/>
  <c r="E1425" i="2"/>
  <c r="C1425" i="2"/>
  <c r="B1425" i="2" s="1"/>
  <c r="A1425" i="2"/>
  <c r="E1424" i="2"/>
  <c r="C1424" i="2"/>
  <c r="A1424" i="2"/>
  <c r="E1423" i="2"/>
  <c r="C1423" i="2"/>
  <c r="B1423" i="2" s="1"/>
  <c r="A1423" i="2"/>
  <c r="E1422" i="2"/>
  <c r="C1422" i="2"/>
  <c r="B1422" i="2" s="1"/>
  <c r="A1422" i="2"/>
  <c r="E1421" i="2"/>
  <c r="C1421" i="2"/>
  <c r="B1421" i="2" s="1"/>
  <c r="A1421" i="2"/>
  <c r="E1420" i="2"/>
  <c r="C1420" i="2"/>
  <c r="A1420" i="2"/>
  <c r="E1419" i="2"/>
  <c r="C1419" i="2"/>
  <c r="B1419" i="2" s="1"/>
  <c r="A1419" i="2"/>
  <c r="E1418" i="2"/>
  <c r="C1418" i="2"/>
  <c r="B1418" i="2" s="1"/>
  <c r="A1418" i="2"/>
  <c r="E1417" i="2"/>
  <c r="C1417" i="2"/>
  <c r="B1417" i="2" s="1"/>
  <c r="A1417" i="2"/>
  <c r="E1416" i="2"/>
  <c r="C1416" i="2"/>
  <c r="A1416" i="2"/>
  <c r="E1415" i="2"/>
  <c r="C1415" i="2"/>
  <c r="B1415" i="2" s="1"/>
  <c r="A1415" i="2"/>
  <c r="E1414" i="2"/>
  <c r="C1414" i="2"/>
  <c r="B1414" i="2" s="1"/>
  <c r="A1414" i="2"/>
  <c r="E1413" i="2"/>
  <c r="C1413" i="2"/>
  <c r="B1413" i="2" s="1"/>
  <c r="A1413" i="2"/>
  <c r="E1412" i="2"/>
  <c r="C1412" i="2"/>
  <c r="A1412" i="2"/>
  <c r="E1411" i="2"/>
  <c r="C1411" i="2"/>
  <c r="B1411" i="2" s="1"/>
  <c r="A1411" i="2"/>
  <c r="E1410" i="2"/>
  <c r="C1410" i="2"/>
  <c r="B1410" i="2" s="1"/>
  <c r="A1410" i="2"/>
  <c r="E1409" i="2"/>
  <c r="C1409" i="2"/>
  <c r="B1409" i="2" s="1"/>
  <c r="A1409" i="2"/>
  <c r="E1408" i="2"/>
  <c r="C1408" i="2"/>
  <c r="A1408" i="2"/>
  <c r="E1407" i="2"/>
  <c r="C1407" i="2"/>
  <c r="B1407" i="2" s="1"/>
  <c r="A1407" i="2"/>
  <c r="E1406" i="2"/>
  <c r="C1406" i="2"/>
  <c r="B1406" i="2" s="1"/>
  <c r="A1406" i="2"/>
  <c r="E1405" i="2"/>
  <c r="C1405" i="2"/>
  <c r="B1405" i="2" s="1"/>
  <c r="A1405" i="2"/>
  <c r="E1404" i="2"/>
  <c r="C1404" i="2"/>
  <c r="A1404" i="2"/>
  <c r="E1403" i="2"/>
  <c r="C1403" i="2"/>
  <c r="B1403" i="2" s="1"/>
  <c r="A1403" i="2"/>
  <c r="E1402" i="2"/>
  <c r="C1402" i="2"/>
  <c r="B1402" i="2" s="1"/>
  <c r="A1402" i="2"/>
  <c r="E1401" i="2"/>
  <c r="C1401" i="2"/>
  <c r="B1401" i="2" s="1"/>
  <c r="A1401" i="2"/>
  <c r="E1400" i="2"/>
  <c r="C1400" i="2"/>
  <c r="A1400" i="2"/>
  <c r="E1399" i="2"/>
  <c r="C1399" i="2"/>
  <c r="B1399" i="2" s="1"/>
  <c r="A1399" i="2"/>
  <c r="E1398" i="2"/>
  <c r="C1398" i="2"/>
  <c r="B1398" i="2" s="1"/>
  <c r="A1398" i="2"/>
  <c r="E1397" i="2"/>
  <c r="C1397" i="2"/>
  <c r="B1397" i="2" s="1"/>
  <c r="A1397" i="2"/>
  <c r="E1396" i="2"/>
  <c r="C1396" i="2"/>
  <c r="A1396" i="2"/>
  <c r="E1395" i="2"/>
  <c r="C1395" i="2"/>
  <c r="B1395" i="2" s="1"/>
  <c r="A1395" i="2"/>
  <c r="E1394" i="2"/>
  <c r="C1394" i="2"/>
  <c r="B1394" i="2" s="1"/>
  <c r="A1394" i="2"/>
  <c r="E1393" i="2"/>
  <c r="C1393" i="2"/>
  <c r="B1393" i="2" s="1"/>
  <c r="A1393" i="2"/>
  <c r="E1392" i="2"/>
  <c r="C1392" i="2"/>
  <c r="A1392" i="2"/>
  <c r="E1391" i="2"/>
  <c r="C1391" i="2"/>
  <c r="B1391" i="2" s="1"/>
  <c r="A1391" i="2"/>
  <c r="E1390" i="2"/>
  <c r="C1390" i="2"/>
  <c r="B1390" i="2" s="1"/>
  <c r="A1390" i="2"/>
  <c r="E1389" i="2"/>
  <c r="C1389" i="2"/>
  <c r="B1389" i="2" s="1"/>
  <c r="A1389" i="2"/>
  <c r="E1388" i="2"/>
  <c r="C1388" i="2"/>
  <c r="A1388" i="2"/>
  <c r="E1387" i="2"/>
  <c r="C1387" i="2"/>
  <c r="B1387" i="2" s="1"/>
  <c r="A1387" i="2"/>
  <c r="E1386" i="2"/>
  <c r="C1386" i="2"/>
  <c r="B1386" i="2" s="1"/>
  <c r="A1386" i="2"/>
  <c r="E1385" i="2"/>
  <c r="C1385" i="2"/>
  <c r="B1385" i="2" s="1"/>
  <c r="A1385" i="2"/>
  <c r="E1384" i="2"/>
  <c r="C1384" i="2"/>
  <c r="A1384" i="2"/>
  <c r="E1383" i="2"/>
  <c r="C1383" i="2"/>
  <c r="B1383" i="2" s="1"/>
  <c r="A1383" i="2"/>
  <c r="E1382" i="2"/>
  <c r="C1382" i="2"/>
  <c r="A1382" i="2"/>
  <c r="E1381" i="2"/>
  <c r="C1381" i="2"/>
  <c r="B1381" i="2" s="1"/>
  <c r="A1381" i="2"/>
  <c r="E1380" i="2"/>
  <c r="C1380" i="2"/>
  <c r="B1380" i="2" s="1"/>
  <c r="A1380" i="2"/>
  <c r="E1379" i="2"/>
  <c r="C1379" i="2"/>
  <c r="B1379" i="2" s="1"/>
  <c r="A1379" i="2"/>
  <c r="E1378" i="2"/>
  <c r="C1378" i="2"/>
  <c r="A1378" i="2"/>
  <c r="E1377" i="2"/>
  <c r="C1377" i="2"/>
  <c r="B1377" i="2" s="1"/>
  <c r="A1377" i="2"/>
  <c r="E1376" i="2"/>
  <c r="C1376" i="2"/>
  <c r="A1376" i="2"/>
  <c r="E1375" i="2"/>
  <c r="C1375" i="2"/>
  <c r="B1375" i="2" s="1"/>
  <c r="A1375" i="2"/>
  <c r="E1374" i="2"/>
  <c r="C1374" i="2"/>
  <c r="A1374" i="2"/>
  <c r="E1373" i="2"/>
  <c r="C1373" i="2"/>
  <c r="B1373" i="2" s="1"/>
  <c r="A1373" i="2"/>
  <c r="E1372" i="2"/>
  <c r="C1372" i="2"/>
  <c r="B1372" i="2" s="1"/>
  <c r="A1372" i="2"/>
  <c r="E1371" i="2"/>
  <c r="C1371" i="2"/>
  <c r="B1371" i="2" s="1"/>
  <c r="A1371" i="2"/>
  <c r="E1370" i="2"/>
  <c r="C1370" i="2"/>
  <c r="A1370" i="2"/>
  <c r="E1369" i="2"/>
  <c r="C1369" i="2"/>
  <c r="B1369" i="2" s="1"/>
  <c r="A1369" i="2"/>
  <c r="E1368" i="2"/>
  <c r="C1368" i="2"/>
  <c r="A1368" i="2"/>
  <c r="E1367" i="2"/>
  <c r="C1367" i="2"/>
  <c r="B1367" i="2" s="1"/>
  <c r="A1367" i="2"/>
  <c r="E1366" i="2"/>
  <c r="C1366" i="2"/>
  <c r="A1366" i="2"/>
  <c r="E1365" i="2"/>
  <c r="C1365" i="2"/>
  <c r="B1365" i="2" s="1"/>
  <c r="A1365" i="2"/>
  <c r="E1364" i="2"/>
  <c r="C1364" i="2"/>
  <c r="B1364" i="2" s="1"/>
  <c r="A1364" i="2"/>
  <c r="E1363" i="2"/>
  <c r="C1363" i="2"/>
  <c r="B1363" i="2" s="1"/>
  <c r="A1363" i="2"/>
  <c r="E1362" i="2"/>
  <c r="C1362" i="2"/>
  <c r="A1362" i="2"/>
  <c r="E1361" i="2"/>
  <c r="C1361" i="2"/>
  <c r="B1361" i="2" s="1"/>
  <c r="A1361" i="2"/>
  <c r="E1360" i="2"/>
  <c r="C1360" i="2"/>
  <c r="A1360" i="2"/>
  <c r="E1359" i="2"/>
  <c r="C1359" i="2"/>
  <c r="B1359" i="2" s="1"/>
  <c r="A1359" i="2"/>
  <c r="E1358" i="2"/>
  <c r="C1358" i="2"/>
  <c r="A1358" i="2"/>
  <c r="E1357" i="2"/>
  <c r="C1357" i="2"/>
  <c r="B1357" i="2" s="1"/>
  <c r="A1357" i="2"/>
  <c r="E1356" i="2"/>
  <c r="C1356" i="2"/>
  <c r="B1356" i="2" s="1"/>
  <c r="A1356" i="2"/>
  <c r="E1355" i="2"/>
  <c r="C1355" i="2"/>
  <c r="B1355" i="2" s="1"/>
  <c r="A1355" i="2"/>
  <c r="E1354" i="2"/>
  <c r="C1354" i="2"/>
  <c r="A1354" i="2"/>
  <c r="E1353" i="2"/>
  <c r="C1353" i="2"/>
  <c r="B1353" i="2" s="1"/>
  <c r="A1353" i="2"/>
  <c r="E1352" i="2"/>
  <c r="C1352" i="2"/>
  <c r="B1352" i="2" s="1"/>
  <c r="A1352" i="2"/>
  <c r="E1351" i="2"/>
  <c r="C1351" i="2"/>
  <c r="A1351" i="2"/>
  <c r="E1350" i="2"/>
  <c r="C1350" i="2"/>
  <c r="A1350" i="2"/>
  <c r="E1349" i="2"/>
  <c r="C1349" i="2"/>
  <c r="B1349" i="2" s="1"/>
  <c r="A1349" i="2"/>
  <c r="E1348" i="2"/>
  <c r="C1348" i="2"/>
  <c r="B1348" i="2" s="1"/>
  <c r="A1348" i="2"/>
  <c r="E1347" i="2"/>
  <c r="C1347" i="2"/>
  <c r="A1347" i="2"/>
  <c r="E1346" i="2"/>
  <c r="C1346" i="2"/>
  <c r="A1346" i="2"/>
  <c r="E1345" i="2"/>
  <c r="C1345" i="2"/>
  <c r="B1345" i="2" s="1"/>
  <c r="A1345" i="2"/>
  <c r="E1344" i="2"/>
  <c r="C1344" i="2"/>
  <c r="B1344" i="2" s="1"/>
  <c r="A1344" i="2"/>
  <c r="E1343" i="2"/>
  <c r="C1343" i="2"/>
  <c r="A1343" i="2"/>
  <c r="E1342" i="2"/>
  <c r="C1342" i="2"/>
  <c r="A1342" i="2"/>
  <c r="E1341" i="2"/>
  <c r="C1341" i="2"/>
  <c r="B1341" i="2" s="1"/>
  <c r="A1341" i="2"/>
  <c r="E1340" i="2"/>
  <c r="C1340" i="2"/>
  <c r="B1340" i="2" s="1"/>
  <c r="A1340" i="2"/>
  <c r="E1339" i="2"/>
  <c r="C1339" i="2"/>
  <c r="A1339" i="2"/>
  <c r="E1338" i="2"/>
  <c r="C1338" i="2"/>
  <c r="A1338" i="2"/>
  <c r="E1337" i="2"/>
  <c r="C1337" i="2"/>
  <c r="B1337" i="2" s="1"/>
  <c r="A1337" i="2"/>
  <c r="E1336" i="2"/>
  <c r="C1336" i="2"/>
  <c r="B1336" i="2" s="1"/>
  <c r="A1336" i="2"/>
  <c r="E1335" i="2"/>
  <c r="C1335" i="2"/>
  <c r="A1335" i="2"/>
  <c r="E1334" i="2"/>
  <c r="C1334" i="2"/>
  <c r="A1334" i="2"/>
  <c r="E1333" i="2"/>
  <c r="C1333" i="2"/>
  <c r="B1333" i="2" s="1"/>
  <c r="A1333" i="2"/>
  <c r="E1332" i="2"/>
  <c r="C1332" i="2"/>
  <c r="B1332" i="2" s="1"/>
  <c r="A1332" i="2"/>
  <c r="E1331" i="2"/>
  <c r="C1331" i="2"/>
  <c r="A1331" i="2"/>
  <c r="E1330" i="2"/>
  <c r="C1330" i="2"/>
  <c r="A1330" i="2"/>
  <c r="E1329" i="2"/>
  <c r="C1329" i="2"/>
  <c r="B1329" i="2" s="1"/>
  <c r="A1329" i="2"/>
  <c r="E1328" i="2"/>
  <c r="C1328" i="2"/>
  <c r="B1328" i="2" s="1"/>
  <c r="A1328" i="2"/>
  <c r="E1327" i="2"/>
  <c r="C1327" i="2"/>
  <c r="A1327" i="2"/>
  <c r="E1326" i="2"/>
  <c r="C1326" i="2"/>
  <c r="A1326" i="2"/>
  <c r="E1325" i="2"/>
  <c r="C1325" i="2"/>
  <c r="B1325" i="2" s="1"/>
  <c r="A1325" i="2"/>
  <c r="E1324" i="2"/>
  <c r="C1324" i="2"/>
  <c r="A1324" i="2"/>
  <c r="E1323" i="2"/>
  <c r="C1323" i="2"/>
  <c r="A1323" i="2"/>
  <c r="E1322" i="2"/>
  <c r="C1322" i="2"/>
  <c r="A1322" i="2"/>
  <c r="E1321" i="2"/>
  <c r="C1321" i="2"/>
  <c r="B1321" i="2" s="1"/>
  <c r="A1321" i="2"/>
  <c r="E1320" i="2"/>
  <c r="C1320" i="2"/>
  <c r="B1320" i="2" s="1"/>
  <c r="A1320" i="2"/>
  <c r="E1319" i="2"/>
  <c r="C1319" i="2"/>
  <c r="B1319" i="2" s="1"/>
  <c r="A1319" i="2"/>
  <c r="E1318" i="2"/>
  <c r="C1318" i="2"/>
  <c r="A1318" i="2"/>
  <c r="E1317" i="2"/>
  <c r="C1317" i="2"/>
  <c r="B1317" i="2" s="1"/>
  <c r="A1317" i="2"/>
  <c r="E1316" i="2"/>
  <c r="C1316" i="2"/>
  <c r="B1316" i="2" s="1"/>
  <c r="A1316" i="2"/>
  <c r="E1315" i="2"/>
  <c r="C1315" i="2"/>
  <c r="B1315" i="2" s="1"/>
  <c r="A1315" i="2"/>
  <c r="E1314" i="2"/>
  <c r="C1314" i="2"/>
  <c r="A1314" i="2"/>
  <c r="E1313" i="2"/>
  <c r="C1313" i="2"/>
  <c r="B1313" i="2" s="1"/>
  <c r="A1313" i="2"/>
  <c r="E1312" i="2"/>
  <c r="C1312" i="2"/>
  <c r="B1312" i="2" s="1"/>
  <c r="A1312" i="2"/>
  <c r="E1311" i="2"/>
  <c r="C1311" i="2"/>
  <c r="A1311" i="2"/>
  <c r="E1310" i="2"/>
  <c r="C1310" i="2"/>
  <c r="A1310" i="2"/>
  <c r="E1309" i="2"/>
  <c r="C1309" i="2"/>
  <c r="B1309" i="2" s="1"/>
  <c r="A1309" i="2"/>
  <c r="E1308" i="2"/>
  <c r="C1308" i="2"/>
  <c r="B1308" i="2" s="1"/>
  <c r="A1308" i="2"/>
  <c r="E1307" i="2"/>
  <c r="C1307" i="2"/>
  <c r="B1307" i="2" s="1"/>
  <c r="A1307" i="2"/>
  <c r="E1306" i="2"/>
  <c r="C1306" i="2"/>
  <c r="A1306" i="2"/>
  <c r="E1305" i="2"/>
  <c r="C1305" i="2"/>
  <c r="B1305" i="2" s="1"/>
  <c r="A1305" i="2"/>
  <c r="E1304" i="2"/>
  <c r="C1304" i="2"/>
  <c r="B1304" i="2" s="1"/>
  <c r="A1304" i="2"/>
  <c r="E1303" i="2"/>
  <c r="C1303" i="2"/>
  <c r="A1303" i="2"/>
  <c r="E1302" i="2"/>
  <c r="C1302" i="2"/>
  <c r="A1302" i="2"/>
  <c r="E1301" i="2"/>
  <c r="C1301" i="2"/>
  <c r="B1301" i="2" s="1"/>
  <c r="A1301" i="2"/>
  <c r="E1300" i="2"/>
  <c r="C1300" i="2"/>
  <c r="B1300" i="2" s="1"/>
  <c r="A1300" i="2"/>
  <c r="E1299" i="2"/>
  <c r="C1299" i="2"/>
  <c r="B1299" i="2" s="1"/>
  <c r="A1299" i="2"/>
  <c r="E1298" i="2"/>
  <c r="C1298" i="2"/>
  <c r="A1298" i="2"/>
  <c r="E1297" i="2"/>
  <c r="C1297" i="2"/>
  <c r="B1297" i="2" s="1"/>
  <c r="A1297" i="2"/>
  <c r="E1296" i="2"/>
  <c r="C1296" i="2"/>
  <c r="B1296" i="2" s="1"/>
  <c r="A1296" i="2"/>
  <c r="E1295" i="2"/>
  <c r="C1295" i="2"/>
  <c r="A1295" i="2"/>
  <c r="E1294" i="2"/>
  <c r="C1294" i="2"/>
  <c r="A1294" i="2"/>
  <c r="E1293" i="2"/>
  <c r="C1293" i="2"/>
  <c r="B1293" i="2" s="1"/>
  <c r="A1293" i="2"/>
  <c r="E1292" i="2"/>
  <c r="C1292" i="2"/>
  <c r="A1292" i="2"/>
  <c r="E1291" i="2"/>
  <c r="C1291" i="2"/>
  <c r="A1291" i="2"/>
  <c r="E1290" i="2"/>
  <c r="C1290" i="2"/>
  <c r="A1290" i="2"/>
  <c r="E1289" i="2"/>
  <c r="C1289" i="2"/>
  <c r="B1289" i="2" s="1"/>
  <c r="A1289" i="2"/>
  <c r="E1288" i="2"/>
  <c r="C1288" i="2"/>
  <c r="B1288" i="2" s="1"/>
  <c r="A1288" i="2"/>
  <c r="E1287" i="2"/>
  <c r="C1287" i="2"/>
  <c r="B1287" i="2" s="1"/>
  <c r="A1287" i="2"/>
  <c r="E1286" i="2"/>
  <c r="C1286" i="2"/>
  <c r="A1286" i="2"/>
  <c r="E1285" i="2"/>
  <c r="C1285" i="2"/>
  <c r="B1285" i="2" s="1"/>
  <c r="A1285" i="2"/>
  <c r="E1284" i="2"/>
  <c r="C1284" i="2"/>
  <c r="B1284" i="2" s="1"/>
  <c r="A1284" i="2"/>
  <c r="E1283" i="2"/>
  <c r="C1283" i="2"/>
  <c r="B1283" i="2" s="1"/>
  <c r="A1283" i="2"/>
  <c r="E1282" i="2"/>
  <c r="C1282" i="2"/>
  <c r="A1282" i="2"/>
  <c r="E1281" i="2"/>
  <c r="C1281" i="2"/>
  <c r="B1281" i="2" s="1"/>
  <c r="A1281" i="2"/>
  <c r="E1280" i="2"/>
  <c r="C1280" i="2"/>
  <c r="B1280" i="2" s="1"/>
  <c r="A1280" i="2"/>
  <c r="E1279" i="2"/>
  <c r="C1279" i="2"/>
  <c r="A1279" i="2"/>
  <c r="E1278" i="2"/>
  <c r="C1278" i="2"/>
  <c r="A1278" i="2"/>
  <c r="E1277" i="2"/>
  <c r="C1277" i="2"/>
  <c r="B1277" i="2" s="1"/>
  <c r="A1277" i="2"/>
  <c r="E1276" i="2"/>
  <c r="C1276" i="2"/>
  <c r="B1276" i="2" s="1"/>
  <c r="A1276" i="2"/>
  <c r="E1275" i="2"/>
  <c r="C1275" i="2"/>
  <c r="B1275" i="2" s="1"/>
  <c r="A1275" i="2"/>
  <c r="E1274" i="2"/>
  <c r="C1274" i="2"/>
  <c r="A1274" i="2"/>
  <c r="E1273" i="2"/>
  <c r="C1273" i="2"/>
  <c r="B1273" i="2" s="1"/>
  <c r="A1273" i="2"/>
  <c r="E1272" i="2"/>
  <c r="C1272" i="2"/>
  <c r="B1272" i="2" s="1"/>
  <c r="A1272" i="2"/>
  <c r="E1271" i="2"/>
  <c r="C1271" i="2"/>
  <c r="A1271" i="2"/>
  <c r="E1270" i="2"/>
  <c r="C1270" i="2"/>
  <c r="A1270" i="2"/>
  <c r="E1269" i="2"/>
  <c r="C1269" i="2"/>
  <c r="B1269" i="2" s="1"/>
  <c r="A1269" i="2"/>
  <c r="E1268" i="2"/>
  <c r="C1268" i="2"/>
  <c r="B1268" i="2" s="1"/>
  <c r="A1268" i="2"/>
  <c r="E1267" i="2"/>
  <c r="C1267" i="2"/>
  <c r="B1267" i="2" s="1"/>
  <c r="A1267" i="2"/>
  <c r="E1266" i="2"/>
  <c r="C1266" i="2"/>
  <c r="A1266" i="2"/>
  <c r="E1265" i="2"/>
  <c r="C1265" i="2"/>
  <c r="B1265" i="2" s="1"/>
  <c r="A1265" i="2"/>
  <c r="E1264" i="2"/>
  <c r="C1264" i="2"/>
  <c r="B1264" i="2" s="1"/>
  <c r="A1264" i="2"/>
  <c r="E1263" i="2"/>
  <c r="C1263" i="2"/>
  <c r="A1263" i="2"/>
  <c r="E1262" i="2"/>
  <c r="C1262" i="2"/>
  <c r="A1262" i="2"/>
  <c r="E1261" i="2"/>
  <c r="C1261" i="2"/>
  <c r="B1261" i="2" s="1"/>
  <c r="A1261" i="2"/>
  <c r="E1260" i="2"/>
  <c r="C1260" i="2"/>
  <c r="A1260" i="2"/>
  <c r="E1259" i="2"/>
  <c r="C1259" i="2"/>
  <c r="A1259" i="2"/>
  <c r="E1258" i="2"/>
  <c r="C1258" i="2"/>
  <c r="A1258" i="2"/>
  <c r="E1257" i="2"/>
  <c r="C1257" i="2"/>
  <c r="B1257" i="2" s="1"/>
  <c r="A1257" i="2"/>
  <c r="E1256" i="2"/>
  <c r="C1256" i="2"/>
  <c r="B1256" i="2" s="1"/>
  <c r="A1256" i="2"/>
  <c r="E1255" i="2"/>
  <c r="C1255" i="2"/>
  <c r="B1255" i="2" s="1"/>
  <c r="A1255" i="2"/>
  <c r="E1254" i="2"/>
  <c r="C1254" i="2"/>
  <c r="A1254" i="2"/>
  <c r="E1253" i="2"/>
  <c r="C1253" i="2"/>
  <c r="B1253" i="2" s="1"/>
  <c r="A1253" i="2"/>
  <c r="E1252" i="2"/>
  <c r="C1252" i="2"/>
  <c r="B1252" i="2" s="1"/>
  <c r="A1252" i="2"/>
  <c r="E1251" i="2"/>
  <c r="C1251" i="2"/>
  <c r="B1251" i="2" s="1"/>
  <c r="A1251" i="2"/>
  <c r="E1250" i="2"/>
  <c r="C1250" i="2"/>
  <c r="A1250" i="2"/>
  <c r="E1249" i="2"/>
  <c r="C1249" i="2"/>
  <c r="B1249" i="2" s="1"/>
  <c r="A1249" i="2"/>
  <c r="E1248" i="2"/>
  <c r="C1248" i="2"/>
  <c r="B1248" i="2" s="1"/>
  <c r="A1248" i="2"/>
  <c r="E1247" i="2"/>
  <c r="C1247" i="2"/>
  <c r="A1247" i="2"/>
  <c r="E1246" i="2"/>
  <c r="C1246" i="2"/>
  <c r="A1246" i="2"/>
  <c r="E1245" i="2"/>
  <c r="C1245" i="2"/>
  <c r="B1245" i="2" s="1"/>
  <c r="A1245" i="2"/>
  <c r="E1244" i="2"/>
  <c r="C1244" i="2"/>
  <c r="B1244" i="2" s="1"/>
  <c r="A1244" i="2"/>
  <c r="E1243" i="2"/>
  <c r="C1243" i="2"/>
  <c r="B1243" i="2" s="1"/>
  <c r="A1243" i="2"/>
  <c r="E1242" i="2"/>
  <c r="C1242" i="2"/>
  <c r="A1242" i="2"/>
  <c r="E1241" i="2"/>
  <c r="C1241" i="2"/>
  <c r="B1241" i="2" s="1"/>
  <c r="A1241" i="2"/>
  <c r="E1240" i="2"/>
  <c r="C1240" i="2"/>
  <c r="B1240" i="2" s="1"/>
  <c r="A1240" i="2"/>
  <c r="E1239" i="2"/>
  <c r="C1239" i="2"/>
  <c r="B1239" i="2" s="1"/>
  <c r="A1239" i="2"/>
  <c r="E1238" i="2"/>
  <c r="C1238" i="2"/>
  <c r="A1238" i="2"/>
  <c r="E1237" i="2"/>
  <c r="C1237" i="2"/>
  <c r="B1237" i="2" s="1"/>
  <c r="A1237" i="2"/>
  <c r="E1236" i="2"/>
  <c r="C1236" i="2"/>
  <c r="B1236" i="2" s="1"/>
  <c r="A1236" i="2"/>
  <c r="E1235" i="2"/>
  <c r="C1235" i="2"/>
  <c r="B1235" i="2" s="1"/>
  <c r="A1235" i="2"/>
  <c r="E1234" i="2"/>
  <c r="C1234" i="2"/>
  <c r="A1234" i="2"/>
  <c r="E1233" i="2"/>
  <c r="C1233" i="2"/>
  <c r="B1233" i="2" s="1"/>
  <c r="A1233" i="2"/>
  <c r="E1232" i="2"/>
  <c r="C1232" i="2"/>
  <c r="B1232" i="2" s="1"/>
  <c r="A1232" i="2"/>
  <c r="E1231" i="2"/>
  <c r="C1231" i="2"/>
  <c r="A1231" i="2"/>
  <c r="E1230" i="2"/>
  <c r="C1230" i="2"/>
  <c r="A1230" i="2"/>
  <c r="E1229" i="2"/>
  <c r="C1229" i="2"/>
  <c r="B1229" i="2" s="1"/>
  <c r="A1229" i="2"/>
  <c r="E1228" i="2"/>
  <c r="C1228" i="2"/>
  <c r="A1228" i="2"/>
  <c r="E1227" i="2"/>
  <c r="C1227" i="2"/>
  <c r="A1227" i="2"/>
  <c r="E1226" i="2"/>
  <c r="C1226" i="2"/>
  <c r="A1226" i="2"/>
  <c r="E1225" i="2"/>
  <c r="C1225" i="2"/>
  <c r="B1225" i="2" s="1"/>
  <c r="A1225" i="2"/>
  <c r="E1224" i="2"/>
  <c r="C1224" i="2"/>
  <c r="B1224" i="2" s="1"/>
  <c r="A1224" i="2"/>
  <c r="E1223" i="2"/>
  <c r="C1223" i="2"/>
  <c r="B1223" i="2" s="1"/>
  <c r="A1223" i="2"/>
  <c r="E1222" i="2"/>
  <c r="C1222" i="2"/>
  <c r="A1222" i="2"/>
  <c r="E1221" i="2"/>
  <c r="C1221" i="2"/>
  <c r="B1221" i="2" s="1"/>
  <c r="A1221" i="2"/>
  <c r="E1220" i="2"/>
  <c r="C1220" i="2"/>
  <c r="B1220" i="2" s="1"/>
  <c r="A1220" i="2"/>
  <c r="E1219" i="2"/>
  <c r="C1219" i="2"/>
  <c r="B1219" i="2" s="1"/>
  <c r="A1219" i="2"/>
  <c r="E1218" i="2"/>
  <c r="C1218" i="2"/>
  <c r="A1218" i="2"/>
  <c r="E1217" i="2"/>
  <c r="C1217" i="2"/>
  <c r="B1217" i="2" s="1"/>
  <c r="A1217" i="2"/>
  <c r="E1216" i="2"/>
  <c r="C1216" i="2"/>
  <c r="B1216" i="2" s="1"/>
  <c r="A1216" i="2"/>
  <c r="E1215" i="2"/>
  <c r="C1215" i="2"/>
  <c r="A1215" i="2"/>
  <c r="E1214" i="2"/>
  <c r="C1214" i="2"/>
  <c r="A1214" i="2"/>
  <c r="E1213" i="2"/>
  <c r="C1213" i="2"/>
  <c r="B1213" i="2" s="1"/>
  <c r="A1213" i="2"/>
  <c r="E1212" i="2"/>
  <c r="C1212" i="2"/>
  <c r="B1212" i="2" s="1"/>
  <c r="A1212" i="2"/>
  <c r="E1211" i="2"/>
  <c r="C1211" i="2"/>
  <c r="A1211" i="2"/>
  <c r="E1210" i="2"/>
  <c r="C1210" i="2"/>
  <c r="A1210" i="2"/>
  <c r="E1209" i="2"/>
  <c r="C1209" i="2"/>
  <c r="B1209" i="2" s="1"/>
  <c r="A1209" i="2"/>
  <c r="E1208" i="2"/>
  <c r="C1208" i="2"/>
  <c r="B1208" i="2" s="1"/>
  <c r="A1208" i="2"/>
  <c r="E1207" i="2"/>
  <c r="C1207" i="2"/>
  <c r="A1207" i="2"/>
  <c r="E1206" i="2"/>
  <c r="C1206" i="2"/>
  <c r="A1206" i="2"/>
  <c r="E1205" i="2"/>
  <c r="C1205" i="2"/>
  <c r="B1205" i="2" s="1"/>
  <c r="A1205" i="2"/>
  <c r="E1204" i="2"/>
  <c r="C1204" i="2"/>
  <c r="B1204" i="2" s="1"/>
  <c r="A1204" i="2"/>
  <c r="E1203" i="2"/>
  <c r="C1203" i="2"/>
  <c r="B1203" i="2" s="1"/>
  <c r="A1203" i="2"/>
  <c r="E1202" i="2"/>
  <c r="C1202" i="2"/>
  <c r="A1202" i="2"/>
  <c r="E1201" i="2"/>
  <c r="C1201" i="2"/>
  <c r="B1201" i="2" s="1"/>
  <c r="A1201" i="2"/>
  <c r="E1200" i="2"/>
  <c r="C1200" i="2"/>
  <c r="B1200" i="2" s="1"/>
  <c r="A1200" i="2"/>
  <c r="E1199" i="2"/>
  <c r="C1199" i="2"/>
  <c r="A1199" i="2"/>
  <c r="E1198" i="2"/>
  <c r="C1198" i="2"/>
  <c r="A1198" i="2"/>
  <c r="E1197" i="2"/>
  <c r="C1197" i="2"/>
  <c r="B1197" i="2" s="1"/>
  <c r="A1197" i="2"/>
  <c r="E1196" i="2"/>
  <c r="C1196" i="2"/>
  <c r="B1196" i="2" s="1"/>
  <c r="A1196" i="2"/>
  <c r="E1195" i="2"/>
  <c r="C1195" i="2"/>
  <c r="B1195" i="2" s="1"/>
  <c r="A1195" i="2"/>
  <c r="E1194" i="2"/>
  <c r="C1194" i="2"/>
  <c r="A1194" i="2"/>
  <c r="E1193" i="2"/>
  <c r="C1193" i="2"/>
  <c r="B1193" i="2" s="1"/>
  <c r="A1193" i="2"/>
  <c r="E1192" i="2"/>
  <c r="C1192" i="2"/>
  <c r="A1192" i="2"/>
  <c r="E1191" i="2"/>
  <c r="C1191" i="2"/>
  <c r="A1191" i="2"/>
  <c r="E1190" i="2"/>
  <c r="C1190" i="2"/>
  <c r="A1190" i="2"/>
  <c r="E1189" i="2"/>
  <c r="C1189" i="2"/>
  <c r="B1189" i="2" s="1"/>
  <c r="A1189" i="2"/>
  <c r="E1188" i="2"/>
  <c r="C1188" i="2"/>
  <c r="B1188" i="2" s="1"/>
  <c r="A1188" i="2"/>
  <c r="E1187" i="2"/>
  <c r="C1187" i="2"/>
  <c r="B1187" i="2" s="1"/>
  <c r="A1187" i="2"/>
  <c r="E1186" i="2"/>
  <c r="C1186" i="2"/>
  <c r="A1186" i="2"/>
  <c r="E1185" i="2"/>
  <c r="C1185" i="2"/>
  <c r="B1185" i="2" s="1"/>
  <c r="A1185" i="2"/>
  <c r="E1184" i="2"/>
  <c r="C1184" i="2"/>
  <c r="B1184" i="2" s="1"/>
  <c r="A1184" i="2"/>
  <c r="E1183" i="2"/>
  <c r="C1183" i="2"/>
  <c r="A1183" i="2"/>
  <c r="E1182" i="2"/>
  <c r="C1182" i="2"/>
  <c r="A1182" i="2"/>
  <c r="E1181" i="2"/>
  <c r="C1181" i="2"/>
  <c r="B1181" i="2" s="1"/>
  <c r="A1181" i="2"/>
  <c r="E1180" i="2"/>
  <c r="C1180" i="2"/>
  <c r="B1180" i="2" s="1"/>
  <c r="A1180" i="2"/>
  <c r="E1179" i="2"/>
  <c r="C1179" i="2"/>
  <c r="B1179" i="2" s="1"/>
  <c r="A1179" i="2"/>
  <c r="E1178" i="2"/>
  <c r="C1178" i="2"/>
  <c r="A1178" i="2"/>
  <c r="E1177" i="2"/>
  <c r="C1177" i="2"/>
  <c r="B1177" i="2" s="1"/>
  <c r="A1177" i="2"/>
  <c r="E1176" i="2"/>
  <c r="C1176" i="2"/>
  <c r="B1176" i="2" s="1"/>
  <c r="A1176" i="2"/>
  <c r="E1175" i="2"/>
  <c r="C1175" i="2"/>
  <c r="A1175" i="2"/>
  <c r="E1174" i="2"/>
  <c r="C1174" i="2"/>
  <c r="A1174" i="2"/>
  <c r="E1173" i="2"/>
  <c r="C1173" i="2"/>
  <c r="B1173" i="2" s="1"/>
  <c r="A1173" i="2"/>
  <c r="E1172" i="2"/>
  <c r="C1172" i="2"/>
  <c r="B1172" i="2" s="1"/>
  <c r="A1172" i="2"/>
  <c r="E1171" i="2"/>
  <c r="C1171" i="2"/>
  <c r="B1171" i="2" s="1"/>
  <c r="A1171" i="2"/>
  <c r="E1170" i="2"/>
  <c r="C1170" i="2"/>
  <c r="A1170" i="2"/>
  <c r="E1169" i="2"/>
  <c r="C1169" i="2"/>
  <c r="B1169" i="2" s="1"/>
  <c r="A1169" i="2"/>
  <c r="E1168" i="2"/>
  <c r="C1168" i="2"/>
  <c r="B1168" i="2" s="1"/>
  <c r="A1168" i="2"/>
  <c r="E1167" i="2"/>
  <c r="C1167" i="2"/>
  <c r="A1167" i="2"/>
  <c r="E1166" i="2"/>
  <c r="C1166" i="2"/>
  <c r="B1166" i="2" s="1"/>
  <c r="A1166" i="2"/>
  <c r="E1165" i="2"/>
  <c r="C1165" i="2"/>
  <c r="B1165" i="2" s="1"/>
  <c r="A1165" i="2"/>
  <c r="E1164" i="2"/>
  <c r="C1164" i="2"/>
  <c r="A1164" i="2"/>
  <c r="E1163" i="2"/>
  <c r="C1163" i="2"/>
  <c r="B1163" i="2" s="1"/>
  <c r="A1163" i="2"/>
  <c r="E1162" i="2"/>
  <c r="C1162" i="2"/>
  <c r="A1162" i="2"/>
  <c r="E1161" i="2"/>
  <c r="C1161" i="2"/>
  <c r="B1161" i="2" s="1"/>
  <c r="A1161" i="2"/>
  <c r="E1160" i="2"/>
  <c r="C1160" i="2"/>
  <c r="A1160" i="2"/>
  <c r="E1159" i="2"/>
  <c r="C1159" i="2"/>
  <c r="B1159" i="2" s="1"/>
  <c r="A1159" i="2"/>
  <c r="E1158" i="2"/>
  <c r="C1158" i="2"/>
  <c r="A1158" i="2"/>
  <c r="E1157" i="2"/>
  <c r="C1157" i="2"/>
  <c r="B1157" i="2" s="1"/>
  <c r="A1157" i="2"/>
  <c r="E1156" i="2"/>
  <c r="C1156" i="2"/>
  <c r="B1156" i="2" s="1"/>
  <c r="A1156" i="2"/>
  <c r="E1155" i="2"/>
  <c r="C1155" i="2"/>
  <c r="B1155" i="2" s="1"/>
  <c r="A1155" i="2"/>
  <c r="E1154" i="2"/>
  <c r="C1154" i="2"/>
  <c r="B1154" i="2" s="1"/>
  <c r="A1154" i="2"/>
  <c r="E1153" i="2"/>
  <c r="C1153" i="2"/>
  <c r="B1153" i="2" s="1"/>
  <c r="A1153" i="2"/>
  <c r="E1152" i="2"/>
  <c r="C1152" i="2"/>
  <c r="B1152" i="2" s="1"/>
  <c r="A1152" i="2"/>
  <c r="E1151" i="2"/>
  <c r="C1151" i="2"/>
  <c r="B1151" i="2" s="1"/>
  <c r="A1151" i="2"/>
  <c r="E1150" i="2"/>
  <c r="C1150" i="2"/>
  <c r="B1150" i="2" s="1"/>
  <c r="A1150" i="2"/>
  <c r="E1149" i="2"/>
  <c r="C1149" i="2"/>
  <c r="B1149" i="2" s="1"/>
  <c r="A1149" i="2"/>
  <c r="E1148" i="2"/>
  <c r="C1148" i="2"/>
  <c r="B1148" i="2" s="1"/>
  <c r="A1148" i="2"/>
  <c r="E1147" i="2"/>
  <c r="C1147" i="2"/>
  <c r="B1147" i="2" s="1"/>
  <c r="A1147" i="2"/>
  <c r="E1146" i="2"/>
  <c r="C1146" i="2"/>
  <c r="B1146" i="2" s="1"/>
  <c r="A1146" i="2"/>
  <c r="E1145" i="2"/>
  <c r="C1145" i="2"/>
  <c r="B1145" i="2" s="1"/>
  <c r="A1145" i="2"/>
  <c r="E1144" i="2"/>
  <c r="C1144" i="2"/>
  <c r="B1144" i="2" s="1"/>
  <c r="A1144" i="2"/>
  <c r="E1143" i="2"/>
  <c r="C1143" i="2"/>
  <c r="B1143" i="2" s="1"/>
  <c r="A1143" i="2"/>
  <c r="E1142" i="2"/>
  <c r="C1142" i="2"/>
  <c r="B1142" i="2" s="1"/>
  <c r="A1142" i="2"/>
  <c r="E1141" i="2"/>
  <c r="C1141" i="2"/>
  <c r="B1141" i="2" s="1"/>
  <c r="A1141" i="2"/>
  <c r="E1140" i="2"/>
  <c r="C1140" i="2"/>
  <c r="B1140" i="2" s="1"/>
  <c r="A1140" i="2"/>
  <c r="E1139" i="2"/>
  <c r="C1139" i="2"/>
  <c r="B1139" i="2" s="1"/>
  <c r="A1139" i="2"/>
  <c r="E1138" i="2"/>
  <c r="C1138" i="2"/>
  <c r="B1138" i="2" s="1"/>
  <c r="A1138" i="2"/>
  <c r="E1137" i="2"/>
  <c r="C1137" i="2"/>
  <c r="B1137" i="2" s="1"/>
  <c r="A1137" i="2"/>
  <c r="E1136" i="2"/>
  <c r="C1136" i="2"/>
  <c r="B1136" i="2" s="1"/>
  <c r="A1136" i="2"/>
  <c r="E1135" i="2"/>
  <c r="C1135" i="2"/>
  <c r="B1135" i="2" s="1"/>
  <c r="A1135" i="2"/>
  <c r="E1134" i="2"/>
  <c r="C1134" i="2"/>
  <c r="B1134" i="2" s="1"/>
  <c r="A1134" i="2"/>
  <c r="E1133" i="2"/>
  <c r="C1133" i="2"/>
  <c r="B1133" i="2" s="1"/>
  <c r="A1133" i="2"/>
  <c r="E1132" i="2"/>
  <c r="C1132" i="2"/>
  <c r="B1132" i="2" s="1"/>
  <c r="A1132" i="2"/>
  <c r="E1131" i="2"/>
  <c r="C1131" i="2"/>
  <c r="B1131" i="2" s="1"/>
  <c r="A1131" i="2"/>
  <c r="E1130" i="2"/>
  <c r="C1130" i="2"/>
  <c r="B1130" i="2" s="1"/>
  <c r="A1130" i="2"/>
  <c r="E1129" i="2"/>
  <c r="C1129" i="2"/>
  <c r="B1129" i="2" s="1"/>
  <c r="A1129" i="2"/>
  <c r="E1128" i="2"/>
  <c r="C1128" i="2"/>
  <c r="B1128" i="2" s="1"/>
  <c r="A1128" i="2"/>
  <c r="E1127" i="2"/>
  <c r="C1127" i="2"/>
  <c r="B1127" i="2" s="1"/>
  <c r="A1127" i="2"/>
  <c r="E1126" i="2"/>
  <c r="C1126" i="2"/>
  <c r="B1126" i="2" s="1"/>
  <c r="A1126" i="2"/>
  <c r="E1125" i="2"/>
  <c r="C1125" i="2"/>
  <c r="B1125" i="2" s="1"/>
  <c r="A1125" i="2"/>
  <c r="E1124" i="2"/>
  <c r="C1124" i="2"/>
  <c r="B1124" i="2" s="1"/>
  <c r="A1124" i="2"/>
  <c r="E1123" i="2"/>
  <c r="C1123" i="2"/>
  <c r="B1123" i="2" s="1"/>
  <c r="A1123" i="2"/>
  <c r="E1122" i="2"/>
  <c r="C1122" i="2"/>
  <c r="B1122" i="2" s="1"/>
  <c r="A1122" i="2"/>
  <c r="E1121" i="2"/>
  <c r="C1121" i="2"/>
  <c r="B1121" i="2" s="1"/>
  <c r="A1121" i="2"/>
  <c r="E1120" i="2"/>
  <c r="C1120" i="2"/>
  <c r="B1120" i="2" s="1"/>
  <c r="A1120" i="2"/>
  <c r="E1119" i="2"/>
  <c r="C1119" i="2"/>
  <c r="B1119" i="2" s="1"/>
  <c r="A1119" i="2"/>
  <c r="E1118" i="2"/>
  <c r="C1118" i="2"/>
  <c r="B1118" i="2" s="1"/>
  <c r="A1118" i="2"/>
  <c r="E1117" i="2"/>
  <c r="C1117" i="2"/>
  <c r="B1117" i="2" s="1"/>
  <c r="A1117" i="2"/>
  <c r="E1116" i="2"/>
  <c r="C1116" i="2"/>
  <c r="B1116" i="2" s="1"/>
  <c r="A1116" i="2"/>
  <c r="E1115" i="2"/>
  <c r="C1115" i="2"/>
  <c r="B1115" i="2" s="1"/>
  <c r="A1115" i="2"/>
  <c r="E1114" i="2"/>
  <c r="C1114" i="2"/>
  <c r="B1114" i="2" s="1"/>
  <c r="A1114" i="2"/>
  <c r="E1113" i="2"/>
  <c r="C1113" i="2"/>
  <c r="B1113" i="2" s="1"/>
  <c r="A1113" i="2"/>
  <c r="E1112" i="2"/>
  <c r="C1112" i="2"/>
  <c r="B1112" i="2" s="1"/>
  <c r="A1112" i="2"/>
  <c r="E1111" i="2"/>
  <c r="C1111" i="2"/>
  <c r="B1111" i="2" s="1"/>
  <c r="A1111" i="2"/>
  <c r="E1110" i="2"/>
  <c r="C1110" i="2"/>
  <c r="B1110" i="2" s="1"/>
  <c r="A1110" i="2"/>
  <c r="E1109" i="2"/>
  <c r="C1109" i="2"/>
  <c r="B1109" i="2" s="1"/>
  <c r="A1109" i="2"/>
  <c r="E1108" i="2"/>
  <c r="C1108" i="2"/>
  <c r="B1108" i="2" s="1"/>
  <c r="A1108" i="2"/>
  <c r="E1107" i="2"/>
  <c r="C1107" i="2"/>
  <c r="B1107" i="2" s="1"/>
  <c r="A1107" i="2"/>
  <c r="E1106" i="2"/>
  <c r="C1106" i="2"/>
  <c r="B1106" i="2" s="1"/>
  <c r="A1106" i="2"/>
  <c r="E1105" i="2"/>
  <c r="C1105" i="2"/>
  <c r="B1105" i="2" s="1"/>
  <c r="A1105" i="2"/>
  <c r="E1104" i="2"/>
  <c r="C1104" i="2"/>
  <c r="B1104" i="2" s="1"/>
  <c r="A1104" i="2"/>
  <c r="E1103" i="2"/>
  <c r="C1103" i="2"/>
  <c r="B1103" i="2" s="1"/>
  <c r="A1103" i="2"/>
  <c r="E1102" i="2"/>
  <c r="C1102" i="2"/>
  <c r="B1102" i="2" s="1"/>
  <c r="A1102" i="2"/>
  <c r="E1101" i="2"/>
  <c r="C1101" i="2"/>
  <c r="B1101" i="2" s="1"/>
  <c r="A1101" i="2"/>
  <c r="E1100" i="2"/>
  <c r="C1100" i="2"/>
  <c r="B1100" i="2" s="1"/>
  <c r="A1100" i="2"/>
  <c r="E1099" i="2"/>
  <c r="C1099" i="2"/>
  <c r="B1099" i="2" s="1"/>
  <c r="A1099" i="2"/>
  <c r="E1098" i="2"/>
  <c r="C1098" i="2"/>
  <c r="B1098" i="2" s="1"/>
  <c r="A1098" i="2"/>
  <c r="E1097" i="2"/>
  <c r="C1097" i="2"/>
  <c r="B1097" i="2" s="1"/>
  <c r="A1097" i="2"/>
  <c r="E1096" i="2"/>
  <c r="C1096" i="2"/>
  <c r="B1096" i="2" s="1"/>
  <c r="A1096" i="2"/>
  <c r="E1095" i="2"/>
  <c r="C1095" i="2"/>
  <c r="B1095" i="2" s="1"/>
  <c r="A1095" i="2"/>
  <c r="E1094" i="2"/>
  <c r="C1094" i="2"/>
  <c r="B1094" i="2" s="1"/>
  <c r="A1094" i="2"/>
  <c r="E1093" i="2"/>
  <c r="C1093" i="2"/>
  <c r="B1093" i="2" s="1"/>
  <c r="A1093" i="2"/>
  <c r="E1092" i="2"/>
  <c r="C1092" i="2"/>
  <c r="B1092" i="2" s="1"/>
  <c r="A1092" i="2"/>
  <c r="E1091" i="2"/>
  <c r="C1091" i="2"/>
  <c r="B1091" i="2" s="1"/>
  <c r="A1091" i="2"/>
  <c r="E1090" i="2"/>
  <c r="C1090" i="2"/>
  <c r="B1090" i="2" s="1"/>
  <c r="A1090" i="2"/>
  <c r="E1089" i="2"/>
  <c r="C1089" i="2"/>
  <c r="B1089" i="2" s="1"/>
  <c r="A1089" i="2"/>
  <c r="E1088" i="2"/>
  <c r="C1088" i="2"/>
  <c r="B1088" i="2" s="1"/>
  <c r="A1088" i="2"/>
  <c r="E1087" i="2"/>
  <c r="C1087" i="2"/>
  <c r="B1087" i="2" s="1"/>
  <c r="A1087" i="2"/>
  <c r="E1086" i="2"/>
  <c r="C1086" i="2"/>
  <c r="B1086" i="2" s="1"/>
  <c r="A1086" i="2"/>
  <c r="E1085" i="2"/>
  <c r="C1085" i="2"/>
  <c r="B1085" i="2" s="1"/>
  <c r="A1085" i="2"/>
  <c r="E1084" i="2"/>
  <c r="C1084" i="2"/>
  <c r="B1084" i="2" s="1"/>
  <c r="A1084" i="2"/>
  <c r="E1083" i="2"/>
  <c r="C1083" i="2"/>
  <c r="B1083" i="2" s="1"/>
  <c r="A1083" i="2"/>
  <c r="E1082" i="2"/>
  <c r="C1082" i="2"/>
  <c r="B1082" i="2" s="1"/>
  <c r="A1082" i="2"/>
  <c r="E1081" i="2"/>
  <c r="C1081" i="2"/>
  <c r="B1081" i="2" s="1"/>
  <c r="A1081" i="2"/>
  <c r="E1080" i="2"/>
  <c r="C1080" i="2"/>
  <c r="B1080" i="2" s="1"/>
  <c r="A1080" i="2"/>
  <c r="E1079" i="2"/>
  <c r="C1079" i="2"/>
  <c r="B1079" i="2" s="1"/>
  <c r="A1079" i="2"/>
  <c r="E1078" i="2"/>
  <c r="C1078" i="2"/>
  <c r="B1078" i="2" s="1"/>
  <c r="A1078" i="2"/>
  <c r="E1077" i="2"/>
  <c r="C1077" i="2"/>
  <c r="B1077" i="2" s="1"/>
  <c r="A1077" i="2"/>
  <c r="E1076" i="2"/>
  <c r="C1076" i="2"/>
  <c r="B1076" i="2" s="1"/>
  <c r="A1076" i="2"/>
  <c r="E1075" i="2"/>
  <c r="C1075" i="2"/>
  <c r="B1075" i="2" s="1"/>
  <c r="A1075" i="2"/>
  <c r="E1074" i="2"/>
  <c r="C1074" i="2"/>
  <c r="B1074" i="2" s="1"/>
  <c r="A1074" i="2"/>
  <c r="E1073" i="2"/>
  <c r="C1073" i="2"/>
  <c r="B1073" i="2" s="1"/>
  <c r="A1073" i="2"/>
  <c r="E1072" i="2"/>
  <c r="C1072" i="2"/>
  <c r="B1072" i="2" s="1"/>
  <c r="A1072" i="2"/>
  <c r="E1071" i="2"/>
  <c r="C1071" i="2"/>
  <c r="B1071" i="2" s="1"/>
  <c r="A1071" i="2"/>
  <c r="E1070" i="2"/>
  <c r="C1070" i="2"/>
  <c r="B1070" i="2" s="1"/>
  <c r="A1070" i="2"/>
  <c r="E1069" i="2"/>
  <c r="C1069" i="2"/>
  <c r="B1069" i="2" s="1"/>
  <c r="A1069" i="2"/>
  <c r="E1068" i="2"/>
  <c r="C1068" i="2"/>
  <c r="B1068" i="2" s="1"/>
  <c r="A1068" i="2"/>
  <c r="E1067" i="2"/>
  <c r="C1067" i="2"/>
  <c r="B1067" i="2" s="1"/>
  <c r="A1067" i="2"/>
  <c r="E1066" i="2"/>
  <c r="C1066" i="2"/>
  <c r="B1066" i="2" s="1"/>
  <c r="A1066" i="2"/>
  <c r="E1065" i="2"/>
  <c r="C1065" i="2"/>
  <c r="B1065" i="2" s="1"/>
  <c r="A1065" i="2"/>
  <c r="E1064" i="2"/>
  <c r="C1064" i="2"/>
  <c r="B1064" i="2" s="1"/>
  <c r="A1064" i="2"/>
  <c r="E1063" i="2"/>
  <c r="C1063" i="2"/>
  <c r="B1063" i="2" s="1"/>
  <c r="A1063" i="2"/>
  <c r="E1062" i="2"/>
  <c r="C1062" i="2"/>
  <c r="B1062" i="2" s="1"/>
  <c r="A1062" i="2"/>
  <c r="E1061" i="2"/>
  <c r="C1061" i="2"/>
  <c r="B1061" i="2" s="1"/>
  <c r="A1061" i="2"/>
  <c r="E1060" i="2"/>
  <c r="C1060" i="2"/>
  <c r="B1060" i="2" s="1"/>
  <c r="A1060" i="2"/>
  <c r="E1059" i="2"/>
  <c r="C1059" i="2"/>
  <c r="B1059" i="2" s="1"/>
  <c r="A1059" i="2"/>
  <c r="E1058" i="2"/>
  <c r="C1058" i="2"/>
  <c r="B1058" i="2" s="1"/>
  <c r="A1058" i="2"/>
  <c r="E1057" i="2"/>
  <c r="C1057" i="2"/>
  <c r="B1057" i="2" s="1"/>
  <c r="A1057" i="2"/>
  <c r="E1056" i="2"/>
  <c r="C1056" i="2"/>
  <c r="B1056" i="2" s="1"/>
  <c r="A1056" i="2"/>
  <c r="E1055" i="2"/>
  <c r="C1055" i="2"/>
  <c r="B1055" i="2" s="1"/>
  <c r="A1055" i="2"/>
  <c r="E1054" i="2"/>
  <c r="C1054" i="2"/>
  <c r="B1054" i="2" s="1"/>
  <c r="A1054" i="2"/>
  <c r="E1053" i="2"/>
  <c r="C1053" i="2"/>
  <c r="B1053" i="2" s="1"/>
  <c r="A1053" i="2"/>
  <c r="E1052" i="2"/>
  <c r="C1052" i="2"/>
  <c r="B1052" i="2" s="1"/>
  <c r="A1052" i="2"/>
  <c r="E1051" i="2"/>
  <c r="C1051" i="2"/>
  <c r="B1051" i="2" s="1"/>
  <c r="A1051" i="2"/>
  <c r="E1050" i="2"/>
  <c r="C1050" i="2"/>
  <c r="B1050" i="2" s="1"/>
  <c r="A1050" i="2"/>
  <c r="E1049" i="2"/>
  <c r="C1049" i="2"/>
  <c r="B1049" i="2" s="1"/>
  <c r="A1049" i="2"/>
  <c r="E1048" i="2"/>
  <c r="C1048" i="2"/>
  <c r="B1048" i="2" s="1"/>
  <c r="A1048" i="2"/>
  <c r="E1047" i="2"/>
  <c r="C1047" i="2"/>
  <c r="B1047" i="2" s="1"/>
  <c r="A1047" i="2"/>
  <c r="E1046" i="2"/>
  <c r="C1046" i="2"/>
  <c r="B1046" i="2" s="1"/>
  <c r="A1046" i="2"/>
  <c r="E1045" i="2"/>
  <c r="C1045" i="2"/>
  <c r="B1045" i="2" s="1"/>
  <c r="A1045" i="2"/>
  <c r="E1044" i="2"/>
  <c r="C1044" i="2"/>
  <c r="B1044" i="2" s="1"/>
  <c r="A1044" i="2"/>
  <c r="E1043" i="2"/>
  <c r="C1043" i="2"/>
  <c r="B1043" i="2" s="1"/>
  <c r="A1043" i="2"/>
  <c r="E1042" i="2"/>
  <c r="C1042" i="2"/>
  <c r="B1042" i="2" s="1"/>
  <c r="A1042" i="2"/>
  <c r="E1041" i="2"/>
  <c r="C1041" i="2"/>
  <c r="B1041" i="2" s="1"/>
  <c r="A1041" i="2"/>
  <c r="E1040" i="2"/>
  <c r="C1040" i="2"/>
  <c r="B1040" i="2" s="1"/>
  <c r="A1040" i="2"/>
  <c r="E1039" i="2"/>
  <c r="C1039" i="2"/>
  <c r="B1039" i="2" s="1"/>
  <c r="A1039" i="2"/>
  <c r="E1038" i="2"/>
  <c r="C1038" i="2"/>
  <c r="B1038" i="2" s="1"/>
  <c r="A1038" i="2"/>
  <c r="E1037" i="2"/>
  <c r="C1037" i="2"/>
  <c r="B1037" i="2" s="1"/>
  <c r="A1037" i="2"/>
  <c r="E1036" i="2"/>
  <c r="C1036" i="2"/>
  <c r="B1036" i="2" s="1"/>
  <c r="A1036" i="2"/>
  <c r="E1035" i="2"/>
  <c r="C1035" i="2"/>
  <c r="B1035" i="2" s="1"/>
  <c r="A1035" i="2"/>
  <c r="E1034" i="2"/>
  <c r="C1034" i="2"/>
  <c r="B1034" i="2" s="1"/>
  <c r="A1034" i="2"/>
  <c r="E1033" i="2"/>
  <c r="C1033" i="2"/>
  <c r="B1033" i="2" s="1"/>
  <c r="A1033" i="2"/>
  <c r="E1032" i="2"/>
  <c r="C1032" i="2"/>
  <c r="B1032" i="2" s="1"/>
  <c r="A1032" i="2"/>
  <c r="E1031" i="2"/>
  <c r="C1031" i="2"/>
  <c r="B1031" i="2" s="1"/>
  <c r="A1031" i="2"/>
  <c r="E1030" i="2"/>
  <c r="C1030" i="2"/>
  <c r="B1030" i="2" s="1"/>
  <c r="A1030" i="2"/>
  <c r="E1029" i="2"/>
  <c r="C1029" i="2"/>
  <c r="B1029" i="2" s="1"/>
  <c r="A1029" i="2"/>
  <c r="E1028" i="2"/>
  <c r="C1028" i="2"/>
  <c r="B1028" i="2" s="1"/>
  <c r="A1028" i="2"/>
  <c r="E1027" i="2"/>
  <c r="C1027" i="2"/>
  <c r="B1027" i="2" s="1"/>
  <c r="A1027" i="2"/>
  <c r="E1026" i="2"/>
  <c r="C1026" i="2"/>
  <c r="B1026" i="2" s="1"/>
  <c r="A1026" i="2"/>
  <c r="E1025" i="2"/>
  <c r="C1025" i="2"/>
  <c r="B1025" i="2" s="1"/>
  <c r="A1025" i="2"/>
  <c r="E1024" i="2"/>
  <c r="C1024" i="2"/>
  <c r="B1024" i="2" s="1"/>
  <c r="A1024" i="2"/>
  <c r="E1023" i="2"/>
  <c r="C1023" i="2"/>
  <c r="B1023" i="2" s="1"/>
  <c r="A1023" i="2"/>
  <c r="E1022" i="2"/>
  <c r="C1022" i="2"/>
  <c r="B1022" i="2" s="1"/>
  <c r="A1022" i="2"/>
  <c r="E1021" i="2"/>
  <c r="C1021" i="2"/>
  <c r="B1021" i="2" s="1"/>
  <c r="A1021" i="2"/>
  <c r="E1020" i="2"/>
  <c r="C1020" i="2"/>
  <c r="A1020" i="2"/>
  <c r="E1019" i="2"/>
  <c r="C1019" i="2"/>
  <c r="B1019" i="2" s="1"/>
  <c r="A1019" i="2"/>
  <c r="E1018" i="2"/>
  <c r="C1018" i="2"/>
  <c r="A1018" i="2"/>
  <c r="E1017" i="2"/>
  <c r="C1017" i="2"/>
  <c r="B1017" i="2" s="1"/>
  <c r="A1017" i="2"/>
  <c r="E1016" i="2"/>
  <c r="C1016" i="2"/>
  <c r="A1016" i="2"/>
  <c r="E1015" i="2"/>
  <c r="C1015" i="2"/>
  <c r="B1015" i="2" s="1"/>
  <c r="A1015" i="2"/>
  <c r="E1014" i="2"/>
  <c r="C1014" i="2"/>
  <c r="A1014" i="2"/>
  <c r="E1013" i="2"/>
  <c r="C1013" i="2"/>
  <c r="B1013" i="2" s="1"/>
  <c r="A1013" i="2"/>
  <c r="E1012" i="2"/>
  <c r="C1012" i="2"/>
  <c r="A1012" i="2"/>
  <c r="E1011" i="2"/>
  <c r="C1011" i="2"/>
  <c r="B1011" i="2" s="1"/>
  <c r="A1011" i="2"/>
  <c r="E1010" i="2"/>
  <c r="C1010" i="2"/>
  <c r="A1010" i="2"/>
  <c r="E1009" i="2"/>
  <c r="C1009" i="2"/>
  <c r="B1009" i="2" s="1"/>
  <c r="A1009" i="2"/>
  <c r="E1008" i="2"/>
  <c r="C1008" i="2"/>
  <c r="A1008" i="2"/>
  <c r="E1007" i="2"/>
  <c r="C1007" i="2"/>
  <c r="B1007" i="2" s="1"/>
  <c r="A1007" i="2"/>
  <c r="E1006" i="2"/>
  <c r="C1006" i="2"/>
  <c r="A1006" i="2"/>
  <c r="E1005" i="2"/>
  <c r="C1005" i="2"/>
  <c r="B1005" i="2" s="1"/>
  <c r="A1005" i="2"/>
  <c r="E1004" i="2"/>
  <c r="C1004" i="2"/>
  <c r="A1004" i="2"/>
  <c r="E1003" i="2"/>
  <c r="C1003" i="2"/>
  <c r="B1003" i="2" s="1"/>
  <c r="A1003" i="2"/>
  <c r="E1002" i="2"/>
  <c r="C1002" i="2"/>
  <c r="A1002" i="2"/>
  <c r="E1001" i="2"/>
  <c r="C1001" i="2"/>
  <c r="B1001" i="2" s="1"/>
  <c r="A1001" i="2"/>
  <c r="E1000" i="2"/>
  <c r="C1000" i="2"/>
  <c r="A1000" i="2"/>
  <c r="E999" i="2"/>
  <c r="C999" i="2"/>
  <c r="B999" i="2" s="1"/>
  <c r="A999" i="2"/>
  <c r="E998" i="2"/>
  <c r="C998" i="2"/>
  <c r="A998" i="2"/>
  <c r="E997" i="2"/>
  <c r="C997" i="2"/>
  <c r="B997" i="2" s="1"/>
  <c r="A997" i="2"/>
  <c r="E996" i="2"/>
  <c r="C996" i="2"/>
  <c r="A996" i="2"/>
  <c r="E995" i="2"/>
  <c r="C995" i="2"/>
  <c r="B995" i="2" s="1"/>
  <c r="A995" i="2"/>
  <c r="E994" i="2"/>
  <c r="C994" i="2"/>
  <c r="A994" i="2"/>
  <c r="E993" i="2"/>
  <c r="C993" i="2"/>
  <c r="B993" i="2" s="1"/>
  <c r="A993" i="2"/>
  <c r="E992" i="2"/>
  <c r="C992" i="2"/>
  <c r="A992" i="2"/>
  <c r="E991" i="2"/>
  <c r="C991" i="2"/>
  <c r="B991" i="2" s="1"/>
  <c r="A991" i="2"/>
  <c r="E990" i="2"/>
  <c r="C990" i="2"/>
  <c r="A990" i="2"/>
  <c r="E989" i="2"/>
  <c r="C989" i="2"/>
  <c r="B989" i="2" s="1"/>
  <c r="A989" i="2"/>
  <c r="E988" i="2"/>
  <c r="C988" i="2"/>
  <c r="A988" i="2"/>
  <c r="E987" i="2"/>
  <c r="C987" i="2"/>
  <c r="B987" i="2" s="1"/>
  <c r="A987" i="2"/>
  <c r="E986" i="2"/>
  <c r="C986" i="2"/>
  <c r="A986" i="2"/>
  <c r="E985" i="2"/>
  <c r="C985" i="2"/>
  <c r="B985" i="2" s="1"/>
  <c r="A985" i="2"/>
  <c r="E984" i="2"/>
  <c r="C984" i="2"/>
  <c r="B984" i="2" s="1"/>
  <c r="A984" i="2"/>
  <c r="E983" i="2"/>
  <c r="C983" i="2"/>
  <c r="B983" i="2" s="1"/>
  <c r="A983" i="2"/>
  <c r="E982" i="2"/>
  <c r="C982" i="2"/>
  <c r="B982" i="2" s="1"/>
  <c r="A982" i="2"/>
  <c r="E981" i="2"/>
  <c r="C981" i="2"/>
  <c r="B981" i="2" s="1"/>
  <c r="A981" i="2"/>
  <c r="E980" i="2"/>
  <c r="C980" i="2"/>
  <c r="B980" i="2" s="1"/>
  <c r="A980" i="2"/>
  <c r="E979" i="2"/>
  <c r="C979" i="2"/>
  <c r="B979" i="2" s="1"/>
  <c r="A979" i="2"/>
  <c r="E978" i="2"/>
  <c r="C978" i="2"/>
  <c r="B978" i="2" s="1"/>
  <c r="A978" i="2"/>
  <c r="E977" i="2"/>
  <c r="C977" i="2"/>
  <c r="B977" i="2" s="1"/>
  <c r="A977" i="2"/>
  <c r="E976" i="2"/>
  <c r="C976" i="2"/>
  <c r="B976" i="2" s="1"/>
  <c r="A976" i="2"/>
  <c r="E975" i="2"/>
  <c r="C975" i="2"/>
  <c r="B975" i="2" s="1"/>
  <c r="A975" i="2"/>
  <c r="E974" i="2"/>
  <c r="C974" i="2"/>
  <c r="B974" i="2" s="1"/>
  <c r="A974" i="2"/>
  <c r="E973" i="2"/>
  <c r="C973" i="2"/>
  <c r="B973" i="2" s="1"/>
  <c r="A973" i="2"/>
  <c r="E972" i="2"/>
  <c r="C972" i="2"/>
  <c r="B972" i="2" s="1"/>
  <c r="A972" i="2"/>
  <c r="E971" i="2"/>
  <c r="C971" i="2"/>
  <c r="B971" i="2" s="1"/>
  <c r="A971" i="2"/>
  <c r="E970" i="2"/>
  <c r="C970" i="2"/>
  <c r="B970" i="2" s="1"/>
  <c r="A970" i="2"/>
  <c r="E969" i="2"/>
  <c r="C969" i="2"/>
  <c r="B969" i="2" s="1"/>
  <c r="A969" i="2"/>
  <c r="E968" i="2"/>
  <c r="C968" i="2"/>
  <c r="B968" i="2" s="1"/>
  <c r="A968" i="2"/>
  <c r="E967" i="2"/>
  <c r="C967" i="2"/>
  <c r="B967" i="2" s="1"/>
  <c r="A967" i="2"/>
  <c r="E966" i="2"/>
  <c r="C966" i="2"/>
  <c r="B966" i="2" s="1"/>
  <c r="A966" i="2"/>
  <c r="E965" i="2"/>
  <c r="C965" i="2"/>
  <c r="B965" i="2" s="1"/>
  <c r="A965" i="2"/>
  <c r="E964" i="2"/>
  <c r="C964" i="2"/>
  <c r="B964" i="2" s="1"/>
  <c r="A964" i="2"/>
  <c r="E963" i="2"/>
  <c r="C963" i="2"/>
  <c r="B963" i="2" s="1"/>
  <c r="A963" i="2"/>
  <c r="E962" i="2"/>
  <c r="C962" i="2"/>
  <c r="B962" i="2" s="1"/>
  <c r="A962" i="2"/>
  <c r="E961" i="2"/>
  <c r="C961" i="2"/>
  <c r="B961" i="2" s="1"/>
  <c r="A961" i="2"/>
  <c r="E960" i="2"/>
  <c r="C960" i="2"/>
  <c r="B960" i="2" s="1"/>
  <c r="A960" i="2"/>
  <c r="E959" i="2"/>
  <c r="C959" i="2"/>
  <c r="B959" i="2" s="1"/>
  <c r="A959" i="2"/>
  <c r="E958" i="2"/>
  <c r="C958" i="2"/>
  <c r="B958" i="2" s="1"/>
  <c r="A958" i="2"/>
  <c r="E957" i="2"/>
  <c r="C957" i="2"/>
  <c r="B957" i="2" s="1"/>
  <c r="A957" i="2"/>
  <c r="E956" i="2"/>
  <c r="C956" i="2"/>
  <c r="B956" i="2" s="1"/>
  <c r="A956" i="2"/>
  <c r="E955" i="2"/>
  <c r="C955" i="2"/>
  <c r="B955" i="2" s="1"/>
  <c r="A955" i="2"/>
  <c r="E954" i="2"/>
  <c r="C954" i="2"/>
  <c r="B954" i="2" s="1"/>
  <c r="A954" i="2"/>
  <c r="E953" i="2"/>
  <c r="C953" i="2"/>
  <c r="B953" i="2" s="1"/>
  <c r="A953" i="2"/>
  <c r="E952" i="2"/>
  <c r="C952" i="2"/>
  <c r="B952" i="2" s="1"/>
  <c r="A952" i="2"/>
  <c r="E951" i="2"/>
  <c r="C951" i="2"/>
  <c r="B951" i="2" s="1"/>
  <c r="A951" i="2"/>
  <c r="E950" i="2"/>
  <c r="C950" i="2"/>
  <c r="B950" i="2" s="1"/>
  <c r="A950" i="2"/>
  <c r="E949" i="2"/>
  <c r="C949" i="2"/>
  <c r="B949" i="2" s="1"/>
  <c r="A949" i="2"/>
  <c r="E948" i="2"/>
  <c r="C948" i="2"/>
  <c r="B948" i="2" s="1"/>
  <c r="A948" i="2"/>
  <c r="E947" i="2"/>
  <c r="C947" i="2"/>
  <c r="B947" i="2" s="1"/>
  <c r="A947" i="2"/>
  <c r="E946" i="2"/>
  <c r="C946" i="2"/>
  <c r="B946" i="2" s="1"/>
  <c r="A946" i="2"/>
  <c r="E945" i="2"/>
  <c r="C945" i="2"/>
  <c r="B945" i="2" s="1"/>
  <c r="A945" i="2"/>
  <c r="E944" i="2"/>
  <c r="C944" i="2"/>
  <c r="B944" i="2" s="1"/>
  <c r="A944" i="2"/>
  <c r="E943" i="2"/>
  <c r="C943" i="2"/>
  <c r="B943" i="2" s="1"/>
  <c r="A943" i="2"/>
  <c r="E942" i="2"/>
  <c r="C942" i="2"/>
  <c r="B942" i="2" s="1"/>
  <c r="A942" i="2"/>
  <c r="E941" i="2"/>
  <c r="C941" i="2"/>
  <c r="B941" i="2" s="1"/>
  <c r="A941" i="2"/>
  <c r="E940" i="2"/>
  <c r="C940" i="2"/>
  <c r="B940" i="2" s="1"/>
  <c r="A940" i="2"/>
  <c r="E939" i="2"/>
  <c r="C939" i="2"/>
  <c r="B939" i="2" s="1"/>
  <c r="A939" i="2"/>
  <c r="E938" i="2"/>
  <c r="C938" i="2"/>
  <c r="B938" i="2" s="1"/>
  <c r="A938" i="2"/>
  <c r="E937" i="2"/>
  <c r="C937" i="2"/>
  <c r="B937" i="2" s="1"/>
  <c r="A937" i="2"/>
  <c r="E936" i="2"/>
  <c r="C936" i="2"/>
  <c r="B936" i="2" s="1"/>
  <c r="A936" i="2"/>
  <c r="E935" i="2"/>
  <c r="C935" i="2"/>
  <c r="B935" i="2" s="1"/>
  <c r="A935" i="2"/>
  <c r="E934" i="2"/>
  <c r="C934" i="2"/>
  <c r="B934" i="2" s="1"/>
  <c r="A934" i="2"/>
  <c r="E933" i="2"/>
  <c r="C933" i="2"/>
  <c r="B933" i="2" s="1"/>
  <c r="A933" i="2"/>
  <c r="E932" i="2"/>
  <c r="C932" i="2"/>
  <c r="B932" i="2" s="1"/>
  <c r="A932" i="2"/>
  <c r="E931" i="2"/>
  <c r="C931" i="2"/>
  <c r="B931" i="2" s="1"/>
  <c r="A931" i="2"/>
  <c r="E930" i="2"/>
  <c r="C930" i="2"/>
  <c r="B930" i="2" s="1"/>
  <c r="A930" i="2"/>
  <c r="E929" i="2"/>
  <c r="C929" i="2"/>
  <c r="B929" i="2" s="1"/>
  <c r="A929" i="2"/>
  <c r="E928" i="2"/>
  <c r="C928" i="2"/>
  <c r="B928" i="2" s="1"/>
  <c r="A928" i="2"/>
  <c r="E927" i="2"/>
  <c r="C927" i="2"/>
  <c r="B927" i="2" s="1"/>
  <c r="A927" i="2"/>
  <c r="E926" i="2"/>
  <c r="C926" i="2"/>
  <c r="B926" i="2" s="1"/>
  <c r="A926" i="2"/>
  <c r="E925" i="2"/>
  <c r="C925" i="2"/>
  <c r="B925" i="2" s="1"/>
  <c r="A925" i="2"/>
  <c r="E924" i="2"/>
  <c r="C924" i="2"/>
  <c r="B924" i="2" s="1"/>
  <c r="A924" i="2"/>
  <c r="E923" i="2"/>
  <c r="C923" i="2"/>
  <c r="B923" i="2" s="1"/>
  <c r="A923" i="2"/>
  <c r="E922" i="2"/>
  <c r="C922" i="2"/>
  <c r="B922" i="2" s="1"/>
  <c r="A922" i="2"/>
  <c r="E921" i="2"/>
  <c r="C921" i="2"/>
  <c r="B921" i="2" s="1"/>
  <c r="A921" i="2"/>
  <c r="E920" i="2"/>
  <c r="C920" i="2"/>
  <c r="B920" i="2" s="1"/>
  <c r="A920" i="2"/>
  <c r="E919" i="2"/>
  <c r="C919" i="2"/>
  <c r="B919" i="2" s="1"/>
  <c r="A919" i="2"/>
  <c r="E918" i="2"/>
  <c r="C918" i="2"/>
  <c r="B918" i="2" s="1"/>
  <c r="A918" i="2"/>
  <c r="E917" i="2"/>
  <c r="C917" i="2"/>
  <c r="B917" i="2" s="1"/>
  <c r="A917" i="2"/>
  <c r="E916" i="2"/>
  <c r="C916" i="2"/>
  <c r="B916" i="2" s="1"/>
  <c r="A916" i="2"/>
  <c r="E915" i="2"/>
  <c r="C915" i="2"/>
  <c r="B915" i="2" s="1"/>
  <c r="A915" i="2"/>
  <c r="E914" i="2"/>
  <c r="C914" i="2"/>
  <c r="B914" i="2" s="1"/>
  <c r="A914" i="2"/>
  <c r="E913" i="2"/>
  <c r="C913" i="2"/>
  <c r="B913" i="2" s="1"/>
  <c r="A913" i="2"/>
  <c r="E912" i="2"/>
  <c r="C912" i="2"/>
  <c r="B912" i="2" s="1"/>
  <c r="A912" i="2"/>
  <c r="E911" i="2"/>
  <c r="C911" i="2"/>
  <c r="B911" i="2" s="1"/>
  <c r="A911" i="2"/>
  <c r="E910" i="2"/>
  <c r="C910" i="2"/>
  <c r="A910" i="2"/>
  <c r="E909" i="2"/>
  <c r="C909" i="2"/>
  <c r="B909" i="2" s="1"/>
  <c r="A909" i="2"/>
  <c r="E908" i="2"/>
  <c r="C908" i="2"/>
  <c r="A908" i="2"/>
  <c r="E907" i="2"/>
  <c r="C907" i="2"/>
  <c r="B907" i="2" s="1"/>
  <c r="A907" i="2"/>
  <c r="E906" i="2"/>
  <c r="C906" i="2"/>
  <c r="A906" i="2"/>
  <c r="E905" i="2"/>
  <c r="C905" i="2"/>
  <c r="B905" i="2" s="1"/>
  <c r="A905" i="2"/>
  <c r="E904" i="2"/>
  <c r="C904" i="2"/>
  <c r="A904" i="2"/>
  <c r="E903" i="2"/>
  <c r="C903" i="2"/>
  <c r="B903" i="2" s="1"/>
  <c r="A903" i="2"/>
  <c r="E902" i="2"/>
  <c r="C902" i="2"/>
  <c r="A902" i="2"/>
  <c r="E901" i="2"/>
  <c r="C901" i="2"/>
  <c r="B901" i="2" s="1"/>
  <c r="A901" i="2"/>
  <c r="E900" i="2"/>
  <c r="C900" i="2"/>
  <c r="A900" i="2"/>
  <c r="E899" i="2"/>
  <c r="C899" i="2"/>
  <c r="B899" i="2" s="1"/>
  <c r="A899" i="2"/>
  <c r="E898" i="2"/>
  <c r="C898" i="2"/>
  <c r="A898" i="2"/>
  <c r="E897" i="2"/>
  <c r="C897" i="2"/>
  <c r="B897" i="2" s="1"/>
  <c r="A897" i="2"/>
  <c r="E896" i="2"/>
  <c r="C896" i="2"/>
  <c r="A896" i="2"/>
  <c r="E895" i="2"/>
  <c r="C895" i="2"/>
  <c r="B895" i="2" s="1"/>
  <c r="A895" i="2"/>
  <c r="E894" i="2"/>
  <c r="C894" i="2"/>
  <c r="A894" i="2"/>
  <c r="E893" i="2"/>
  <c r="C893" i="2"/>
  <c r="B893" i="2" s="1"/>
  <c r="A893" i="2"/>
  <c r="E892" i="2"/>
  <c r="C892" i="2"/>
  <c r="A892" i="2"/>
  <c r="E891" i="2"/>
  <c r="C891" i="2"/>
  <c r="B891" i="2" s="1"/>
  <c r="A891" i="2"/>
  <c r="E890" i="2"/>
  <c r="C890" i="2"/>
  <c r="A890" i="2"/>
  <c r="E889" i="2"/>
  <c r="C889" i="2"/>
  <c r="B889" i="2" s="1"/>
  <c r="A889" i="2"/>
  <c r="E888" i="2"/>
  <c r="C888" i="2"/>
  <c r="A888" i="2"/>
  <c r="E887" i="2"/>
  <c r="C887" i="2"/>
  <c r="B887" i="2" s="1"/>
  <c r="A887" i="2"/>
  <c r="E886" i="2"/>
  <c r="C886" i="2"/>
  <c r="A886" i="2"/>
  <c r="E885" i="2"/>
  <c r="C885" i="2"/>
  <c r="B885" i="2" s="1"/>
  <c r="A885" i="2"/>
  <c r="E884" i="2"/>
  <c r="C884" i="2"/>
  <c r="A884" i="2"/>
  <c r="E883" i="2"/>
  <c r="C883" i="2"/>
  <c r="B883" i="2" s="1"/>
  <c r="A883" i="2"/>
  <c r="E882" i="2"/>
  <c r="C882" i="2"/>
  <c r="A882" i="2"/>
  <c r="E881" i="2"/>
  <c r="C881" i="2"/>
  <c r="B881" i="2" s="1"/>
  <c r="A881" i="2"/>
  <c r="E880" i="2"/>
  <c r="C880" i="2"/>
  <c r="A880" i="2"/>
  <c r="E879" i="2"/>
  <c r="C879" i="2"/>
  <c r="B879" i="2" s="1"/>
  <c r="A879" i="2"/>
  <c r="E878" i="2"/>
  <c r="C878" i="2"/>
  <c r="A878" i="2"/>
  <c r="E877" i="2"/>
  <c r="C877" i="2"/>
  <c r="B877" i="2" s="1"/>
  <c r="A877" i="2"/>
  <c r="E876" i="2"/>
  <c r="C876" i="2"/>
  <c r="A876" i="2"/>
  <c r="E875" i="2"/>
  <c r="C875" i="2"/>
  <c r="B875" i="2" s="1"/>
  <c r="A875" i="2"/>
  <c r="E874" i="2"/>
  <c r="C874" i="2"/>
  <c r="A874" i="2"/>
  <c r="E873" i="2"/>
  <c r="C873" i="2"/>
  <c r="B873" i="2" s="1"/>
  <c r="A873" i="2"/>
  <c r="E872" i="2"/>
  <c r="C872" i="2"/>
  <c r="A872" i="2"/>
  <c r="E871" i="2"/>
  <c r="C871" i="2"/>
  <c r="B871" i="2" s="1"/>
  <c r="A871" i="2"/>
  <c r="E870" i="2"/>
  <c r="C870" i="2"/>
  <c r="A870" i="2"/>
  <c r="E869" i="2"/>
  <c r="C869" i="2"/>
  <c r="B869" i="2" s="1"/>
  <c r="A869" i="2"/>
  <c r="E868" i="2"/>
  <c r="C868" i="2"/>
  <c r="A868" i="2"/>
  <c r="E867" i="2"/>
  <c r="C867" i="2"/>
  <c r="B867" i="2" s="1"/>
  <c r="A867" i="2"/>
  <c r="E866" i="2"/>
  <c r="C866" i="2"/>
  <c r="A866" i="2"/>
  <c r="E865" i="2"/>
  <c r="C865" i="2"/>
  <c r="B865" i="2" s="1"/>
  <c r="A865" i="2"/>
  <c r="E864" i="2"/>
  <c r="C864" i="2"/>
  <c r="A864" i="2"/>
  <c r="E863" i="2"/>
  <c r="C863" i="2"/>
  <c r="B863" i="2" s="1"/>
  <c r="A863" i="2"/>
  <c r="E862" i="2"/>
  <c r="C862" i="2"/>
  <c r="A862" i="2"/>
  <c r="E861" i="2"/>
  <c r="C861" i="2"/>
  <c r="B861" i="2" s="1"/>
  <c r="A861" i="2"/>
  <c r="E860" i="2"/>
  <c r="C860" i="2"/>
  <c r="A860" i="2"/>
  <c r="E859" i="2"/>
  <c r="C859" i="2"/>
  <c r="B859" i="2" s="1"/>
  <c r="A859" i="2"/>
  <c r="E858" i="2"/>
  <c r="C858" i="2"/>
  <c r="A858" i="2"/>
  <c r="E857" i="2"/>
  <c r="C857" i="2"/>
  <c r="B857" i="2" s="1"/>
  <c r="A857" i="2"/>
  <c r="E856" i="2"/>
  <c r="C856" i="2"/>
  <c r="A856" i="2"/>
  <c r="E855" i="2"/>
  <c r="C855" i="2"/>
  <c r="B855" i="2" s="1"/>
  <c r="A855" i="2"/>
  <c r="E854" i="2"/>
  <c r="C854" i="2"/>
  <c r="A854" i="2"/>
  <c r="E853" i="2"/>
  <c r="C853" i="2"/>
  <c r="B853" i="2" s="1"/>
  <c r="A853" i="2"/>
  <c r="E852" i="2"/>
  <c r="C852" i="2"/>
  <c r="A852" i="2"/>
  <c r="E851" i="2"/>
  <c r="C851" i="2"/>
  <c r="B851" i="2" s="1"/>
  <c r="A851" i="2"/>
  <c r="E850" i="2"/>
  <c r="C850" i="2"/>
  <c r="A850" i="2"/>
  <c r="E849" i="2"/>
  <c r="C849" i="2"/>
  <c r="B849" i="2" s="1"/>
  <c r="A849" i="2"/>
  <c r="E848" i="2"/>
  <c r="C848" i="2"/>
  <c r="A848" i="2"/>
  <c r="E847" i="2"/>
  <c r="C847" i="2"/>
  <c r="B847" i="2" s="1"/>
  <c r="A847" i="2"/>
  <c r="E846" i="2"/>
  <c r="C846" i="2"/>
  <c r="A846" i="2"/>
  <c r="E845" i="2"/>
  <c r="C845" i="2"/>
  <c r="B845" i="2" s="1"/>
  <c r="A845" i="2"/>
  <c r="E844" i="2"/>
  <c r="C844" i="2"/>
  <c r="A844" i="2"/>
  <c r="E843" i="2"/>
  <c r="C843" i="2"/>
  <c r="B843" i="2" s="1"/>
  <c r="A843" i="2"/>
  <c r="E842" i="2"/>
  <c r="C842" i="2"/>
  <c r="A842" i="2"/>
  <c r="E841" i="2"/>
  <c r="C841" i="2"/>
  <c r="B841" i="2" s="1"/>
  <c r="A841" i="2"/>
  <c r="E840" i="2"/>
  <c r="C840" i="2"/>
  <c r="A840" i="2"/>
  <c r="E839" i="2"/>
  <c r="C839" i="2"/>
  <c r="B839" i="2" s="1"/>
  <c r="A839" i="2"/>
  <c r="E838" i="2"/>
  <c r="C838" i="2"/>
  <c r="A838" i="2"/>
  <c r="E837" i="2"/>
  <c r="C837" i="2"/>
  <c r="B837" i="2" s="1"/>
  <c r="A837" i="2"/>
  <c r="E836" i="2"/>
  <c r="C836" i="2"/>
  <c r="A836" i="2"/>
  <c r="E835" i="2"/>
  <c r="C835" i="2"/>
  <c r="B835" i="2" s="1"/>
  <c r="A835" i="2"/>
  <c r="E834" i="2"/>
  <c r="C834" i="2"/>
  <c r="A834" i="2"/>
  <c r="E833" i="2"/>
  <c r="C833" i="2"/>
  <c r="B833" i="2" s="1"/>
  <c r="A833" i="2"/>
  <c r="E832" i="2"/>
  <c r="C832" i="2"/>
  <c r="A832" i="2"/>
  <c r="E831" i="2"/>
  <c r="C831" i="2"/>
  <c r="B831" i="2" s="1"/>
  <c r="A831" i="2"/>
  <c r="E830" i="2"/>
  <c r="C830" i="2"/>
  <c r="A830" i="2"/>
  <c r="E829" i="2"/>
  <c r="C829" i="2"/>
  <c r="B829" i="2" s="1"/>
  <c r="A829" i="2"/>
  <c r="E828" i="2"/>
  <c r="C828" i="2"/>
  <c r="A828" i="2"/>
  <c r="E827" i="2"/>
  <c r="C827" i="2"/>
  <c r="B827" i="2" s="1"/>
  <c r="A827" i="2"/>
  <c r="E826" i="2"/>
  <c r="C826" i="2"/>
  <c r="A826" i="2"/>
  <c r="E825" i="2"/>
  <c r="C825" i="2"/>
  <c r="B825" i="2" s="1"/>
  <c r="A825" i="2"/>
  <c r="E824" i="2"/>
  <c r="C824" i="2"/>
  <c r="A824" i="2"/>
  <c r="E823" i="2"/>
  <c r="C823" i="2"/>
  <c r="B823" i="2" s="1"/>
  <c r="A823" i="2"/>
  <c r="E822" i="2"/>
  <c r="C822" i="2"/>
  <c r="A822" i="2"/>
  <c r="E821" i="2"/>
  <c r="C821" i="2"/>
  <c r="B821" i="2" s="1"/>
  <c r="A821" i="2"/>
  <c r="E820" i="2"/>
  <c r="C820" i="2"/>
  <c r="A820" i="2"/>
  <c r="E819" i="2"/>
  <c r="C819" i="2"/>
  <c r="B819" i="2" s="1"/>
  <c r="A819" i="2"/>
  <c r="E818" i="2"/>
  <c r="C818" i="2"/>
  <c r="A818" i="2"/>
  <c r="E817" i="2"/>
  <c r="C817" i="2"/>
  <c r="B817" i="2" s="1"/>
  <c r="A817" i="2"/>
  <c r="E816" i="2"/>
  <c r="C816" i="2"/>
  <c r="A816" i="2"/>
  <c r="E815" i="2"/>
  <c r="C815" i="2"/>
  <c r="B815" i="2" s="1"/>
  <c r="A815" i="2"/>
  <c r="E814" i="2"/>
  <c r="C814" i="2"/>
  <c r="A814" i="2"/>
  <c r="E813" i="2"/>
  <c r="C813" i="2"/>
  <c r="B813" i="2" s="1"/>
  <c r="A813" i="2"/>
  <c r="E812" i="2"/>
  <c r="C812" i="2"/>
  <c r="A812" i="2"/>
  <c r="E811" i="2"/>
  <c r="C811" i="2"/>
  <c r="B811" i="2" s="1"/>
  <c r="A811" i="2"/>
  <c r="E810" i="2"/>
  <c r="C810" i="2"/>
  <c r="A810" i="2"/>
  <c r="E809" i="2"/>
  <c r="C809" i="2"/>
  <c r="B809" i="2" s="1"/>
  <c r="A809" i="2"/>
  <c r="E808" i="2"/>
  <c r="C808" i="2"/>
  <c r="A808" i="2"/>
  <c r="E807" i="2"/>
  <c r="C807" i="2"/>
  <c r="B807" i="2" s="1"/>
  <c r="A807" i="2"/>
  <c r="E806" i="2"/>
  <c r="C806" i="2"/>
  <c r="A806" i="2"/>
  <c r="E805" i="2"/>
  <c r="C805" i="2"/>
  <c r="B805" i="2" s="1"/>
  <c r="A805" i="2"/>
  <c r="E804" i="2"/>
  <c r="C804" i="2"/>
  <c r="B804" i="2" s="1"/>
  <c r="A804" i="2"/>
  <c r="E803" i="2"/>
  <c r="C803" i="2"/>
  <c r="B803" i="2" s="1"/>
  <c r="A803" i="2"/>
  <c r="E802" i="2"/>
  <c r="C802" i="2"/>
  <c r="B802" i="2" s="1"/>
  <c r="A802" i="2"/>
  <c r="E801" i="2"/>
  <c r="C801" i="2"/>
  <c r="B801" i="2" s="1"/>
  <c r="A801" i="2"/>
  <c r="E800" i="2"/>
  <c r="C800" i="2"/>
  <c r="B800" i="2" s="1"/>
  <c r="A800" i="2"/>
  <c r="E799" i="2"/>
  <c r="C799" i="2"/>
  <c r="B799" i="2" s="1"/>
  <c r="A799" i="2"/>
  <c r="E798" i="2"/>
  <c r="C798" i="2"/>
  <c r="B798" i="2" s="1"/>
  <c r="A798" i="2"/>
  <c r="E797" i="2"/>
  <c r="C797" i="2"/>
  <c r="B797" i="2" s="1"/>
  <c r="A797" i="2"/>
  <c r="E796" i="2"/>
  <c r="C796" i="2"/>
  <c r="B796" i="2" s="1"/>
  <c r="A796" i="2"/>
  <c r="E795" i="2"/>
  <c r="C795" i="2"/>
  <c r="B795" i="2" s="1"/>
  <c r="A795" i="2"/>
  <c r="E794" i="2"/>
  <c r="C794" i="2"/>
  <c r="B794" i="2" s="1"/>
  <c r="A794" i="2"/>
  <c r="E793" i="2"/>
  <c r="C793" i="2"/>
  <c r="B793" i="2" s="1"/>
  <c r="A793" i="2"/>
  <c r="E792" i="2"/>
  <c r="C792" i="2"/>
  <c r="B792" i="2" s="1"/>
  <c r="A792" i="2"/>
  <c r="E791" i="2"/>
  <c r="C791" i="2"/>
  <c r="B791" i="2" s="1"/>
  <c r="A791" i="2"/>
  <c r="E790" i="2"/>
  <c r="C790" i="2"/>
  <c r="B790" i="2" s="1"/>
  <c r="A790" i="2"/>
  <c r="E789" i="2"/>
  <c r="C789" i="2"/>
  <c r="B789" i="2" s="1"/>
  <c r="A789" i="2"/>
  <c r="E788" i="2"/>
  <c r="C788" i="2"/>
  <c r="B788" i="2" s="1"/>
  <c r="A788" i="2"/>
  <c r="E787" i="2"/>
  <c r="C787" i="2"/>
  <c r="B787" i="2" s="1"/>
  <c r="A787" i="2"/>
  <c r="E786" i="2"/>
  <c r="C786" i="2"/>
  <c r="B786" i="2" s="1"/>
  <c r="A786" i="2"/>
  <c r="E785" i="2"/>
  <c r="C785" i="2"/>
  <c r="B785" i="2" s="1"/>
  <c r="A785" i="2"/>
  <c r="E784" i="2"/>
  <c r="C784" i="2"/>
  <c r="B784" i="2" s="1"/>
  <c r="A784" i="2"/>
  <c r="E783" i="2"/>
  <c r="C783" i="2"/>
  <c r="B783" i="2" s="1"/>
  <c r="A783" i="2"/>
  <c r="E782" i="2"/>
  <c r="C782" i="2"/>
  <c r="B782" i="2" s="1"/>
  <c r="A782" i="2"/>
  <c r="E781" i="2"/>
  <c r="C781" i="2"/>
  <c r="B781" i="2" s="1"/>
  <c r="A781" i="2"/>
  <c r="E780" i="2"/>
  <c r="C780" i="2"/>
  <c r="B780" i="2" s="1"/>
  <c r="A780" i="2"/>
  <c r="E779" i="2"/>
  <c r="C779" i="2"/>
  <c r="B779" i="2" s="1"/>
  <c r="A779" i="2"/>
  <c r="E778" i="2"/>
  <c r="C778" i="2"/>
  <c r="B778" i="2" s="1"/>
  <c r="A778" i="2"/>
  <c r="E777" i="2"/>
  <c r="C777" i="2"/>
  <c r="B777" i="2" s="1"/>
  <c r="A777" i="2"/>
  <c r="E776" i="2"/>
  <c r="C776" i="2"/>
  <c r="B776" i="2" s="1"/>
  <c r="A776" i="2"/>
  <c r="E775" i="2"/>
  <c r="C775" i="2"/>
  <c r="B775" i="2" s="1"/>
  <c r="A775" i="2"/>
  <c r="E774" i="2"/>
  <c r="C774" i="2"/>
  <c r="B774" i="2" s="1"/>
  <c r="A774" i="2"/>
  <c r="E773" i="2"/>
  <c r="C773" i="2"/>
  <c r="B773" i="2" s="1"/>
  <c r="A773" i="2"/>
  <c r="E772" i="2"/>
  <c r="C772" i="2"/>
  <c r="B772" i="2" s="1"/>
  <c r="A772" i="2"/>
  <c r="E771" i="2"/>
  <c r="C771" i="2"/>
  <c r="B771" i="2" s="1"/>
  <c r="A771" i="2"/>
  <c r="E770" i="2"/>
  <c r="C770" i="2"/>
  <c r="B770" i="2" s="1"/>
  <c r="A770" i="2"/>
  <c r="E769" i="2"/>
  <c r="C769" i="2"/>
  <c r="B769" i="2" s="1"/>
  <c r="A769" i="2"/>
  <c r="E768" i="2"/>
  <c r="C768" i="2"/>
  <c r="B768" i="2" s="1"/>
  <c r="A768" i="2"/>
  <c r="E767" i="2"/>
  <c r="C767" i="2"/>
  <c r="B767" i="2" s="1"/>
  <c r="A767" i="2"/>
  <c r="E766" i="2"/>
  <c r="C766" i="2"/>
  <c r="B766" i="2" s="1"/>
  <c r="A766" i="2"/>
  <c r="E765" i="2"/>
  <c r="C765" i="2"/>
  <c r="B765" i="2" s="1"/>
  <c r="A765" i="2"/>
  <c r="E764" i="2"/>
  <c r="C764" i="2"/>
  <c r="B764" i="2" s="1"/>
  <c r="A764" i="2"/>
  <c r="E763" i="2"/>
  <c r="C763" i="2"/>
  <c r="B763" i="2" s="1"/>
  <c r="A763" i="2"/>
  <c r="E762" i="2"/>
  <c r="C762" i="2"/>
  <c r="B762" i="2" s="1"/>
  <c r="A762" i="2"/>
  <c r="E761" i="2"/>
  <c r="C761" i="2"/>
  <c r="B761" i="2" s="1"/>
  <c r="A761" i="2"/>
  <c r="E760" i="2"/>
  <c r="C760" i="2"/>
  <c r="B760" i="2" s="1"/>
  <c r="A760" i="2"/>
  <c r="E759" i="2"/>
  <c r="C759" i="2"/>
  <c r="B759" i="2" s="1"/>
  <c r="A759" i="2"/>
  <c r="E758" i="2"/>
  <c r="C758" i="2"/>
  <c r="B758" i="2" s="1"/>
  <c r="A758" i="2"/>
  <c r="E757" i="2"/>
  <c r="C757" i="2"/>
  <c r="B757" i="2" s="1"/>
  <c r="A757" i="2"/>
  <c r="E756" i="2"/>
  <c r="C756" i="2"/>
  <c r="B756" i="2" s="1"/>
  <c r="A756" i="2"/>
  <c r="E755" i="2"/>
  <c r="C755" i="2"/>
  <c r="B755" i="2" s="1"/>
  <c r="A755" i="2"/>
  <c r="E754" i="2"/>
  <c r="C754" i="2"/>
  <c r="B754" i="2" s="1"/>
  <c r="A754" i="2"/>
  <c r="E753" i="2"/>
  <c r="C753" i="2"/>
  <c r="B753" i="2" s="1"/>
  <c r="A753" i="2"/>
  <c r="E752" i="2"/>
  <c r="C752" i="2"/>
  <c r="B752" i="2" s="1"/>
  <c r="A752" i="2"/>
  <c r="E751" i="2"/>
  <c r="C751" i="2"/>
  <c r="B751" i="2" s="1"/>
  <c r="A751" i="2"/>
  <c r="E750" i="2"/>
  <c r="C750" i="2"/>
  <c r="B750" i="2" s="1"/>
  <c r="A750" i="2"/>
  <c r="E749" i="2"/>
  <c r="C749" i="2"/>
  <c r="B749" i="2" s="1"/>
  <c r="A749" i="2"/>
  <c r="E748" i="2"/>
  <c r="C748" i="2"/>
  <c r="B748" i="2" s="1"/>
  <c r="A748" i="2"/>
  <c r="E747" i="2"/>
  <c r="C747" i="2"/>
  <c r="B747" i="2" s="1"/>
  <c r="A747" i="2"/>
  <c r="E746" i="2"/>
  <c r="C746" i="2"/>
  <c r="B746" i="2" s="1"/>
  <c r="A746" i="2"/>
  <c r="E745" i="2"/>
  <c r="C745" i="2"/>
  <c r="B745" i="2" s="1"/>
  <c r="A745" i="2"/>
  <c r="E744" i="2"/>
  <c r="C744" i="2"/>
  <c r="B744" i="2" s="1"/>
  <c r="A744" i="2"/>
  <c r="E743" i="2"/>
  <c r="C743" i="2"/>
  <c r="B743" i="2" s="1"/>
  <c r="A743" i="2"/>
  <c r="E742" i="2"/>
  <c r="C742" i="2"/>
  <c r="B742" i="2" s="1"/>
  <c r="A742" i="2"/>
  <c r="E741" i="2"/>
  <c r="C741" i="2"/>
  <c r="B741" i="2" s="1"/>
  <c r="A741" i="2"/>
  <c r="E740" i="2"/>
  <c r="C740" i="2"/>
  <c r="B740" i="2" s="1"/>
  <c r="A740" i="2"/>
  <c r="E739" i="2"/>
  <c r="C739" i="2"/>
  <c r="B739" i="2" s="1"/>
  <c r="A739" i="2"/>
  <c r="E738" i="2"/>
  <c r="C738" i="2"/>
  <c r="B738" i="2" s="1"/>
  <c r="A738" i="2"/>
  <c r="E737" i="2"/>
  <c r="C737" i="2"/>
  <c r="B737" i="2" s="1"/>
  <c r="A737" i="2"/>
  <c r="E736" i="2"/>
  <c r="C736" i="2"/>
  <c r="B736" i="2" s="1"/>
  <c r="A736" i="2"/>
  <c r="E735" i="2"/>
  <c r="C735" i="2"/>
  <c r="B735" i="2" s="1"/>
  <c r="A735" i="2"/>
  <c r="E734" i="2"/>
  <c r="C734" i="2"/>
  <c r="B734" i="2" s="1"/>
  <c r="A734" i="2"/>
  <c r="E733" i="2"/>
  <c r="C733" i="2"/>
  <c r="B733" i="2" s="1"/>
  <c r="A733" i="2"/>
  <c r="E732" i="2"/>
  <c r="C732" i="2"/>
  <c r="B732" i="2" s="1"/>
  <c r="A732" i="2"/>
  <c r="E731" i="2"/>
  <c r="C731" i="2"/>
  <c r="B731" i="2" s="1"/>
  <c r="A731" i="2"/>
  <c r="E730" i="2"/>
  <c r="C730" i="2"/>
  <c r="B730" i="2" s="1"/>
  <c r="A730" i="2"/>
  <c r="E729" i="2"/>
  <c r="C729" i="2"/>
  <c r="B729" i="2" s="1"/>
  <c r="A729" i="2"/>
  <c r="E728" i="2"/>
  <c r="C728" i="2"/>
  <c r="B728" i="2" s="1"/>
  <c r="A728" i="2"/>
  <c r="E727" i="2"/>
  <c r="C727" i="2"/>
  <c r="B727" i="2" s="1"/>
  <c r="A727" i="2"/>
  <c r="E726" i="2"/>
  <c r="C726" i="2"/>
  <c r="B726" i="2" s="1"/>
  <c r="A726" i="2"/>
  <c r="E725" i="2"/>
  <c r="C725" i="2"/>
  <c r="B725" i="2" s="1"/>
  <c r="A725" i="2"/>
  <c r="E724" i="2"/>
  <c r="C724" i="2"/>
  <c r="B724" i="2" s="1"/>
  <c r="A724" i="2"/>
  <c r="E723" i="2"/>
  <c r="C723" i="2"/>
  <c r="B723" i="2" s="1"/>
  <c r="A723" i="2"/>
  <c r="E722" i="2"/>
  <c r="C722" i="2"/>
  <c r="B722" i="2" s="1"/>
  <c r="A722" i="2"/>
  <c r="E721" i="2"/>
  <c r="C721" i="2"/>
  <c r="B721" i="2" s="1"/>
  <c r="A721" i="2"/>
  <c r="E720" i="2"/>
  <c r="C720" i="2"/>
  <c r="B720" i="2" s="1"/>
  <c r="A720" i="2"/>
  <c r="E719" i="2"/>
  <c r="C719" i="2"/>
  <c r="B719" i="2" s="1"/>
  <c r="A719" i="2"/>
  <c r="E718" i="2"/>
  <c r="C718" i="2"/>
  <c r="B718" i="2" s="1"/>
  <c r="A718" i="2"/>
  <c r="E717" i="2"/>
  <c r="C717" i="2"/>
  <c r="B717" i="2" s="1"/>
  <c r="A717" i="2"/>
  <c r="E716" i="2"/>
  <c r="C716" i="2"/>
  <c r="B716" i="2" s="1"/>
  <c r="A716" i="2"/>
  <c r="E715" i="2"/>
  <c r="C715" i="2"/>
  <c r="B715" i="2" s="1"/>
  <c r="A715" i="2"/>
  <c r="E714" i="2"/>
  <c r="C714" i="2"/>
  <c r="B714" i="2" s="1"/>
  <c r="A714" i="2"/>
  <c r="E713" i="2"/>
  <c r="C713" i="2"/>
  <c r="B713" i="2" s="1"/>
  <c r="A713" i="2"/>
  <c r="E712" i="2"/>
  <c r="C712" i="2"/>
  <c r="B712" i="2" s="1"/>
  <c r="A712" i="2"/>
  <c r="E711" i="2"/>
  <c r="C711" i="2"/>
  <c r="B711" i="2" s="1"/>
  <c r="A711" i="2"/>
  <c r="E710" i="2"/>
  <c r="C710" i="2"/>
  <c r="B710" i="2" s="1"/>
  <c r="A710" i="2"/>
  <c r="E709" i="2"/>
  <c r="C709" i="2"/>
  <c r="B709" i="2" s="1"/>
  <c r="A709" i="2"/>
  <c r="E708" i="2"/>
  <c r="C708" i="2"/>
  <c r="B708" i="2" s="1"/>
  <c r="A708" i="2"/>
  <c r="E707" i="2"/>
  <c r="C707" i="2"/>
  <c r="B707" i="2" s="1"/>
  <c r="A707" i="2"/>
  <c r="E706" i="2"/>
  <c r="C706" i="2"/>
  <c r="B706" i="2" s="1"/>
  <c r="A706" i="2"/>
  <c r="E705" i="2"/>
  <c r="C705" i="2"/>
  <c r="B705" i="2" s="1"/>
  <c r="A705" i="2"/>
  <c r="E704" i="2"/>
  <c r="C704" i="2"/>
  <c r="B704" i="2" s="1"/>
  <c r="A704" i="2"/>
  <c r="E703" i="2"/>
  <c r="C703" i="2"/>
  <c r="B703" i="2" s="1"/>
  <c r="A703" i="2"/>
  <c r="E702" i="2"/>
  <c r="C702" i="2"/>
  <c r="B702" i="2" s="1"/>
  <c r="A702" i="2"/>
  <c r="E701" i="2"/>
  <c r="C701" i="2"/>
  <c r="B701" i="2" s="1"/>
  <c r="A701" i="2"/>
  <c r="E700" i="2"/>
  <c r="C700" i="2"/>
  <c r="B700" i="2" s="1"/>
  <c r="A700" i="2"/>
  <c r="E699" i="2"/>
  <c r="C699" i="2"/>
  <c r="B699" i="2" s="1"/>
  <c r="A699" i="2"/>
  <c r="E698" i="2"/>
  <c r="C698" i="2"/>
  <c r="B698" i="2" s="1"/>
  <c r="A698" i="2"/>
  <c r="E697" i="2"/>
  <c r="C697" i="2"/>
  <c r="B697" i="2" s="1"/>
  <c r="A697" i="2"/>
  <c r="E696" i="2"/>
  <c r="C696" i="2"/>
  <c r="B696" i="2" s="1"/>
  <c r="A696" i="2"/>
  <c r="E695" i="2"/>
  <c r="C695" i="2"/>
  <c r="B695" i="2" s="1"/>
  <c r="A695" i="2"/>
  <c r="E694" i="2"/>
  <c r="C694" i="2"/>
  <c r="B694" i="2" s="1"/>
  <c r="A694" i="2"/>
  <c r="E693" i="2"/>
  <c r="C693" i="2"/>
  <c r="B693" i="2" s="1"/>
  <c r="A693" i="2"/>
  <c r="E692" i="2"/>
  <c r="C692" i="2"/>
  <c r="B692" i="2" s="1"/>
  <c r="A692" i="2"/>
  <c r="E691" i="2"/>
  <c r="C691" i="2"/>
  <c r="B691" i="2" s="1"/>
  <c r="A691" i="2"/>
  <c r="E690" i="2"/>
  <c r="C690" i="2"/>
  <c r="B690" i="2" s="1"/>
  <c r="A690" i="2"/>
  <c r="E689" i="2"/>
  <c r="C689" i="2"/>
  <c r="B689" i="2" s="1"/>
  <c r="A689" i="2"/>
  <c r="E688" i="2"/>
  <c r="C688" i="2"/>
  <c r="B688" i="2" s="1"/>
  <c r="A688" i="2"/>
  <c r="E687" i="2"/>
  <c r="C687" i="2"/>
  <c r="B687" i="2" s="1"/>
  <c r="A687" i="2"/>
  <c r="E686" i="2"/>
  <c r="C686" i="2"/>
  <c r="B686" i="2" s="1"/>
  <c r="A686" i="2"/>
  <c r="E685" i="2"/>
  <c r="C685" i="2"/>
  <c r="B685" i="2" s="1"/>
  <c r="A685" i="2"/>
  <c r="E684" i="2"/>
  <c r="C684" i="2"/>
  <c r="B684" i="2" s="1"/>
  <c r="A684" i="2"/>
  <c r="E683" i="2"/>
  <c r="C683" i="2"/>
  <c r="B683" i="2" s="1"/>
  <c r="A683" i="2"/>
  <c r="E682" i="2"/>
  <c r="C682" i="2"/>
  <c r="B682" i="2" s="1"/>
  <c r="A682" i="2"/>
  <c r="E681" i="2"/>
  <c r="C681" i="2"/>
  <c r="B681" i="2" s="1"/>
  <c r="A681" i="2"/>
  <c r="E680" i="2"/>
  <c r="C680" i="2"/>
  <c r="B680" i="2" s="1"/>
  <c r="A680" i="2"/>
  <c r="E679" i="2"/>
  <c r="C679" i="2"/>
  <c r="B679" i="2" s="1"/>
  <c r="A679" i="2"/>
  <c r="E678" i="2"/>
  <c r="C678" i="2"/>
  <c r="B678" i="2" s="1"/>
  <c r="A678" i="2"/>
  <c r="E677" i="2"/>
  <c r="C677" i="2"/>
  <c r="B677" i="2" s="1"/>
  <c r="A677" i="2"/>
  <c r="E676" i="2"/>
  <c r="C676" i="2"/>
  <c r="B676" i="2" s="1"/>
  <c r="A676" i="2"/>
  <c r="E675" i="2"/>
  <c r="C675" i="2"/>
  <c r="B675" i="2" s="1"/>
  <c r="A675" i="2"/>
  <c r="E674" i="2"/>
  <c r="C674" i="2"/>
  <c r="B674" i="2" s="1"/>
  <c r="A674" i="2"/>
  <c r="E673" i="2"/>
  <c r="C673" i="2"/>
  <c r="B673" i="2" s="1"/>
  <c r="A673" i="2"/>
  <c r="E672" i="2"/>
  <c r="C672" i="2"/>
  <c r="B672" i="2" s="1"/>
  <c r="A672" i="2"/>
  <c r="E671" i="2"/>
  <c r="C671" i="2"/>
  <c r="B671" i="2" s="1"/>
  <c r="A671" i="2"/>
  <c r="E670" i="2"/>
  <c r="C670" i="2"/>
  <c r="B670" i="2" s="1"/>
  <c r="A670" i="2"/>
  <c r="E669" i="2"/>
  <c r="C669" i="2"/>
  <c r="B669" i="2" s="1"/>
  <c r="A669" i="2"/>
  <c r="E668" i="2"/>
  <c r="C668" i="2"/>
  <c r="B668" i="2" s="1"/>
  <c r="A668" i="2"/>
  <c r="E667" i="2"/>
  <c r="C667" i="2"/>
  <c r="B667" i="2" s="1"/>
  <c r="A667" i="2"/>
  <c r="E666" i="2"/>
  <c r="C666" i="2"/>
  <c r="B666" i="2" s="1"/>
  <c r="A666" i="2"/>
  <c r="E665" i="2"/>
  <c r="C665" i="2"/>
  <c r="B665" i="2" s="1"/>
  <c r="A665" i="2"/>
  <c r="E664" i="2"/>
  <c r="C664" i="2"/>
  <c r="B664" i="2" s="1"/>
  <c r="A664" i="2"/>
  <c r="E663" i="2"/>
  <c r="C663" i="2"/>
  <c r="B663" i="2" s="1"/>
  <c r="A663" i="2"/>
  <c r="E662" i="2"/>
  <c r="C662" i="2"/>
  <c r="B662" i="2" s="1"/>
  <c r="A662" i="2"/>
  <c r="E661" i="2"/>
  <c r="C661" i="2"/>
  <c r="B661" i="2" s="1"/>
  <c r="A661" i="2"/>
  <c r="E660" i="2"/>
  <c r="C660" i="2"/>
  <c r="B660" i="2" s="1"/>
  <c r="A660" i="2"/>
  <c r="E659" i="2"/>
  <c r="C659" i="2"/>
  <c r="B659" i="2" s="1"/>
  <c r="A659" i="2"/>
  <c r="E658" i="2"/>
  <c r="C658" i="2"/>
  <c r="B658" i="2" s="1"/>
  <c r="A658" i="2"/>
  <c r="E657" i="2"/>
  <c r="C657" i="2"/>
  <c r="B657" i="2" s="1"/>
  <c r="A657" i="2"/>
  <c r="E656" i="2"/>
  <c r="C656" i="2"/>
  <c r="B656" i="2" s="1"/>
  <c r="A656" i="2"/>
  <c r="E655" i="2"/>
  <c r="C655" i="2"/>
  <c r="B655" i="2" s="1"/>
  <c r="A655" i="2"/>
  <c r="E654" i="2"/>
  <c r="C654" i="2"/>
  <c r="B654" i="2" s="1"/>
  <c r="A654" i="2"/>
  <c r="E653" i="2"/>
  <c r="C653" i="2"/>
  <c r="B653" i="2" s="1"/>
  <c r="A653" i="2"/>
  <c r="E652" i="2"/>
  <c r="C652" i="2"/>
  <c r="B652" i="2" s="1"/>
  <c r="A652" i="2"/>
  <c r="E651" i="2"/>
  <c r="C651" i="2"/>
  <c r="B651" i="2" s="1"/>
  <c r="A651" i="2"/>
  <c r="E650" i="2"/>
  <c r="C650" i="2"/>
  <c r="B650" i="2" s="1"/>
  <c r="A650" i="2"/>
  <c r="E649" i="2"/>
  <c r="C649" i="2"/>
  <c r="B649" i="2" s="1"/>
  <c r="A649" i="2"/>
  <c r="E648" i="2"/>
  <c r="C648" i="2"/>
  <c r="B648" i="2" s="1"/>
  <c r="A648" i="2"/>
  <c r="E647" i="2"/>
  <c r="C647" i="2"/>
  <c r="B647" i="2" s="1"/>
  <c r="A647" i="2"/>
  <c r="E646" i="2"/>
  <c r="C646" i="2"/>
  <c r="B646" i="2" s="1"/>
  <c r="A646" i="2"/>
  <c r="E645" i="2"/>
  <c r="C645" i="2"/>
  <c r="B645" i="2" s="1"/>
  <c r="A645" i="2"/>
  <c r="E644" i="2"/>
  <c r="C644" i="2"/>
  <c r="B644" i="2" s="1"/>
  <c r="A644" i="2"/>
  <c r="E643" i="2"/>
  <c r="C643" i="2"/>
  <c r="B643" i="2" s="1"/>
  <c r="A643" i="2"/>
  <c r="E642" i="2"/>
  <c r="C642" i="2"/>
  <c r="B642" i="2" s="1"/>
  <c r="A642" i="2"/>
  <c r="E641" i="2"/>
  <c r="C641" i="2"/>
  <c r="B641" i="2" s="1"/>
  <c r="A641" i="2"/>
  <c r="E640" i="2"/>
  <c r="C640" i="2"/>
  <c r="B640" i="2" s="1"/>
  <c r="A640" i="2"/>
  <c r="E639" i="2"/>
  <c r="C639" i="2"/>
  <c r="B639" i="2" s="1"/>
  <c r="A639" i="2"/>
  <c r="E638" i="2"/>
  <c r="C638" i="2"/>
  <c r="B638" i="2" s="1"/>
  <c r="A638" i="2"/>
  <c r="E637" i="2"/>
  <c r="C637" i="2"/>
  <c r="B637" i="2" s="1"/>
  <c r="A637" i="2"/>
  <c r="E636" i="2"/>
  <c r="C636" i="2"/>
  <c r="B636" i="2" s="1"/>
  <c r="A636" i="2"/>
  <c r="E635" i="2"/>
  <c r="C635" i="2"/>
  <c r="B635" i="2" s="1"/>
  <c r="A635" i="2"/>
  <c r="E634" i="2"/>
  <c r="C634" i="2"/>
  <c r="B634" i="2" s="1"/>
  <c r="A634" i="2"/>
  <c r="E633" i="2"/>
  <c r="C633" i="2"/>
  <c r="B633" i="2" s="1"/>
  <c r="A633" i="2"/>
  <c r="E632" i="2"/>
  <c r="C632" i="2"/>
  <c r="B632" i="2" s="1"/>
  <c r="A632" i="2"/>
  <c r="E631" i="2"/>
  <c r="C631" i="2"/>
  <c r="B631" i="2" s="1"/>
  <c r="A631" i="2"/>
  <c r="E630" i="2"/>
  <c r="C630" i="2"/>
  <c r="B630" i="2" s="1"/>
  <c r="A630" i="2"/>
  <c r="E629" i="2"/>
  <c r="C629" i="2"/>
  <c r="B629" i="2" s="1"/>
  <c r="A629" i="2"/>
  <c r="E628" i="2"/>
  <c r="C628" i="2"/>
  <c r="B628" i="2" s="1"/>
  <c r="A628" i="2"/>
  <c r="E627" i="2"/>
  <c r="C627" i="2"/>
  <c r="B627" i="2" s="1"/>
  <c r="A627" i="2"/>
  <c r="E626" i="2"/>
  <c r="C626" i="2"/>
  <c r="B626" i="2" s="1"/>
  <c r="A626" i="2"/>
  <c r="E625" i="2"/>
  <c r="C625" i="2"/>
  <c r="B625" i="2" s="1"/>
  <c r="A625" i="2"/>
  <c r="E624" i="2"/>
  <c r="C624" i="2"/>
  <c r="B624" i="2" s="1"/>
  <c r="A624" i="2"/>
  <c r="E623" i="2"/>
  <c r="C623" i="2"/>
  <c r="B623" i="2" s="1"/>
  <c r="A623" i="2"/>
  <c r="E622" i="2"/>
  <c r="C622" i="2"/>
  <c r="A622" i="2"/>
  <c r="E621" i="2"/>
  <c r="C621" i="2"/>
  <c r="B621" i="2" s="1"/>
  <c r="A621" i="2"/>
  <c r="E620" i="2"/>
  <c r="C620" i="2"/>
  <c r="A620" i="2"/>
  <c r="E619" i="2"/>
  <c r="C619" i="2"/>
  <c r="B619" i="2" s="1"/>
  <c r="A619" i="2"/>
  <c r="E618" i="2"/>
  <c r="C618" i="2"/>
  <c r="A618" i="2"/>
  <c r="E617" i="2"/>
  <c r="C617" i="2"/>
  <c r="B617" i="2" s="1"/>
  <c r="A617" i="2"/>
  <c r="E616" i="2"/>
  <c r="C616" i="2"/>
  <c r="A616" i="2"/>
  <c r="E615" i="2"/>
  <c r="C615" i="2"/>
  <c r="B615" i="2" s="1"/>
  <c r="A615" i="2"/>
  <c r="E614" i="2"/>
  <c r="C614" i="2"/>
  <c r="A614" i="2"/>
  <c r="E613" i="2"/>
  <c r="C613" i="2"/>
  <c r="B613" i="2" s="1"/>
  <c r="A613" i="2"/>
  <c r="E612" i="2"/>
  <c r="C612" i="2"/>
  <c r="A612" i="2"/>
  <c r="E611" i="2"/>
  <c r="C611" i="2"/>
  <c r="B611" i="2" s="1"/>
  <c r="A611" i="2"/>
  <c r="E610" i="2"/>
  <c r="C610" i="2"/>
  <c r="A610" i="2"/>
  <c r="E609" i="2"/>
  <c r="C609" i="2"/>
  <c r="B609" i="2" s="1"/>
  <c r="A609" i="2"/>
  <c r="E608" i="2"/>
  <c r="C608" i="2"/>
  <c r="A608" i="2"/>
  <c r="E607" i="2"/>
  <c r="C607" i="2"/>
  <c r="B607" i="2" s="1"/>
  <c r="A607" i="2"/>
  <c r="E606" i="2"/>
  <c r="C606" i="2"/>
  <c r="A606" i="2"/>
  <c r="E605" i="2"/>
  <c r="C605" i="2"/>
  <c r="B605" i="2" s="1"/>
  <c r="A605" i="2"/>
  <c r="E604" i="2"/>
  <c r="C604" i="2"/>
  <c r="A604" i="2"/>
  <c r="E603" i="2"/>
  <c r="C603" i="2"/>
  <c r="B603" i="2" s="1"/>
  <c r="A603" i="2"/>
  <c r="E602" i="2"/>
  <c r="C602" i="2"/>
  <c r="A602" i="2"/>
  <c r="E601" i="2"/>
  <c r="C601" i="2"/>
  <c r="B601" i="2" s="1"/>
  <c r="A601" i="2"/>
  <c r="E600" i="2"/>
  <c r="C600" i="2"/>
  <c r="A600" i="2"/>
  <c r="E599" i="2"/>
  <c r="C599" i="2"/>
  <c r="B599" i="2" s="1"/>
  <c r="A599" i="2"/>
  <c r="E598" i="2"/>
  <c r="C598" i="2"/>
  <c r="A598" i="2"/>
  <c r="E597" i="2"/>
  <c r="C597" i="2"/>
  <c r="B597" i="2" s="1"/>
  <c r="A597" i="2"/>
  <c r="E596" i="2"/>
  <c r="C596" i="2"/>
  <c r="A596" i="2"/>
  <c r="E595" i="2"/>
  <c r="C595" i="2"/>
  <c r="B595" i="2" s="1"/>
  <c r="A595" i="2"/>
  <c r="E594" i="2"/>
  <c r="C594" i="2"/>
  <c r="A594" i="2"/>
  <c r="E593" i="2"/>
  <c r="C593" i="2"/>
  <c r="B593" i="2" s="1"/>
  <c r="A593" i="2"/>
  <c r="E592" i="2"/>
  <c r="C592" i="2"/>
  <c r="A592" i="2"/>
  <c r="E591" i="2"/>
  <c r="C591" i="2"/>
  <c r="B591" i="2" s="1"/>
  <c r="A591" i="2"/>
  <c r="E590" i="2"/>
  <c r="C590" i="2"/>
  <c r="A590" i="2"/>
  <c r="E589" i="2"/>
  <c r="C589" i="2"/>
  <c r="B589" i="2" s="1"/>
  <c r="A589" i="2"/>
  <c r="E588" i="2"/>
  <c r="C588" i="2"/>
  <c r="A588" i="2"/>
  <c r="E587" i="2"/>
  <c r="C587" i="2"/>
  <c r="B587" i="2" s="1"/>
  <c r="A587" i="2"/>
  <c r="E586" i="2"/>
  <c r="C586" i="2"/>
  <c r="A586" i="2"/>
  <c r="E585" i="2"/>
  <c r="C585" i="2"/>
  <c r="B585" i="2" s="1"/>
  <c r="A585" i="2"/>
  <c r="E584" i="2"/>
  <c r="C584" i="2"/>
  <c r="A584" i="2"/>
  <c r="E583" i="2"/>
  <c r="C583" i="2"/>
  <c r="B583" i="2" s="1"/>
  <c r="A583" i="2"/>
  <c r="E582" i="2"/>
  <c r="C582" i="2"/>
  <c r="A582" i="2"/>
  <c r="E581" i="2"/>
  <c r="C581" i="2"/>
  <c r="B581" i="2" s="1"/>
  <c r="A581" i="2"/>
  <c r="E580" i="2"/>
  <c r="C580" i="2"/>
  <c r="A580" i="2"/>
  <c r="E579" i="2"/>
  <c r="C579" i="2"/>
  <c r="B579" i="2" s="1"/>
  <c r="A579" i="2"/>
  <c r="E578" i="2"/>
  <c r="C578" i="2"/>
  <c r="A578" i="2"/>
  <c r="E577" i="2"/>
  <c r="C577" i="2"/>
  <c r="B577" i="2" s="1"/>
  <c r="A577" i="2"/>
  <c r="E576" i="2"/>
  <c r="C576" i="2"/>
  <c r="A576" i="2"/>
  <c r="E575" i="2"/>
  <c r="C575" i="2"/>
  <c r="B575" i="2" s="1"/>
  <c r="A575" i="2"/>
  <c r="E574" i="2"/>
  <c r="C574" i="2"/>
  <c r="A574" i="2"/>
  <c r="E573" i="2"/>
  <c r="C573" i="2"/>
  <c r="B573" i="2" s="1"/>
  <c r="A573" i="2"/>
  <c r="E572" i="2"/>
  <c r="C572" i="2"/>
  <c r="A572" i="2"/>
  <c r="E571" i="2"/>
  <c r="C571" i="2"/>
  <c r="B571" i="2" s="1"/>
  <c r="A571" i="2"/>
  <c r="E570" i="2"/>
  <c r="C570" i="2"/>
  <c r="A570" i="2"/>
  <c r="E569" i="2"/>
  <c r="C569" i="2"/>
  <c r="B569" i="2" s="1"/>
  <c r="A569" i="2"/>
  <c r="E568" i="2"/>
  <c r="C568" i="2"/>
  <c r="A568" i="2"/>
  <c r="E567" i="2"/>
  <c r="C567" i="2"/>
  <c r="B567" i="2" s="1"/>
  <c r="A567" i="2"/>
  <c r="E566" i="2"/>
  <c r="C566" i="2"/>
  <c r="A566" i="2"/>
  <c r="E565" i="2"/>
  <c r="C565" i="2"/>
  <c r="B565" i="2" s="1"/>
  <c r="A565" i="2"/>
  <c r="E564" i="2"/>
  <c r="C564" i="2"/>
  <c r="A564" i="2"/>
  <c r="E563" i="2"/>
  <c r="C563" i="2"/>
  <c r="B563" i="2" s="1"/>
  <c r="A563" i="2"/>
  <c r="E562" i="2"/>
  <c r="C562" i="2"/>
  <c r="A562" i="2"/>
  <c r="E561" i="2"/>
  <c r="C561" i="2"/>
  <c r="B561" i="2" s="1"/>
  <c r="A561" i="2"/>
  <c r="E560" i="2"/>
  <c r="C560" i="2"/>
  <c r="A560" i="2"/>
  <c r="E559" i="2"/>
  <c r="C559" i="2"/>
  <c r="B559" i="2" s="1"/>
  <c r="A559" i="2"/>
  <c r="E558" i="2"/>
  <c r="C558" i="2"/>
  <c r="A558" i="2"/>
  <c r="E557" i="2"/>
  <c r="C557" i="2"/>
  <c r="B557" i="2" s="1"/>
  <c r="A557" i="2"/>
  <c r="E556" i="2"/>
  <c r="C556" i="2"/>
  <c r="A556" i="2"/>
  <c r="E555" i="2"/>
  <c r="C555" i="2"/>
  <c r="B555" i="2" s="1"/>
  <c r="A555" i="2"/>
  <c r="E554" i="2"/>
  <c r="C554" i="2"/>
  <c r="A554" i="2"/>
  <c r="E553" i="2"/>
  <c r="C553" i="2"/>
  <c r="B553" i="2" s="1"/>
  <c r="A553" i="2"/>
  <c r="E552" i="2"/>
  <c r="C552" i="2"/>
  <c r="A552" i="2"/>
  <c r="E551" i="2"/>
  <c r="C551" i="2"/>
  <c r="B551" i="2" s="1"/>
  <c r="A551" i="2"/>
  <c r="E550" i="2"/>
  <c r="C550" i="2"/>
  <c r="A550" i="2"/>
  <c r="E549" i="2"/>
  <c r="C549" i="2"/>
  <c r="B549" i="2" s="1"/>
  <c r="A549" i="2"/>
  <c r="E548" i="2"/>
  <c r="C548" i="2"/>
  <c r="A548" i="2"/>
  <c r="E547" i="2"/>
  <c r="C547" i="2"/>
  <c r="B547" i="2" s="1"/>
  <c r="A547" i="2"/>
  <c r="E546" i="2"/>
  <c r="C546" i="2"/>
  <c r="A546" i="2"/>
  <c r="E545" i="2"/>
  <c r="C545" i="2"/>
  <c r="B545" i="2" s="1"/>
  <c r="A545" i="2"/>
  <c r="E544" i="2"/>
  <c r="C544" i="2"/>
  <c r="A544" i="2"/>
  <c r="E543" i="2"/>
  <c r="C543" i="2"/>
  <c r="B543" i="2" s="1"/>
  <c r="A543" i="2"/>
  <c r="E542" i="2"/>
  <c r="C542" i="2"/>
  <c r="A542" i="2"/>
  <c r="E541" i="2"/>
  <c r="C541" i="2"/>
  <c r="B541" i="2" s="1"/>
  <c r="A541" i="2"/>
  <c r="E540" i="2"/>
  <c r="C540" i="2"/>
  <c r="A540" i="2"/>
  <c r="E539" i="2"/>
  <c r="C539" i="2"/>
  <c r="B539" i="2" s="1"/>
  <c r="A539" i="2"/>
  <c r="E538" i="2"/>
  <c r="C538" i="2"/>
  <c r="A538" i="2"/>
  <c r="E537" i="2"/>
  <c r="C537" i="2"/>
  <c r="A537" i="2"/>
  <c r="E536" i="2"/>
  <c r="C536" i="2"/>
  <c r="A536" i="2"/>
  <c r="E535" i="2"/>
  <c r="C535" i="2"/>
  <c r="B535" i="2" s="1"/>
  <c r="A535" i="2"/>
  <c r="E534" i="2"/>
  <c r="C534" i="2"/>
  <c r="A534" i="2"/>
  <c r="E533" i="2"/>
  <c r="C533" i="2"/>
  <c r="B533" i="2" s="1"/>
  <c r="A533" i="2"/>
  <c r="E532" i="2"/>
  <c r="C532" i="2"/>
  <c r="A532" i="2"/>
  <c r="E531" i="2"/>
  <c r="C531" i="2"/>
  <c r="B531" i="2" s="1"/>
  <c r="A531" i="2"/>
  <c r="E530" i="2"/>
  <c r="C530" i="2"/>
  <c r="A530" i="2"/>
  <c r="E529" i="2"/>
  <c r="C529" i="2"/>
  <c r="B529" i="2" s="1"/>
  <c r="A529" i="2"/>
  <c r="E528" i="2"/>
  <c r="C528" i="2"/>
  <c r="A528" i="2"/>
  <c r="E527" i="2"/>
  <c r="C527" i="2"/>
  <c r="B527" i="2" s="1"/>
  <c r="A527" i="2"/>
  <c r="E526" i="2"/>
  <c r="C526" i="2"/>
  <c r="A526" i="2"/>
  <c r="E525" i="2"/>
  <c r="C525" i="2"/>
  <c r="B525" i="2" s="1"/>
  <c r="A525" i="2"/>
  <c r="E524" i="2"/>
  <c r="C524" i="2"/>
  <c r="A524" i="2"/>
  <c r="E523" i="2"/>
  <c r="C523" i="2"/>
  <c r="B523" i="2" s="1"/>
  <c r="A523" i="2"/>
  <c r="E522" i="2"/>
  <c r="C522" i="2"/>
  <c r="A522" i="2"/>
  <c r="E521" i="2"/>
  <c r="C521" i="2"/>
  <c r="B521" i="2" s="1"/>
  <c r="A521" i="2"/>
  <c r="E520" i="2"/>
  <c r="C520" i="2"/>
  <c r="A520" i="2"/>
  <c r="E519" i="2"/>
  <c r="C519" i="2"/>
  <c r="B519" i="2" s="1"/>
  <c r="A519" i="2"/>
  <c r="E518" i="2"/>
  <c r="C518" i="2"/>
  <c r="A518" i="2"/>
  <c r="E517" i="2"/>
  <c r="C517" i="2"/>
  <c r="B517" i="2" s="1"/>
  <c r="A517" i="2"/>
  <c r="E516" i="2"/>
  <c r="C516" i="2"/>
  <c r="A516" i="2"/>
  <c r="E515" i="2"/>
  <c r="C515" i="2"/>
  <c r="B515" i="2" s="1"/>
  <c r="A515" i="2"/>
  <c r="E514" i="2"/>
  <c r="C514" i="2"/>
  <c r="A514" i="2"/>
  <c r="E513" i="2"/>
  <c r="C513" i="2"/>
  <c r="B513" i="2" s="1"/>
  <c r="A513" i="2"/>
  <c r="E512" i="2"/>
  <c r="C512" i="2"/>
  <c r="A512" i="2"/>
  <c r="E511" i="2"/>
  <c r="C511" i="2"/>
  <c r="B511" i="2" s="1"/>
  <c r="A511" i="2"/>
  <c r="E510" i="2"/>
  <c r="C510" i="2"/>
  <c r="A510" i="2"/>
  <c r="E509" i="2"/>
  <c r="C509" i="2"/>
  <c r="B509" i="2" s="1"/>
  <c r="A509" i="2"/>
  <c r="E508" i="2"/>
  <c r="C508" i="2"/>
  <c r="A508" i="2"/>
  <c r="E507" i="2"/>
  <c r="C507" i="2"/>
  <c r="B507" i="2" s="1"/>
  <c r="A507" i="2"/>
  <c r="E506" i="2"/>
  <c r="C506" i="2"/>
  <c r="A506" i="2"/>
  <c r="E505" i="2"/>
  <c r="C505" i="2"/>
  <c r="B505" i="2" s="1"/>
  <c r="A505" i="2"/>
  <c r="E504" i="2"/>
  <c r="C504" i="2"/>
  <c r="A504" i="2"/>
  <c r="E503" i="2"/>
  <c r="C503" i="2"/>
  <c r="B503" i="2" s="1"/>
  <c r="A503" i="2"/>
  <c r="E502" i="2"/>
  <c r="C502" i="2"/>
  <c r="A502" i="2"/>
  <c r="E501" i="2"/>
  <c r="C501" i="2"/>
  <c r="B501" i="2" s="1"/>
  <c r="A501" i="2"/>
  <c r="E500" i="2"/>
  <c r="C500" i="2"/>
  <c r="A500" i="2"/>
  <c r="E499" i="2"/>
  <c r="C499" i="2"/>
  <c r="B499" i="2" s="1"/>
  <c r="A499" i="2"/>
  <c r="E498" i="2"/>
  <c r="C498" i="2"/>
  <c r="A498" i="2"/>
  <c r="E497" i="2"/>
  <c r="C497" i="2"/>
  <c r="B497" i="2" s="1"/>
  <c r="A497" i="2"/>
  <c r="E496" i="2"/>
  <c r="C496" i="2"/>
  <c r="A496" i="2"/>
  <c r="E495" i="2"/>
  <c r="C495" i="2"/>
  <c r="B495" i="2" s="1"/>
  <c r="A495" i="2"/>
  <c r="E494" i="2"/>
  <c r="C494" i="2"/>
  <c r="A494" i="2"/>
  <c r="E493" i="2"/>
  <c r="C493" i="2"/>
  <c r="B493" i="2" s="1"/>
  <c r="A493" i="2"/>
  <c r="E492" i="2"/>
  <c r="C492" i="2"/>
  <c r="A492" i="2"/>
  <c r="E491" i="2"/>
  <c r="C491" i="2"/>
  <c r="B491" i="2" s="1"/>
  <c r="A491" i="2"/>
  <c r="E490" i="2"/>
  <c r="C490" i="2"/>
  <c r="A490" i="2"/>
  <c r="E489" i="2"/>
  <c r="C489" i="2"/>
  <c r="A489" i="2"/>
  <c r="E488" i="2"/>
  <c r="C488" i="2"/>
  <c r="A488" i="2"/>
  <c r="E487" i="2"/>
  <c r="C487" i="2"/>
  <c r="B487" i="2" s="1"/>
  <c r="A487" i="2"/>
  <c r="E486" i="2"/>
  <c r="C486" i="2"/>
  <c r="A486" i="2"/>
  <c r="E485" i="2"/>
  <c r="C485" i="2"/>
  <c r="B485" i="2" s="1"/>
  <c r="A485" i="2"/>
  <c r="E484" i="2"/>
  <c r="C484" i="2"/>
  <c r="A484" i="2"/>
  <c r="E483" i="2"/>
  <c r="C483" i="2"/>
  <c r="B483" i="2" s="1"/>
  <c r="A483" i="2"/>
  <c r="E482" i="2"/>
  <c r="C482" i="2"/>
  <c r="A482" i="2"/>
  <c r="E481" i="2"/>
  <c r="C481" i="2"/>
  <c r="A481" i="2"/>
  <c r="E480" i="2"/>
  <c r="C480" i="2"/>
  <c r="B480" i="2" s="1"/>
  <c r="A480" i="2"/>
  <c r="E479" i="2"/>
  <c r="C479" i="2"/>
  <c r="A479" i="2"/>
  <c r="E478" i="2"/>
  <c r="C478" i="2"/>
  <c r="A478" i="2"/>
  <c r="E477" i="2"/>
  <c r="C477" i="2"/>
  <c r="A477" i="2"/>
  <c r="E476" i="2"/>
  <c r="C476" i="2"/>
  <c r="B476" i="2" s="1"/>
  <c r="A476" i="2"/>
  <c r="E475" i="2"/>
  <c r="C475" i="2"/>
  <c r="A475" i="2"/>
  <c r="E474" i="2"/>
  <c r="C474" i="2"/>
  <c r="A474" i="2"/>
  <c r="E473" i="2"/>
  <c r="C473" i="2"/>
  <c r="A473" i="2"/>
  <c r="E472" i="2"/>
  <c r="C472" i="2"/>
  <c r="B472" i="2" s="1"/>
  <c r="A472" i="2"/>
  <c r="E471" i="2"/>
  <c r="C471" i="2"/>
  <c r="A471" i="2"/>
  <c r="E470" i="2"/>
  <c r="C470" i="2"/>
  <c r="A470" i="2"/>
  <c r="E469" i="2"/>
  <c r="C469" i="2"/>
  <c r="A469" i="2"/>
  <c r="E468" i="2"/>
  <c r="C468" i="2"/>
  <c r="B468" i="2" s="1"/>
  <c r="A468" i="2"/>
  <c r="E467" i="2"/>
  <c r="C467" i="2"/>
  <c r="A467" i="2"/>
  <c r="E466" i="2"/>
  <c r="C466" i="2"/>
  <c r="A466" i="2"/>
  <c r="E465" i="2"/>
  <c r="C465" i="2"/>
  <c r="A465" i="2"/>
  <c r="E464" i="2"/>
  <c r="C464" i="2"/>
  <c r="B464" i="2" s="1"/>
  <c r="A464" i="2"/>
  <c r="E463" i="2"/>
  <c r="C463" i="2"/>
  <c r="A463" i="2"/>
  <c r="E462" i="2"/>
  <c r="C462" i="2"/>
  <c r="A462" i="2"/>
  <c r="E461" i="2"/>
  <c r="C461" i="2"/>
  <c r="A461" i="2"/>
  <c r="E460" i="2"/>
  <c r="C460" i="2"/>
  <c r="B460" i="2" s="1"/>
  <c r="A460" i="2"/>
  <c r="E459" i="2"/>
  <c r="C459" i="2"/>
  <c r="A459" i="2"/>
  <c r="E458" i="2"/>
  <c r="C458" i="2"/>
  <c r="A458" i="2"/>
  <c r="E457" i="2"/>
  <c r="C457" i="2"/>
  <c r="A457" i="2"/>
  <c r="E456" i="2"/>
  <c r="C456" i="2"/>
  <c r="B456" i="2" s="1"/>
  <c r="A456" i="2"/>
  <c r="E455" i="2"/>
  <c r="C455" i="2"/>
  <c r="A455" i="2"/>
  <c r="E454" i="2"/>
  <c r="C454" i="2"/>
  <c r="A454" i="2"/>
  <c r="E453" i="2"/>
  <c r="C453" i="2"/>
  <c r="A453" i="2"/>
  <c r="E452" i="2"/>
  <c r="C452" i="2"/>
  <c r="B452" i="2" s="1"/>
  <c r="A452" i="2"/>
  <c r="E451" i="2"/>
  <c r="C451" i="2"/>
  <c r="A451" i="2"/>
  <c r="E450" i="2"/>
  <c r="C450" i="2"/>
  <c r="A450" i="2"/>
  <c r="E449" i="2"/>
  <c r="C449" i="2"/>
  <c r="A449" i="2"/>
  <c r="E448" i="2"/>
  <c r="C448" i="2"/>
  <c r="B448" i="2" s="1"/>
  <c r="A448" i="2"/>
  <c r="E447" i="2"/>
  <c r="C447" i="2"/>
  <c r="A447" i="2"/>
  <c r="E446" i="2"/>
  <c r="C446" i="2"/>
  <c r="A446" i="2"/>
  <c r="E445" i="2"/>
  <c r="C445" i="2"/>
  <c r="A445" i="2"/>
  <c r="E444" i="2"/>
  <c r="C444" i="2"/>
  <c r="B444" i="2" s="1"/>
  <c r="A444" i="2"/>
  <c r="E443" i="2"/>
  <c r="C443" i="2"/>
  <c r="A443" i="2"/>
  <c r="E442" i="2"/>
  <c r="C442" i="2"/>
  <c r="A442" i="2"/>
  <c r="E441" i="2"/>
  <c r="C441" i="2"/>
  <c r="A441" i="2"/>
  <c r="E440" i="2"/>
  <c r="C440" i="2"/>
  <c r="B440" i="2" s="1"/>
  <c r="A440" i="2"/>
  <c r="E439" i="2"/>
  <c r="C439" i="2"/>
  <c r="A439" i="2"/>
  <c r="E438" i="2"/>
  <c r="C438" i="2"/>
  <c r="A438" i="2"/>
  <c r="E437" i="2"/>
  <c r="C437" i="2"/>
  <c r="A437" i="2"/>
  <c r="E436" i="2"/>
  <c r="C436" i="2"/>
  <c r="B436" i="2" s="1"/>
  <c r="A436" i="2"/>
  <c r="E435" i="2"/>
  <c r="C435" i="2"/>
  <c r="A435" i="2"/>
  <c r="E434" i="2"/>
  <c r="C434" i="2"/>
  <c r="A434" i="2"/>
  <c r="E433" i="2"/>
  <c r="C433" i="2"/>
  <c r="A433" i="2"/>
  <c r="E432" i="2"/>
  <c r="C432" i="2"/>
  <c r="B432" i="2" s="1"/>
  <c r="A432" i="2"/>
  <c r="E431" i="2"/>
  <c r="C431" i="2"/>
  <c r="A431" i="2"/>
  <c r="E430" i="2"/>
  <c r="C430" i="2"/>
  <c r="A430" i="2"/>
  <c r="E429" i="2"/>
  <c r="C429" i="2"/>
  <c r="A429" i="2"/>
  <c r="E428" i="2"/>
  <c r="C428" i="2"/>
  <c r="B428" i="2" s="1"/>
  <c r="A428" i="2"/>
  <c r="E427" i="2"/>
  <c r="C427" i="2"/>
  <c r="A427" i="2"/>
  <c r="E426" i="2"/>
  <c r="C426" i="2"/>
  <c r="A426" i="2"/>
  <c r="E425" i="2"/>
  <c r="C425" i="2"/>
  <c r="A425" i="2"/>
  <c r="E424" i="2"/>
  <c r="C424" i="2"/>
  <c r="B424" i="2" s="1"/>
  <c r="A424" i="2"/>
  <c r="E423" i="2"/>
  <c r="C423" i="2"/>
  <c r="A423" i="2"/>
  <c r="E422" i="2"/>
  <c r="C422" i="2"/>
  <c r="A422" i="2"/>
  <c r="E421" i="2"/>
  <c r="C421" i="2"/>
  <c r="A421" i="2"/>
  <c r="E420" i="2"/>
  <c r="C420" i="2"/>
  <c r="B420" i="2" s="1"/>
  <c r="A420" i="2"/>
  <c r="E419" i="2"/>
  <c r="C419" i="2"/>
  <c r="A419" i="2"/>
  <c r="E418" i="2"/>
  <c r="C418" i="2"/>
  <c r="A418" i="2"/>
  <c r="E417" i="2"/>
  <c r="C417" i="2"/>
  <c r="A417" i="2"/>
  <c r="E416" i="2"/>
  <c r="C416" i="2"/>
  <c r="B416" i="2" s="1"/>
  <c r="A416" i="2"/>
  <c r="E415" i="2"/>
  <c r="C415" i="2"/>
  <c r="A415" i="2"/>
  <c r="E414" i="2"/>
  <c r="C414" i="2"/>
  <c r="A414" i="2"/>
  <c r="E413" i="2"/>
  <c r="C413" i="2"/>
  <c r="A413" i="2"/>
  <c r="E412" i="2"/>
  <c r="C412" i="2"/>
  <c r="B412" i="2" s="1"/>
  <c r="A412" i="2"/>
  <c r="E411" i="2"/>
  <c r="C411" i="2"/>
  <c r="A411" i="2"/>
  <c r="E410" i="2"/>
  <c r="C410" i="2"/>
  <c r="A410" i="2"/>
  <c r="E409" i="2"/>
  <c r="C409" i="2"/>
  <c r="A409" i="2"/>
  <c r="E408" i="2"/>
  <c r="C408" i="2"/>
  <c r="B408" i="2" s="1"/>
  <c r="A408" i="2"/>
  <c r="E407" i="2"/>
  <c r="C407" i="2"/>
  <c r="A407" i="2"/>
  <c r="E406" i="2"/>
  <c r="C406" i="2"/>
  <c r="A406" i="2"/>
  <c r="E405" i="2"/>
  <c r="C405" i="2"/>
  <c r="A405" i="2"/>
  <c r="E404" i="2"/>
  <c r="C404" i="2"/>
  <c r="B404" i="2" s="1"/>
  <c r="A404" i="2"/>
  <c r="E403" i="2"/>
  <c r="C403" i="2"/>
  <c r="A403" i="2"/>
  <c r="E402" i="2"/>
  <c r="C402" i="2"/>
  <c r="A402" i="2"/>
  <c r="E401" i="2"/>
  <c r="C401" i="2"/>
  <c r="A401" i="2"/>
  <c r="E400" i="2"/>
  <c r="C400" i="2"/>
  <c r="B400" i="2" s="1"/>
  <c r="A400" i="2"/>
  <c r="E399" i="2"/>
  <c r="C399" i="2"/>
  <c r="A399" i="2"/>
  <c r="E398" i="2"/>
  <c r="C398" i="2"/>
  <c r="A398" i="2"/>
  <c r="E397" i="2"/>
  <c r="C397" i="2"/>
  <c r="A397" i="2"/>
  <c r="E396" i="2"/>
  <c r="C396" i="2"/>
  <c r="B396" i="2" s="1"/>
  <c r="A396" i="2"/>
  <c r="E395" i="2"/>
  <c r="C395" i="2"/>
  <c r="A395" i="2"/>
  <c r="E394" i="2"/>
  <c r="C394" i="2"/>
  <c r="A394" i="2"/>
  <c r="E393" i="2"/>
  <c r="C393" i="2"/>
  <c r="A393" i="2"/>
  <c r="E392" i="2"/>
  <c r="C392" i="2"/>
  <c r="B392" i="2" s="1"/>
  <c r="A392" i="2"/>
  <c r="E391" i="2"/>
  <c r="C391" i="2"/>
  <c r="A391" i="2"/>
  <c r="E390" i="2"/>
  <c r="C390" i="2"/>
  <c r="A390" i="2"/>
  <c r="E389" i="2"/>
  <c r="C389" i="2"/>
  <c r="A389" i="2"/>
  <c r="E388" i="2"/>
  <c r="C388" i="2"/>
  <c r="B388" i="2" s="1"/>
  <c r="A388" i="2"/>
  <c r="E387" i="2"/>
  <c r="C387" i="2"/>
  <c r="A387" i="2"/>
  <c r="E386" i="2"/>
  <c r="C386" i="2"/>
  <c r="A386" i="2"/>
  <c r="E385" i="2"/>
  <c r="C385" i="2"/>
  <c r="A385" i="2"/>
  <c r="E384" i="2"/>
  <c r="C384" i="2"/>
  <c r="B384" i="2" s="1"/>
  <c r="A384" i="2"/>
  <c r="E383" i="2"/>
  <c r="C383" i="2"/>
  <c r="A383" i="2"/>
  <c r="E382" i="2"/>
  <c r="C382" i="2"/>
  <c r="A382" i="2"/>
  <c r="E381" i="2"/>
  <c r="C381" i="2"/>
  <c r="A381" i="2"/>
  <c r="E380" i="2"/>
  <c r="C380" i="2"/>
  <c r="B380" i="2" s="1"/>
  <c r="A380" i="2"/>
  <c r="E379" i="2"/>
  <c r="C379" i="2"/>
  <c r="A379" i="2"/>
  <c r="E378" i="2"/>
  <c r="C378" i="2"/>
  <c r="A378" i="2"/>
  <c r="E377" i="2"/>
  <c r="C377" i="2"/>
  <c r="A377" i="2"/>
  <c r="E376" i="2"/>
  <c r="C376" i="2"/>
  <c r="B376" i="2" s="1"/>
  <c r="A376" i="2"/>
  <c r="E375" i="2"/>
  <c r="C375" i="2"/>
  <c r="A375" i="2"/>
  <c r="E374" i="2"/>
  <c r="C374" i="2"/>
  <c r="A374" i="2"/>
  <c r="E373" i="2"/>
  <c r="C373" i="2"/>
  <c r="A373" i="2"/>
  <c r="E372" i="2"/>
  <c r="C372" i="2"/>
  <c r="B372" i="2" s="1"/>
  <c r="A372" i="2"/>
  <c r="E371" i="2"/>
  <c r="C371" i="2"/>
  <c r="A371" i="2"/>
  <c r="E370" i="2"/>
  <c r="C370" i="2"/>
  <c r="A370" i="2"/>
  <c r="E369" i="2"/>
  <c r="C369" i="2"/>
  <c r="A369" i="2"/>
  <c r="E368" i="2"/>
  <c r="C368" i="2"/>
  <c r="B368" i="2" s="1"/>
  <c r="A368" i="2"/>
  <c r="E367" i="2"/>
  <c r="C367" i="2"/>
  <c r="A367" i="2"/>
  <c r="E366" i="2"/>
  <c r="C366" i="2"/>
  <c r="A366" i="2"/>
  <c r="E365" i="2"/>
  <c r="C365" i="2"/>
  <c r="A365" i="2"/>
  <c r="E364" i="2"/>
  <c r="C364" i="2"/>
  <c r="B364" i="2" s="1"/>
  <c r="A364" i="2"/>
  <c r="E363" i="2"/>
  <c r="C363" i="2"/>
  <c r="A363" i="2"/>
  <c r="E362" i="2"/>
  <c r="C362" i="2"/>
  <c r="A362" i="2"/>
  <c r="E361" i="2"/>
  <c r="C361" i="2"/>
  <c r="A361" i="2"/>
  <c r="E360" i="2"/>
  <c r="C360" i="2"/>
  <c r="B360" i="2" s="1"/>
  <c r="A360" i="2"/>
  <c r="E359" i="2"/>
  <c r="C359" i="2"/>
  <c r="A359" i="2"/>
  <c r="E358" i="2"/>
  <c r="C358" i="2"/>
  <c r="A358" i="2"/>
  <c r="E357" i="2"/>
  <c r="C357" i="2"/>
  <c r="A357" i="2"/>
  <c r="E356" i="2"/>
  <c r="C356" i="2"/>
  <c r="B356" i="2" s="1"/>
  <c r="A356" i="2"/>
  <c r="E355" i="2"/>
  <c r="C355" i="2"/>
  <c r="A355" i="2"/>
  <c r="E354" i="2"/>
  <c r="C354" i="2"/>
  <c r="A354" i="2"/>
  <c r="E353" i="2"/>
  <c r="C353" i="2"/>
  <c r="A353" i="2"/>
  <c r="E352" i="2"/>
  <c r="C352" i="2"/>
  <c r="B352" i="2" s="1"/>
  <c r="A352" i="2"/>
  <c r="E351" i="2"/>
  <c r="C351" i="2"/>
  <c r="A351" i="2"/>
  <c r="E350" i="2"/>
  <c r="C350" i="2"/>
  <c r="A350" i="2"/>
  <c r="E349" i="2"/>
  <c r="C349" i="2"/>
  <c r="A349" i="2"/>
  <c r="E348" i="2"/>
  <c r="C348" i="2"/>
  <c r="B348" i="2" s="1"/>
  <c r="A348" i="2"/>
  <c r="E347" i="2"/>
  <c r="C347" i="2"/>
  <c r="A347" i="2"/>
  <c r="E346" i="2"/>
  <c r="C346" i="2"/>
  <c r="B346" i="2" s="1"/>
  <c r="A346" i="2"/>
  <c r="E345" i="2"/>
  <c r="C345" i="2"/>
  <c r="A345" i="2"/>
  <c r="E344" i="2"/>
  <c r="C344" i="2"/>
  <c r="B344" i="2" s="1"/>
  <c r="A344" i="2"/>
  <c r="E343" i="2"/>
  <c r="C343" i="2"/>
  <c r="A343" i="2"/>
  <c r="E342" i="2"/>
  <c r="C342" i="2"/>
  <c r="B342" i="2" s="1"/>
  <c r="A342" i="2"/>
  <c r="E341" i="2"/>
  <c r="C341" i="2"/>
  <c r="A341" i="2"/>
  <c r="E340" i="2"/>
  <c r="C340" i="2"/>
  <c r="B340" i="2" s="1"/>
  <c r="A340" i="2"/>
  <c r="E339" i="2"/>
  <c r="C339" i="2"/>
  <c r="A339" i="2"/>
  <c r="E338" i="2"/>
  <c r="C338" i="2"/>
  <c r="B338" i="2" s="1"/>
  <c r="A338" i="2"/>
  <c r="E337" i="2"/>
  <c r="C337" i="2"/>
  <c r="A337" i="2"/>
  <c r="E336" i="2"/>
  <c r="C336" i="2"/>
  <c r="B336" i="2" s="1"/>
  <c r="A336" i="2"/>
  <c r="E335" i="2"/>
  <c r="C335" i="2"/>
  <c r="A335" i="2"/>
  <c r="E334" i="2"/>
  <c r="C334" i="2"/>
  <c r="B334" i="2" s="1"/>
  <c r="A334" i="2"/>
  <c r="E333" i="2"/>
  <c r="C333" i="2"/>
  <c r="A333" i="2"/>
  <c r="E332" i="2"/>
  <c r="C332" i="2"/>
  <c r="B332" i="2" s="1"/>
  <c r="A332" i="2"/>
  <c r="E331" i="2"/>
  <c r="C331" i="2"/>
  <c r="A331" i="2"/>
  <c r="E330" i="2"/>
  <c r="C330" i="2"/>
  <c r="B330" i="2" s="1"/>
  <c r="A330" i="2"/>
  <c r="E329" i="2"/>
  <c r="C329" i="2"/>
  <c r="A329" i="2"/>
  <c r="E328" i="2"/>
  <c r="C328" i="2"/>
  <c r="B328" i="2" s="1"/>
  <c r="A328" i="2"/>
  <c r="E327" i="2"/>
  <c r="C327" i="2"/>
  <c r="A327" i="2"/>
  <c r="E326" i="2"/>
  <c r="C326" i="2"/>
  <c r="B326" i="2" s="1"/>
  <c r="A326" i="2"/>
  <c r="E325" i="2"/>
  <c r="C325" i="2"/>
  <c r="A325" i="2"/>
  <c r="E324" i="2"/>
  <c r="C324" i="2"/>
  <c r="B324" i="2" s="1"/>
  <c r="A324" i="2"/>
  <c r="E323" i="2"/>
  <c r="C323" i="2"/>
  <c r="A323" i="2"/>
  <c r="E322" i="2"/>
  <c r="C322" i="2"/>
  <c r="B322" i="2" s="1"/>
  <c r="A322" i="2"/>
  <c r="E321" i="2"/>
  <c r="C321" i="2"/>
  <c r="A321" i="2"/>
  <c r="E320" i="2"/>
  <c r="C320" i="2"/>
  <c r="B320" i="2" s="1"/>
  <c r="A320" i="2"/>
  <c r="E319" i="2"/>
  <c r="C319" i="2"/>
  <c r="A319" i="2"/>
  <c r="E318" i="2"/>
  <c r="C318" i="2"/>
  <c r="B318" i="2" s="1"/>
  <c r="A318" i="2"/>
  <c r="E317" i="2"/>
  <c r="C317" i="2"/>
  <c r="A317" i="2"/>
  <c r="E316" i="2"/>
  <c r="C316" i="2"/>
  <c r="B316" i="2" s="1"/>
  <c r="A316" i="2"/>
  <c r="E315" i="2"/>
  <c r="C315" i="2"/>
  <c r="A315" i="2"/>
  <c r="E314" i="2"/>
  <c r="C314" i="2"/>
  <c r="B314" i="2" s="1"/>
  <c r="A314" i="2"/>
  <c r="E313" i="2"/>
  <c r="C313" i="2"/>
  <c r="A313" i="2"/>
  <c r="E312" i="2"/>
  <c r="C312" i="2"/>
  <c r="B312" i="2" s="1"/>
  <c r="A312" i="2"/>
  <c r="E311" i="2"/>
  <c r="C311" i="2"/>
  <c r="A311" i="2"/>
  <c r="E310" i="2"/>
  <c r="C310" i="2"/>
  <c r="B310" i="2" s="1"/>
  <c r="A310" i="2"/>
  <c r="E309" i="2"/>
  <c r="C309" i="2"/>
  <c r="A309" i="2"/>
  <c r="E308" i="2"/>
  <c r="C308" i="2"/>
  <c r="B308" i="2" s="1"/>
  <c r="A308" i="2"/>
  <c r="E307" i="2"/>
  <c r="C307" i="2"/>
  <c r="A307" i="2"/>
  <c r="E306" i="2"/>
  <c r="C306" i="2"/>
  <c r="B306" i="2" s="1"/>
  <c r="A306" i="2"/>
  <c r="E305" i="2"/>
  <c r="C305" i="2"/>
  <c r="A305" i="2"/>
  <c r="E304" i="2"/>
  <c r="C304" i="2"/>
  <c r="B304" i="2" s="1"/>
  <c r="A304" i="2"/>
  <c r="E303" i="2"/>
  <c r="C303" i="2"/>
  <c r="A303" i="2"/>
  <c r="E302" i="2"/>
  <c r="C302" i="2"/>
  <c r="B302" i="2" s="1"/>
  <c r="A302" i="2"/>
  <c r="E301" i="2"/>
  <c r="C301" i="2"/>
  <c r="A301" i="2"/>
  <c r="E300" i="2"/>
  <c r="C300" i="2"/>
  <c r="B300" i="2" s="1"/>
  <c r="A300" i="2"/>
  <c r="E299" i="2"/>
  <c r="C299" i="2"/>
  <c r="A299" i="2"/>
  <c r="E298" i="2"/>
  <c r="C298" i="2"/>
  <c r="B298" i="2" s="1"/>
  <c r="A298" i="2"/>
  <c r="E297" i="2"/>
  <c r="C297" i="2"/>
  <c r="A297" i="2"/>
  <c r="E296" i="2"/>
  <c r="C296" i="2"/>
  <c r="B296" i="2" s="1"/>
  <c r="A296" i="2"/>
  <c r="E295" i="2"/>
  <c r="C295" i="2"/>
  <c r="A295" i="2"/>
  <c r="E294" i="2"/>
  <c r="C294" i="2"/>
  <c r="B294" i="2" s="1"/>
  <c r="A294" i="2"/>
  <c r="E293" i="2"/>
  <c r="C293" i="2"/>
  <c r="A293" i="2"/>
  <c r="E292" i="2"/>
  <c r="C292" i="2"/>
  <c r="B292" i="2" s="1"/>
  <c r="A292" i="2"/>
  <c r="E291" i="2"/>
  <c r="C291" i="2"/>
  <c r="A291" i="2"/>
  <c r="E290" i="2"/>
  <c r="C290" i="2"/>
  <c r="B290" i="2" s="1"/>
  <c r="A290" i="2"/>
  <c r="E289" i="2"/>
  <c r="C289" i="2"/>
  <c r="A289" i="2"/>
  <c r="E288" i="2"/>
  <c r="C288" i="2"/>
  <c r="B288" i="2" s="1"/>
  <c r="A288" i="2"/>
  <c r="E287" i="2"/>
  <c r="C287" i="2"/>
  <c r="A287" i="2"/>
  <c r="E286" i="2"/>
  <c r="C286" i="2"/>
  <c r="B286" i="2" s="1"/>
  <c r="A286" i="2"/>
  <c r="E285" i="2"/>
  <c r="C285" i="2"/>
  <c r="A285" i="2"/>
  <c r="E284" i="2"/>
  <c r="C284" i="2"/>
  <c r="B284" i="2" s="1"/>
  <c r="A284" i="2"/>
  <c r="E283" i="2"/>
  <c r="C283" i="2"/>
  <c r="A283" i="2"/>
  <c r="E282" i="2"/>
  <c r="C282" i="2"/>
  <c r="B282" i="2" s="1"/>
  <c r="A282" i="2"/>
  <c r="E281" i="2"/>
  <c r="C281" i="2"/>
  <c r="A281" i="2"/>
  <c r="E280" i="2"/>
  <c r="C280" i="2"/>
  <c r="B280" i="2" s="1"/>
  <c r="A280" i="2"/>
  <c r="E279" i="2"/>
  <c r="C279" i="2"/>
  <c r="A279" i="2"/>
  <c r="E278" i="2"/>
  <c r="C278" i="2"/>
  <c r="B278" i="2" s="1"/>
  <c r="A278" i="2"/>
  <c r="E277" i="2"/>
  <c r="C277" i="2"/>
  <c r="A277" i="2"/>
  <c r="E276" i="2"/>
  <c r="C276" i="2"/>
  <c r="B276" i="2" s="1"/>
  <c r="A276" i="2"/>
  <c r="E275" i="2"/>
  <c r="C275" i="2"/>
  <c r="A275" i="2"/>
  <c r="E274" i="2"/>
  <c r="C274" i="2"/>
  <c r="B274" i="2" s="1"/>
  <c r="A274" i="2"/>
  <c r="E273" i="2"/>
  <c r="C273" i="2"/>
  <c r="A273" i="2"/>
  <c r="E272" i="2"/>
  <c r="C272" i="2"/>
  <c r="B272" i="2" s="1"/>
  <c r="A272" i="2"/>
  <c r="E271" i="2"/>
  <c r="C271" i="2"/>
  <c r="A271" i="2"/>
  <c r="E270" i="2"/>
  <c r="C270" i="2"/>
  <c r="B270" i="2" s="1"/>
  <c r="A270" i="2"/>
  <c r="E269" i="2"/>
  <c r="C269" i="2"/>
  <c r="A269" i="2"/>
  <c r="E268" i="2"/>
  <c r="C268" i="2"/>
  <c r="B268" i="2" s="1"/>
  <c r="A268" i="2"/>
  <c r="E267" i="2"/>
  <c r="C267" i="2"/>
  <c r="A267" i="2"/>
  <c r="E266" i="2"/>
  <c r="C266" i="2"/>
  <c r="B266" i="2" s="1"/>
  <c r="A266" i="2"/>
  <c r="E265" i="2"/>
  <c r="C265" i="2"/>
  <c r="A265" i="2"/>
  <c r="E264" i="2"/>
  <c r="C264" i="2"/>
  <c r="B264" i="2" s="1"/>
  <c r="A264" i="2"/>
  <c r="E263" i="2"/>
  <c r="C263" i="2"/>
  <c r="A263" i="2"/>
  <c r="E262" i="2"/>
  <c r="C262" i="2"/>
  <c r="A262" i="2"/>
  <c r="E261" i="2"/>
  <c r="C261" i="2"/>
  <c r="A261" i="2"/>
  <c r="E260" i="2"/>
  <c r="C260" i="2"/>
  <c r="B260" i="2" s="1"/>
  <c r="A260" i="2"/>
  <c r="E259" i="2"/>
  <c r="C259" i="2"/>
  <c r="A259" i="2"/>
  <c r="E258" i="2"/>
  <c r="C258" i="2"/>
  <c r="B258" i="2" s="1"/>
  <c r="A258" i="2"/>
  <c r="E257" i="2"/>
  <c r="C257" i="2"/>
  <c r="A257" i="2"/>
  <c r="E256" i="2"/>
  <c r="C256" i="2"/>
  <c r="B256" i="2" s="1"/>
  <c r="A256" i="2"/>
  <c r="E255" i="2"/>
  <c r="C255" i="2"/>
  <c r="A255" i="2"/>
  <c r="E254" i="2"/>
  <c r="C254" i="2"/>
  <c r="A254" i="2"/>
  <c r="E253" i="2"/>
  <c r="C253" i="2"/>
  <c r="A253" i="2"/>
  <c r="E252" i="2"/>
  <c r="C252" i="2"/>
  <c r="B252" i="2" s="1"/>
  <c r="A252" i="2"/>
  <c r="E251" i="2"/>
  <c r="C251" i="2"/>
  <c r="A251" i="2"/>
  <c r="E250" i="2"/>
  <c r="C250" i="2"/>
  <c r="B250" i="2" s="1"/>
  <c r="A250" i="2"/>
  <c r="E249" i="2"/>
  <c r="C249" i="2"/>
  <c r="A249" i="2"/>
  <c r="E248" i="2"/>
  <c r="C248" i="2"/>
  <c r="B248" i="2" s="1"/>
  <c r="A248" i="2"/>
  <c r="E247" i="2"/>
  <c r="C247" i="2"/>
  <c r="A247" i="2"/>
  <c r="E246" i="2"/>
  <c r="C246" i="2"/>
  <c r="A246" i="2"/>
  <c r="E245" i="2"/>
  <c r="C245" i="2"/>
  <c r="A245" i="2"/>
  <c r="E244" i="2"/>
  <c r="C244" i="2"/>
  <c r="B244" i="2" s="1"/>
  <c r="A244" i="2"/>
  <c r="E243" i="2"/>
  <c r="C243" i="2"/>
  <c r="A243" i="2"/>
  <c r="E242" i="2"/>
  <c r="C242" i="2"/>
  <c r="B242" i="2" s="1"/>
  <c r="A242" i="2"/>
  <c r="E241" i="2"/>
  <c r="C241" i="2"/>
  <c r="A241" i="2"/>
  <c r="E240" i="2"/>
  <c r="C240" i="2"/>
  <c r="B240" i="2" s="1"/>
  <c r="A240" i="2"/>
  <c r="E239" i="2"/>
  <c r="C239" i="2"/>
  <c r="A239" i="2"/>
  <c r="E238" i="2"/>
  <c r="C238" i="2"/>
  <c r="A238" i="2"/>
  <c r="E237" i="2"/>
  <c r="C237" i="2"/>
  <c r="A237" i="2"/>
  <c r="E236" i="2"/>
  <c r="C236" i="2"/>
  <c r="B236" i="2" s="1"/>
  <c r="A236" i="2"/>
  <c r="E235" i="2"/>
  <c r="C235" i="2"/>
  <c r="A235" i="2"/>
  <c r="E234" i="2"/>
  <c r="C234" i="2"/>
  <c r="A234" i="2"/>
  <c r="E233" i="2"/>
  <c r="C233" i="2"/>
  <c r="A233" i="2"/>
  <c r="E232" i="2"/>
  <c r="C232" i="2"/>
  <c r="A232" i="2"/>
  <c r="E231" i="2"/>
  <c r="C231" i="2"/>
  <c r="A231" i="2"/>
  <c r="E230" i="2"/>
  <c r="C230" i="2"/>
  <c r="A230" i="2"/>
  <c r="E229" i="2"/>
  <c r="C229" i="2"/>
  <c r="A229" i="2"/>
  <c r="E228" i="2"/>
  <c r="C228" i="2"/>
  <c r="A228" i="2"/>
  <c r="E227" i="2"/>
  <c r="C227" i="2"/>
  <c r="A227" i="2"/>
  <c r="E226" i="2"/>
  <c r="C226" i="2"/>
  <c r="B226" i="2" s="1"/>
  <c r="A226" i="2"/>
  <c r="E225" i="2"/>
  <c r="C225" i="2"/>
  <c r="A225" i="2"/>
  <c r="E224" i="2"/>
  <c r="C224" i="2"/>
  <c r="A224" i="2"/>
  <c r="E223" i="2"/>
  <c r="C223" i="2"/>
  <c r="A223" i="2"/>
  <c r="E222" i="2"/>
  <c r="C222" i="2"/>
  <c r="A222" i="2"/>
  <c r="E221" i="2"/>
  <c r="C221" i="2"/>
  <c r="A221" i="2"/>
  <c r="E220" i="2"/>
  <c r="C220" i="2"/>
  <c r="A220" i="2"/>
  <c r="E219" i="2"/>
  <c r="C219" i="2"/>
  <c r="A219" i="2"/>
  <c r="E218" i="2"/>
  <c r="C218" i="2"/>
  <c r="B218" i="2" s="1"/>
  <c r="A218" i="2"/>
  <c r="E217" i="2"/>
  <c r="C217" i="2"/>
  <c r="A217" i="2"/>
  <c r="E216" i="2"/>
  <c r="C216" i="2"/>
  <c r="A216" i="2"/>
  <c r="E215" i="2"/>
  <c r="C215" i="2"/>
  <c r="A215" i="2"/>
  <c r="E214" i="2"/>
  <c r="C214" i="2"/>
  <c r="A214" i="2"/>
  <c r="E213" i="2"/>
  <c r="C213" i="2"/>
  <c r="A213" i="2"/>
  <c r="E212" i="2"/>
  <c r="C212" i="2"/>
  <c r="A212" i="2"/>
  <c r="E211" i="2"/>
  <c r="C211" i="2"/>
  <c r="A211" i="2"/>
  <c r="E210" i="2"/>
  <c r="C210" i="2"/>
  <c r="B210" i="2" s="1"/>
  <c r="A210" i="2"/>
  <c r="E209" i="2"/>
  <c r="C209" i="2"/>
  <c r="A209" i="2"/>
  <c r="E208" i="2"/>
  <c r="C208" i="2"/>
  <c r="A208" i="2"/>
  <c r="E207" i="2"/>
  <c r="C207" i="2"/>
  <c r="A207" i="2"/>
  <c r="E206" i="2"/>
  <c r="C206" i="2"/>
  <c r="A206" i="2"/>
  <c r="E205" i="2"/>
  <c r="C205" i="2"/>
  <c r="A205" i="2"/>
  <c r="E204" i="2"/>
  <c r="C204" i="2"/>
  <c r="A204" i="2"/>
  <c r="E203" i="2"/>
  <c r="C203" i="2"/>
  <c r="A203" i="2"/>
  <c r="E202" i="2"/>
  <c r="C202" i="2"/>
  <c r="B202" i="2" s="1"/>
  <c r="A202" i="2"/>
  <c r="E201" i="2"/>
  <c r="C201" i="2"/>
  <c r="A201" i="2"/>
  <c r="E200" i="2"/>
  <c r="C200" i="2"/>
  <c r="A200" i="2"/>
  <c r="E199" i="2"/>
  <c r="C199" i="2"/>
  <c r="A199" i="2"/>
  <c r="E198" i="2"/>
  <c r="C198" i="2"/>
  <c r="A198" i="2"/>
  <c r="E197" i="2"/>
  <c r="C197" i="2"/>
  <c r="A197" i="2"/>
  <c r="E196" i="2"/>
  <c r="C196" i="2"/>
  <c r="A196" i="2"/>
  <c r="E195" i="2"/>
  <c r="C195" i="2"/>
  <c r="A195" i="2"/>
  <c r="E194" i="2"/>
  <c r="C194" i="2"/>
  <c r="B194" i="2" s="1"/>
  <c r="A194" i="2"/>
  <c r="E193" i="2"/>
  <c r="C193" i="2"/>
  <c r="A193" i="2"/>
  <c r="E192" i="2"/>
  <c r="C192" i="2"/>
  <c r="A192" i="2"/>
  <c r="E191" i="2"/>
  <c r="C191" i="2"/>
  <c r="A191" i="2"/>
  <c r="E190" i="2"/>
  <c r="C190" i="2"/>
  <c r="A190" i="2"/>
  <c r="E189" i="2"/>
  <c r="C189" i="2"/>
  <c r="A189" i="2"/>
  <c r="E188" i="2"/>
  <c r="C188" i="2"/>
  <c r="A188" i="2"/>
  <c r="E187" i="2"/>
  <c r="C187" i="2"/>
  <c r="A187" i="2"/>
  <c r="E186" i="2"/>
  <c r="C186" i="2"/>
  <c r="B186" i="2" s="1"/>
  <c r="A186" i="2"/>
  <c r="E185" i="2"/>
  <c r="C185" i="2"/>
  <c r="A185" i="2"/>
  <c r="E184" i="2"/>
  <c r="C184" i="2"/>
  <c r="A184" i="2"/>
  <c r="E183" i="2"/>
  <c r="C183" i="2"/>
  <c r="A183" i="2"/>
  <c r="E182" i="2"/>
  <c r="C182" i="2"/>
  <c r="A182" i="2"/>
  <c r="E181" i="2"/>
  <c r="C181" i="2"/>
  <c r="A181" i="2"/>
  <c r="E180" i="2"/>
  <c r="C180" i="2"/>
  <c r="A180" i="2"/>
  <c r="E179" i="2"/>
  <c r="C179" i="2"/>
  <c r="A179" i="2"/>
  <c r="E178" i="2"/>
  <c r="C178" i="2"/>
  <c r="B178" i="2" s="1"/>
  <c r="A178" i="2"/>
  <c r="E177" i="2"/>
  <c r="C177" i="2"/>
  <c r="A177" i="2"/>
  <c r="E176" i="2"/>
  <c r="C176" i="2"/>
  <c r="A176" i="2"/>
  <c r="E175" i="2"/>
  <c r="C175" i="2"/>
  <c r="A175" i="2"/>
  <c r="E174" i="2"/>
  <c r="C174" i="2"/>
  <c r="A174" i="2"/>
  <c r="E173" i="2"/>
  <c r="C173" i="2"/>
  <c r="A173" i="2"/>
  <c r="E172" i="2"/>
  <c r="C172" i="2"/>
  <c r="A172" i="2"/>
  <c r="E171" i="2"/>
  <c r="C171" i="2"/>
  <c r="A171" i="2"/>
  <c r="E170" i="2"/>
  <c r="C170" i="2"/>
  <c r="B170" i="2" s="1"/>
  <c r="A170" i="2"/>
  <c r="E169" i="2"/>
  <c r="C169" i="2"/>
  <c r="A169" i="2"/>
  <c r="E168" i="2"/>
  <c r="C168" i="2"/>
  <c r="A168" i="2"/>
  <c r="E167" i="2"/>
  <c r="C167" i="2"/>
  <c r="A167" i="2"/>
  <c r="E166" i="2"/>
  <c r="C166" i="2"/>
  <c r="A166" i="2"/>
  <c r="E165" i="2"/>
  <c r="C165" i="2"/>
  <c r="A165" i="2"/>
  <c r="E164" i="2"/>
  <c r="C164" i="2"/>
  <c r="A164" i="2"/>
  <c r="E163" i="2"/>
  <c r="C163" i="2"/>
  <c r="A163" i="2"/>
  <c r="E162" i="2"/>
  <c r="C162" i="2"/>
  <c r="B162" i="2" s="1"/>
  <c r="A162" i="2"/>
  <c r="E161" i="2"/>
  <c r="C161" i="2"/>
  <c r="A161" i="2"/>
  <c r="E160" i="2"/>
  <c r="C160" i="2"/>
  <c r="A160" i="2"/>
  <c r="E159" i="2"/>
  <c r="C159" i="2"/>
  <c r="A159" i="2"/>
  <c r="E158" i="2"/>
  <c r="C158" i="2"/>
  <c r="A158" i="2"/>
  <c r="E157" i="2"/>
  <c r="C157" i="2"/>
  <c r="A157" i="2"/>
  <c r="E156" i="2"/>
  <c r="C156" i="2"/>
  <c r="A156" i="2"/>
  <c r="E155" i="2"/>
  <c r="C155" i="2"/>
  <c r="A155" i="2"/>
  <c r="E154" i="2"/>
  <c r="C154" i="2"/>
  <c r="B154" i="2" s="1"/>
  <c r="A154" i="2"/>
  <c r="E153" i="2"/>
  <c r="C153" i="2"/>
  <c r="A153" i="2"/>
  <c r="E152" i="2"/>
  <c r="C152" i="2"/>
  <c r="A152" i="2"/>
  <c r="E151" i="2"/>
  <c r="C151" i="2"/>
  <c r="A151" i="2"/>
  <c r="E150" i="2"/>
  <c r="C150" i="2"/>
  <c r="A150" i="2"/>
  <c r="E149" i="2"/>
  <c r="C149" i="2"/>
  <c r="A149" i="2"/>
  <c r="E148" i="2"/>
  <c r="C148" i="2"/>
  <c r="A148" i="2"/>
  <c r="E147" i="2"/>
  <c r="C147" i="2"/>
  <c r="A147" i="2"/>
  <c r="E146" i="2"/>
  <c r="C146" i="2"/>
  <c r="B146" i="2" s="1"/>
  <c r="A146" i="2"/>
  <c r="E145" i="2"/>
  <c r="C145" i="2"/>
  <c r="A145" i="2"/>
  <c r="E144" i="2"/>
  <c r="C144" i="2"/>
  <c r="A144" i="2"/>
  <c r="E143" i="2"/>
  <c r="C143" i="2"/>
  <c r="A143" i="2"/>
  <c r="E142" i="2"/>
  <c r="C142" i="2"/>
  <c r="A142" i="2"/>
  <c r="E141" i="2"/>
  <c r="C141" i="2"/>
  <c r="A141" i="2"/>
  <c r="E140" i="2"/>
  <c r="C140" i="2"/>
  <c r="A140" i="2"/>
  <c r="E139" i="2"/>
  <c r="C139" i="2"/>
  <c r="A139" i="2"/>
  <c r="E138" i="2"/>
  <c r="C138" i="2"/>
  <c r="B138" i="2" s="1"/>
  <c r="A138" i="2"/>
  <c r="E137" i="2"/>
  <c r="C137" i="2"/>
  <c r="A137" i="2"/>
  <c r="E136" i="2"/>
  <c r="C136" i="2"/>
  <c r="A136" i="2"/>
  <c r="E135" i="2"/>
  <c r="C135" i="2"/>
  <c r="A135" i="2"/>
  <c r="E134" i="2"/>
  <c r="C134" i="2"/>
  <c r="A134" i="2"/>
  <c r="E133" i="2"/>
  <c r="C133" i="2"/>
  <c r="A133" i="2"/>
  <c r="E132" i="2"/>
  <c r="C132" i="2"/>
  <c r="A132" i="2"/>
  <c r="E131" i="2"/>
  <c r="C131" i="2"/>
  <c r="A131" i="2"/>
  <c r="E130" i="2"/>
  <c r="C130" i="2"/>
  <c r="A130" i="2"/>
  <c r="E129" i="2"/>
  <c r="C129" i="2"/>
  <c r="A129" i="2"/>
  <c r="E128" i="2"/>
  <c r="C128" i="2"/>
  <c r="A128" i="2"/>
  <c r="E127" i="2"/>
  <c r="C127" i="2"/>
  <c r="A127" i="2"/>
  <c r="E126" i="2"/>
  <c r="C126" i="2"/>
  <c r="A126" i="2"/>
  <c r="E125" i="2"/>
  <c r="C125" i="2"/>
  <c r="A125" i="2"/>
  <c r="E124" i="2"/>
  <c r="C124" i="2"/>
  <c r="A124" i="2"/>
  <c r="E123" i="2"/>
  <c r="C123" i="2"/>
  <c r="A123" i="2"/>
  <c r="E122" i="2"/>
  <c r="C122" i="2"/>
  <c r="B122" i="2" s="1"/>
  <c r="A122" i="2"/>
  <c r="E121" i="2"/>
  <c r="C121" i="2"/>
  <c r="A121" i="2"/>
  <c r="E120" i="2"/>
  <c r="C120" i="2"/>
  <c r="A120" i="2"/>
  <c r="E119" i="2"/>
  <c r="C119" i="2"/>
  <c r="A119" i="2"/>
  <c r="E118" i="2"/>
  <c r="C118" i="2"/>
  <c r="A118" i="2"/>
  <c r="E117" i="2"/>
  <c r="C117" i="2"/>
  <c r="A117" i="2"/>
  <c r="E116" i="2"/>
  <c r="C116" i="2"/>
  <c r="A116" i="2"/>
  <c r="E115" i="2"/>
  <c r="C115" i="2"/>
  <c r="A115" i="2"/>
  <c r="E114" i="2"/>
  <c r="C114" i="2"/>
  <c r="B114" i="2" s="1"/>
  <c r="A114" i="2"/>
  <c r="E113" i="2"/>
  <c r="C113" i="2"/>
  <c r="A113" i="2"/>
  <c r="E112" i="2"/>
  <c r="C112" i="2"/>
  <c r="A112" i="2"/>
  <c r="E111" i="2"/>
  <c r="C111" i="2"/>
  <c r="A111" i="2"/>
  <c r="E110" i="2"/>
  <c r="C110" i="2"/>
  <c r="A110" i="2"/>
  <c r="E109" i="2"/>
  <c r="C109" i="2"/>
  <c r="A109" i="2"/>
  <c r="E108" i="2"/>
  <c r="C108" i="2"/>
  <c r="A108" i="2"/>
  <c r="E107" i="2"/>
  <c r="C107" i="2"/>
  <c r="A107" i="2"/>
  <c r="E106" i="2"/>
  <c r="C106" i="2"/>
  <c r="A106" i="2"/>
  <c r="E105" i="2"/>
  <c r="C105" i="2"/>
  <c r="A105" i="2"/>
  <c r="E104" i="2"/>
  <c r="C104" i="2"/>
  <c r="A104" i="2"/>
  <c r="E103" i="2"/>
  <c r="C103" i="2"/>
  <c r="A103" i="2"/>
  <c r="E102" i="2"/>
  <c r="C102" i="2"/>
  <c r="A102" i="2"/>
  <c r="E101" i="2"/>
  <c r="C101" i="2"/>
  <c r="A101" i="2"/>
  <c r="E100" i="2"/>
  <c r="C100" i="2"/>
  <c r="A100" i="2"/>
  <c r="E99" i="2"/>
  <c r="C99" i="2"/>
  <c r="A99" i="2"/>
  <c r="E98" i="2"/>
  <c r="C98" i="2"/>
  <c r="B98" i="2" s="1"/>
  <c r="A98" i="2"/>
  <c r="E97" i="2"/>
  <c r="C97" i="2"/>
  <c r="A97" i="2"/>
  <c r="E96" i="2"/>
  <c r="C96" i="2"/>
  <c r="A96" i="2"/>
  <c r="E95" i="2"/>
  <c r="C95" i="2"/>
  <c r="A95" i="2"/>
  <c r="E94" i="2"/>
  <c r="C94" i="2"/>
  <c r="B94" i="2" s="1"/>
  <c r="A94" i="2"/>
  <c r="E93" i="2"/>
  <c r="C93" i="2"/>
  <c r="A93" i="2"/>
  <c r="E92" i="2"/>
  <c r="C92" i="2"/>
  <c r="A92" i="2"/>
  <c r="E91" i="2"/>
  <c r="C91" i="2"/>
  <c r="A91" i="2"/>
  <c r="E90" i="2"/>
  <c r="C90" i="2"/>
  <c r="B90" i="2" s="1"/>
  <c r="A90" i="2"/>
  <c r="E89" i="2"/>
  <c r="C89" i="2"/>
  <c r="A89" i="2"/>
  <c r="E88" i="2"/>
  <c r="C88" i="2"/>
  <c r="A88" i="2"/>
  <c r="E87" i="2"/>
  <c r="C87" i="2"/>
  <c r="A87" i="2"/>
  <c r="E86" i="2"/>
  <c r="C86" i="2"/>
  <c r="B86" i="2" s="1"/>
  <c r="A86" i="2"/>
  <c r="E85" i="2"/>
  <c r="C85" i="2"/>
  <c r="A85" i="2"/>
  <c r="E84" i="2"/>
  <c r="C84" i="2"/>
  <c r="A84" i="2"/>
  <c r="E83" i="2"/>
  <c r="C83" i="2"/>
  <c r="A83" i="2"/>
  <c r="E82" i="2"/>
  <c r="C82" i="2"/>
  <c r="B82" i="2" s="1"/>
  <c r="A82" i="2"/>
  <c r="E81" i="2"/>
  <c r="C81" i="2"/>
  <c r="A81" i="2"/>
  <c r="E80" i="2"/>
  <c r="C80" i="2"/>
  <c r="A80" i="2"/>
  <c r="E79" i="2"/>
  <c r="C79" i="2"/>
  <c r="A79" i="2"/>
  <c r="E78" i="2"/>
  <c r="C78" i="2"/>
  <c r="A78" i="2"/>
  <c r="E77" i="2"/>
  <c r="C77" i="2"/>
  <c r="A77" i="2"/>
  <c r="E76" i="2"/>
  <c r="C76" i="2"/>
  <c r="A76" i="2"/>
  <c r="E75" i="2"/>
  <c r="C75" i="2"/>
  <c r="A75" i="2"/>
  <c r="E74" i="2"/>
  <c r="C74" i="2"/>
  <c r="B74" i="2" s="1"/>
  <c r="A74" i="2"/>
  <c r="E73" i="2"/>
  <c r="C73" i="2"/>
  <c r="A73" i="2"/>
  <c r="E72" i="2"/>
  <c r="C72" i="2"/>
  <c r="A72" i="2"/>
  <c r="E71" i="2"/>
  <c r="C71" i="2"/>
  <c r="A71" i="2"/>
  <c r="E70" i="2"/>
  <c r="C70" i="2"/>
  <c r="B70" i="2" s="1"/>
  <c r="A70" i="2"/>
  <c r="E69" i="2"/>
  <c r="C69" i="2"/>
  <c r="A69" i="2"/>
  <c r="E68" i="2"/>
  <c r="C68" i="2"/>
  <c r="A68" i="2"/>
  <c r="E67" i="2"/>
  <c r="C67" i="2"/>
  <c r="A67" i="2"/>
  <c r="E66" i="2"/>
  <c r="C66" i="2"/>
  <c r="B66" i="2" s="1"/>
  <c r="A66" i="2"/>
  <c r="E65" i="2"/>
  <c r="C65" i="2"/>
  <c r="A65" i="2"/>
  <c r="E64" i="2"/>
  <c r="C64" i="2"/>
  <c r="A64" i="2"/>
  <c r="E63" i="2"/>
  <c r="C63" i="2"/>
  <c r="A63" i="2"/>
  <c r="E62" i="2"/>
  <c r="C62" i="2"/>
  <c r="A62" i="2"/>
  <c r="E61" i="2"/>
  <c r="C61" i="2"/>
  <c r="A61" i="2"/>
  <c r="E60" i="2"/>
  <c r="C60" i="2"/>
  <c r="A60" i="2"/>
  <c r="E59" i="2"/>
  <c r="C59" i="2"/>
  <c r="A59" i="2"/>
  <c r="E58" i="2"/>
  <c r="C58" i="2"/>
  <c r="B58" i="2" s="1"/>
  <c r="A58" i="2"/>
  <c r="E57" i="2"/>
  <c r="C57" i="2"/>
  <c r="A57" i="2"/>
  <c r="E56" i="2"/>
  <c r="C56" i="2"/>
  <c r="A56" i="2"/>
  <c r="E55" i="2"/>
  <c r="C55" i="2"/>
  <c r="A55" i="2"/>
  <c r="E54" i="2"/>
  <c r="C54" i="2"/>
  <c r="B54" i="2" s="1"/>
  <c r="A54" i="2"/>
  <c r="E53" i="2"/>
  <c r="C53" i="2"/>
  <c r="A53" i="2"/>
  <c r="E52" i="2"/>
  <c r="C52" i="2"/>
  <c r="A52" i="2"/>
  <c r="E51" i="2"/>
  <c r="C51" i="2"/>
  <c r="A51" i="2"/>
  <c r="E50" i="2"/>
  <c r="C50" i="2"/>
  <c r="B50" i="2" s="1"/>
  <c r="A50" i="2"/>
  <c r="E49" i="2"/>
  <c r="C49" i="2"/>
  <c r="A49" i="2"/>
  <c r="E48" i="2"/>
  <c r="C48" i="2"/>
  <c r="A48" i="2"/>
  <c r="E47" i="2"/>
  <c r="C47" i="2"/>
  <c r="A47" i="2"/>
  <c r="E46" i="2"/>
  <c r="C46" i="2"/>
  <c r="A46" i="2"/>
  <c r="E45" i="2"/>
  <c r="C45" i="2"/>
  <c r="A45" i="2"/>
  <c r="E44" i="2"/>
  <c r="C44" i="2"/>
  <c r="A44" i="2"/>
  <c r="E43" i="2"/>
  <c r="C43" i="2"/>
  <c r="A43" i="2"/>
  <c r="E42" i="2"/>
  <c r="C42" i="2"/>
  <c r="B42" i="2" s="1"/>
  <c r="A42" i="2"/>
  <c r="E41" i="2"/>
  <c r="C41" i="2"/>
  <c r="A41" i="2"/>
  <c r="E40" i="2"/>
  <c r="C40" i="2"/>
  <c r="A40" i="2"/>
  <c r="E39" i="2"/>
  <c r="C39" i="2"/>
  <c r="A39" i="2"/>
  <c r="E38" i="2"/>
  <c r="C38" i="2"/>
  <c r="B38" i="2" s="1"/>
  <c r="A38" i="2"/>
  <c r="E37" i="2"/>
  <c r="C37" i="2"/>
  <c r="A37" i="2"/>
  <c r="E36" i="2"/>
  <c r="C36" i="2"/>
  <c r="A36" i="2"/>
  <c r="E35" i="2"/>
  <c r="C35" i="2"/>
  <c r="A35" i="2"/>
  <c r="E34" i="2"/>
  <c r="C34" i="2"/>
  <c r="B34" i="2" s="1"/>
  <c r="A34" i="2"/>
  <c r="E33" i="2"/>
  <c r="C33" i="2"/>
  <c r="A33" i="2"/>
  <c r="E32" i="2"/>
  <c r="C32" i="2"/>
  <c r="A32" i="2"/>
  <c r="E31" i="2"/>
  <c r="C31" i="2"/>
  <c r="A31" i="2"/>
  <c r="E30" i="2"/>
  <c r="C30" i="2"/>
  <c r="A30" i="2"/>
  <c r="E29" i="2"/>
  <c r="C29" i="2"/>
  <c r="A29" i="2"/>
  <c r="E28" i="2"/>
  <c r="C28" i="2"/>
  <c r="A28" i="2"/>
  <c r="E27" i="2"/>
  <c r="C27" i="2"/>
  <c r="A27" i="2"/>
  <c r="E26" i="2"/>
  <c r="C26" i="2"/>
  <c r="B26" i="2" s="1"/>
  <c r="A26" i="2"/>
  <c r="E25" i="2"/>
  <c r="C25" i="2"/>
  <c r="A25" i="2"/>
  <c r="E24" i="2"/>
  <c r="C24" i="2"/>
  <c r="A24" i="2"/>
  <c r="E23" i="2"/>
  <c r="C23" i="2"/>
  <c r="A23" i="2"/>
  <c r="E22" i="2"/>
  <c r="C22" i="2"/>
  <c r="B22" i="2" s="1"/>
  <c r="A22" i="2"/>
  <c r="E21" i="2"/>
  <c r="C21" i="2"/>
  <c r="A21" i="2"/>
  <c r="E20" i="2"/>
  <c r="C20" i="2"/>
  <c r="A20" i="2"/>
  <c r="E19" i="2"/>
  <c r="C19" i="2"/>
  <c r="A19" i="2"/>
  <c r="E18" i="2"/>
  <c r="C18" i="2"/>
  <c r="B18" i="2" s="1"/>
  <c r="A18" i="2"/>
  <c r="E17" i="2"/>
  <c r="C17" i="2"/>
  <c r="A17" i="2"/>
  <c r="E16" i="2"/>
  <c r="C16" i="2"/>
  <c r="A16" i="2"/>
  <c r="E15" i="2"/>
  <c r="C15" i="2"/>
  <c r="A15" i="2"/>
  <c r="E14" i="2"/>
  <c r="C14" i="2"/>
  <c r="A14" i="2"/>
  <c r="E13" i="2"/>
  <c r="C13" i="2"/>
  <c r="A13" i="2"/>
  <c r="E12" i="2"/>
  <c r="C12" i="2"/>
  <c r="A12" i="2"/>
  <c r="E11" i="2"/>
  <c r="C11" i="2"/>
  <c r="A11" i="2"/>
  <c r="E10" i="2"/>
  <c r="C10" i="2"/>
  <c r="B10" i="2" s="1"/>
  <c r="A10" i="2"/>
  <c r="E9" i="2"/>
  <c r="C9" i="2"/>
  <c r="A9" i="2"/>
  <c r="E8" i="2"/>
  <c r="C8" i="2"/>
  <c r="A8" i="2"/>
  <c r="E7" i="2"/>
  <c r="C7" i="2"/>
  <c r="A7" i="2"/>
  <c r="E6" i="2"/>
  <c r="C6" i="2"/>
  <c r="B6" i="2" s="1"/>
  <c r="A6" i="2"/>
  <c r="E5" i="2"/>
  <c r="C5" i="2"/>
  <c r="A5" i="2"/>
  <c r="E4" i="2"/>
  <c r="C4" i="2"/>
  <c r="A4" i="2"/>
  <c r="E3" i="2"/>
  <c r="C3" i="2"/>
  <c r="B3" i="2" s="1"/>
  <c r="A3" i="2"/>
  <c r="E2" i="2"/>
  <c r="C2" i="2"/>
  <c r="A2" i="2"/>
  <c r="C16" i="3"/>
  <c r="E16" i="3" s="1"/>
  <c r="P6" i="3" s="1"/>
  <c r="B16" i="3"/>
  <c r="D16" i="3" s="1"/>
  <c r="O6" i="3" s="1"/>
  <c r="C15" i="3"/>
  <c r="E15" i="3" s="1"/>
  <c r="B15" i="3"/>
  <c r="D15" i="3" s="1"/>
  <c r="C14" i="3"/>
  <c r="E14" i="3" s="1"/>
  <c r="P4" i="3" s="1"/>
  <c r="B14" i="3"/>
  <c r="D14" i="3" s="1"/>
  <c r="AB13" i="3"/>
  <c r="AC13" i="3" s="1"/>
  <c r="C13" i="3"/>
  <c r="E13" i="3" s="1"/>
  <c r="B13" i="3"/>
  <c r="D13" i="3" s="1"/>
  <c r="O14" i="3" s="1"/>
  <c r="AB12" i="3"/>
  <c r="AC12" i="3" s="1"/>
  <c r="C12" i="3"/>
  <c r="E12" i="3" s="1"/>
  <c r="P15" i="3" s="1"/>
  <c r="B12" i="3"/>
  <c r="D12" i="3" s="1"/>
  <c r="O15" i="3" s="1"/>
  <c r="AB11" i="3"/>
  <c r="AC11" i="3" s="1"/>
  <c r="C11" i="3"/>
  <c r="E11" i="3" s="1"/>
  <c r="P10" i="3" s="1"/>
  <c r="B11" i="3"/>
  <c r="D11" i="3" s="1"/>
  <c r="AB10" i="3"/>
  <c r="AC10" i="3" s="1"/>
  <c r="C10" i="3"/>
  <c r="E10" i="3" s="1"/>
  <c r="B10" i="3"/>
  <c r="D10" i="3" s="1"/>
  <c r="AB9" i="3"/>
  <c r="AC9" i="3" s="1"/>
  <c r="C9" i="3"/>
  <c r="E9" i="3" s="1"/>
  <c r="P16" i="3" s="1"/>
  <c r="B9" i="3"/>
  <c r="D9" i="3" s="1"/>
  <c r="O16" i="3" s="1"/>
  <c r="AB8" i="3"/>
  <c r="AC8" i="3" s="1"/>
  <c r="AB7" i="3"/>
  <c r="AC7" i="3" s="1"/>
  <c r="AB6" i="3"/>
  <c r="AC6" i="3" s="1"/>
  <c r="AB5" i="3"/>
  <c r="AC5" i="3" s="1"/>
  <c r="AB4" i="3"/>
  <c r="AC4" i="3" s="1"/>
  <c r="AB3" i="3"/>
  <c r="AC3" i="3" s="1"/>
  <c r="AB2" i="3"/>
  <c r="AC2" i="3" s="1"/>
  <c r="V2" i="3"/>
  <c r="W2" i="3" s="1"/>
  <c r="U2" i="3"/>
  <c r="T3" i="3" s="1"/>
  <c r="V3" i="3" s="1"/>
  <c r="W3" i="3" s="1"/>
  <c r="B489" i="2" l="1"/>
  <c r="B537" i="2"/>
  <c r="X2" i="3"/>
  <c r="P13" i="3"/>
  <c r="P7" i="3"/>
  <c r="P9" i="3"/>
  <c r="O12" i="3"/>
  <c r="H1559" i="2"/>
  <c r="H2097" i="2"/>
  <c r="H2035" i="2"/>
  <c r="H2337" i="2"/>
  <c r="H3314" i="2"/>
  <c r="H1255" i="2"/>
  <c r="H1256" i="2"/>
  <c r="H2252" i="2"/>
  <c r="H2257" i="2"/>
  <c r="H4972" i="2"/>
  <c r="H66" i="2"/>
  <c r="H1319" i="2"/>
  <c r="H1320" i="2"/>
  <c r="H1658" i="2"/>
  <c r="H170" i="2"/>
  <c r="H1239" i="2"/>
  <c r="H2185" i="2"/>
  <c r="H2171" i="2"/>
  <c r="H2420" i="2"/>
  <c r="H2421" i="2"/>
  <c r="H3250" i="2"/>
  <c r="H3348" i="2"/>
  <c r="H2" i="2"/>
  <c r="B2" i="2"/>
  <c r="H14" i="2"/>
  <c r="B14" i="2"/>
  <c r="H30" i="2"/>
  <c r="B30" i="2"/>
  <c r="H51" i="2"/>
  <c r="B51" i="2"/>
  <c r="H63" i="2"/>
  <c r="B63" i="2"/>
  <c r="H72" i="2"/>
  <c r="B72" i="2"/>
  <c r="H88" i="2"/>
  <c r="B88" i="2"/>
  <c r="H100" i="2"/>
  <c r="B100" i="2"/>
  <c r="H112" i="2"/>
  <c r="B112" i="2"/>
  <c r="H124" i="2"/>
  <c r="B124" i="2"/>
  <c r="H136" i="2"/>
  <c r="B136" i="2"/>
  <c r="H148" i="2"/>
  <c r="B148" i="2"/>
  <c r="H160" i="2"/>
  <c r="B160" i="2"/>
  <c r="H168" i="2"/>
  <c r="B168" i="2"/>
  <c r="H177" i="2"/>
  <c r="B177" i="2"/>
  <c r="H193" i="2"/>
  <c r="B193" i="2"/>
  <c r="H206" i="2"/>
  <c r="B206" i="2"/>
  <c r="H214" i="2"/>
  <c r="B214" i="2"/>
  <c r="H234" i="2"/>
  <c r="B234" i="2"/>
  <c r="H246" i="2"/>
  <c r="B246" i="2"/>
  <c r="H358" i="2"/>
  <c r="B358" i="2"/>
  <c r="H366" i="2"/>
  <c r="B366" i="2"/>
  <c r="H398" i="2"/>
  <c r="B398" i="2"/>
  <c r="H410" i="2"/>
  <c r="B410" i="2"/>
  <c r="H418" i="2"/>
  <c r="B418" i="2"/>
  <c r="H454" i="2"/>
  <c r="B454" i="2"/>
  <c r="H462" i="2"/>
  <c r="B462" i="2"/>
  <c r="H474" i="2"/>
  <c r="B474" i="2"/>
  <c r="H482" i="2"/>
  <c r="B482" i="2"/>
  <c r="H490" i="2"/>
  <c r="B490" i="2"/>
  <c r="H498" i="2"/>
  <c r="B498" i="2"/>
  <c r="H506" i="2"/>
  <c r="B506" i="2"/>
  <c r="H514" i="2"/>
  <c r="B514" i="2"/>
  <c r="H522" i="2"/>
  <c r="B522" i="2"/>
  <c r="H530" i="2"/>
  <c r="B530" i="2"/>
  <c r="H538" i="2"/>
  <c r="B538" i="2"/>
  <c r="H546" i="2"/>
  <c r="B546" i="2"/>
  <c r="H554" i="2"/>
  <c r="B554" i="2"/>
  <c r="H562" i="2"/>
  <c r="B562" i="2"/>
  <c r="H570" i="2"/>
  <c r="B570" i="2"/>
  <c r="H578" i="2"/>
  <c r="B578" i="2"/>
  <c r="H586" i="2"/>
  <c r="B586" i="2"/>
  <c r="H594" i="2"/>
  <c r="B594" i="2"/>
  <c r="H5" i="2"/>
  <c r="B5" i="2"/>
  <c r="H9" i="2"/>
  <c r="B9" i="2"/>
  <c r="H13" i="2"/>
  <c r="B13" i="2"/>
  <c r="H17" i="2"/>
  <c r="B17" i="2"/>
  <c r="H21" i="2"/>
  <c r="B21" i="2"/>
  <c r="H25" i="2"/>
  <c r="B25" i="2"/>
  <c r="H29" i="2"/>
  <c r="B29" i="2"/>
  <c r="H33" i="2"/>
  <c r="B33" i="2"/>
  <c r="H37" i="2"/>
  <c r="B37" i="2"/>
  <c r="H41" i="2"/>
  <c r="B41" i="2"/>
  <c r="H46" i="2"/>
  <c r="B46" i="2"/>
  <c r="H62" i="2"/>
  <c r="B62" i="2"/>
  <c r="H67" i="2"/>
  <c r="B67" i="2"/>
  <c r="H71" i="2"/>
  <c r="B71" i="2"/>
  <c r="H75" i="2"/>
  <c r="B75" i="2"/>
  <c r="H79" i="2"/>
  <c r="B79" i="2"/>
  <c r="H83" i="2"/>
  <c r="B83" i="2"/>
  <c r="H87" i="2"/>
  <c r="B87" i="2"/>
  <c r="H91" i="2"/>
  <c r="B91" i="2"/>
  <c r="H95" i="2"/>
  <c r="B95" i="2"/>
  <c r="H99" i="2"/>
  <c r="B99" i="2"/>
  <c r="H103" i="2"/>
  <c r="B103" i="2"/>
  <c r="H107" i="2"/>
  <c r="B107" i="2"/>
  <c r="H111" i="2"/>
  <c r="B111" i="2"/>
  <c r="H115" i="2"/>
  <c r="B115" i="2"/>
  <c r="H119" i="2"/>
  <c r="B119" i="2"/>
  <c r="H123" i="2"/>
  <c r="B123" i="2"/>
  <c r="H127" i="2"/>
  <c r="B127" i="2"/>
  <c r="H131" i="2"/>
  <c r="B131" i="2"/>
  <c r="H135" i="2"/>
  <c r="B135" i="2"/>
  <c r="H139" i="2"/>
  <c r="B139" i="2"/>
  <c r="H143" i="2"/>
  <c r="B143" i="2"/>
  <c r="H147" i="2"/>
  <c r="B147" i="2"/>
  <c r="H151" i="2"/>
  <c r="B151" i="2"/>
  <c r="H155" i="2"/>
  <c r="B155" i="2"/>
  <c r="H159" i="2"/>
  <c r="B159" i="2"/>
  <c r="H163" i="2"/>
  <c r="B163" i="2"/>
  <c r="H167" i="2"/>
  <c r="B167" i="2"/>
  <c r="H172" i="2"/>
  <c r="B172" i="2"/>
  <c r="H176" i="2"/>
  <c r="B176" i="2"/>
  <c r="H180" i="2"/>
  <c r="B180" i="2"/>
  <c r="H184" i="2"/>
  <c r="B184" i="2"/>
  <c r="H188" i="2"/>
  <c r="B188" i="2"/>
  <c r="H192" i="2"/>
  <c r="B192" i="2"/>
  <c r="H194" i="2"/>
  <c r="H197" i="2"/>
  <c r="B197" i="2"/>
  <c r="H201" i="2"/>
  <c r="B201" i="2"/>
  <c r="H205" i="2"/>
  <c r="B205" i="2"/>
  <c r="H209" i="2"/>
  <c r="B209" i="2"/>
  <c r="H213" i="2"/>
  <c r="B213" i="2"/>
  <c r="H217" i="2"/>
  <c r="B217" i="2"/>
  <c r="H221" i="2"/>
  <c r="B221" i="2"/>
  <c r="H225" i="2"/>
  <c r="B225" i="2"/>
  <c r="H229" i="2"/>
  <c r="B229" i="2"/>
  <c r="H233" i="2"/>
  <c r="B233" i="2"/>
  <c r="H237" i="2"/>
  <c r="B237" i="2"/>
  <c r="H241" i="2"/>
  <c r="B241" i="2"/>
  <c r="H245" i="2"/>
  <c r="B245" i="2"/>
  <c r="H249" i="2"/>
  <c r="B249" i="2"/>
  <c r="H253" i="2"/>
  <c r="B253" i="2"/>
  <c r="H257" i="2"/>
  <c r="B257" i="2"/>
  <c r="H261" i="2"/>
  <c r="B261" i="2"/>
  <c r="H265" i="2"/>
  <c r="B265" i="2"/>
  <c r="H269" i="2"/>
  <c r="B269" i="2"/>
  <c r="H273" i="2"/>
  <c r="B273" i="2"/>
  <c r="H277" i="2"/>
  <c r="B277" i="2"/>
  <c r="H281" i="2"/>
  <c r="B281" i="2"/>
  <c r="H285" i="2"/>
  <c r="B285" i="2"/>
  <c r="H289" i="2"/>
  <c r="B289" i="2"/>
  <c r="H293" i="2"/>
  <c r="B293" i="2"/>
  <c r="H297" i="2"/>
  <c r="B297" i="2"/>
  <c r="H301" i="2"/>
  <c r="B301" i="2"/>
  <c r="H305" i="2"/>
  <c r="B305" i="2"/>
  <c r="H309" i="2"/>
  <c r="B309" i="2"/>
  <c r="H313" i="2"/>
  <c r="B313" i="2"/>
  <c r="H317" i="2"/>
  <c r="B317" i="2"/>
  <c r="H321" i="2"/>
  <c r="B321" i="2"/>
  <c r="H325" i="2"/>
  <c r="B325" i="2"/>
  <c r="H329" i="2"/>
  <c r="B329" i="2"/>
  <c r="H333" i="2"/>
  <c r="B333" i="2"/>
  <c r="H337" i="2"/>
  <c r="B337" i="2"/>
  <c r="H341" i="2"/>
  <c r="B341" i="2"/>
  <c r="H345" i="2"/>
  <c r="B345" i="2"/>
  <c r="H349" i="2"/>
  <c r="B349" i="2"/>
  <c r="H353" i="2"/>
  <c r="B353" i="2"/>
  <c r="H357" i="2"/>
  <c r="B357" i="2"/>
  <c r="H361" i="2"/>
  <c r="B361" i="2"/>
  <c r="H365" i="2"/>
  <c r="B365" i="2"/>
  <c r="H369" i="2"/>
  <c r="B369" i="2"/>
  <c r="H373" i="2"/>
  <c r="B373" i="2"/>
  <c r="H377" i="2"/>
  <c r="B377" i="2"/>
  <c r="H381" i="2"/>
  <c r="B381" i="2"/>
  <c r="H385" i="2"/>
  <c r="B385" i="2"/>
  <c r="H389" i="2"/>
  <c r="B389" i="2"/>
  <c r="H393" i="2"/>
  <c r="B393" i="2"/>
  <c r="H397" i="2"/>
  <c r="B397" i="2"/>
  <c r="H401" i="2"/>
  <c r="B401" i="2"/>
  <c r="H405" i="2"/>
  <c r="B405" i="2"/>
  <c r="H409" i="2"/>
  <c r="B409" i="2"/>
  <c r="H413" i="2"/>
  <c r="B413" i="2"/>
  <c r="H417" i="2"/>
  <c r="B417" i="2"/>
  <c r="H421" i="2"/>
  <c r="B421" i="2"/>
  <c r="H425" i="2"/>
  <c r="B425" i="2"/>
  <c r="H429" i="2"/>
  <c r="B429" i="2"/>
  <c r="H433" i="2"/>
  <c r="B433" i="2"/>
  <c r="H437" i="2"/>
  <c r="B437" i="2"/>
  <c r="H441" i="2"/>
  <c r="B441" i="2"/>
  <c r="H445" i="2"/>
  <c r="B445" i="2"/>
  <c r="H449" i="2"/>
  <c r="B449" i="2"/>
  <c r="H453" i="2"/>
  <c r="B453" i="2"/>
  <c r="H457" i="2"/>
  <c r="B457" i="2"/>
  <c r="H461" i="2"/>
  <c r="B461" i="2"/>
  <c r="H465" i="2"/>
  <c r="B465" i="2"/>
  <c r="H469" i="2"/>
  <c r="B469" i="2"/>
  <c r="H473" i="2"/>
  <c r="B473" i="2"/>
  <c r="H477" i="2"/>
  <c r="B477" i="2"/>
  <c r="H481" i="2"/>
  <c r="B481" i="2"/>
  <c r="H1195" i="2"/>
  <c r="H1196" i="2"/>
  <c r="H1199" i="2"/>
  <c r="B1199" i="2"/>
  <c r="H1207" i="2"/>
  <c r="B1207" i="2"/>
  <c r="H1211" i="2"/>
  <c r="B1211" i="2"/>
  <c r="H1215" i="2"/>
  <c r="B1215" i="2"/>
  <c r="H1227" i="2"/>
  <c r="B1227" i="2"/>
  <c r="H1231" i="2"/>
  <c r="B1231" i="2"/>
  <c r="H1258" i="2"/>
  <c r="B1258" i="2"/>
  <c r="H1262" i="2"/>
  <c r="B1262" i="2"/>
  <c r="H1266" i="2"/>
  <c r="B1266" i="2"/>
  <c r="H1270" i="2"/>
  <c r="B1270" i="2"/>
  <c r="H1274" i="2"/>
  <c r="B1274" i="2"/>
  <c r="H1278" i="2"/>
  <c r="B1278" i="2"/>
  <c r="H1282" i="2"/>
  <c r="B1282" i="2"/>
  <c r="H1286" i="2"/>
  <c r="B1286" i="2"/>
  <c r="H1292" i="2"/>
  <c r="B1292" i="2"/>
  <c r="H1322" i="2"/>
  <c r="B1322" i="2"/>
  <c r="H1326" i="2"/>
  <c r="B1326" i="2"/>
  <c r="H1330" i="2"/>
  <c r="B1330" i="2"/>
  <c r="H1334" i="2"/>
  <c r="B1334" i="2"/>
  <c r="H1338" i="2"/>
  <c r="B1338" i="2"/>
  <c r="H1342" i="2"/>
  <c r="B1342" i="2"/>
  <c r="H1346" i="2"/>
  <c r="B1346" i="2"/>
  <c r="H1350" i="2"/>
  <c r="B1350" i="2"/>
  <c r="H1354" i="2"/>
  <c r="B1354" i="2"/>
  <c r="H1358" i="2"/>
  <c r="B1358" i="2"/>
  <c r="H1362" i="2"/>
  <c r="B1362" i="2"/>
  <c r="H1366" i="2"/>
  <c r="B1366" i="2"/>
  <c r="H1370" i="2"/>
  <c r="B1370" i="2"/>
  <c r="H1374" i="2"/>
  <c r="B1374" i="2"/>
  <c r="H1378" i="2"/>
  <c r="B1378" i="2"/>
  <c r="H1382" i="2"/>
  <c r="B1382" i="2"/>
  <c r="H1474" i="2"/>
  <c r="B1474" i="2"/>
  <c r="H1488" i="2"/>
  <c r="B1488" i="2"/>
  <c r="H1496" i="2"/>
  <c r="B1496" i="2"/>
  <c r="H1504" i="2"/>
  <c r="B1504" i="2"/>
  <c r="H1516" i="2"/>
  <c r="B1516" i="2"/>
  <c r="H1520" i="2"/>
  <c r="B1520" i="2"/>
  <c r="H1528" i="2"/>
  <c r="B1528" i="2"/>
  <c r="H1536" i="2"/>
  <c r="B1536" i="2"/>
  <c r="H1544" i="2"/>
  <c r="B1544" i="2"/>
  <c r="H1548" i="2"/>
  <c r="B1548" i="2"/>
  <c r="H1552" i="2"/>
  <c r="B1552" i="2"/>
  <c r="H1575" i="2"/>
  <c r="H1578" i="2"/>
  <c r="B1578" i="2"/>
  <c r="H1582" i="2"/>
  <c r="B1582" i="2"/>
  <c r="H1586" i="2"/>
  <c r="B1586" i="2"/>
  <c r="H1590" i="2"/>
  <c r="B1590" i="2"/>
  <c r="H1594" i="2"/>
  <c r="B1594" i="2"/>
  <c r="H1598" i="2"/>
  <c r="B1598" i="2"/>
  <c r="H1602" i="2"/>
  <c r="B1602" i="2"/>
  <c r="H1606" i="2"/>
  <c r="B1606" i="2"/>
  <c r="H1634" i="2"/>
  <c r="B1634" i="2"/>
  <c r="H1638" i="2"/>
  <c r="B1638" i="2"/>
  <c r="H1642" i="2"/>
  <c r="B1642" i="2"/>
  <c r="H1656" i="2"/>
  <c r="H1664" i="2"/>
  <c r="B1664" i="2"/>
  <c r="H1668" i="2"/>
  <c r="B1668" i="2"/>
  <c r="H1676" i="2"/>
  <c r="B1676" i="2"/>
  <c r="H1680" i="2"/>
  <c r="B1680" i="2"/>
  <c r="H1684" i="2"/>
  <c r="B1684" i="2"/>
  <c r="H1688" i="2"/>
  <c r="B1688" i="2"/>
  <c r="H1692" i="2"/>
  <c r="B1692" i="2"/>
  <c r="H1696" i="2"/>
  <c r="B1696" i="2"/>
  <c r="H1700" i="2"/>
  <c r="B1700" i="2"/>
  <c r="H1852" i="2"/>
  <c r="B1852" i="2"/>
  <c r="H1856" i="2"/>
  <c r="B1856" i="2"/>
  <c r="H1860" i="2"/>
  <c r="B1860" i="2"/>
  <c r="H1864" i="2"/>
  <c r="B1864" i="2"/>
  <c r="H1868" i="2"/>
  <c r="B1868" i="2"/>
  <c r="H1872" i="2"/>
  <c r="B1872" i="2"/>
  <c r="H1876" i="2"/>
  <c r="B1876" i="2"/>
  <c r="H1880" i="2"/>
  <c r="B1880" i="2"/>
  <c r="H1884" i="2"/>
  <c r="B1884" i="2"/>
  <c r="H1888" i="2"/>
  <c r="B1888" i="2"/>
  <c r="H1892" i="2"/>
  <c r="B1892" i="2"/>
  <c r="H1896" i="2"/>
  <c r="B1896" i="2"/>
  <c r="H1900" i="2"/>
  <c r="B1900" i="2"/>
  <c r="H1904" i="2"/>
  <c r="B1904" i="2"/>
  <c r="H1908" i="2"/>
  <c r="B1908" i="2"/>
  <c r="H1912" i="2"/>
  <c r="B1912" i="2"/>
  <c r="H1916" i="2"/>
  <c r="B1916" i="2"/>
  <c r="H1920" i="2"/>
  <c r="B1920" i="2"/>
  <c r="H1924" i="2"/>
  <c r="B1924" i="2"/>
  <c r="H1928" i="2"/>
  <c r="B1928" i="2"/>
  <c r="H1932" i="2"/>
  <c r="B1932" i="2"/>
  <c r="H1936" i="2"/>
  <c r="B1936" i="2"/>
  <c r="H1940" i="2"/>
  <c r="B1940" i="2"/>
  <c r="H1944" i="2"/>
  <c r="B1944" i="2"/>
  <c r="H1948" i="2"/>
  <c r="B1948" i="2"/>
  <c r="H1952" i="2"/>
  <c r="B1952" i="2"/>
  <c r="H1956" i="2"/>
  <c r="B1956" i="2"/>
  <c r="H1960" i="2"/>
  <c r="B1960" i="2"/>
  <c r="H1972" i="2"/>
  <c r="B1972" i="2"/>
  <c r="H1996" i="2"/>
  <c r="B1996" i="2"/>
  <c r="H2020" i="2"/>
  <c r="B2020" i="2"/>
  <c r="H2028" i="2"/>
  <c r="B2028" i="2"/>
  <c r="H2061" i="2"/>
  <c r="B2061" i="2"/>
  <c r="H2069" i="2"/>
  <c r="B2069" i="2"/>
  <c r="H2077" i="2"/>
  <c r="B2077" i="2"/>
  <c r="H2085" i="2"/>
  <c r="B2085" i="2"/>
  <c r="H2089" i="2"/>
  <c r="B2089" i="2"/>
  <c r="H2093" i="2"/>
  <c r="B2093" i="2"/>
  <c r="H2124" i="2"/>
  <c r="H2127" i="2"/>
  <c r="B2127" i="2"/>
  <c r="H2129" i="2"/>
  <c r="H2132" i="2"/>
  <c r="B2132" i="2"/>
  <c r="H2140" i="2"/>
  <c r="B2140" i="2"/>
  <c r="H2144" i="2"/>
  <c r="B2144" i="2"/>
  <c r="H2152" i="2"/>
  <c r="B2152" i="2"/>
  <c r="H2160" i="2"/>
  <c r="B2160" i="2"/>
  <c r="H2173" i="2"/>
  <c r="B2173" i="2"/>
  <c r="H2181" i="2"/>
  <c r="B2181" i="2"/>
  <c r="H2200" i="2"/>
  <c r="B2200" i="2"/>
  <c r="H2204" i="2"/>
  <c r="B2204" i="2"/>
  <c r="H2208" i="2"/>
  <c r="B2208" i="2"/>
  <c r="H2216" i="2"/>
  <c r="B2216" i="2"/>
  <c r="H2224" i="2"/>
  <c r="B2224" i="2"/>
  <c r="H2232" i="2"/>
  <c r="B2232" i="2"/>
  <c r="H2236" i="2"/>
  <c r="B2236" i="2"/>
  <c r="H2240" i="2"/>
  <c r="B2240" i="2"/>
  <c r="H2248" i="2"/>
  <c r="B2248" i="2"/>
  <c r="H2253" i="2"/>
  <c r="B2253" i="2"/>
  <c r="H2272" i="2"/>
  <c r="H2273" i="2"/>
  <c r="H2292" i="2"/>
  <c r="B2292" i="2"/>
  <c r="H2321" i="2"/>
  <c r="B2321" i="2"/>
  <c r="H2388" i="2"/>
  <c r="H2389" i="2"/>
  <c r="H2408" i="2"/>
  <c r="B2408" i="2"/>
  <c r="H2412" i="2"/>
  <c r="B2412" i="2"/>
  <c r="H2456" i="2"/>
  <c r="H2457" i="2"/>
  <c r="H2464" i="2"/>
  <c r="B2464" i="2"/>
  <c r="H2601" i="2"/>
  <c r="B2601" i="2"/>
  <c r="H2613" i="2"/>
  <c r="B2613" i="2"/>
  <c r="H2621" i="2"/>
  <c r="B2621" i="2"/>
  <c r="H2625" i="2"/>
  <c r="B2625" i="2"/>
  <c r="H2633" i="2"/>
  <c r="B2633" i="2"/>
  <c r="H2645" i="2"/>
  <c r="B2645" i="2"/>
  <c r="H2653" i="2"/>
  <c r="B2653" i="2"/>
  <c r="H2665" i="2"/>
  <c r="B2665" i="2"/>
  <c r="H2693" i="2"/>
  <c r="B2693" i="2"/>
  <c r="H2697" i="2"/>
  <c r="B2697" i="2"/>
  <c r="H2701" i="2"/>
  <c r="B2701" i="2"/>
  <c r="H2705" i="2"/>
  <c r="B2705" i="2"/>
  <c r="H2709" i="2"/>
  <c r="B2709" i="2"/>
  <c r="H2713" i="2"/>
  <c r="B2713" i="2"/>
  <c r="H2717" i="2"/>
  <c r="B2717" i="2"/>
  <c r="H2721" i="2"/>
  <c r="B2721" i="2"/>
  <c r="H2729" i="2"/>
  <c r="B2729" i="2"/>
  <c r="H2737" i="2"/>
  <c r="B2737" i="2"/>
  <c r="H2745" i="2"/>
  <c r="B2745" i="2"/>
  <c r="H2749" i="2"/>
  <c r="B2749" i="2"/>
  <c r="H2753" i="2"/>
  <c r="B2753" i="2"/>
  <c r="H2761" i="2"/>
  <c r="B2761" i="2"/>
  <c r="H2765" i="2"/>
  <c r="B2765" i="2"/>
  <c r="H2769" i="2"/>
  <c r="B2769" i="2"/>
  <c r="H2777" i="2"/>
  <c r="B2777" i="2"/>
  <c r="H2781" i="2"/>
  <c r="B2781" i="2"/>
  <c r="H2785" i="2"/>
  <c r="B2785" i="2"/>
  <c r="H2793" i="2"/>
  <c r="B2793" i="2"/>
  <c r="H2801" i="2"/>
  <c r="B2801" i="2"/>
  <c r="H2809" i="2"/>
  <c r="B2809" i="2"/>
  <c r="H2817" i="2"/>
  <c r="B2817" i="2"/>
  <c r="H2825" i="2"/>
  <c r="B2825" i="2"/>
  <c r="H2833" i="2"/>
  <c r="B2833" i="2"/>
  <c r="H2841" i="2"/>
  <c r="B2841" i="2"/>
  <c r="H2849" i="2"/>
  <c r="B2849" i="2"/>
  <c r="H2857" i="2"/>
  <c r="B2857" i="2"/>
  <c r="H2865" i="2"/>
  <c r="B2865" i="2"/>
  <c r="H2873" i="2"/>
  <c r="B2873" i="2"/>
  <c r="H2881" i="2"/>
  <c r="B2881" i="2"/>
  <c r="H2889" i="2"/>
  <c r="B2889" i="2"/>
  <c r="H2897" i="2"/>
  <c r="B2897" i="2"/>
  <c r="H2905" i="2"/>
  <c r="B2905" i="2"/>
  <c r="H2909" i="2"/>
  <c r="B2909" i="2"/>
  <c r="H2913" i="2"/>
  <c r="B2913" i="2"/>
  <c r="H2921" i="2"/>
  <c r="B2921" i="2"/>
  <c r="H2938" i="2"/>
  <c r="B2938" i="2"/>
  <c r="H2942" i="2"/>
  <c r="B2942" i="2"/>
  <c r="H2946" i="2"/>
  <c r="B2946" i="2"/>
  <c r="H2950" i="2"/>
  <c r="B2950" i="2"/>
  <c r="H2954" i="2"/>
  <c r="B2954" i="2"/>
  <c r="H2958" i="2"/>
  <c r="B2958" i="2"/>
  <c r="H2962" i="2"/>
  <c r="B2962" i="2"/>
  <c r="H2966" i="2"/>
  <c r="B2966" i="2"/>
  <c r="H2970" i="2"/>
  <c r="B2970" i="2"/>
  <c r="H2974" i="2"/>
  <c r="B2974" i="2"/>
  <c r="H2978" i="2"/>
  <c r="B2978" i="2"/>
  <c r="H2982" i="2"/>
  <c r="B2982" i="2"/>
  <c r="H2986" i="2"/>
  <c r="B2986" i="2"/>
  <c r="H2990" i="2"/>
  <c r="B2990" i="2"/>
  <c r="H2994" i="2"/>
  <c r="B2994" i="2"/>
  <c r="H2998" i="2"/>
  <c r="B2998" i="2"/>
  <c r="H3002" i="2"/>
  <c r="B3002" i="2"/>
  <c r="H3006" i="2"/>
  <c r="B3006" i="2"/>
  <c r="H3010" i="2"/>
  <c r="B3010" i="2"/>
  <c r="H3014" i="2"/>
  <c r="B3014" i="2"/>
  <c r="H3018" i="2"/>
  <c r="B3018" i="2"/>
  <c r="H3022" i="2"/>
  <c r="B3022" i="2"/>
  <c r="H3026" i="2"/>
  <c r="B3026" i="2"/>
  <c r="H3030" i="2"/>
  <c r="B3030" i="2"/>
  <c r="H3034" i="2"/>
  <c r="B3034" i="2"/>
  <c r="H3038" i="2"/>
  <c r="B3038" i="2"/>
  <c r="H3042" i="2"/>
  <c r="B3042" i="2"/>
  <c r="H3046" i="2"/>
  <c r="B3046" i="2"/>
  <c r="H3050" i="2"/>
  <c r="B3050" i="2"/>
  <c r="H3054" i="2"/>
  <c r="B3054" i="2"/>
  <c r="H3058" i="2"/>
  <c r="B3058" i="2"/>
  <c r="H3062" i="2"/>
  <c r="B3062" i="2"/>
  <c r="H3066" i="2"/>
  <c r="B3066" i="2"/>
  <c r="H3070" i="2"/>
  <c r="B3070" i="2"/>
  <c r="H3074" i="2"/>
  <c r="B3074" i="2"/>
  <c r="H3078" i="2"/>
  <c r="B3078" i="2"/>
  <c r="H3082" i="2"/>
  <c r="B3082" i="2"/>
  <c r="H3086" i="2"/>
  <c r="B3086" i="2"/>
  <c r="H3090" i="2"/>
  <c r="B3090" i="2"/>
  <c r="H3094" i="2"/>
  <c r="B3094" i="2"/>
  <c r="H3098" i="2"/>
  <c r="B3098" i="2"/>
  <c r="H3102" i="2"/>
  <c r="B3102" i="2"/>
  <c r="H3106" i="2"/>
  <c r="B3106" i="2"/>
  <c r="H3110" i="2"/>
  <c r="B3110" i="2"/>
  <c r="H3114" i="2"/>
  <c r="B3114" i="2"/>
  <c r="H3118" i="2"/>
  <c r="B3118" i="2"/>
  <c r="H3122" i="2"/>
  <c r="B3122" i="2"/>
  <c r="H3126" i="2"/>
  <c r="B3126" i="2"/>
  <c r="H3130" i="2"/>
  <c r="B3130" i="2"/>
  <c r="H3134" i="2"/>
  <c r="B3134" i="2"/>
  <c r="H3138" i="2"/>
  <c r="B3138" i="2"/>
  <c r="H3142" i="2"/>
  <c r="B3142" i="2"/>
  <c r="H3146" i="2"/>
  <c r="B3146" i="2"/>
  <c r="H3150" i="2"/>
  <c r="B3150" i="2"/>
  <c r="H3154" i="2"/>
  <c r="B3154" i="2"/>
  <c r="H3158" i="2"/>
  <c r="B3158" i="2"/>
  <c r="H3162" i="2"/>
  <c r="B3162" i="2"/>
  <c r="H3166" i="2"/>
  <c r="B3166" i="2"/>
  <c r="H3170" i="2"/>
  <c r="B3170" i="2"/>
  <c r="H3174" i="2"/>
  <c r="B3174" i="2"/>
  <c r="H3178" i="2"/>
  <c r="B3178" i="2"/>
  <c r="H3182" i="2"/>
  <c r="B3182" i="2"/>
  <c r="H3186" i="2"/>
  <c r="B3186" i="2"/>
  <c r="H3190" i="2"/>
  <c r="B3190" i="2"/>
  <c r="H3194" i="2"/>
  <c r="B3194" i="2"/>
  <c r="H3198" i="2"/>
  <c r="B3198" i="2"/>
  <c r="H3202" i="2"/>
  <c r="B3202" i="2"/>
  <c r="H3206" i="2"/>
  <c r="B3206" i="2"/>
  <c r="H3210" i="2"/>
  <c r="B3210" i="2"/>
  <c r="H3214" i="2"/>
  <c r="B3214" i="2"/>
  <c r="H3218" i="2"/>
  <c r="B3218" i="2"/>
  <c r="H3222" i="2"/>
  <c r="B3222" i="2"/>
  <c r="H3226" i="2"/>
  <c r="B3226" i="2"/>
  <c r="H3230" i="2"/>
  <c r="B3230" i="2"/>
  <c r="H3234" i="2"/>
  <c r="B3234" i="2"/>
  <c r="H3238" i="2"/>
  <c r="B3238" i="2"/>
  <c r="H3242" i="2"/>
  <c r="B3242" i="2"/>
  <c r="H3246" i="2"/>
  <c r="B3246" i="2"/>
  <c r="H3328" i="2"/>
  <c r="B3328" i="2"/>
  <c r="H4325" i="2"/>
  <c r="B4325" i="2"/>
  <c r="H4329" i="2"/>
  <c r="B4329" i="2"/>
  <c r="H4333" i="2"/>
  <c r="B4333" i="2"/>
  <c r="H4337" i="2"/>
  <c r="B4337" i="2"/>
  <c r="H4341" i="2"/>
  <c r="B4341" i="2"/>
  <c r="H4345" i="2"/>
  <c r="B4345" i="2"/>
  <c r="H4349" i="2"/>
  <c r="B4349" i="2"/>
  <c r="H4353" i="2"/>
  <c r="B4353" i="2"/>
  <c r="H4357" i="2"/>
  <c r="B4357" i="2"/>
  <c r="H4361" i="2"/>
  <c r="B4361" i="2"/>
  <c r="H4365" i="2"/>
  <c r="B4365" i="2"/>
  <c r="H4369" i="2"/>
  <c r="B4369" i="2"/>
  <c r="H4373" i="2"/>
  <c r="B4373" i="2"/>
  <c r="H4377" i="2"/>
  <c r="B4377" i="2"/>
  <c r="H4381" i="2"/>
  <c r="B4381" i="2"/>
  <c r="H4385" i="2"/>
  <c r="B4385" i="2"/>
  <c r="H4389" i="2"/>
  <c r="B4389" i="2"/>
  <c r="H4393" i="2"/>
  <c r="B4393" i="2"/>
  <c r="H4397" i="2"/>
  <c r="B4397" i="2"/>
  <c r="H4401" i="2"/>
  <c r="B4401" i="2"/>
  <c r="H4405" i="2"/>
  <c r="B4405" i="2"/>
  <c r="H4409" i="2"/>
  <c r="B4409" i="2"/>
  <c r="H4413" i="2"/>
  <c r="B4413" i="2"/>
  <c r="H4417" i="2"/>
  <c r="B4417" i="2"/>
  <c r="H4421" i="2"/>
  <c r="B4421" i="2"/>
  <c r="H4425" i="2"/>
  <c r="B4425" i="2"/>
  <c r="H4429" i="2"/>
  <c r="B4429" i="2"/>
  <c r="H4433" i="2"/>
  <c r="B4433" i="2"/>
  <c r="H4437" i="2"/>
  <c r="B4437" i="2"/>
  <c r="H4441" i="2"/>
  <c r="B4441" i="2"/>
  <c r="H4445" i="2"/>
  <c r="B4445" i="2"/>
  <c r="H4449" i="2"/>
  <c r="B4449" i="2"/>
  <c r="H4609" i="2"/>
  <c r="B4609" i="2"/>
  <c r="H4617" i="2"/>
  <c r="B4617" i="2"/>
  <c r="H4625" i="2"/>
  <c r="B4625" i="2"/>
  <c r="H4905" i="2"/>
  <c r="B4905" i="2"/>
  <c r="H4909" i="2"/>
  <c r="B4909" i="2"/>
  <c r="H4925" i="2"/>
  <c r="B4925" i="2"/>
  <c r="H4933" i="2"/>
  <c r="B4933" i="2"/>
  <c r="H4941" i="2"/>
  <c r="B4941" i="2"/>
  <c r="H4945" i="2"/>
  <c r="B4945" i="2"/>
  <c r="H4957" i="2"/>
  <c r="B4957" i="2"/>
  <c r="H5330" i="2"/>
  <c r="B5330" i="2"/>
  <c r="H5334" i="2"/>
  <c r="B5334" i="2"/>
  <c r="H5366" i="2"/>
  <c r="B5366" i="2"/>
  <c r="H5370" i="2"/>
  <c r="B5370" i="2"/>
  <c r="H5374" i="2"/>
  <c r="B5374" i="2"/>
  <c r="H5378" i="2"/>
  <c r="B5378" i="2"/>
  <c r="H5382" i="2"/>
  <c r="B5382" i="2"/>
  <c r="H5386" i="2"/>
  <c r="B5386" i="2"/>
  <c r="H5390" i="2"/>
  <c r="B5390" i="2"/>
  <c r="H5394" i="2"/>
  <c r="B5394" i="2"/>
  <c r="H5398" i="2"/>
  <c r="B5398" i="2"/>
  <c r="H5402" i="2"/>
  <c r="B5402" i="2"/>
  <c r="H5406" i="2"/>
  <c r="B5406" i="2"/>
  <c r="H5410" i="2"/>
  <c r="B5410" i="2"/>
  <c r="H5414" i="2"/>
  <c r="B5414" i="2"/>
  <c r="H5418" i="2"/>
  <c r="B5418" i="2"/>
  <c r="H5422" i="2"/>
  <c r="B5422" i="2"/>
  <c r="H5426" i="2"/>
  <c r="B5426" i="2"/>
  <c r="H5430" i="2"/>
  <c r="B5430" i="2"/>
  <c r="H5434" i="2"/>
  <c r="B5434" i="2"/>
  <c r="H5438" i="2"/>
  <c r="B5438" i="2"/>
  <c r="H5442" i="2"/>
  <c r="B5442" i="2"/>
  <c r="H5446" i="2"/>
  <c r="B5446" i="2"/>
  <c r="H5450" i="2"/>
  <c r="B5450" i="2"/>
  <c r="H5454" i="2"/>
  <c r="B5454" i="2"/>
  <c r="H5458" i="2"/>
  <c r="B5458" i="2"/>
  <c r="H5462" i="2"/>
  <c r="B5462" i="2"/>
  <c r="H5466" i="2"/>
  <c r="B5466" i="2"/>
  <c r="H5470" i="2"/>
  <c r="B5470" i="2"/>
  <c r="H5474" i="2"/>
  <c r="B5474" i="2"/>
  <c r="H5478" i="2"/>
  <c r="B5478" i="2"/>
  <c r="H5482" i="2"/>
  <c r="B5482" i="2"/>
  <c r="H5486" i="2"/>
  <c r="B5486" i="2"/>
  <c r="H5490" i="2"/>
  <c r="B5490" i="2"/>
  <c r="H5494" i="2"/>
  <c r="B5494" i="2"/>
  <c r="H5498" i="2"/>
  <c r="B5498" i="2"/>
  <c r="H5502" i="2"/>
  <c r="B5502" i="2"/>
  <c r="H5506" i="2"/>
  <c r="B5506" i="2"/>
  <c r="H5510" i="2"/>
  <c r="B5510" i="2"/>
  <c r="H5514" i="2"/>
  <c r="B5514" i="2"/>
  <c r="H5518" i="2"/>
  <c r="B5518" i="2"/>
  <c r="H5522" i="2"/>
  <c r="B5522" i="2"/>
  <c r="H5526" i="2"/>
  <c r="B5526" i="2"/>
  <c r="H5530" i="2"/>
  <c r="B5530" i="2"/>
  <c r="H5534" i="2"/>
  <c r="B5534" i="2"/>
  <c r="H43" i="2"/>
  <c r="B43" i="2"/>
  <c r="H55" i="2"/>
  <c r="B55" i="2"/>
  <c r="H68" i="2"/>
  <c r="B68" i="2"/>
  <c r="H76" i="2"/>
  <c r="B76" i="2"/>
  <c r="H84" i="2"/>
  <c r="B84" i="2"/>
  <c r="H96" i="2"/>
  <c r="B96" i="2"/>
  <c r="H108" i="2"/>
  <c r="B108" i="2"/>
  <c r="H120" i="2"/>
  <c r="B120" i="2"/>
  <c r="H132" i="2"/>
  <c r="B132" i="2"/>
  <c r="H144" i="2"/>
  <c r="B144" i="2"/>
  <c r="H156" i="2"/>
  <c r="B156" i="2"/>
  <c r="H181" i="2"/>
  <c r="B181" i="2"/>
  <c r="H189" i="2"/>
  <c r="B189" i="2"/>
  <c r="H230" i="2"/>
  <c r="B230" i="2"/>
  <c r="H238" i="2"/>
  <c r="B238" i="2"/>
  <c r="H262" i="2"/>
  <c r="B262" i="2"/>
  <c r="H354" i="2"/>
  <c r="B354" i="2"/>
  <c r="H362" i="2"/>
  <c r="B362" i="2"/>
  <c r="H370" i="2"/>
  <c r="B370" i="2"/>
  <c r="H378" i="2"/>
  <c r="B378" i="2"/>
  <c r="H386" i="2"/>
  <c r="B386" i="2"/>
  <c r="H394" i="2"/>
  <c r="B394" i="2"/>
  <c r="H406" i="2"/>
  <c r="B406" i="2"/>
  <c r="H414" i="2"/>
  <c r="B414" i="2"/>
  <c r="H426" i="2"/>
  <c r="B426" i="2"/>
  <c r="H434" i="2"/>
  <c r="B434" i="2"/>
  <c r="H442" i="2"/>
  <c r="B442" i="2"/>
  <c r="H450" i="2"/>
  <c r="B450" i="2"/>
  <c r="H470" i="2"/>
  <c r="B470" i="2"/>
  <c r="H4" i="2"/>
  <c r="B4" i="2"/>
  <c r="H8" i="2"/>
  <c r="B8" i="2"/>
  <c r="H12" i="2"/>
  <c r="B12" i="2"/>
  <c r="H16" i="2"/>
  <c r="B16" i="2"/>
  <c r="H20" i="2"/>
  <c r="B20" i="2"/>
  <c r="H24" i="2"/>
  <c r="B24" i="2"/>
  <c r="H28" i="2"/>
  <c r="B28" i="2"/>
  <c r="H32" i="2"/>
  <c r="B32" i="2"/>
  <c r="H36" i="2"/>
  <c r="B36" i="2"/>
  <c r="H40" i="2"/>
  <c r="B40" i="2"/>
  <c r="H42" i="2"/>
  <c r="H45" i="2"/>
  <c r="B45" i="2"/>
  <c r="H49" i="2"/>
  <c r="B49" i="2"/>
  <c r="H53" i="2"/>
  <c r="B53" i="2"/>
  <c r="H57" i="2"/>
  <c r="B57" i="2"/>
  <c r="H61" i="2"/>
  <c r="B61" i="2"/>
  <c r="H65" i="2"/>
  <c r="B65" i="2"/>
  <c r="H78" i="2"/>
  <c r="B78" i="2"/>
  <c r="H102" i="2"/>
  <c r="B102" i="2"/>
  <c r="H106" i="2"/>
  <c r="B106" i="2"/>
  <c r="H110" i="2"/>
  <c r="B110" i="2"/>
  <c r="H118" i="2"/>
  <c r="B118" i="2"/>
  <c r="H126" i="2"/>
  <c r="B126" i="2"/>
  <c r="H130" i="2"/>
  <c r="B130" i="2"/>
  <c r="H134" i="2"/>
  <c r="B134" i="2"/>
  <c r="H142" i="2"/>
  <c r="B142" i="2"/>
  <c r="H150" i="2"/>
  <c r="B150" i="2"/>
  <c r="H158" i="2"/>
  <c r="B158" i="2"/>
  <c r="H166" i="2"/>
  <c r="B166" i="2"/>
  <c r="H171" i="2"/>
  <c r="B171" i="2"/>
  <c r="H175" i="2"/>
  <c r="B175" i="2"/>
  <c r="H179" i="2"/>
  <c r="B179" i="2"/>
  <c r="H183" i="2"/>
  <c r="B183" i="2"/>
  <c r="H187" i="2"/>
  <c r="B187" i="2"/>
  <c r="H191" i="2"/>
  <c r="B191" i="2"/>
  <c r="H196" i="2"/>
  <c r="B196" i="2"/>
  <c r="H200" i="2"/>
  <c r="B200" i="2"/>
  <c r="H204" i="2"/>
  <c r="B204" i="2"/>
  <c r="H208" i="2"/>
  <c r="B208" i="2"/>
  <c r="H212" i="2"/>
  <c r="B212" i="2"/>
  <c r="H216" i="2"/>
  <c r="B216" i="2"/>
  <c r="H220" i="2"/>
  <c r="B220" i="2"/>
  <c r="H224" i="2"/>
  <c r="B224" i="2"/>
  <c r="H228" i="2"/>
  <c r="B228" i="2"/>
  <c r="H232" i="2"/>
  <c r="B232" i="2"/>
  <c r="H484" i="2"/>
  <c r="B484" i="2"/>
  <c r="H488" i="2"/>
  <c r="B488" i="2"/>
  <c r="H492" i="2"/>
  <c r="B492" i="2"/>
  <c r="H496" i="2"/>
  <c r="B496" i="2"/>
  <c r="H500" i="2"/>
  <c r="B500" i="2"/>
  <c r="H504" i="2"/>
  <c r="B504" i="2"/>
  <c r="H508" i="2"/>
  <c r="B508" i="2"/>
  <c r="H512" i="2"/>
  <c r="B512" i="2"/>
  <c r="H516" i="2"/>
  <c r="B516" i="2"/>
  <c r="H520" i="2"/>
  <c r="B520" i="2"/>
  <c r="H524" i="2"/>
  <c r="B524" i="2"/>
  <c r="H528" i="2"/>
  <c r="B528" i="2"/>
  <c r="H532" i="2"/>
  <c r="B532" i="2"/>
  <c r="H536" i="2"/>
  <c r="B536" i="2"/>
  <c r="H540" i="2"/>
  <c r="B540" i="2"/>
  <c r="H544" i="2"/>
  <c r="B544" i="2"/>
  <c r="H548" i="2"/>
  <c r="B548" i="2"/>
  <c r="H552" i="2"/>
  <c r="B552" i="2"/>
  <c r="H556" i="2"/>
  <c r="B556" i="2"/>
  <c r="H560" i="2"/>
  <c r="B560" i="2"/>
  <c r="H564" i="2"/>
  <c r="B564" i="2"/>
  <c r="H568" i="2"/>
  <c r="B568" i="2"/>
  <c r="H572" i="2"/>
  <c r="B572" i="2"/>
  <c r="H576" i="2"/>
  <c r="B576" i="2"/>
  <c r="H580" i="2"/>
  <c r="B580" i="2"/>
  <c r="H584" i="2"/>
  <c r="B584" i="2"/>
  <c r="H588" i="2"/>
  <c r="B588" i="2"/>
  <c r="H592" i="2"/>
  <c r="B592" i="2"/>
  <c r="H596" i="2"/>
  <c r="B596" i="2"/>
  <c r="H600" i="2"/>
  <c r="B600" i="2"/>
  <c r="H604" i="2"/>
  <c r="B604" i="2"/>
  <c r="H608" i="2"/>
  <c r="B608" i="2"/>
  <c r="H612" i="2"/>
  <c r="B612" i="2"/>
  <c r="H616" i="2"/>
  <c r="B616" i="2"/>
  <c r="H620" i="2"/>
  <c r="B620" i="2"/>
  <c r="H808" i="2"/>
  <c r="B808" i="2"/>
  <c r="H812" i="2"/>
  <c r="B812" i="2"/>
  <c r="H816" i="2"/>
  <c r="B816" i="2"/>
  <c r="H820" i="2"/>
  <c r="B820" i="2"/>
  <c r="H824" i="2"/>
  <c r="B824" i="2"/>
  <c r="H828" i="2"/>
  <c r="B828" i="2"/>
  <c r="H832" i="2"/>
  <c r="B832" i="2"/>
  <c r="H836" i="2"/>
  <c r="B836" i="2"/>
  <c r="H840" i="2"/>
  <c r="B840" i="2"/>
  <c r="H844" i="2"/>
  <c r="B844" i="2"/>
  <c r="H848" i="2"/>
  <c r="B848" i="2"/>
  <c r="H852" i="2"/>
  <c r="B852" i="2"/>
  <c r="H856" i="2"/>
  <c r="B856" i="2"/>
  <c r="H860" i="2"/>
  <c r="B860" i="2"/>
  <c r="H864" i="2"/>
  <c r="B864" i="2"/>
  <c r="H868" i="2"/>
  <c r="B868" i="2"/>
  <c r="H872" i="2"/>
  <c r="B872" i="2"/>
  <c r="H876" i="2"/>
  <c r="B876" i="2"/>
  <c r="H880" i="2"/>
  <c r="B880" i="2"/>
  <c r="H884" i="2"/>
  <c r="B884" i="2"/>
  <c r="H888" i="2"/>
  <c r="B888" i="2"/>
  <c r="H892" i="2"/>
  <c r="B892" i="2"/>
  <c r="H896" i="2"/>
  <c r="B896" i="2"/>
  <c r="H900" i="2"/>
  <c r="B900" i="2"/>
  <c r="H904" i="2"/>
  <c r="B904" i="2"/>
  <c r="H908" i="2"/>
  <c r="B908" i="2"/>
  <c r="H988" i="2"/>
  <c r="B988" i="2"/>
  <c r="H992" i="2"/>
  <c r="B992" i="2"/>
  <c r="H996" i="2"/>
  <c r="B996" i="2"/>
  <c r="H1000" i="2"/>
  <c r="B1000" i="2"/>
  <c r="H1004" i="2"/>
  <c r="B1004" i="2"/>
  <c r="H1008" i="2"/>
  <c r="B1008" i="2"/>
  <c r="H1012" i="2"/>
  <c r="B1012" i="2"/>
  <c r="H1016" i="2"/>
  <c r="B1016" i="2"/>
  <c r="H1020" i="2"/>
  <c r="B1020" i="2"/>
  <c r="H1160" i="2"/>
  <c r="B1160" i="2"/>
  <c r="H1164" i="2"/>
  <c r="B1164" i="2"/>
  <c r="H1192" i="2"/>
  <c r="B1192" i="2"/>
  <c r="H1198" i="2"/>
  <c r="B1198" i="2"/>
  <c r="H1202" i="2"/>
  <c r="B1202" i="2"/>
  <c r="H1206" i="2"/>
  <c r="B1206" i="2"/>
  <c r="H1210" i="2"/>
  <c r="B1210" i="2"/>
  <c r="H1214" i="2"/>
  <c r="B1214" i="2"/>
  <c r="H1218" i="2"/>
  <c r="B1218" i="2"/>
  <c r="H1222" i="2"/>
  <c r="B1222" i="2"/>
  <c r="H1226" i="2"/>
  <c r="B1226" i="2"/>
  <c r="H1230" i="2"/>
  <c r="B1230" i="2"/>
  <c r="H1234" i="2"/>
  <c r="B1234" i="2"/>
  <c r="H1238" i="2"/>
  <c r="B1238" i="2"/>
  <c r="H1247" i="2"/>
  <c r="B1247" i="2"/>
  <c r="H1287" i="2"/>
  <c r="H1288" i="2"/>
  <c r="H1291" i="2"/>
  <c r="B1291" i="2"/>
  <c r="H1295" i="2"/>
  <c r="B1295" i="2"/>
  <c r="H1303" i="2"/>
  <c r="B1303" i="2"/>
  <c r="H1311" i="2"/>
  <c r="B1311" i="2"/>
  <c r="H1479" i="2"/>
  <c r="H1482" i="2"/>
  <c r="B1482" i="2"/>
  <c r="H1484" i="2"/>
  <c r="H1503" i="2"/>
  <c r="B1503" i="2"/>
  <c r="H1560" i="2"/>
  <c r="B1560" i="2"/>
  <c r="H1568" i="2"/>
  <c r="B1568" i="2"/>
  <c r="H1967" i="2"/>
  <c r="B1967" i="2"/>
  <c r="H1995" i="2"/>
  <c r="B1995" i="2"/>
  <c r="H2011" i="2"/>
  <c r="B2011" i="2"/>
  <c r="H2044" i="2"/>
  <c r="B2044" i="2"/>
  <c r="H2048" i="2"/>
  <c r="B2048" i="2"/>
  <c r="H2052" i="2"/>
  <c r="B2052" i="2"/>
  <c r="H2060" i="2"/>
  <c r="B2060" i="2"/>
  <c r="H2064" i="2"/>
  <c r="B2064" i="2"/>
  <c r="H2068" i="2"/>
  <c r="B2068" i="2"/>
  <c r="H2072" i="2"/>
  <c r="B2072" i="2"/>
  <c r="H2076" i="2"/>
  <c r="B2076" i="2"/>
  <c r="H2080" i="2"/>
  <c r="B2080" i="2"/>
  <c r="H2092" i="2"/>
  <c r="B2092" i="2"/>
  <c r="H2096" i="2"/>
  <c r="B2096" i="2"/>
  <c r="H2101" i="2"/>
  <c r="B2101" i="2"/>
  <c r="H2109" i="2"/>
  <c r="B2109" i="2"/>
  <c r="H2117" i="2"/>
  <c r="B2117" i="2"/>
  <c r="H2121" i="2"/>
  <c r="B2121" i="2"/>
  <c r="H2131" i="2"/>
  <c r="B2131" i="2"/>
  <c r="H2135" i="2"/>
  <c r="B2135" i="2"/>
  <c r="H2143" i="2"/>
  <c r="B2143" i="2"/>
  <c r="H2151" i="2"/>
  <c r="B2151" i="2"/>
  <c r="H2159" i="2"/>
  <c r="B2159" i="2"/>
  <c r="H2167" i="2"/>
  <c r="B2167" i="2"/>
  <c r="H2172" i="2"/>
  <c r="B2172" i="2"/>
  <c r="H2176" i="2"/>
  <c r="B2176" i="2"/>
  <c r="H2184" i="2"/>
  <c r="B2184" i="2"/>
  <c r="H2189" i="2"/>
  <c r="B2189" i="2"/>
  <c r="H2193" i="2"/>
  <c r="B2193" i="2"/>
  <c r="H2195" i="2"/>
  <c r="H2196" i="2"/>
  <c r="H2199" i="2"/>
  <c r="B2199" i="2"/>
  <c r="H2207" i="2"/>
  <c r="B2207" i="2"/>
  <c r="H2215" i="2"/>
  <c r="B2215" i="2"/>
  <c r="H2223" i="2"/>
  <c r="B2223" i="2"/>
  <c r="H2231" i="2"/>
  <c r="B2231" i="2"/>
  <c r="H2235" i="2"/>
  <c r="B2235" i="2"/>
  <c r="H2239" i="2"/>
  <c r="B2239" i="2"/>
  <c r="H2247" i="2"/>
  <c r="B2247" i="2"/>
  <c r="H2256" i="2"/>
  <c r="B2256" i="2"/>
  <c r="H2261" i="2"/>
  <c r="B2261" i="2"/>
  <c r="H2269" i="2"/>
  <c r="B2269" i="2"/>
  <c r="H2275" i="2"/>
  <c r="B2275" i="2"/>
  <c r="H2283" i="2"/>
  <c r="B2283" i="2"/>
  <c r="H2287" i="2"/>
  <c r="B2287" i="2"/>
  <c r="H2291" i="2"/>
  <c r="B2291" i="2"/>
  <c r="H2299" i="2"/>
  <c r="B2299" i="2"/>
  <c r="H2303" i="2"/>
  <c r="B2303" i="2"/>
  <c r="H2307" i="2"/>
  <c r="B2307" i="2"/>
  <c r="H2309" i="2"/>
  <c r="H2312" i="2"/>
  <c r="B2312" i="2"/>
  <c r="H2320" i="2"/>
  <c r="B2320" i="2"/>
  <c r="H2328" i="2"/>
  <c r="B2328" i="2"/>
  <c r="H2353" i="2"/>
  <c r="B2353" i="2"/>
  <c r="H2357" i="2"/>
  <c r="B2357" i="2"/>
  <c r="H2377" i="2"/>
  <c r="B2377" i="2"/>
  <c r="H2385" i="2"/>
  <c r="B2385" i="2"/>
  <c r="H2391" i="2"/>
  <c r="B2391" i="2"/>
  <c r="H2395" i="2"/>
  <c r="B2395" i="2"/>
  <c r="H2399" i="2"/>
  <c r="B2399" i="2"/>
  <c r="H2403" i="2"/>
  <c r="B2403" i="2"/>
  <c r="H2407" i="2"/>
  <c r="B2407" i="2"/>
  <c r="H2411" i="2"/>
  <c r="B2411" i="2"/>
  <c r="H2415" i="2"/>
  <c r="B2415" i="2"/>
  <c r="H2419" i="2"/>
  <c r="B2419" i="2"/>
  <c r="H2425" i="2"/>
  <c r="B2425" i="2"/>
  <c r="H2433" i="2"/>
  <c r="B2433" i="2"/>
  <c r="H2441" i="2"/>
  <c r="B2441" i="2"/>
  <c r="H2453" i="2"/>
  <c r="B2453" i="2"/>
  <c r="H2463" i="2"/>
  <c r="B2463" i="2"/>
  <c r="H2471" i="2"/>
  <c r="B2471" i="2"/>
  <c r="H2585" i="2"/>
  <c r="H2600" i="2"/>
  <c r="B2600" i="2"/>
  <c r="H2616" i="2"/>
  <c r="B2616" i="2"/>
  <c r="H2620" i="2"/>
  <c r="B2620" i="2"/>
  <c r="H2624" i="2"/>
  <c r="B2624" i="2"/>
  <c r="H2632" i="2"/>
  <c r="B2632" i="2"/>
  <c r="H2648" i="2"/>
  <c r="B2648" i="2"/>
  <c r="H2652" i="2"/>
  <c r="B2652" i="2"/>
  <c r="H2656" i="2"/>
  <c r="B2656" i="2"/>
  <c r="H2660" i="2"/>
  <c r="B2660" i="2"/>
  <c r="H2664" i="2"/>
  <c r="B2664" i="2"/>
  <c r="H2672" i="2"/>
  <c r="B2672" i="2"/>
  <c r="H2680" i="2"/>
  <c r="B2680" i="2"/>
  <c r="H2684" i="2"/>
  <c r="B2684" i="2"/>
  <c r="H2688" i="2"/>
  <c r="B2688" i="2"/>
  <c r="H2696" i="2"/>
  <c r="B2696" i="2"/>
  <c r="H2700" i="2"/>
  <c r="B2700" i="2"/>
  <c r="H2712" i="2"/>
  <c r="B2712" i="2"/>
  <c r="H2716" i="2"/>
  <c r="B2716" i="2"/>
  <c r="H2720" i="2"/>
  <c r="B2720" i="2"/>
  <c r="H2724" i="2"/>
  <c r="B2724" i="2"/>
  <c r="H2732" i="2"/>
  <c r="B2732" i="2"/>
  <c r="H2736" i="2"/>
  <c r="B2736" i="2"/>
  <c r="H2740" i="2"/>
  <c r="B2740" i="2"/>
  <c r="H2748" i="2"/>
  <c r="B2748" i="2"/>
  <c r="H2756" i="2"/>
  <c r="B2756" i="2"/>
  <c r="H2764" i="2"/>
  <c r="B2764" i="2"/>
  <c r="H2772" i="2"/>
  <c r="B2772" i="2"/>
  <c r="H2780" i="2"/>
  <c r="B2780" i="2"/>
  <c r="H2784" i="2"/>
  <c r="B2784" i="2"/>
  <c r="H2788" i="2"/>
  <c r="B2788" i="2"/>
  <c r="H2796" i="2"/>
  <c r="B2796" i="2"/>
  <c r="H2800" i="2"/>
  <c r="B2800" i="2"/>
  <c r="H2804" i="2"/>
  <c r="B2804" i="2"/>
  <c r="H2812" i="2"/>
  <c r="B2812" i="2"/>
  <c r="H2816" i="2"/>
  <c r="B2816" i="2"/>
  <c r="H2820" i="2"/>
  <c r="B2820" i="2"/>
  <c r="H2828" i="2"/>
  <c r="B2828" i="2"/>
  <c r="H2836" i="2"/>
  <c r="B2836" i="2"/>
  <c r="H2844" i="2"/>
  <c r="B2844" i="2"/>
  <c r="H2852" i="2"/>
  <c r="B2852" i="2"/>
  <c r="H2860" i="2"/>
  <c r="B2860" i="2"/>
  <c r="H2864" i="2"/>
  <c r="B2864" i="2"/>
  <c r="H2868" i="2"/>
  <c r="B2868" i="2"/>
  <c r="H2876" i="2"/>
  <c r="B2876" i="2"/>
  <c r="H2884" i="2"/>
  <c r="B2884" i="2"/>
  <c r="H2892" i="2"/>
  <c r="B2892" i="2"/>
  <c r="H2900" i="2"/>
  <c r="B2900" i="2"/>
  <c r="H2908" i="2"/>
  <c r="B2908" i="2"/>
  <c r="H2912" i="2"/>
  <c r="B2912" i="2"/>
  <c r="H2916" i="2"/>
  <c r="B2916" i="2"/>
  <c r="H2924" i="2"/>
  <c r="B2924" i="2"/>
  <c r="H2930" i="2"/>
  <c r="H3081" i="2"/>
  <c r="B3081" i="2"/>
  <c r="H3085" i="2"/>
  <c r="B3085" i="2"/>
  <c r="H3089" i="2"/>
  <c r="B3089" i="2"/>
  <c r="H3093" i="2"/>
  <c r="B3093" i="2"/>
  <c r="H3097" i="2"/>
  <c r="B3097" i="2"/>
  <c r="H3101" i="2"/>
  <c r="B3101" i="2"/>
  <c r="H3105" i="2"/>
  <c r="B3105" i="2"/>
  <c r="H3109" i="2"/>
  <c r="B3109" i="2"/>
  <c r="H3113" i="2"/>
  <c r="B3113" i="2"/>
  <c r="H3117" i="2"/>
  <c r="B3117" i="2"/>
  <c r="H3121" i="2"/>
  <c r="B3121" i="2"/>
  <c r="H3125" i="2"/>
  <c r="B3125" i="2"/>
  <c r="H3129" i="2"/>
  <c r="B3129" i="2"/>
  <c r="H3133" i="2"/>
  <c r="B3133" i="2"/>
  <c r="H3137" i="2"/>
  <c r="B3137" i="2"/>
  <c r="H3141" i="2"/>
  <c r="B3141" i="2"/>
  <c r="H3145" i="2"/>
  <c r="B3145" i="2"/>
  <c r="H3149" i="2"/>
  <c r="B3149" i="2"/>
  <c r="H3153" i="2"/>
  <c r="B3153" i="2"/>
  <c r="H3157" i="2"/>
  <c r="B3157" i="2"/>
  <c r="H3161" i="2"/>
  <c r="B3161" i="2"/>
  <c r="H3165" i="2"/>
  <c r="B3165" i="2"/>
  <c r="H3169" i="2"/>
  <c r="B3169" i="2"/>
  <c r="H3173" i="2"/>
  <c r="B3173" i="2"/>
  <c r="H3177" i="2"/>
  <c r="B3177" i="2"/>
  <c r="H3181" i="2"/>
  <c r="B3181" i="2"/>
  <c r="H3185" i="2"/>
  <c r="B3185" i="2"/>
  <c r="H3189" i="2"/>
  <c r="B3189" i="2"/>
  <c r="H3193" i="2"/>
  <c r="B3193" i="2"/>
  <c r="H3197" i="2"/>
  <c r="B3197" i="2"/>
  <c r="H3201" i="2"/>
  <c r="B3201" i="2"/>
  <c r="H3205" i="2"/>
  <c r="B3205" i="2"/>
  <c r="H3209" i="2"/>
  <c r="B3209" i="2"/>
  <c r="H3213" i="2"/>
  <c r="B3213" i="2"/>
  <c r="H3217" i="2"/>
  <c r="B3217" i="2"/>
  <c r="H3221" i="2"/>
  <c r="B3221" i="2"/>
  <c r="H3225" i="2"/>
  <c r="B3225" i="2"/>
  <c r="H3229" i="2"/>
  <c r="B3229" i="2"/>
  <c r="H3282" i="2"/>
  <c r="B3282" i="2"/>
  <c r="H3416" i="2"/>
  <c r="B3416" i="2"/>
  <c r="H3440" i="2"/>
  <c r="B3440" i="2"/>
  <c r="H3480" i="2"/>
  <c r="B3480" i="2"/>
  <c r="H3504" i="2"/>
  <c r="B3504" i="2"/>
  <c r="H3508" i="2"/>
  <c r="B3508" i="2"/>
  <c r="H3512" i="2"/>
  <c r="B3512" i="2"/>
  <c r="H3516" i="2"/>
  <c r="B3516" i="2"/>
  <c r="H3520" i="2"/>
  <c r="B3520" i="2"/>
  <c r="H3524" i="2"/>
  <c r="B3524" i="2"/>
  <c r="H3528" i="2"/>
  <c r="B3528" i="2"/>
  <c r="H3532" i="2"/>
  <c r="B3532" i="2"/>
  <c r="H3536" i="2"/>
  <c r="B3536" i="2"/>
  <c r="H3540" i="2"/>
  <c r="B3540" i="2"/>
  <c r="H3576" i="2"/>
  <c r="B3576" i="2"/>
  <c r="H3580" i="2"/>
  <c r="B3580" i="2"/>
  <c r="H3584" i="2"/>
  <c r="B3584" i="2"/>
  <c r="H3588" i="2"/>
  <c r="B3588" i="2"/>
  <c r="H3592" i="2"/>
  <c r="B3592" i="2"/>
  <c r="H3596" i="2"/>
  <c r="B3596" i="2"/>
  <c r="H3600" i="2"/>
  <c r="B3600" i="2"/>
  <c r="H3604" i="2"/>
  <c r="B3604" i="2"/>
  <c r="H3608" i="2"/>
  <c r="B3608" i="2"/>
  <c r="H3612" i="2"/>
  <c r="B3612" i="2"/>
  <c r="H3616" i="2"/>
  <c r="B3616" i="2"/>
  <c r="H3620" i="2"/>
  <c r="B3620" i="2"/>
  <c r="H3624" i="2"/>
  <c r="B3624" i="2"/>
  <c r="H3628" i="2"/>
  <c r="B3628" i="2"/>
  <c r="H3632" i="2"/>
  <c r="B3632" i="2"/>
  <c r="H3636" i="2"/>
  <c r="B3636" i="2"/>
  <c r="H3640" i="2"/>
  <c r="B3640" i="2"/>
  <c r="H3644" i="2"/>
  <c r="B3644" i="2"/>
  <c r="H3648" i="2"/>
  <c r="B3648" i="2"/>
  <c r="H3652" i="2"/>
  <c r="B3652" i="2"/>
  <c r="H3656" i="2"/>
  <c r="B3656" i="2"/>
  <c r="H3660" i="2"/>
  <c r="B3660" i="2"/>
  <c r="H3664" i="2"/>
  <c r="B3664" i="2"/>
  <c r="H3668" i="2"/>
  <c r="B3668" i="2"/>
  <c r="H3672" i="2"/>
  <c r="B3672" i="2"/>
  <c r="H3676" i="2"/>
  <c r="B3676" i="2"/>
  <c r="H3680" i="2"/>
  <c r="B3680" i="2"/>
  <c r="H3684" i="2"/>
  <c r="B3684" i="2"/>
  <c r="H3688" i="2"/>
  <c r="B3688" i="2"/>
  <c r="H3692" i="2"/>
  <c r="B3692" i="2"/>
  <c r="H3696" i="2"/>
  <c r="B3696" i="2"/>
  <c r="H3700" i="2"/>
  <c r="B3700" i="2"/>
  <c r="H3704" i="2"/>
  <c r="B3704" i="2"/>
  <c r="H3708" i="2"/>
  <c r="B3708" i="2"/>
  <c r="H3712" i="2"/>
  <c r="B3712" i="2"/>
  <c r="H3716" i="2"/>
  <c r="B3716" i="2"/>
  <c r="H3720" i="2"/>
  <c r="B3720" i="2"/>
  <c r="H3728" i="2"/>
  <c r="B3728" i="2"/>
  <c r="H3736" i="2"/>
  <c r="B3736" i="2"/>
  <c r="H3744" i="2"/>
  <c r="B3744" i="2"/>
  <c r="H3752" i="2"/>
  <c r="B3752" i="2"/>
  <c r="H3760" i="2"/>
  <c r="B3760" i="2"/>
  <c r="H3768" i="2"/>
  <c r="B3768" i="2"/>
  <c r="H3776" i="2"/>
  <c r="B3776" i="2"/>
  <c r="H3784" i="2"/>
  <c r="B3784" i="2"/>
  <c r="H3792" i="2"/>
  <c r="B3792" i="2"/>
  <c r="H3800" i="2"/>
  <c r="B3800" i="2"/>
  <c r="H3808" i="2"/>
  <c r="B3808" i="2"/>
  <c r="H3816" i="2"/>
  <c r="B3816" i="2"/>
  <c r="H4344" i="2"/>
  <c r="B4344" i="2"/>
  <c r="H4348" i="2"/>
  <c r="B4348" i="2"/>
  <c r="H4352" i="2"/>
  <c r="B4352" i="2"/>
  <c r="H4356" i="2"/>
  <c r="B4356" i="2"/>
  <c r="H4360" i="2"/>
  <c r="B4360" i="2"/>
  <c r="H4364" i="2"/>
  <c r="B4364" i="2"/>
  <c r="H4368" i="2"/>
  <c r="B4368" i="2"/>
  <c r="H4372" i="2"/>
  <c r="B4372" i="2"/>
  <c r="H4452" i="2"/>
  <c r="B4452" i="2"/>
  <c r="H4456" i="2"/>
  <c r="B4456" i="2"/>
  <c r="H4460" i="2"/>
  <c r="B4460" i="2"/>
  <c r="H4464" i="2"/>
  <c r="B4464" i="2"/>
  <c r="H4468" i="2"/>
  <c r="B4468" i="2"/>
  <c r="H4472" i="2"/>
  <c r="B4472" i="2"/>
  <c r="H4476" i="2"/>
  <c r="B4476" i="2"/>
  <c r="H4480" i="2"/>
  <c r="B4480" i="2"/>
  <c r="H4484" i="2"/>
  <c r="B4484" i="2"/>
  <c r="H4488" i="2"/>
  <c r="B4488" i="2"/>
  <c r="H4492" i="2"/>
  <c r="B4492" i="2"/>
  <c r="H4608" i="2"/>
  <c r="B4608" i="2"/>
  <c r="H4612" i="2"/>
  <c r="B4612" i="2"/>
  <c r="H4616" i="2"/>
  <c r="B4616" i="2"/>
  <c r="H4620" i="2"/>
  <c r="B4620" i="2"/>
  <c r="H4624" i="2"/>
  <c r="B4624" i="2"/>
  <c r="H4628" i="2"/>
  <c r="B4628" i="2"/>
  <c r="H4632" i="2"/>
  <c r="B4632" i="2"/>
  <c r="H4636" i="2"/>
  <c r="B4636" i="2"/>
  <c r="H4640" i="2"/>
  <c r="B4640" i="2"/>
  <c r="H4644" i="2"/>
  <c r="B4644" i="2"/>
  <c r="H4648" i="2"/>
  <c r="B4648" i="2"/>
  <c r="H4652" i="2"/>
  <c r="B4652" i="2"/>
  <c r="H4656" i="2"/>
  <c r="B4656" i="2"/>
  <c r="H4660" i="2"/>
  <c r="B4660" i="2"/>
  <c r="H4664" i="2"/>
  <c r="B4664" i="2"/>
  <c r="H4668" i="2"/>
  <c r="B4668" i="2"/>
  <c r="H4764" i="2"/>
  <c r="B4764" i="2"/>
  <c r="H4768" i="2"/>
  <c r="B4768" i="2"/>
  <c r="H4772" i="2"/>
  <c r="B4772" i="2"/>
  <c r="H4776" i="2"/>
  <c r="B4776" i="2"/>
  <c r="H4780" i="2"/>
  <c r="B4780" i="2"/>
  <c r="H4784" i="2"/>
  <c r="B4784" i="2"/>
  <c r="H4788" i="2"/>
  <c r="B4788" i="2"/>
  <c r="H4916" i="2"/>
  <c r="B4916" i="2"/>
  <c r="H4924" i="2"/>
  <c r="B4924" i="2"/>
  <c r="H4928" i="2"/>
  <c r="B4928" i="2"/>
  <c r="H4932" i="2"/>
  <c r="B4932" i="2"/>
  <c r="H4940" i="2"/>
  <c r="B4940" i="2"/>
  <c r="H4944" i="2"/>
  <c r="B4944" i="2"/>
  <c r="H4948" i="2"/>
  <c r="B4948" i="2"/>
  <c r="H4952" i="2"/>
  <c r="B4952" i="2"/>
  <c r="H4956" i="2"/>
  <c r="B4956" i="2"/>
  <c r="H4960" i="2"/>
  <c r="B4960" i="2"/>
  <c r="H4962" i="2"/>
  <c r="H4994" i="2"/>
  <c r="B4994" i="2"/>
  <c r="H5357" i="2"/>
  <c r="B5357" i="2"/>
  <c r="H5361" i="2"/>
  <c r="B5361" i="2"/>
  <c r="H5365" i="2"/>
  <c r="B5365" i="2"/>
  <c r="H5369" i="2"/>
  <c r="B5369" i="2"/>
  <c r="H5373" i="2"/>
  <c r="B5373" i="2"/>
  <c r="H5377" i="2"/>
  <c r="B5377" i="2"/>
  <c r="H5381" i="2"/>
  <c r="B5381" i="2"/>
  <c r="H5385" i="2"/>
  <c r="B5385" i="2"/>
  <c r="H5389" i="2"/>
  <c r="B5389" i="2"/>
  <c r="H5393" i="2"/>
  <c r="B5393" i="2"/>
  <c r="H5397" i="2"/>
  <c r="B5397" i="2"/>
  <c r="H5401" i="2"/>
  <c r="B5401" i="2"/>
  <c r="H5405" i="2"/>
  <c r="B5405" i="2"/>
  <c r="H5409" i="2"/>
  <c r="B5409" i="2"/>
  <c r="H5413" i="2"/>
  <c r="B5413" i="2"/>
  <c r="H5417" i="2"/>
  <c r="B5417" i="2"/>
  <c r="H5421" i="2"/>
  <c r="B5421" i="2"/>
  <c r="H5425" i="2"/>
  <c r="B5425" i="2"/>
  <c r="H5429" i="2"/>
  <c r="B5429" i="2"/>
  <c r="H5433" i="2"/>
  <c r="B5433" i="2"/>
  <c r="H5437" i="2"/>
  <c r="B5437" i="2"/>
  <c r="H5441" i="2"/>
  <c r="B5441" i="2"/>
  <c r="H5445" i="2"/>
  <c r="B5445" i="2"/>
  <c r="H5449" i="2"/>
  <c r="B5449" i="2"/>
  <c r="H5453" i="2"/>
  <c r="B5453" i="2"/>
  <c r="H5457" i="2"/>
  <c r="B5457" i="2"/>
  <c r="H5461" i="2"/>
  <c r="B5461" i="2"/>
  <c r="H5465" i="2"/>
  <c r="B5465" i="2"/>
  <c r="H5469" i="2"/>
  <c r="B5469" i="2"/>
  <c r="H5473" i="2"/>
  <c r="B5473" i="2"/>
  <c r="H5477" i="2"/>
  <c r="B5477" i="2"/>
  <c r="H5481" i="2"/>
  <c r="B5481" i="2"/>
  <c r="H5485" i="2"/>
  <c r="B5485" i="2"/>
  <c r="H5489" i="2"/>
  <c r="B5489" i="2"/>
  <c r="H5493" i="2"/>
  <c r="B5493" i="2"/>
  <c r="H5497" i="2"/>
  <c r="B5497" i="2"/>
  <c r="H5501" i="2"/>
  <c r="B5501" i="2"/>
  <c r="H5505" i="2"/>
  <c r="B5505" i="2"/>
  <c r="H5509" i="2"/>
  <c r="B5509" i="2"/>
  <c r="H5513" i="2"/>
  <c r="B5513" i="2"/>
  <c r="H5517" i="2"/>
  <c r="B5517" i="2"/>
  <c r="H5521" i="2"/>
  <c r="B5521" i="2"/>
  <c r="H5525" i="2"/>
  <c r="B5525" i="2"/>
  <c r="H5529" i="2"/>
  <c r="B5529" i="2"/>
  <c r="H5533" i="2"/>
  <c r="B5533" i="2"/>
  <c r="H3" i="2"/>
  <c r="H7" i="2"/>
  <c r="B7" i="2"/>
  <c r="H11" i="2"/>
  <c r="B11" i="2"/>
  <c r="H15" i="2"/>
  <c r="B15" i="2"/>
  <c r="H19" i="2"/>
  <c r="B19" i="2"/>
  <c r="H23" i="2"/>
  <c r="B23" i="2"/>
  <c r="H27" i="2"/>
  <c r="B27" i="2"/>
  <c r="H31" i="2"/>
  <c r="B31" i="2"/>
  <c r="H35" i="2"/>
  <c r="B35" i="2"/>
  <c r="H39" i="2"/>
  <c r="B39" i="2"/>
  <c r="H44" i="2"/>
  <c r="B44" i="2"/>
  <c r="H48" i="2"/>
  <c r="B48" i="2"/>
  <c r="H52" i="2"/>
  <c r="B52" i="2"/>
  <c r="H56" i="2"/>
  <c r="B56" i="2"/>
  <c r="H60" i="2"/>
  <c r="B60" i="2"/>
  <c r="H64" i="2"/>
  <c r="B64" i="2"/>
  <c r="H69" i="2"/>
  <c r="B69" i="2"/>
  <c r="H73" i="2"/>
  <c r="B73" i="2"/>
  <c r="H77" i="2"/>
  <c r="B77" i="2"/>
  <c r="H81" i="2"/>
  <c r="B81" i="2"/>
  <c r="H85" i="2"/>
  <c r="B85" i="2"/>
  <c r="H89" i="2"/>
  <c r="B89" i="2"/>
  <c r="H93" i="2"/>
  <c r="B93" i="2"/>
  <c r="H97" i="2"/>
  <c r="B97" i="2"/>
  <c r="H101" i="2"/>
  <c r="B101" i="2"/>
  <c r="H105" i="2"/>
  <c r="B105" i="2"/>
  <c r="H109" i="2"/>
  <c r="B109" i="2"/>
  <c r="H113" i="2"/>
  <c r="B113" i="2"/>
  <c r="H117" i="2"/>
  <c r="B117" i="2"/>
  <c r="H121" i="2"/>
  <c r="B121" i="2"/>
  <c r="H125" i="2"/>
  <c r="B125" i="2"/>
  <c r="H129" i="2"/>
  <c r="B129" i="2"/>
  <c r="H133" i="2"/>
  <c r="B133" i="2"/>
  <c r="H137" i="2"/>
  <c r="B137" i="2"/>
  <c r="H141" i="2"/>
  <c r="B141" i="2"/>
  <c r="H145" i="2"/>
  <c r="B145" i="2"/>
  <c r="H149" i="2"/>
  <c r="B149" i="2"/>
  <c r="H153" i="2"/>
  <c r="B153" i="2"/>
  <c r="H157" i="2"/>
  <c r="B157" i="2"/>
  <c r="H161" i="2"/>
  <c r="B161" i="2"/>
  <c r="H165" i="2"/>
  <c r="B165" i="2"/>
  <c r="H169" i="2"/>
  <c r="B169" i="2"/>
  <c r="H174" i="2"/>
  <c r="B174" i="2"/>
  <c r="H182" i="2"/>
  <c r="B182" i="2"/>
  <c r="H190" i="2"/>
  <c r="B190" i="2"/>
  <c r="H195" i="2"/>
  <c r="B195" i="2"/>
  <c r="H199" i="2"/>
  <c r="B199" i="2"/>
  <c r="H203" i="2"/>
  <c r="B203" i="2"/>
  <c r="H207" i="2"/>
  <c r="B207" i="2"/>
  <c r="H211" i="2"/>
  <c r="B211" i="2"/>
  <c r="H215" i="2"/>
  <c r="B215" i="2"/>
  <c r="H219" i="2"/>
  <c r="B219" i="2"/>
  <c r="H223" i="2"/>
  <c r="B223" i="2"/>
  <c r="H227" i="2"/>
  <c r="B227" i="2"/>
  <c r="H231" i="2"/>
  <c r="B231" i="2"/>
  <c r="H235" i="2"/>
  <c r="B235" i="2"/>
  <c r="H239" i="2"/>
  <c r="B239" i="2"/>
  <c r="H243" i="2"/>
  <c r="B243" i="2"/>
  <c r="H247" i="2"/>
  <c r="B247" i="2"/>
  <c r="H251" i="2"/>
  <c r="B251" i="2"/>
  <c r="H255" i="2"/>
  <c r="B255" i="2"/>
  <c r="H259" i="2"/>
  <c r="B259" i="2"/>
  <c r="H263" i="2"/>
  <c r="B263" i="2"/>
  <c r="H267" i="2"/>
  <c r="B267" i="2"/>
  <c r="H271" i="2"/>
  <c r="B271" i="2"/>
  <c r="H275" i="2"/>
  <c r="B275" i="2"/>
  <c r="H279" i="2"/>
  <c r="B279" i="2"/>
  <c r="H283" i="2"/>
  <c r="B283" i="2"/>
  <c r="H287" i="2"/>
  <c r="B287" i="2"/>
  <c r="H291" i="2"/>
  <c r="B291" i="2"/>
  <c r="H295" i="2"/>
  <c r="B295" i="2"/>
  <c r="H299" i="2"/>
  <c r="B299" i="2"/>
  <c r="H303" i="2"/>
  <c r="B303" i="2"/>
  <c r="H307" i="2"/>
  <c r="B307" i="2"/>
  <c r="H311" i="2"/>
  <c r="B311" i="2"/>
  <c r="H315" i="2"/>
  <c r="B315" i="2"/>
  <c r="H319" i="2"/>
  <c r="B319" i="2"/>
  <c r="H323" i="2"/>
  <c r="B323" i="2"/>
  <c r="H327" i="2"/>
  <c r="B327" i="2"/>
  <c r="H331" i="2"/>
  <c r="B331" i="2"/>
  <c r="H335" i="2"/>
  <c r="B335" i="2"/>
  <c r="H339" i="2"/>
  <c r="B339" i="2"/>
  <c r="H343" i="2"/>
  <c r="B343" i="2"/>
  <c r="H347" i="2"/>
  <c r="B347" i="2"/>
  <c r="H351" i="2"/>
  <c r="B351" i="2"/>
  <c r="H355" i="2"/>
  <c r="B355" i="2"/>
  <c r="H359" i="2"/>
  <c r="B359" i="2"/>
  <c r="H363" i="2"/>
  <c r="B363" i="2"/>
  <c r="H367" i="2"/>
  <c r="B367" i="2"/>
  <c r="H371" i="2"/>
  <c r="B371" i="2"/>
  <c r="H375" i="2"/>
  <c r="B375" i="2"/>
  <c r="H379" i="2"/>
  <c r="B379" i="2"/>
  <c r="H383" i="2"/>
  <c r="B383" i="2"/>
  <c r="H387" i="2"/>
  <c r="B387" i="2"/>
  <c r="H391" i="2"/>
  <c r="B391" i="2"/>
  <c r="H395" i="2"/>
  <c r="B395" i="2"/>
  <c r="H399" i="2"/>
  <c r="B399" i="2"/>
  <c r="H403" i="2"/>
  <c r="B403" i="2"/>
  <c r="H407" i="2"/>
  <c r="B407" i="2"/>
  <c r="H411" i="2"/>
  <c r="B411" i="2"/>
  <c r="H415" i="2"/>
  <c r="B415" i="2"/>
  <c r="H419" i="2"/>
  <c r="B419" i="2"/>
  <c r="H423" i="2"/>
  <c r="B423" i="2"/>
  <c r="H427" i="2"/>
  <c r="B427" i="2"/>
  <c r="H431" i="2"/>
  <c r="B431" i="2"/>
  <c r="H435" i="2"/>
  <c r="B435" i="2"/>
  <c r="H439" i="2"/>
  <c r="B439" i="2"/>
  <c r="H443" i="2"/>
  <c r="B443" i="2"/>
  <c r="H447" i="2"/>
  <c r="B447" i="2"/>
  <c r="H451" i="2"/>
  <c r="B451" i="2"/>
  <c r="H455" i="2"/>
  <c r="B455" i="2"/>
  <c r="H459" i="2"/>
  <c r="B459" i="2"/>
  <c r="H463" i="2"/>
  <c r="B463" i="2"/>
  <c r="H467" i="2"/>
  <c r="B467" i="2"/>
  <c r="H471" i="2"/>
  <c r="B471" i="2"/>
  <c r="H475" i="2"/>
  <c r="B475" i="2"/>
  <c r="H479" i="2"/>
  <c r="B479" i="2"/>
  <c r="H1167" i="2"/>
  <c r="B1167" i="2"/>
  <c r="H1175" i="2"/>
  <c r="B1175" i="2"/>
  <c r="H1183" i="2"/>
  <c r="B1183" i="2"/>
  <c r="H1191" i="2"/>
  <c r="B1191" i="2"/>
  <c r="H1242" i="2"/>
  <c r="B1242" i="2"/>
  <c r="H1246" i="2"/>
  <c r="B1246" i="2"/>
  <c r="H1250" i="2"/>
  <c r="B1250" i="2"/>
  <c r="H1254" i="2"/>
  <c r="B1254" i="2"/>
  <c r="H1260" i="2"/>
  <c r="B1260" i="2"/>
  <c r="H1290" i="2"/>
  <c r="B1290" i="2"/>
  <c r="H1294" i="2"/>
  <c r="B1294" i="2"/>
  <c r="H1298" i="2"/>
  <c r="B1298" i="2"/>
  <c r="H1302" i="2"/>
  <c r="B1302" i="2"/>
  <c r="H1306" i="2"/>
  <c r="B1306" i="2"/>
  <c r="H1310" i="2"/>
  <c r="B1310" i="2"/>
  <c r="H1314" i="2"/>
  <c r="B1314" i="2"/>
  <c r="H1318" i="2"/>
  <c r="B1318" i="2"/>
  <c r="H1324" i="2"/>
  <c r="B1324" i="2"/>
  <c r="H1360" i="2"/>
  <c r="B1360" i="2"/>
  <c r="H1368" i="2"/>
  <c r="B1368" i="2"/>
  <c r="H1376" i="2"/>
  <c r="B1376" i="2"/>
  <c r="H1384" i="2"/>
  <c r="B1384" i="2"/>
  <c r="H1388" i="2"/>
  <c r="B1388" i="2"/>
  <c r="H1392" i="2"/>
  <c r="B1392" i="2"/>
  <c r="H1396" i="2"/>
  <c r="B1396" i="2"/>
  <c r="H1400" i="2"/>
  <c r="B1400" i="2"/>
  <c r="H1404" i="2"/>
  <c r="B1404" i="2"/>
  <c r="H1408" i="2"/>
  <c r="B1408" i="2"/>
  <c r="H1412" i="2"/>
  <c r="B1412" i="2"/>
  <c r="H1416" i="2"/>
  <c r="B1416" i="2"/>
  <c r="H1420" i="2"/>
  <c r="B1420" i="2"/>
  <c r="H1424" i="2"/>
  <c r="B1424" i="2"/>
  <c r="H1428" i="2"/>
  <c r="B1428" i="2"/>
  <c r="H1432" i="2"/>
  <c r="B1432" i="2"/>
  <c r="H1436" i="2"/>
  <c r="B1436" i="2"/>
  <c r="H1440" i="2"/>
  <c r="B1440" i="2"/>
  <c r="H1444" i="2"/>
  <c r="B1444" i="2"/>
  <c r="H1452" i="2"/>
  <c r="B1452" i="2"/>
  <c r="H1456" i="2"/>
  <c r="B1456" i="2"/>
  <c r="H1460" i="2"/>
  <c r="B1460" i="2"/>
  <c r="H1464" i="2"/>
  <c r="B1464" i="2"/>
  <c r="H1468" i="2"/>
  <c r="B1468" i="2"/>
  <c r="H1472" i="2"/>
  <c r="B1472" i="2"/>
  <c r="H1490" i="2"/>
  <c r="B1490" i="2"/>
  <c r="H1498" i="2"/>
  <c r="B1498" i="2"/>
  <c r="H1506" i="2"/>
  <c r="B1506" i="2"/>
  <c r="H1514" i="2"/>
  <c r="B1514" i="2"/>
  <c r="H1522" i="2"/>
  <c r="B1522" i="2"/>
  <c r="H1526" i="2"/>
  <c r="B1526" i="2"/>
  <c r="H1530" i="2"/>
  <c r="B1530" i="2"/>
  <c r="H1534" i="2"/>
  <c r="B1534" i="2"/>
  <c r="H1538" i="2"/>
  <c r="B1538" i="2"/>
  <c r="H1542" i="2"/>
  <c r="B1542" i="2"/>
  <c r="H1546" i="2"/>
  <c r="B1546" i="2"/>
  <c r="H1550" i="2"/>
  <c r="B1550" i="2"/>
  <c r="H1554" i="2"/>
  <c r="B1554" i="2"/>
  <c r="H1558" i="2"/>
  <c r="B1558" i="2"/>
  <c r="H1580" i="2"/>
  <c r="B1580" i="2"/>
  <c r="H1584" i="2"/>
  <c r="B1584" i="2"/>
  <c r="H1592" i="2"/>
  <c r="B1592" i="2"/>
  <c r="H1600" i="2"/>
  <c r="B1600" i="2"/>
  <c r="H1604" i="2"/>
  <c r="B1604" i="2"/>
  <c r="H1612" i="2"/>
  <c r="B1612" i="2"/>
  <c r="H1616" i="2"/>
  <c r="B1616" i="2"/>
  <c r="H1620" i="2"/>
  <c r="B1620" i="2"/>
  <c r="H1628" i="2"/>
  <c r="B1628" i="2"/>
  <c r="H1632" i="2"/>
  <c r="B1632" i="2"/>
  <c r="H1636" i="2"/>
  <c r="B1636" i="2"/>
  <c r="H1644" i="2"/>
  <c r="B1644" i="2"/>
  <c r="H2043" i="2"/>
  <c r="B2043" i="2"/>
  <c r="H2055" i="2"/>
  <c r="B2055" i="2"/>
  <c r="H2063" i="2"/>
  <c r="B2063" i="2"/>
  <c r="H2067" i="2"/>
  <c r="B2067" i="2"/>
  <c r="H2071" i="2"/>
  <c r="B2071" i="2"/>
  <c r="H2079" i="2"/>
  <c r="B2079" i="2"/>
  <c r="H2087" i="2"/>
  <c r="B2087" i="2"/>
  <c r="H2095" i="2"/>
  <c r="B2095" i="2"/>
  <c r="H2108" i="2"/>
  <c r="B2108" i="2"/>
  <c r="H2112" i="2"/>
  <c r="B2112" i="2"/>
  <c r="H2120" i="2"/>
  <c r="B2120" i="2"/>
  <c r="H2125" i="2"/>
  <c r="B2125" i="2"/>
  <c r="H2175" i="2"/>
  <c r="B2175" i="2"/>
  <c r="H2183" i="2"/>
  <c r="B2183" i="2"/>
  <c r="H2188" i="2"/>
  <c r="B2188" i="2"/>
  <c r="H2192" i="2"/>
  <c r="B2192" i="2"/>
  <c r="H2255" i="2"/>
  <c r="B2255" i="2"/>
  <c r="H2260" i="2"/>
  <c r="B2260" i="2"/>
  <c r="H2264" i="2"/>
  <c r="B2264" i="2"/>
  <c r="H2268" i="2"/>
  <c r="B2268" i="2"/>
  <c r="H2311" i="2"/>
  <c r="B2311" i="2"/>
  <c r="H2315" i="2"/>
  <c r="B2315" i="2"/>
  <c r="H2319" i="2"/>
  <c r="B2319" i="2"/>
  <c r="H2323" i="2"/>
  <c r="B2323" i="2"/>
  <c r="H2327" i="2"/>
  <c r="B2327" i="2"/>
  <c r="H2331" i="2"/>
  <c r="B2331" i="2"/>
  <c r="H2335" i="2"/>
  <c r="B2335" i="2"/>
  <c r="H2352" i="2"/>
  <c r="B2352" i="2"/>
  <c r="H2360" i="2"/>
  <c r="B2360" i="2"/>
  <c r="H2364" i="2"/>
  <c r="B2364" i="2"/>
  <c r="H2376" i="2"/>
  <c r="B2376" i="2"/>
  <c r="H2380" i="2"/>
  <c r="B2380" i="2"/>
  <c r="H2440" i="2"/>
  <c r="B2440" i="2"/>
  <c r="H2444" i="2"/>
  <c r="B2444" i="2"/>
  <c r="H2448" i="2"/>
  <c r="B2448" i="2"/>
  <c r="H2603" i="2"/>
  <c r="B2603" i="2"/>
  <c r="H2615" i="2"/>
  <c r="B2615" i="2"/>
  <c r="H2627" i="2"/>
  <c r="B2627" i="2"/>
  <c r="H2635" i="2"/>
  <c r="B2635" i="2"/>
  <c r="H2647" i="2"/>
  <c r="B2647" i="2"/>
  <c r="H2655" i="2"/>
  <c r="B2655" i="2"/>
  <c r="H2671" i="2"/>
  <c r="B2671" i="2"/>
  <c r="H2695" i="2"/>
  <c r="B2695" i="2"/>
  <c r="H2699" i="2"/>
  <c r="B2699" i="2"/>
  <c r="H2703" i="2"/>
  <c r="B2703" i="2"/>
  <c r="H2707" i="2"/>
  <c r="B2707" i="2"/>
  <c r="H2711" i="2"/>
  <c r="B2711" i="2"/>
  <c r="H2715" i="2"/>
  <c r="B2715" i="2"/>
  <c r="H2719" i="2"/>
  <c r="B2719" i="2"/>
  <c r="H2723" i="2"/>
  <c r="B2723" i="2"/>
  <c r="H2731" i="2"/>
  <c r="B2731" i="2"/>
  <c r="H2739" i="2"/>
  <c r="B2739" i="2"/>
  <c r="H2747" i="2"/>
  <c r="B2747" i="2"/>
  <c r="H2751" i="2"/>
  <c r="B2751" i="2"/>
  <c r="H2755" i="2"/>
  <c r="B2755" i="2"/>
  <c r="H2763" i="2"/>
  <c r="B2763" i="2"/>
  <c r="H2767" i="2"/>
  <c r="B2767" i="2"/>
  <c r="H2771" i="2"/>
  <c r="B2771" i="2"/>
  <c r="H2779" i="2"/>
  <c r="B2779" i="2"/>
  <c r="H2783" i="2"/>
  <c r="B2783" i="2"/>
  <c r="H2787" i="2"/>
  <c r="B2787" i="2"/>
  <c r="H2795" i="2"/>
  <c r="B2795" i="2"/>
  <c r="H2803" i="2"/>
  <c r="B2803" i="2"/>
  <c r="H2811" i="2"/>
  <c r="B2811" i="2"/>
  <c r="H2819" i="2"/>
  <c r="B2819" i="2"/>
  <c r="H2827" i="2"/>
  <c r="B2827" i="2"/>
  <c r="H2835" i="2"/>
  <c r="B2835" i="2"/>
  <c r="H2843" i="2"/>
  <c r="B2843" i="2"/>
  <c r="H2851" i="2"/>
  <c r="B2851" i="2"/>
  <c r="H2859" i="2"/>
  <c r="B2859" i="2"/>
  <c r="H2867" i="2"/>
  <c r="B2867" i="2"/>
  <c r="H2875" i="2"/>
  <c r="B2875" i="2"/>
  <c r="H2883" i="2"/>
  <c r="B2883" i="2"/>
  <c r="H2891" i="2"/>
  <c r="B2891" i="2"/>
  <c r="H2895" i="2"/>
  <c r="B2895" i="2"/>
  <c r="H2899" i="2"/>
  <c r="B2899" i="2"/>
  <c r="H2907" i="2"/>
  <c r="B2907" i="2"/>
  <c r="H2911" i="2"/>
  <c r="B2911" i="2"/>
  <c r="H2915" i="2"/>
  <c r="B2915" i="2"/>
  <c r="H2923" i="2"/>
  <c r="B2923" i="2"/>
  <c r="H2936" i="2"/>
  <c r="B2936" i="2"/>
  <c r="H2940" i="2"/>
  <c r="B2940" i="2"/>
  <c r="H2944" i="2"/>
  <c r="B2944" i="2"/>
  <c r="H2948" i="2"/>
  <c r="B2948" i="2"/>
  <c r="H2952" i="2"/>
  <c r="B2952" i="2"/>
  <c r="H2956" i="2"/>
  <c r="B2956" i="2"/>
  <c r="H2960" i="2"/>
  <c r="B2960" i="2"/>
  <c r="H2964" i="2"/>
  <c r="B2964" i="2"/>
  <c r="H2968" i="2"/>
  <c r="B2968" i="2"/>
  <c r="H2972" i="2"/>
  <c r="B2972" i="2"/>
  <c r="H2976" i="2"/>
  <c r="B2976" i="2"/>
  <c r="H2980" i="2"/>
  <c r="B2980" i="2"/>
  <c r="H2984" i="2"/>
  <c r="B2984" i="2"/>
  <c r="H2988" i="2"/>
  <c r="B2988" i="2"/>
  <c r="H2992" i="2"/>
  <c r="B2992" i="2"/>
  <c r="H2996" i="2"/>
  <c r="B2996" i="2"/>
  <c r="H3000" i="2"/>
  <c r="B3000" i="2"/>
  <c r="H3004" i="2"/>
  <c r="B3004" i="2"/>
  <c r="H3008" i="2"/>
  <c r="B3008" i="2"/>
  <c r="H3012" i="2"/>
  <c r="B3012" i="2"/>
  <c r="H3016" i="2"/>
  <c r="B3016" i="2"/>
  <c r="H3020" i="2"/>
  <c r="B3020" i="2"/>
  <c r="H3024" i="2"/>
  <c r="B3024" i="2"/>
  <c r="H3028" i="2"/>
  <c r="B3028" i="2"/>
  <c r="H3032" i="2"/>
  <c r="B3032" i="2"/>
  <c r="H3036" i="2"/>
  <c r="B3036" i="2"/>
  <c r="H3040" i="2"/>
  <c r="B3040" i="2"/>
  <c r="H3044" i="2"/>
  <c r="B3044" i="2"/>
  <c r="H3048" i="2"/>
  <c r="B3048" i="2"/>
  <c r="H3052" i="2"/>
  <c r="B3052" i="2"/>
  <c r="H3056" i="2"/>
  <c r="B3056" i="2"/>
  <c r="H3060" i="2"/>
  <c r="B3060" i="2"/>
  <c r="H3064" i="2"/>
  <c r="B3064" i="2"/>
  <c r="H3068" i="2"/>
  <c r="B3068" i="2"/>
  <c r="H3072" i="2"/>
  <c r="B3072" i="2"/>
  <c r="H3076" i="2"/>
  <c r="B3076" i="2"/>
  <c r="H3080" i="2"/>
  <c r="B3080" i="2"/>
  <c r="H3084" i="2"/>
  <c r="B3084" i="2"/>
  <c r="H3088" i="2"/>
  <c r="B3088" i="2"/>
  <c r="H3092" i="2"/>
  <c r="B3092" i="2"/>
  <c r="H3096" i="2"/>
  <c r="B3096" i="2"/>
  <c r="H3100" i="2"/>
  <c r="B3100" i="2"/>
  <c r="H3104" i="2"/>
  <c r="B3104" i="2"/>
  <c r="H3108" i="2"/>
  <c r="B3108" i="2"/>
  <c r="H3112" i="2"/>
  <c r="B3112" i="2"/>
  <c r="H3116" i="2"/>
  <c r="B3116" i="2"/>
  <c r="H3120" i="2"/>
  <c r="B3120" i="2"/>
  <c r="H3124" i="2"/>
  <c r="B3124" i="2"/>
  <c r="H3128" i="2"/>
  <c r="B3128" i="2"/>
  <c r="H3132" i="2"/>
  <c r="B3132" i="2"/>
  <c r="H3136" i="2"/>
  <c r="B3136" i="2"/>
  <c r="H3140" i="2"/>
  <c r="B3140" i="2"/>
  <c r="H3144" i="2"/>
  <c r="B3144" i="2"/>
  <c r="H3148" i="2"/>
  <c r="B3148" i="2"/>
  <c r="H3152" i="2"/>
  <c r="B3152" i="2"/>
  <c r="H3156" i="2"/>
  <c r="B3156" i="2"/>
  <c r="H3160" i="2"/>
  <c r="B3160" i="2"/>
  <c r="H3164" i="2"/>
  <c r="B3164" i="2"/>
  <c r="H3168" i="2"/>
  <c r="B3168" i="2"/>
  <c r="H3172" i="2"/>
  <c r="B3172" i="2"/>
  <c r="H3176" i="2"/>
  <c r="B3176" i="2"/>
  <c r="H3180" i="2"/>
  <c r="B3180" i="2"/>
  <c r="H3184" i="2"/>
  <c r="B3184" i="2"/>
  <c r="H3188" i="2"/>
  <c r="B3188" i="2"/>
  <c r="H3192" i="2"/>
  <c r="B3192" i="2"/>
  <c r="H3196" i="2"/>
  <c r="B3196" i="2"/>
  <c r="H3200" i="2"/>
  <c r="B3200" i="2"/>
  <c r="H3204" i="2"/>
  <c r="B3204" i="2"/>
  <c r="H3208" i="2"/>
  <c r="B3208" i="2"/>
  <c r="H3212" i="2"/>
  <c r="B3212" i="2"/>
  <c r="H3216" i="2"/>
  <c r="B3216" i="2"/>
  <c r="H3220" i="2"/>
  <c r="B3220" i="2"/>
  <c r="H3224" i="2"/>
  <c r="B3224" i="2"/>
  <c r="H3228" i="2"/>
  <c r="B3228" i="2"/>
  <c r="H3232" i="2"/>
  <c r="B3232" i="2"/>
  <c r="H3236" i="2"/>
  <c r="B3236" i="2"/>
  <c r="H3240" i="2"/>
  <c r="B3240" i="2"/>
  <c r="H3244" i="2"/>
  <c r="B3244" i="2"/>
  <c r="H3819" i="2"/>
  <c r="B3819" i="2"/>
  <c r="H3823" i="2"/>
  <c r="B3823" i="2"/>
  <c r="H3835" i="2"/>
  <c r="B3835" i="2"/>
  <c r="H3839" i="2"/>
  <c r="B3839" i="2"/>
  <c r="H3851" i="2"/>
  <c r="B3851" i="2"/>
  <c r="H3855" i="2"/>
  <c r="B3855" i="2"/>
  <c r="H3867" i="2"/>
  <c r="B3867" i="2"/>
  <c r="H3871" i="2"/>
  <c r="B3871" i="2"/>
  <c r="H3883" i="2"/>
  <c r="B3883" i="2"/>
  <c r="H3887" i="2"/>
  <c r="B3887" i="2"/>
  <c r="H3899" i="2"/>
  <c r="B3899" i="2"/>
  <c r="H3903" i="2"/>
  <c r="B3903" i="2"/>
  <c r="H3915" i="2"/>
  <c r="B3915" i="2"/>
  <c r="H3919" i="2"/>
  <c r="B3919" i="2"/>
  <c r="H3931" i="2"/>
  <c r="B3931" i="2"/>
  <c r="H3935" i="2"/>
  <c r="B3935" i="2"/>
  <c r="H3947" i="2"/>
  <c r="B3947" i="2"/>
  <c r="H3951" i="2"/>
  <c r="B3951" i="2"/>
  <c r="H3963" i="2"/>
  <c r="B3963" i="2"/>
  <c r="H3967" i="2"/>
  <c r="B3967" i="2"/>
  <c r="H3979" i="2"/>
  <c r="B3979" i="2"/>
  <c r="H3983" i="2"/>
  <c r="B3983" i="2"/>
  <c r="H3987" i="2"/>
  <c r="B3987" i="2"/>
  <c r="H4327" i="2"/>
  <c r="B4327" i="2"/>
  <c r="H4331" i="2"/>
  <c r="B4331" i="2"/>
  <c r="H4335" i="2"/>
  <c r="B4335" i="2"/>
  <c r="H4339" i="2"/>
  <c r="B4339" i="2"/>
  <c r="H4343" i="2"/>
  <c r="B4343" i="2"/>
  <c r="H4347" i="2"/>
  <c r="B4347" i="2"/>
  <c r="H4351" i="2"/>
  <c r="B4351" i="2"/>
  <c r="H4355" i="2"/>
  <c r="B4355" i="2"/>
  <c r="H4359" i="2"/>
  <c r="B4359" i="2"/>
  <c r="H4363" i="2"/>
  <c r="B4363" i="2"/>
  <c r="H4367" i="2"/>
  <c r="B4367" i="2"/>
  <c r="H4371" i="2"/>
  <c r="B4371" i="2"/>
  <c r="H4375" i="2"/>
  <c r="B4375" i="2"/>
  <c r="H4379" i="2"/>
  <c r="B4379" i="2"/>
  <c r="H4383" i="2"/>
  <c r="B4383" i="2"/>
  <c r="H4387" i="2"/>
  <c r="B4387" i="2"/>
  <c r="H4391" i="2"/>
  <c r="B4391" i="2"/>
  <c r="H4395" i="2"/>
  <c r="B4395" i="2"/>
  <c r="H4399" i="2"/>
  <c r="B4399" i="2"/>
  <c r="H4403" i="2"/>
  <c r="B4403" i="2"/>
  <c r="H4407" i="2"/>
  <c r="B4407" i="2"/>
  <c r="H4411" i="2"/>
  <c r="B4411" i="2"/>
  <c r="H4415" i="2"/>
  <c r="B4415" i="2"/>
  <c r="H4419" i="2"/>
  <c r="B4419" i="2"/>
  <c r="H4423" i="2"/>
  <c r="B4423" i="2"/>
  <c r="H4427" i="2"/>
  <c r="B4427" i="2"/>
  <c r="H4431" i="2"/>
  <c r="B4431" i="2"/>
  <c r="H4435" i="2"/>
  <c r="B4435" i="2"/>
  <c r="H4439" i="2"/>
  <c r="B4439" i="2"/>
  <c r="H4443" i="2"/>
  <c r="B4443" i="2"/>
  <c r="H4447" i="2"/>
  <c r="B4447" i="2"/>
  <c r="H4507" i="2"/>
  <c r="B4507" i="2"/>
  <c r="H4511" i="2"/>
  <c r="B4511" i="2"/>
  <c r="H4515" i="2"/>
  <c r="B4515" i="2"/>
  <c r="H4523" i="2"/>
  <c r="B4523" i="2"/>
  <c r="H4903" i="2"/>
  <c r="B4903" i="2"/>
  <c r="H4907" i="2"/>
  <c r="B4907" i="2"/>
  <c r="H4911" i="2"/>
  <c r="B4911" i="2"/>
  <c r="H4915" i="2"/>
  <c r="B4915" i="2"/>
  <c r="H4919" i="2"/>
  <c r="B4919" i="2"/>
  <c r="H4923" i="2"/>
  <c r="B4923" i="2"/>
  <c r="H4927" i="2"/>
  <c r="B4927" i="2"/>
  <c r="H4931" i="2"/>
  <c r="B4931" i="2"/>
  <c r="H4935" i="2"/>
  <c r="B4935" i="2"/>
  <c r="H4939" i="2"/>
  <c r="B4939" i="2"/>
  <c r="H4943" i="2"/>
  <c r="B4943" i="2"/>
  <c r="H4947" i="2"/>
  <c r="B4947" i="2"/>
  <c r="H4951" i="2"/>
  <c r="B4951" i="2"/>
  <c r="H4955" i="2"/>
  <c r="B4955" i="2"/>
  <c r="H4959" i="2"/>
  <c r="B4959" i="2"/>
  <c r="H5036" i="2"/>
  <c r="H5108" i="2"/>
  <c r="B5108" i="2"/>
  <c r="H5200" i="2"/>
  <c r="B5200" i="2"/>
  <c r="H5204" i="2"/>
  <c r="B5204" i="2"/>
  <c r="H5208" i="2"/>
  <c r="B5208" i="2"/>
  <c r="H5216" i="2"/>
  <c r="B5216" i="2"/>
  <c r="H5224" i="2"/>
  <c r="B5224" i="2"/>
  <c r="H5232" i="2"/>
  <c r="B5232" i="2"/>
  <c r="H5240" i="2"/>
  <c r="B5240" i="2"/>
  <c r="H5328" i="2"/>
  <c r="B5328" i="2"/>
  <c r="H5332" i="2"/>
  <c r="B5332" i="2"/>
  <c r="H5364" i="2"/>
  <c r="B5364" i="2"/>
  <c r="H5372" i="2"/>
  <c r="B5372" i="2"/>
  <c r="H5380" i="2"/>
  <c r="B5380" i="2"/>
  <c r="H5388" i="2"/>
  <c r="H5396" i="2"/>
  <c r="B5396" i="2"/>
  <c r="H5404" i="2"/>
  <c r="B5404" i="2"/>
  <c r="H5412" i="2"/>
  <c r="B5412" i="2"/>
  <c r="H5420" i="2"/>
  <c r="B5420" i="2"/>
  <c r="H5428" i="2"/>
  <c r="B5428" i="2"/>
  <c r="H5436" i="2"/>
  <c r="B5436" i="2"/>
  <c r="H5444" i="2"/>
  <c r="B5444" i="2"/>
  <c r="H5452" i="2"/>
  <c r="B5452" i="2"/>
  <c r="H5456" i="2"/>
  <c r="B5456" i="2"/>
  <c r="H5460" i="2"/>
  <c r="B5460" i="2"/>
  <c r="H5464" i="2"/>
  <c r="B5464" i="2"/>
  <c r="H5468" i="2"/>
  <c r="B5468" i="2"/>
  <c r="H5472" i="2"/>
  <c r="B5472" i="2"/>
  <c r="H5476" i="2"/>
  <c r="B5476" i="2"/>
  <c r="H5480" i="2"/>
  <c r="B5480" i="2"/>
  <c r="H5484" i="2"/>
  <c r="B5484" i="2"/>
  <c r="H5488" i="2"/>
  <c r="B5488" i="2"/>
  <c r="H5492" i="2"/>
  <c r="B5492" i="2"/>
  <c r="H5496" i="2"/>
  <c r="B5496" i="2"/>
  <c r="H5500" i="2"/>
  <c r="B5500" i="2"/>
  <c r="H5504" i="2"/>
  <c r="B5504" i="2"/>
  <c r="H5508" i="2"/>
  <c r="B5508" i="2"/>
  <c r="H5512" i="2"/>
  <c r="B5512" i="2"/>
  <c r="H5516" i="2"/>
  <c r="B5516" i="2"/>
  <c r="H5520" i="2"/>
  <c r="B5520" i="2"/>
  <c r="H5524" i="2"/>
  <c r="B5524" i="2"/>
  <c r="H5528" i="2"/>
  <c r="B5528" i="2"/>
  <c r="H5532" i="2"/>
  <c r="B5532" i="2"/>
  <c r="H5536" i="2"/>
  <c r="B5536" i="2"/>
  <c r="H47" i="2"/>
  <c r="B47" i="2"/>
  <c r="H59" i="2"/>
  <c r="B59" i="2"/>
  <c r="H80" i="2"/>
  <c r="B80" i="2"/>
  <c r="H92" i="2"/>
  <c r="B92" i="2"/>
  <c r="H104" i="2"/>
  <c r="B104" i="2"/>
  <c r="H116" i="2"/>
  <c r="B116" i="2"/>
  <c r="H128" i="2"/>
  <c r="B128" i="2"/>
  <c r="H140" i="2"/>
  <c r="B140" i="2"/>
  <c r="H152" i="2"/>
  <c r="B152" i="2"/>
  <c r="H164" i="2"/>
  <c r="B164" i="2"/>
  <c r="H173" i="2"/>
  <c r="B173" i="2"/>
  <c r="H185" i="2"/>
  <c r="B185" i="2"/>
  <c r="H198" i="2"/>
  <c r="B198" i="2"/>
  <c r="H222" i="2"/>
  <c r="B222" i="2"/>
  <c r="H254" i="2"/>
  <c r="B254" i="2"/>
  <c r="H350" i="2"/>
  <c r="B350" i="2"/>
  <c r="H374" i="2"/>
  <c r="B374" i="2"/>
  <c r="H382" i="2"/>
  <c r="B382" i="2"/>
  <c r="H390" i="2"/>
  <c r="B390" i="2"/>
  <c r="H402" i="2"/>
  <c r="B402" i="2"/>
  <c r="H422" i="2"/>
  <c r="B422" i="2"/>
  <c r="H430" i="2"/>
  <c r="B430" i="2"/>
  <c r="H438" i="2"/>
  <c r="B438" i="2"/>
  <c r="H446" i="2"/>
  <c r="B446" i="2"/>
  <c r="H458" i="2"/>
  <c r="B458" i="2"/>
  <c r="H466" i="2"/>
  <c r="B466" i="2"/>
  <c r="H478" i="2"/>
  <c r="B478" i="2"/>
  <c r="H486" i="2"/>
  <c r="B486" i="2"/>
  <c r="H494" i="2"/>
  <c r="B494" i="2"/>
  <c r="H502" i="2"/>
  <c r="B502" i="2"/>
  <c r="H510" i="2"/>
  <c r="B510" i="2"/>
  <c r="H518" i="2"/>
  <c r="B518" i="2"/>
  <c r="H526" i="2"/>
  <c r="B526" i="2"/>
  <c r="H534" i="2"/>
  <c r="B534" i="2"/>
  <c r="H542" i="2"/>
  <c r="B542" i="2"/>
  <c r="H550" i="2"/>
  <c r="B550" i="2"/>
  <c r="H558" i="2"/>
  <c r="B558" i="2"/>
  <c r="H566" i="2"/>
  <c r="B566" i="2"/>
  <c r="H574" i="2"/>
  <c r="B574" i="2"/>
  <c r="H582" i="2"/>
  <c r="B582" i="2"/>
  <c r="H590" i="2"/>
  <c r="B590" i="2"/>
  <c r="H598" i="2"/>
  <c r="B598" i="2"/>
  <c r="H602" i="2"/>
  <c r="B602" i="2"/>
  <c r="H606" i="2"/>
  <c r="B606" i="2"/>
  <c r="H610" i="2"/>
  <c r="B610" i="2"/>
  <c r="H614" i="2"/>
  <c r="B614" i="2"/>
  <c r="H618" i="2"/>
  <c r="B618" i="2"/>
  <c r="H622" i="2"/>
  <c r="B622" i="2"/>
  <c r="H806" i="2"/>
  <c r="B806" i="2"/>
  <c r="H810" i="2"/>
  <c r="B810" i="2"/>
  <c r="H814" i="2"/>
  <c r="B814" i="2"/>
  <c r="H818" i="2"/>
  <c r="B818" i="2"/>
  <c r="H822" i="2"/>
  <c r="B822" i="2"/>
  <c r="H826" i="2"/>
  <c r="B826" i="2"/>
  <c r="H830" i="2"/>
  <c r="B830" i="2"/>
  <c r="H834" i="2"/>
  <c r="B834" i="2"/>
  <c r="H838" i="2"/>
  <c r="B838" i="2"/>
  <c r="H842" i="2"/>
  <c r="B842" i="2"/>
  <c r="H846" i="2"/>
  <c r="B846" i="2"/>
  <c r="H850" i="2"/>
  <c r="B850" i="2"/>
  <c r="H854" i="2"/>
  <c r="B854" i="2"/>
  <c r="H858" i="2"/>
  <c r="B858" i="2"/>
  <c r="H862" i="2"/>
  <c r="B862" i="2"/>
  <c r="H866" i="2"/>
  <c r="B866" i="2"/>
  <c r="H870" i="2"/>
  <c r="B870" i="2"/>
  <c r="H874" i="2"/>
  <c r="B874" i="2"/>
  <c r="H878" i="2"/>
  <c r="B878" i="2"/>
  <c r="H882" i="2"/>
  <c r="B882" i="2"/>
  <c r="H886" i="2"/>
  <c r="B886" i="2"/>
  <c r="H890" i="2"/>
  <c r="B890" i="2"/>
  <c r="H894" i="2"/>
  <c r="B894" i="2"/>
  <c r="H898" i="2"/>
  <c r="B898" i="2"/>
  <c r="H902" i="2"/>
  <c r="B902" i="2"/>
  <c r="H906" i="2"/>
  <c r="B906" i="2"/>
  <c r="H910" i="2"/>
  <c r="B910" i="2"/>
  <c r="H986" i="2"/>
  <c r="B986" i="2"/>
  <c r="H990" i="2"/>
  <c r="B990" i="2"/>
  <c r="H994" i="2"/>
  <c r="B994" i="2"/>
  <c r="H998" i="2"/>
  <c r="B998" i="2"/>
  <c r="H1002" i="2"/>
  <c r="B1002" i="2"/>
  <c r="H1006" i="2"/>
  <c r="B1006" i="2"/>
  <c r="H1010" i="2"/>
  <c r="B1010" i="2"/>
  <c r="H1014" i="2"/>
  <c r="B1014" i="2"/>
  <c r="H1018" i="2"/>
  <c r="B1018" i="2"/>
  <c r="H1158" i="2"/>
  <c r="B1158" i="2"/>
  <c r="H1162" i="2"/>
  <c r="B1162" i="2"/>
  <c r="H1170" i="2"/>
  <c r="B1170" i="2"/>
  <c r="H1174" i="2"/>
  <c r="B1174" i="2"/>
  <c r="H1178" i="2"/>
  <c r="B1178" i="2"/>
  <c r="H1182" i="2"/>
  <c r="B1182" i="2"/>
  <c r="H1186" i="2"/>
  <c r="B1186" i="2"/>
  <c r="H1190" i="2"/>
  <c r="B1190" i="2"/>
  <c r="H1194" i="2"/>
  <c r="B1194" i="2"/>
  <c r="H1228" i="2"/>
  <c r="B1228" i="2"/>
  <c r="H1259" i="2"/>
  <c r="B1259" i="2"/>
  <c r="H1263" i="2"/>
  <c r="B1263" i="2"/>
  <c r="H1271" i="2"/>
  <c r="B1271" i="2"/>
  <c r="H1279" i="2"/>
  <c r="B1279" i="2"/>
  <c r="H1323" i="2"/>
  <c r="B1323" i="2"/>
  <c r="H1327" i="2"/>
  <c r="B1327" i="2"/>
  <c r="H1331" i="2"/>
  <c r="B1331" i="2"/>
  <c r="H1335" i="2"/>
  <c r="B1335" i="2"/>
  <c r="H1339" i="2"/>
  <c r="B1339" i="2"/>
  <c r="H1343" i="2"/>
  <c r="B1343" i="2"/>
  <c r="H1347" i="2"/>
  <c r="B1347" i="2"/>
  <c r="H1351" i="2"/>
  <c r="B1351" i="2"/>
  <c r="H1480" i="2"/>
  <c r="B1480" i="2"/>
  <c r="H1562" i="2"/>
  <c r="B1562" i="2"/>
  <c r="H1566" i="2"/>
  <c r="B1566" i="2"/>
  <c r="H1570" i="2"/>
  <c r="B1570" i="2"/>
  <c r="H1969" i="2"/>
  <c r="B1969" i="2"/>
  <c r="H1993" i="2"/>
  <c r="B1993" i="2"/>
  <c r="H2017" i="2"/>
  <c r="B2017" i="2"/>
  <c r="H2025" i="2"/>
  <c r="B2025" i="2"/>
  <c r="H2103" i="2"/>
  <c r="B2103" i="2"/>
  <c r="H2107" i="2"/>
  <c r="B2107" i="2"/>
  <c r="H2111" i="2"/>
  <c r="B2111" i="2"/>
  <c r="H2119" i="2"/>
  <c r="B2119" i="2"/>
  <c r="H2128" i="2"/>
  <c r="B2128" i="2"/>
  <c r="H2133" i="2"/>
  <c r="B2133" i="2"/>
  <c r="H2141" i="2"/>
  <c r="B2141" i="2"/>
  <c r="H2149" i="2"/>
  <c r="B2149" i="2"/>
  <c r="H2157" i="2"/>
  <c r="B2157" i="2"/>
  <c r="H2165" i="2"/>
  <c r="B2165" i="2"/>
  <c r="H2191" i="2"/>
  <c r="B2191" i="2"/>
  <c r="H2197" i="2"/>
  <c r="B2197" i="2"/>
  <c r="H2205" i="2"/>
  <c r="B2205" i="2"/>
  <c r="H2213" i="2"/>
  <c r="B2213" i="2"/>
  <c r="H2221" i="2"/>
  <c r="B2221" i="2"/>
  <c r="H2229" i="2"/>
  <c r="B2229" i="2"/>
  <c r="H2237" i="2"/>
  <c r="B2237" i="2"/>
  <c r="H2245" i="2"/>
  <c r="B2245" i="2"/>
  <c r="H2249" i="2"/>
  <c r="B2249" i="2"/>
  <c r="H2259" i="2"/>
  <c r="B2259" i="2"/>
  <c r="H2263" i="2"/>
  <c r="B2263" i="2"/>
  <c r="H2271" i="2"/>
  <c r="B2271" i="2"/>
  <c r="H2281" i="2"/>
  <c r="B2281" i="2"/>
  <c r="H2285" i="2"/>
  <c r="B2285" i="2"/>
  <c r="H2289" i="2"/>
  <c r="B2289" i="2"/>
  <c r="H2297" i="2"/>
  <c r="B2297" i="2"/>
  <c r="H2301" i="2"/>
  <c r="B2301" i="2"/>
  <c r="H2305" i="2"/>
  <c r="B2305" i="2"/>
  <c r="H2322" i="2"/>
  <c r="B2322" i="2"/>
  <c r="H2339" i="2"/>
  <c r="B2339" i="2"/>
  <c r="H2343" i="2"/>
  <c r="B2343" i="2"/>
  <c r="H2347" i="2"/>
  <c r="B2347" i="2"/>
  <c r="H2351" i="2"/>
  <c r="B2351" i="2"/>
  <c r="H2355" i="2"/>
  <c r="B2355" i="2"/>
  <c r="H2359" i="2"/>
  <c r="B2359" i="2"/>
  <c r="H2363" i="2"/>
  <c r="B2363" i="2"/>
  <c r="H2367" i="2"/>
  <c r="B2367" i="2"/>
  <c r="H2371" i="2"/>
  <c r="B2371" i="2"/>
  <c r="H2375" i="2"/>
  <c r="B2375" i="2"/>
  <c r="H2379" i="2"/>
  <c r="B2379" i="2"/>
  <c r="H2383" i="2"/>
  <c r="B2383" i="2"/>
  <c r="H2387" i="2"/>
  <c r="B2387" i="2"/>
  <c r="H2393" i="2"/>
  <c r="B2393" i="2"/>
  <c r="H2401" i="2"/>
  <c r="B2401" i="2"/>
  <c r="H2409" i="2"/>
  <c r="B2409" i="2"/>
  <c r="H2417" i="2"/>
  <c r="B2417" i="2"/>
  <c r="H2423" i="2"/>
  <c r="B2423" i="2"/>
  <c r="H2427" i="2"/>
  <c r="B2427" i="2"/>
  <c r="H2431" i="2"/>
  <c r="B2431" i="2"/>
  <c r="H2435" i="2"/>
  <c r="B2435" i="2"/>
  <c r="H2439" i="2"/>
  <c r="B2439" i="2"/>
  <c r="H2443" i="2"/>
  <c r="B2443" i="2"/>
  <c r="H2447" i="2"/>
  <c r="B2447" i="2"/>
  <c r="H2451" i="2"/>
  <c r="B2451" i="2"/>
  <c r="H2455" i="2"/>
  <c r="B2455" i="2"/>
  <c r="H2461" i="2"/>
  <c r="B2461" i="2"/>
  <c r="H2465" i="2"/>
  <c r="B2465" i="2"/>
  <c r="H2477" i="2"/>
  <c r="B2477" i="2"/>
  <c r="H2533" i="2"/>
  <c r="B2533" i="2"/>
  <c r="H2541" i="2"/>
  <c r="B2541" i="2"/>
  <c r="H2545" i="2"/>
  <c r="B2545" i="2"/>
  <c r="H2549" i="2"/>
  <c r="B2549" i="2"/>
  <c r="H2561" i="2"/>
  <c r="B2561" i="2"/>
  <c r="H2565" i="2"/>
  <c r="B2565" i="2"/>
  <c r="H2573" i="2"/>
  <c r="B2573" i="2"/>
  <c r="H2577" i="2"/>
  <c r="B2577" i="2"/>
  <c r="H2581" i="2"/>
  <c r="B2581" i="2"/>
  <c r="H2598" i="2"/>
  <c r="B2598" i="2"/>
  <c r="H2610" i="2"/>
  <c r="B2610" i="2"/>
  <c r="H2618" i="2"/>
  <c r="B2618" i="2"/>
  <c r="H2622" i="2"/>
  <c r="B2622" i="2"/>
  <c r="H2630" i="2"/>
  <c r="B2630" i="2"/>
  <c r="H2642" i="2"/>
  <c r="B2642" i="2"/>
  <c r="H2650" i="2"/>
  <c r="B2650" i="2"/>
  <c r="H2658" i="2"/>
  <c r="B2658" i="2"/>
  <c r="H2670" i="2"/>
  <c r="B2670" i="2"/>
  <c r="H2694" i="2"/>
  <c r="B2694" i="2"/>
  <c r="H2698" i="2"/>
  <c r="B2698" i="2"/>
  <c r="H2706" i="2"/>
  <c r="B2706" i="2"/>
  <c r="H2710" i="2"/>
  <c r="B2710" i="2"/>
  <c r="H2714" i="2"/>
  <c r="B2714" i="2"/>
  <c r="H2718" i="2"/>
  <c r="B2718" i="2"/>
  <c r="H2722" i="2"/>
  <c r="B2722" i="2"/>
  <c r="H2730" i="2"/>
  <c r="B2730" i="2"/>
  <c r="H2734" i="2"/>
  <c r="B2734" i="2"/>
  <c r="H2738" i="2"/>
  <c r="B2738" i="2"/>
  <c r="H2746" i="2"/>
  <c r="B2746" i="2"/>
  <c r="H2754" i="2"/>
  <c r="B2754" i="2"/>
  <c r="H2762" i="2"/>
  <c r="B2762" i="2"/>
  <c r="H2770" i="2"/>
  <c r="B2770" i="2"/>
  <c r="H2778" i="2"/>
  <c r="B2778" i="2"/>
  <c r="H2786" i="2"/>
  <c r="B2786" i="2"/>
  <c r="H2794" i="2"/>
  <c r="B2794" i="2"/>
  <c r="H2802" i="2"/>
  <c r="B2802" i="2"/>
  <c r="H2810" i="2"/>
  <c r="B2810" i="2"/>
  <c r="H2814" i="2"/>
  <c r="B2814" i="2"/>
  <c r="H2818" i="2"/>
  <c r="B2818" i="2"/>
  <c r="H2826" i="2"/>
  <c r="B2826" i="2"/>
  <c r="H2834" i="2"/>
  <c r="B2834" i="2"/>
  <c r="H2842" i="2"/>
  <c r="B2842" i="2"/>
  <c r="H2850" i="2"/>
  <c r="B2850" i="2"/>
  <c r="H2858" i="2"/>
  <c r="B2858" i="2"/>
  <c r="H2862" i="2"/>
  <c r="B2862" i="2"/>
  <c r="H2866" i="2"/>
  <c r="B2866" i="2"/>
  <c r="H2874" i="2"/>
  <c r="B2874" i="2"/>
  <c r="H2882" i="2"/>
  <c r="B2882" i="2"/>
  <c r="H2890" i="2"/>
  <c r="B2890" i="2"/>
  <c r="H2898" i="2"/>
  <c r="B2898" i="2"/>
  <c r="H2906" i="2"/>
  <c r="B2906" i="2"/>
  <c r="H2914" i="2"/>
  <c r="B2914" i="2"/>
  <c r="H2922" i="2"/>
  <c r="B2922" i="2"/>
  <c r="H3079" i="2"/>
  <c r="B3079" i="2"/>
  <c r="H3083" i="2"/>
  <c r="B3083" i="2"/>
  <c r="H3087" i="2"/>
  <c r="B3087" i="2"/>
  <c r="H3091" i="2"/>
  <c r="B3091" i="2"/>
  <c r="H3095" i="2"/>
  <c r="B3095" i="2"/>
  <c r="H3099" i="2"/>
  <c r="B3099" i="2"/>
  <c r="H3103" i="2"/>
  <c r="B3103" i="2"/>
  <c r="H3107" i="2"/>
  <c r="B3107" i="2"/>
  <c r="H3111" i="2"/>
  <c r="B3111" i="2"/>
  <c r="H3115" i="2"/>
  <c r="B3115" i="2"/>
  <c r="H3119" i="2"/>
  <c r="B3119" i="2"/>
  <c r="H3123" i="2"/>
  <c r="B3123" i="2"/>
  <c r="H3127" i="2"/>
  <c r="B3127" i="2"/>
  <c r="H3131" i="2"/>
  <c r="B3131" i="2"/>
  <c r="H3135" i="2"/>
  <c r="B3135" i="2"/>
  <c r="H3139" i="2"/>
  <c r="B3139" i="2"/>
  <c r="H3143" i="2"/>
  <c r="B3143" i="2"/>
  <c r="H3147" i="2"/>
  <c r="B3147" i="2"/>
  <c r="H3151" i="2"/>
  <c r="B3151" i="2"/>
  <c r="H3155" i="2"/>
  <c r="B3155" i="2"/>
  <c r="H3159" i="2"/>
  <c r="B3159" i="2"/>
  <c r="H3163" i="2"/>
  <c r="B3163" i="2"/>
  <c r="H3167" i="2"/>
  <c r="B3167" i="2"/>
  <c r="H3171" i="2"/>
  <c r="B3171" i="2"/>
  <c r="H3175" i="2"/>
  <c r="B3175" i="2"/>
  <c r="H3179" i="2"/>
  <c r="B3179" i="2"/>
  <c r="H3183" i="2"/>
  <c r="B3183" i="2"/>
  <c r="H3187" i="2"/>
  <c r="B3187" i="2"/>
  <c r="H3191" i="2"/>
  <c r="B3191" i="2"/>
  <c r="H3195" i="2"/>
  <c r="B3195" i="2"/>
  <c r="H3199" i="2"/>
  <c r="B3199" i="2"/>
  <c r="H3203" i="2"/>
  <c r="B3203" i="2"/>
  <c r="H3207" i="2"/>
  <c r="B3207" i="2"/>
  <c r="H3211" i="2"/>
  <c r="B3211" i="2"/>
  <c r="H3215" i="2"/>
  <c r="B3215" i="2"/>
  <c r="H3219" i="2"/>
  <c r="B3219" i="2"/>
  <c r="H3223" i="2"/>
  <c r="B3223" i="2"/>
  <c r="H3227" i="2"/>
  <c r="B3227" i="2"/>
  <c r="H3268" i="2"/>
  <c r="B3268" i="2"/>
  <c r="H3300" i="2"/>
  <c r="B3300" i="2"/>
  <c r="H3578" i="2"/>
  <c r="B3578" i="2"/>
  <c r="H3590" i="2"/>
  <c r="B3590" i="2"/>
  <c r="H3594" i="2"/>
  <c r="B3594" i="2"/>
  <c r="H3606" i="2"/>
  <c r="B3606" i="2"/>
  <c r="H3610" i="2"/>
  <c r="B3610" i="2"/>
  <c r="H3622" i="2"/>
  <c r="B3622" i="2"/>
  <c r="H3626" i="2"/>
  <c r="B3626" i="2"/>
  <c r="H3638" i="2"/>
  <c r="B3638" i="2"/>
  <c r="H3642" i="2"/>
  <c r="B3642" i="2"/>
  <c r="H3654" i="2"/>
  <c r="B3654" i="2"/>
  <c r="H3658" i="2"/>
  <c r="B3658" i="2"/>
  <c r="H3670" i="2"/>
  <c r="B3670" i="2"/>
  <c r="H3674" i="2"/>
  <c r="B3674" i="2"/>
  <c r="H3686" i="2"/>
  <c r="B3686" i="2"/>
  <c r="H3690" i="2"/>
  <c r="B3690" i="2"/>
  <c r="H3702" i="2"/>
  <c r="B3702" i="2"/>
  <c r="H3706" i="2"/>
  <c r="B3706" i="2"/>
  <c r="H3718" i="2"/>
  <c r="B3718" i="2"/>
  <c r="H3726" i="2"/>
  <c r="B3726" i="2"/>
  <c r="H3734" i="2"/>
  <c r="B3734" i="2"/>
  <c r="H3742" i="2"/>
  <c r="B3742" i="2"/>
  <c r="H3750" i="2"/>
  <c r="B3750" i="2"/>
  <c r="H3758" i="2"/>
  <c r="B3758" i="2"/>
  <c r="H3766" i="2"/>
  <c r="B3766" i="2"/>
  <c r="H3774" i="2"/>
  <c r="B3774" i="2"/>
  <c r="H3782" i="2"/>
  <c r="B3782" i="2"/>
  <c r="H3790" i="2"/>
  <c r="B3790" i="2"/>
  <c r="H3798" i="2"/>
  <c r="B3798" i="2"/>
  <c r="H3806" i="2"/>
  <c r="B3806" i="2"/>
  <c r="H3814" i="2"/>
  <c r="B3814" i="2"/>
  <c r="H4342" i="2"/>
  <c r="B4342" i="2"/>
  <c r="H4346" i="2"/>
  <c r="B4346" i="2"/>
  <c r="H4350" i="2"/>
  <c r="B4350" i="2"/>
  <c r="H4354" i="2"/>
  <c r="B4354" i="2"/>
  <c r="H4358" i="2"/>
  <c r="B4358" i="2"/>
  <c r="H4362" i="2"/>
  <c r="B4362" i="2"/>
  <c r="H4366" i="2"/>
  <c r="B4366" i="2"/>
  <c r="H4370" i="2"/>
  <c r="B4370" i="2"/>
  <c r="H4374" i="2"/>
  <c r="B4374" i="2"/>
  <c r="H4454" i="2"/>
  <c r="B4454" i="2"/>
  <c r="H4458" i="2"/>
  <c r="B4458" i="2"/>
  <c r="H4462" i="2"/>
  <c r="B4462" i="2"/>
  <c r="H4466" i="2"/>
  <c r="B4466" i="2"/>
  <c r="H4470" i="2"/>
  <c r="B4470" i="2"/>
  <c r="H4474" i="2"/>
  <c r="B4474" i="2"/>
  <c r="H4478" i="2"/>
  <c r="B4478" i="2"/>
  <c r="H4482" i="2"/>
  <c r="B4482" i="2"/>
  <c r="H4486" i="2"/>
  <c r="B4486" i="2"/>
  <c r="H4490" i="2"/>
  <c r="B4490" i="2"/>
  <c r="H4606" i="2"/>
  <c r="B4606" i="2"/>
  <c r="H4610" i="2"/>
  <c r="B4610" i="2"/>
  <c r="H4614" i="2"/>
  <c r="B4614" i="2"/>
  <c r="H4618" i="2"/>
  <c r="B4618" i="2"/>
  <c r="H4622" i="2"/>
  <c r="B4622" i="2"/>
  <c r="H4626" i="2"/>
  <c r="B4626" i="2"/>
  <c r="H4630" i="2"/>
  <c r="B4630" i="2"/>
  <c r="H4634" i="2"/>
  <c r="B4634" i="2"/>
  <c r="H4638" i="2"/>
  <c r="B4638" i="2"/>
  <c r="H4642" i="2"/>
  <c r="B4642" i="2"/>
  <c r="H4646" i="2"/>
  <c r="B4646" i="2"/>
  <c r="H4650" i="2"/>
  <c r="B4650" i="2"/>
  <c r="H4654" i="2"/>
  <c r="B4654" i="2"/>
  <c r="H4658" i="2"/>
  <c r="B4658" i="2"/>
  <c r="H4662" i="2"/>
  <c r="B4662" i="2"/>
  <c r="H4666" i="2"/>
  <c r="B4666" i="2"/>
  <c r="H4670" i="2"/>
  <c r="B4670" i="2"/>
  <c r="H4762" i="2"/>
  <c r="B4762" i="2"/>
  <c r="H4766" i="2"/>
  <c r="B4766" i="2"/>
  <c r="H4770" i="2"/>
  <c r="B4770" i="2"/>
  <c r="H4774" i="2"/>
  <c r="B4774" i="2"/>
  <c r="H4778" i="2"/>
  <c r="B4778" i="2"/>
  <c r="H4782" i="2"/>
  <c r="B4782" i="2"/>
  <c r="H4786" i="2"/>
  <c r="B4786" i="2"/>
  <c r="H4790" i="2"/>
  <c r="B4790" i="2"/>
  <c r="H4862" i="2"/>
  <c r="B4862" i="2"/>
  <c r="H4866" i="2"/>
  <c r="B4866" i="2"/>
  <c r="H4870" i="2"/>
  <c r="B4870" i="2"/>
  <c r="H4874" i="2"/>
  <c r="B4874" i="2"/>
  <c r="H4878" i="2"/>
  <c r="B4878" i="2"/>
  <c r="H4882" i="2"/>
  <c r="B4882" i="2"/>
  <c r="H4886" i="2"/>
  <c r="B4886" i="2"/>
  <c r="H4890" i="2"/>
  <c r="B4890" i="2"/>
  <c r="H4894" i="2"/>
  <c r="B4894" i="2"/>
  <c r="H4898" i="2"/>
  <c r="B4898" i="2"/>
  <c r="H4902" i="2"/>
  <c r="B4902" i="2"/>
  <c r="H4906" i="2"/>
  <c r="B4906" i="2"/>
  <c r="H4946" i="2"/>
  <c r="B4946" i="2"/>
  <c r="H5004" i="2"/>
  <c r="B5004" i="2"/>
  <c r="H5026" i="2"/>
  <c r="H5084" i="2"/>
  <c r="H5359" i="2"/>
  <c r="B5359" i="2"/>
  <c r="H5363" i="2"/>
  <c r="B5363" i="2"/>
  <c r="H5367" i="2"/>
  <c r="B5367" i="2"/>
  <c r="H5371" i="2"/>
  <c r="B5371" i="2"/>
  <c r="H5375" i="2"/>
  <c r="B5375" i="2"/>
  <c r="H5379" i="2"/>
  <c r="B5379" i="2"/>
  <c r="H5383" i="2"/>
  <c r="B5383" i="2"/>
  <c r="H5387" i="2"/>
  <c r="B5387" i="2"/>
  <c r="H5391" i="2"/>
  <c r="B5391" i="2"/>
  <c r="H5395" i="2"/>
  <c r="B5395" i="2"/>
  <c r="H5399" i="2"/>
  <c r="B5399" i="2"/>
  <c r="H5403" i="2"/>
  <c r="B5403" i="2"/>
  <c r="H5407" i="2"/>
  <c r="B5407" i="2"/>
  <c r="H5411" i="2"/>
  <c r="B5411" i="2"/>
  <c r="H5415" i="2"/>
  <c r="B5415" i="2"/>
  <c r="H5419" i="2"/>
  <c r="B5419" i="2"/>
  <c r="H5423" i="2"/>
  <c r="B5423" i="2"/>
  <c r="H5427" i="2"/>
  <c r="B5427" i="2"/>
  <c r="H5431" i="2"/>
  <c r="B5431" i="2"/>
  <c r="H5435" i="2"/>
  <c r="B5435" i="2"/>
  <c r="H5439" i="2"/>
  <c r="B5439" i="2"/>
  <c r="H5443" i="2"/>
  <c r="B5443" i="2"/>
  <c r="H5447" i="2"/>
  <c r="B5447" i="2"/>
  <c r="H5451" i="2"/>
  <c r="B5451" i="2"/>
  <c r="H5455" i="2"/>
  <c r="B5455" i="2"/>
  <c r="H5459" i="2"/>
  <c r="B5459" i="2"/>
  <c r="H5463" i="2"/>
  <c r="B5463" i="2"/>
  <c r="H5467" i="2"/>
  <c r="B5467" i="2"/>
  <c r="H5471" i="2"/>
  <c r="B5471" i="2"/>
  <c r="H5475" i="2"/>
  <c r="B5475" i="2"/>
  <c r="H5479" i="2"/>
  <c r="B5479" i="2"/>
  <c r="H5483" i="2"/>
  <c r="B5483" i="2"/>
  <c r="H5487" i="2"/>
  <c r="B5487" i="2"/>
  <c r="H5491" i="2"/>
  <c r="B5491" i="2"/>
  <c r="H5495" i="2"/>
  <c r="B5495" i="2"/>
  <c r="H5499" i="2"/>
  <c r="B5499" i="2"/>
  <c r="H5503" i="2"/>
  <c r="B5503" i="2"/>
  <c r="H5507" i="2"/>
  <c r="B5507" i="2"/>
  <c r="H5511" i="2"/>
  <c r="B5511" i="2"/>
  <c r="H5515" i="2"/>
  <c r="B5515" i="2"/>
  <c r="H5519" i="2"/>
  <c r="B5519" i="2"/>
  <c r="H5523" i="2"/>
  <c r="B5523" i="2"/>
  <c r="H5527" i="2"/>
  <c r="B5527" i="2"/>
  <c r="H5531" i="2"/>
  <c r="B5531" i="2"/>
  <c r="H5535" i="2"/>
  <c r="B5535" i="2"/>
  <c r="H10" i="2"/>
  <c r="H74" i="2"/>
  <c r="H138" i="2"/>
  <c r="H202" i="2"/>
  <c r="H250" i="2"/>
  <c r="H1179" i="2"/>
  <c r="H1180" i="2"/>
  <c r="H1223" i="2"/>
  <c r="H1224" i="2"/>
  <c r="H1240" i="2"/>
  <c r="H1244" i="2"/>
  <c r="H1304" i="2"/>
  <c r="H1308" i="2"/>
  <c r="H1463" i="2"/>
  <c r="H1556" i="2"/>
  <c r="H1576" i="2"/>
  <c r="H1608" i="2"/>
  <c r="H1654" i="2"/>
  <c r="H1672" i="2"/>
  <c r="H34" i="2"/>
  <c r="H98" i="2"/>
  <c r="H162" i="2"/>
  <c r="H226" i="2"/>
  <c r="H1176" i="2"/>
  <c r="H1208" i="2"/>
  <c r="H1212" i="2"/>
  <c r="H1243" i="2"/>
  <c r="H1307" i="2"/>
  <c r="H1448" i="2"/>
  <c r="H1492" i="2"/>
  <c r="H1543" i="2"/>
  <c r="H1574" i="2"/>
  <c r="H1640" i="2"/>
  <c r="H1272" i="2"/>
  <c r="H1276" i="2"/>
  <c r="H1518" i="2"/>
  <c r="H1541" i="2"/>
  <c r="H1275" i="2"/>
  <c r="H1512" i="2"/>
  <c r="H1557" i="2"/>
  <c r="H1624" i="2"/>
  <c r="H4978" i="2"/>
  <c r="H5010" i="2"/>
  <c r="H5042" i="2"/>
  <c r="H5068" i="2"/>
  <c r="H5140" i="2"/>
  <c r="H2059" i="2"/>
  <c r="H2139" i="2"/>
  <c r="H2156" i="2"/>
  <c r="H2163" i="2"/>
  <c r="H2164" i="2"/>
  <c r="H2203" i="2"/>
  <c r="H2220" i="2"/>
  <c r="H2227" i="2"/>
  <c r="H2228" i="2"/>
  <c r="H2267" i="2"/>
  <c r="H2284" i="2"/>
  <c r="H2300" i="2"/>
  <c r="H2348" i="2"/>
  <c r="H2349" i="2"/>
  <c r="H2356" i="2"/>
  <c r="H2392" i="2"/>
  <c r="H2396" i="2"/>
  <c r="H2404" i="2"/>
  <c r="H2405" i="2"/>
  <c r="H2424" i="2"/>
  <c r="H2428" i="2"/>
  <c r="H2436" i="2"/>
  <c r="H2437" i="2"/>
  <c r="H2529" i="2"/>
  <c r="H2553" i="2"/>
  <c r="H2934" i="2"/>
  <c r="H3266" i="2"/>
  <c r="H3298" i="2"/>
  <c r="H3360" i="2"/>
  <c r="H3448" i="2"/>
  <c r="H4913" i="2"/>
  <c r="H4914" i="2"/>
  <c r="H4920" i="2"/>
  <c r="H4949" i="2"/>
  <c r="H1471" i="2"/>
  <c r="H1652" i="2"/>
  <c r="H1660" i="2"/>
  <c r="H2057" i="2"/>
  <c r="H2081" i="2"/>
  <c r="H2099" i="2"/>
  <c r="H2153" i="2"/>
  <c r="H2161" i="2"/>
  <c r="H2217" i="2"/>
  <c r="H2225" i="2"/>
  <c r="H2325" i="2"/>
  <c r="H2341" i="2"/>
  <c r="H2344" i="2"/>
  <c r="H2345" i="2"/>
  <c r="H2369" i="2"/>
  <c r="H2372" i="2"/>
  <c r="H2373" i="2"/>
  <c r="H2469" i="2"/>
  <c r="H2472" i="2"/>
  <c r="H2473" i="2"/>
  <c r="H2932" i="2"/>
  <c r="H3252" i="2"/>
  <c r="H3284" i="2"/>
  <c r="H3316" i="2"/>
  <c r="H3380" i="2"/>
  <c r="H3472" i="2"/>
  <c r="H4527" i="2"/>
  <c r="H4910" i="2"/>
  <c r="H4929" i="2"/>
  <c r="H4930" i="2"/>
  <c r="H4936" i="2"/>
  <c r="H4961" i="2"/>
  <c r="H4917" i="2"/>
  <c r="H4988" i="2"/>
  <c r="H5020" i="2"/>
  <c r="H5052" i="2"/>
  <c r="H5124" i="2"/>
  <c r="H5166" i="2"/>
  <c r="H5228" i="2"/>
  <c r="H1497" i="2"/>
  <c r="H1502" i="2"/>
  <c r="H1511" i="2"/>
  <c r="H1531" i="2"/>
  <c r="H1545" i="2"/>
  <c r="H1564" i="2"/>
  <c r="H1572" i="2"/>
  <c r="H1573" i="2"/>
  <c r="H1595" i="2"/>
  <c r="H1605" i="2"/>
  <c r="H1622" i="2"/>
  <c r="H1489" i="2"/>
  <c r="H1494" i="2"/>
  <c r="H1515" i="2"/>
  <c r="H1529" i="2"/>
  <c r="H1579" i="2"/>
  <c r="H1593" i="2"/>
  <c r="H1610" i="2"/>
  <c r="H1626" i="2"/>
  <c r="H50" i="2"/>
  <c r="H82" i="2"/>
  <c r="H114" i="2"/>
  <c r="H146" i="2"/>
  <c r="H178" i="2"/>
  <c r="H210" i="2"/>
  <c r="H242" i="2"/>
  <c r="H258" i="2"/>
  <c r="H1171" i="2"/>
  <c r="H1172" i="2"/>
  <c r="H1187" i="2"/>
  <c r="H1188" i="2"/>
  <c r="H1203" i="2"/>
  <c r="H1204" i="2"/>
  <c r="H1219" i="2"/>
  <c r="H1220" i="2"/>
  <c r="H1235" i="2"/>
  <c r="H1236" i="2"/>
  <c r="H1251" i="2"/>
  <c r="H1252" i="2"/>
  <c r="H1267" i="2"/>
  <c r="H1268" i="2"/>
  <c r="H1283" i="2"/>
  <c r="H1284" i="2"/>
  <c r="H1299" i="2"/>
  <c r="H1300" i="2"/>
  <c r="H1315" i="2"/>
  <c r="H1316" i="2"/>
  <c r="H1356" i="2"/>
  <c r="H1359" i="2"/>
  <c r="H1364" i="2"/>
  <c r="H1367" i="2"/>
  <c r="H1372" i="2"/>
  <c r="H1375" i="2"/>
  <c r="H1380" i="2"/>
  <c r="H1383" i="2"/>
  <c r="H1387" i="2"/>
  <c r="H1391" i="2"/>
  <c r="H1395" i="2"/>
  <c r="H1399" i="2"/>
  <c r="H1403" i="2"/>
  <c r="H1407" i="2"/>
  <c r="H1411" i="2"/>
  <c r="H1415" i="2"/>
  <c r="H1419" i="2"/>
  <c r="H1423" i="2"/>
  <c r="H1427" i="2"/>
  <c r="H1431" i="2"/>
  <c r="H1435" i="2"/>
  <c r="H1439" i="2"/>
  <c r="H1443" i="2"/>
  <c r="H1447" i="2"/>
  <c r="H1451" i="2"/>
  <c r="H1455" i="2"/>
  <c r="H1459" i="2"/>
  <c r="H1476" i="2"/>
  <c r="H1481" i="2"/>
  <c r="H1486" i="2"/>
  <c r="H1495" i="2"/>
  <c r="H1508" i="2"/>
  <c r="H1513" i="2"/>
  <c r="H1532" i="2"/>
  <c r="H1540" i="2"/>
  <c r="H1563" i="2"/>
  <c r="H1577" i="2"/>
  <c r="H1596" i="2"/>
  <c r="H1601" i="2"/>
  <c r="H1614" i="2"/>
  <c r="H1630" i="2"/>
  <c r="H18" i="2"/>
  <c r="H26" i="2"/>
  <c r="H58" i="2"/>
  <c r="H90" i="2"/>
  <c r="H122" i="2"/>
  <c r="H154" i="2"/>
  <c r="H186" i="2"/>
  <c r="H218" i="2"/>
  <c r="H1168" i="2"/>
  <c r="H1184" i="2"/>
  <c r="H1200" i="2"/>
  <c r="H1216" i="2"/>
  <c r="H1232" i="2"/>
  <c r="H1248" i="2"/>
  <c r="H1264" i="2"/>
  <c r="H1280" i="2"/>
  <c r="H1296" i="2"/>
  <c r="H1312" i="2"/>
  <c r="H1328" i="2"/>
  <c r="H1332" i="2"/>
  <c r="H1336" i="2"/>
  <c r="H1340" i="2"/>
  <c r="H1344" i="2"/>
  <c r="H1348" i="2"/>
  <c r="H1352" i="2"/>
  <c r="H1353" i="2"/>
  <c r="H1361" i="2"/>
  <c r="H1369" i="2"/>
  <c r="H1377" i="2"/>
  <c r="H1467" i="2"/>
  <c r="H1473" i="2"/>
  <c r="H1478" i="2"/>
  <c r="H1487" i="2"/>
  <c r="H1500" i="2"/>
  <c r="H1505" i="2"/>
  <c r="H1510" i="2"/>
  <c r="H1524" i="2"/>
  <c r="H1525" i="2"/>
  <c r="H1527" i="2"/>
  <c r="H1547" i="2"/>
  <c r="H1561" i="2"/>
  <c r="H1588" i="2"/>
  <c r="H1589" i="2"/>
  <c r="H1591" i="2"/>
  <c r="H1618" i="2"/>
  <c r="H1609" i="2"/>
  <c r="H1613" i="2"/>
  <c r="H1617" i="2"/>
  <c r="H1621" i="2"/>
  <c r="H1625" i="2"/>
  <c r="H1629" i="2"/>
  <c r="H2049" i="2"/>
  <c r="H2065" i="2"/>
  <c r="H2088" i="2"/>
  <c r="H2091" i="2"/>
  <c r="H2104" i="2"/>
  <c r="H2145" i="2"/>
  <c r="H2168" i="2"/>
  <c r="H1646" i="2"/>
  <c r="H1648" i="2"/>
  <c r="H1650" i="2"/>
  <c r="H2051" i="2"/>
  <c r="H2084" i="2"/>
  <c r="H2100" i="2"/>
  <c r="H2123" i="2"/>
  <c r="H2148" i="2"/>
  <c r="H2056" i="2"/>
  <c r="H2075" i="2"/>
  <c r="H2113" i="2"/>
  <c r="H2136" i="2"/>
  <c r="H2041" i="2"/>
  <c r="H2116" i="2"/>
  <c r="H2155" i="2"/>
  <c r="H2177" i="2"/>
  <c r="H2180" i="2"/>
  <c r="H2187" i="2"/>
  <c r="H2209" i="2"/>
  <c r="H2212" i="2"/>
  <c r="H2219" i="2"/>
  <c r="H2241" i="2"/>
  <c r="H2244" i="2"/>
  <c r="H2251" i="2"/>
  <c r="H2277" i="2"/>
  <c r="H2279" i="2"/>
  <c r="H2293" i="2"/>
  <c r="H2295" i="2"/>
  <c r="H2313" i="2"/>
  <c r="H2314" i="2"/>
  <c r="H2317" i="2"/>
  <c r="H2329" i="2"/>
  <c r="H2330" i="2"/>
  <c r="H2333" i="2"/>
  <c r="H2336" i="2"/>
  <c r="H2340" i="2"/>
  <c r="H2361" i="2"/>
  <c r="H2365" i="2"/>
  <c r="H2368" i="2"/>
  <c r="H2381" i="2"/>
  <c r="H2384" i="2"/>
  <c r="H2397" i="2"/>
  <c r="H2400" i="2"/>
  <c r="H2413" i="2"/>
  <c r="H2416" i="2"/>
  <c r="H2429" i="2"/>
  <c r="H2432" i="2"/>
  <c r="H2445" i="2"/>
  <c r="H2449" i="2"/>
  <c r="H2452" i="2"/>
  <c r="H2468" i="2"/>
  <c r="H2557" i="2"/>
  <c r="H2308" i="2"/>
  <c r="H2324" i="2"/>
  <c r="H2537" i="2"/>
  <c r="H2459" i="2"/>
  <c r="H2475" i="2"/>
  <c r="H2073" i="2"/>
  <c r="H2083" i="2"/>
  <c r="H2105" i="2"/>
  <c r="H2115" i="2"/>
  <c r="H2137" i="2"/>
  <c r="H2147" i="2"/>
  <c r="H2169" i="2"/>
  <c r="H2179" i="2"/>
  <c r="H2201" i="2"/>
  <c r="H2211" i="2"/>
  <c r="H2233" i="2"/>
  <c r="H2243" i="2"/>
  <c r="H2265" i="2"/>
  <c r="H2276" i="2"/>
  <c r="H2304" i="2"/>
  <c r="H2316" i="2"/>
  <c r="H2332" i="2"/>
  <c r="H2460" i="2"/>
  <c r="H2467" i="2"/>
  <c r="H2476" i="2"/>
  <c r="H2569" i="2"/>
  <c r="H5054" i="2"/>
  <c r="H5070" i="2"/>
  <c r="H5086" i="2"/>
  <c r="H5102" i="2"/>
  <c r="H5118" i="2"/>
  <c r="H5134" i="2"/>
  <c r="H5150" i="2"/>
  <c r="H5160" i="2"/>
  <c r="H5176" i="2"/>
  <c r="H5212" i="2"/>
  <c r="H5244" i="2"/>
  <c r="H5392" i="2"/>
  <c r="H5424" i="2"/>
  <c r="H5100" i="2"/>
  <c r="H5116" i="2"/>
  <c r="H5132" i="2"/>
  <c r="H5148" i="2"/>
  <c r="H5158" i="2"/>
  <c r="H5174" i="2"/>
  <c r="H5188" i="2"/>
  <c r="H5220" i="2"/>
  <c r="H5368" i="2"/>
  <c r="H5400" i="2"/>
  <c r="H5432" i="2"/>
  <c r="H2928" i="2"/>
  <c r="H3260" i="2"/>
  <c r="H3276" i="2"/>
  <c r="H3292" i="2"/>
  <c r="H3308" i="2"/>
  <c r="H3332" i="2"/>
  <c r="H3364" i="2"/>
  <c r="H3424" i="2"/>
  <c r="H3456" i="2"/>
  <c r="H3488" i="2"/>
  <c r="H4519" i="2"/>
  <c r="H4921" i="2"/>
  <c r="H4922" i="2"/>
  <c r="H4937" i="2"/>
  <c r="H4938" i="2"/>
  <c r="H4953" i="2"/>
  <c r="H4954" i="2"/>
  <c r="H4970" i="2"/>
  <c r="H4986" i="2"/>
  <c r="H5002" i="2"/>
  <c r="H5018" i="2"/>
  <c r="H5034" i="2"/>
  <c r="H5050" i="2"/>
  <c r="H5062" i="2"/>
  <c r="H5078" i="2"/>
  <c r="H5094" i="2"/>
  <c r="H5110" i="2"/>
  <c r="H5126" i="2"/>
  <c r="H5142" i="2"/>
  <c r="H5168" i="2"/>
  <c r="H5196" i="2"/>
  <c r="H5376" i="2"/>
  <c r="H5408" i="2"/>
  <c r="H5440" i="2"/>
  <c r="H2926" i="2"/>
  <c r="H3258" i="2"/>
  <c r="H3274" i="2"/>
  <c r="H3290" i="2"/>
  <c r="H3306" i="2"/>
  <c r="H3344" i="2"/>
  <c r="H3376" i="2"/>
  <c r="H3432" i="2"/>
  <c r="H3464" i="2"/>
  <c r="H3496" i="2"/>
  <c r="H4964" i="2"/>
  <c r="H4980" i="2"/>
  <c r="H4996" i="2"/>
  <c r="H5012" i="2"/>
  <c r="H5028" i="2"/>
  <c r="H5044" i="2"/>
  <c r="H5060" i="2"/>
  <c r="H5076" i="2"/>
  <c r="H5092" i="2"/>
  <c r="H5236" i="2"/>
  <c r="H5384" i="2"/>
  <c r="H5416" i="2"/>
  <c r="H5448" i="2"/>
  <c r="H6" i="2"/>
  <c r="H22" i="2"/>
  <c r="H38" i="2"/>
  <c r="H54" i="2"/>
  <c r="H70" i="2"/>
  <c r="H86" i="2"/>
  <c r="H94" i="2"/>
  <c r="H1381" i="2"/>
  <c r="H1386" i="2"/>
  <c r="H1390" i="2"/>
  <c r="H1394" i="2"/>
  <c r="H1398" i="2"/>
  <c r="H1402" i="2"/>
  <c r="H1406" i="2"/>
  <c r="H1410" i="2"/>
  <c r="H1414" i="2"/>
  <c r="H1418" i="2"/>
  <c r="H1422" i="2"/>
  <c r="H1426" i="2"/>
  <c r="H1430" i="2"/>
  <c r="H1434" i="2"/>
  <c r="H1438" i="2"/>
  <c r="H1442" i="2"/>
  <c r="H1446" i="2"/>
  <c r="H1450" i="2"/>
  <c r="H1454" i="2"/>
  <c r="H1458" i="2"/>
  <c r="H1462" i="2"/>
  <c r="H1466" i="2"/>
  <c r="H1470" i="2"/>
  <c r="H1477" i="2"/>
  <c r="H1485" i="2"/>
  <c r="H1493" i="2"/>
  <c r="H1501" i="2"/>
  <c r="H1509" i="2"/>
  <c r="H1523" i="2"/>
  <c r="H1539" i="2"/>
  <c r="H1555" i="2"/>
  <c r="H1571" i="2"/>
  <c r="H1587" i="2"/>
  <c r="H1169" i="2"/>
  <c r="H1173" i="2"/>
  <c r="H1177" i="2"/>
  <c r="H1181" i="2"/>
  <c r="H1185" i="2"/>
  <c r="H1189" i="2"/>
  <c r="H1193" i="2"/>
  <c r="H1197" i="2"/>
  <c r="H1201" i="2"/>
  <c r="H1205" i="2"/>
  <c r="H1209" i="2"/>
  <c r="H1213" i="2"/>
  <c r="H1217" i="2"/>
  <c r="H1221" i="2"/>
  <c r="H1225" i="2"/>
  <c r="H1229" i="2"/>
  <c r="H1233" i="2"/>
  <c r="H1237" i="2"/>
  <c r="H1241" i="2"/>
  <c r="H1245" i="2"/>
  <c r="H1249" i="2"/>
  <c r="H1253" i="2"/>
  <c r="H1257" i="2"/>
  <c r="H1261" i="2"/>
  <c r="H1265" i="2"/>
  <c r="H1269" i="2"/>
  <c r="H1273" i="2"/>
  <c r="H1277" i="2"/>
  <c r="H1281" i="2"/>
  <c r="H1285" i="2"/>
  <c r="H1289" i="2"/>
  <c r="H1293" i="2"/>
  <c r="H1297" i="2"/>
  <c r="H1301" i="2"/>
  <c r="H1305" i="2"/>
  <c r="H1309" i="2"/>
  <c r="H1313" i="2"/>
  <c r="H1317" i="2"/>
  <c r="H1321" i="2"/>
  <c r="H1325" i="2"/>
  <c r="H1329" i="2"/>
  <c r="H1333" i="2"/>
  <c r="H1337" i="2"/>
  <c r="H1341" i="2"/>
  <c r="H1345" i="2"/>
  <c r="H1349" i="2"/>
  <c r="H1355" i="2"/>
  <c r="H1363" i="2"/>
  <c r="H1371" i="2"/>
  <c r="H1379" i="2"/>
  <c r="H1521" i="2"/>
  <c r="H1537" i="2"/>
  <c r="H1553" i="2"/>
  <c r="H1569" i="2"/>
  <c r="H1585" i="2"/>
  <c r="H1357" i="2"/>
  <c r="H1365" i="2"/>
  <c r="H1373" i="2"/>
  <c r="H1385" i="2"/>
  <c r="H1389" i="2"/>
  <c r="H1393" i="2"/>
  <c r="H1397" i="2"/>
  <c r="H1401" i="2"/>
  <c r="H1405" i="2"/>
  <c r="H1409" i="2"/>
  <c r="H1413" i="2"/>
  <c r="H1417" i="2"/>
  <c r="H1421" i="2"/>
  <c r="H1425" i="2"/>
  <c r="H1429" i="2"/>
  <c r="H1433" i="2"/>
  <c r="H1437" i="2"/>
  <c r="H1441" i="2"/>
  <c r="H1445" i="2"/>
  <c r="H1449" i="2"/>
  <c r="H1453" i="2"/>
  <c r="H1457" i="2"/>
  <c r="H1461" i="2"/>
  <c r="H1465" i="2"/>
  <c r="H1469" i="2"/>
  <c r="H1475" i="2"/>
  <c r="H1483" i="2"/>
  <c r="H1491" i="2"/>
  <c r="H1499" i="2"/>
  <c r="H1507" i="2"/>
  <c r="H1517" i="2"/>
  <c r="H1519" i="2"/>
  <c r="H1533" i="2"/>
  <c r="H1535" i="2"/>
  <c r="H1549" i="2"/>
  <c r="H1551" i="2"/>
  <c r="H1565" i="2"/>
  <c r="H1567" i="2"/>
  <c r="H1581" i="2"/>
  <c r="H1583" i="2"/>
  <c r="H1597" i="2"/>
  <c r="H2053" i="2"/>
  <c r="H2047" i="2"/>
  <c r="H1599" i="2"/>
  <c r="H1603" i="2"/>
  <c r="H1607" i="2"/>
  <c r="H1611" i="2"/>
  <c r="H1615" i="2"/>
  <c r="H1619" i="2"/>
  <c r="H1623" i="2"/>
  <c r="H1627" i="2"/>
  <c r="H2045" i="2"/>
  <c r="H2296" i="2"/>
  <c r="H2334" i="2"/>
  <c r="H2350" i="2"/>
  <c r="H2366" i="2"/>
  <c r="H2382" i="2"/>
  <c r="H2398" i="2"/>
  <c r="H2414" i="2"/>
  <c r="H2430" i="2"/>
  <c r="H2446" i="2"/>
  <c r="H2462" i="2"/>
  <c r="H2478" i="2"/>
  <c r="H2482" i="2"/>
  <c r="H2486" i="2"/>
  <c r="H2490" i="2"/>
  <c r="H2494" i="2"/>
  <c r="H2498" i="2"/>
  <c r="H2502" i="2"/>
  <c r="H2506" i="2"/>
  <c r="H2510" i="2"/>
  <c r="H2514" i="2"/>
  <c r="H2518" i="2"/>
  <c r="H2522" i="2"/>
  <c r="H2338" i="2"/>
  <c r="H2354" i="2"/>
  <c r="H2370" i="2"/>
  <c r="H2386" i="2"/>
  <c r="H2402" i="2"/>
  <c r="H2418" i="2"/>
  <c r="H2434" i="2"/>
  <c r="H2450" i="2"/>
  <c r="H2466" i="2"/>
  <c r="H2280" i="2"/>
  <c r="H2310" i="2"/>
  <c r="H2318" i="2"/>
  <c r="H2326" i="2"/>
  <c r="H2342" i="2"/>
  <c r="H2358" i="2"/>
  <c r="H2374" i="2"/>
  <c r="H2390" i="2"/>
  <c r="H2406" i="2"/>
  <c r="H2422" i="2"/>
  <c r="H2438" i="2"/>
  <c r="H2454" i="2"/>
  <c r="H2470" i="2"/>
  <c r="H2480" i="2"/>
  <c r="H2484" i="2"/>
  <c r="H2488" i="2"/>
  <c r="H2492" i="2"/>
  <c r="H2496" i="2"/>
  <c r="H2500" i="2"/>
  <c r="H2504" i="2"/>
  <c r="H2508" i="2"/>
  <c r="H2512" i="2"/>
  <c r="H2516" i="2"/>
  <c r="H2520" i="2"/>
  <c r="H2288" i="2"/>
  <c r="H2346" i="2"/>
  <c r="H2362" i="2"/>
  <c r="H2378" i="2"/>
  <c r="H2394" i="2"/>
  <c r="H2410" i="2"/>
  <c r="H2426" i="2"/>
  <c r="H2442" i="2"/>
  <c r="H2458" i="2"/>
  <c r="H2474" i="2"/>
  <c r="H3248" i="2"/>
  <c r="H3264" i="2"/>
  <c r="H3280" i="2"/>
  <c r="H3296" i="2"/>
  <c r="H3312" i="2"/>
  <c r="H3336" i="2"/>
  <c r="H3368" i="2"/>
  <c r="H2524" i="2"/>
  <c r="H2526" i="2"/>
  <c r="H2590" i="2"/>
  <c r="H2626" i="2"/>
  <c r="H3256" i="2"/>
  <c r="H3272" i="2"/>
  <c r="H3288" i="2"/>
  <c r="H3304" i="2"/>
  <c r="H3320" i="2"/>
  <c r="H3352" i="2"/>
  <c r="H3408" i="2"/>
  <c r="H3254" i="2"/>
  <c r="H3262" i="2"/>
  <c r="H3270" i="2"/>
  <c r="H3278" i="2"/>
  <c r="H3286" i="2"/>
  <c r="H3294" i="2"/>
  <c r="H3302" i="2"/>
  <c r="H3310" i="2"/>
  <c r="H3318" i="2"/>
  <c r="H3324" i="2"/>
  <c r="H3340" i="2"/>
  <c r="H3356" i="2"/>
  <c r="H3372" i="2"/>
  <c r="H3412" i="2"/>
  <c r="H3420" i="2"/>
  <c r="H3428" i="2"/>
  <c r="H3436" i="2"/>
  <c r="H3444" i="2"/>
  <c r="H3452" i="2"/>
  <c r="H3460" i="2"/>
  <c r="H3468" i="2"/>
  <c r="H3476" i="2"/>
  <c r="H3484" i="2"/>
  <c r="H3492" i="2"/>
  <c r="H3500" i="2"/>
  <c r="H4494" i="2"/>
  <c r="H4496" i="2"/>
  <c r="H4498" i="2"/>
  <c r="H4500" i="2"/>
  <c r="H4502" i="2"/>
  <c r="H4504" i="2"/>
  <c r="H4908" i="2"/>
  <c r="H4912" i="2"/>
  <c r="H4918" i="2"/>
  <c r="H4926" i="2"/>
  <c r="H4934" i="2"/>
  <c r="H4942" i="2"/>
  <c r="H4950" i="2"/>
  <c r="H4958" i="2"/>
  <c r="H4966" i="2"/>
  <c r="H4974" i="2"/>
  <c r="H4982" i="2"/>
  <c r="H4990" i="2"/>
  <c r="H4998" i="2"/>
  <c r="H5006" i="2"/>
  <c r="H5014" i="2"/>
  <c r="H5022" i="2"/>
  <c r="H5030" i="2"/>
  <c r="H5038" i="2"/>
  <c r="H5046" i="2"/>
  <c r="H5192" i="2"/>
  <c r="H5056" i="2"/>
  <c r="H5066" i="2"/>
  <c r="H5072" i="2"/>
  <c r="H5082" i="2"/>
  <c r="H5098" i="2"/>
  <c r="H5114" i="2"/>
  <c r="H5130" i="2"/>
  <c r="H5146" i="2"/>
  <c r="H5162" i="2"/>
  <c r="H5178" i="2"/>
  <c r="H4968" i="2"/>
  <c r="H4976" i="2"/>
  <c r="H4984" i="2"/>
  <c r="H4992" i="2"/>
  <c r="H5000" i="2"/>
  <c r="H5008" i="2"/>
  <c r="H5016" i="2"/>
  <c r="H5024" i="2"/>
  <c r="H5032" i="2"/>
  <c r="H5040" i="2"/>
  <c r="H5048" i="2"/>
  <c r="H5058" i="2"/>
  <c r="H5064" i="2"/>
  <c r="H5074" i="2"/>
  <c r="H5080" i="2"/>
  <c r="H5090" i="2"/>
  <c r="H5106" i="2"/>
  <c r="H5122" i="2"/>
  <c r="H5138" i="2"/>
  <c r="H5154" i="2"/>
  <c r="H5170" i="2"/>
  <c r="H5156" i="2"/>
  <c r="H5164" i="2"/>
  <c r="H5172" i="2"/>
  <c r="H5182" i="2"/>
  <c r="H5088" i="2"/>
  <c r="H5096" i="2"/>
  <c r="H5104" i="2"/>
  <c r="H5112" i="2"/>
  <c r="H5120" i="2"/>
  <c r="H5128" i="2"/>
  <c r="H5136" i="2"/>
  <c r="H5144" i="2"/>
  <c r="H5152" i="2"/>
  <c r="H5180" i="2"/>
  <c r="H5184" i="2"/>
  <c r="H2479" i="2"/>
  <c r="H2483" i="2"/>
  <c r="H2487" i="2"/>
  <c r="H2491" i="2"/>
  <c r="H2495" i="2"/>
  <c r="H2499" i="2"/>
  <c r="H2503" i="2"/>
  <c r="H2507" i="2"/>
  <c r="H2511" i="2"/>
  <c r="H2515" i="2"/>
  <c r="H2519" i="2"/>
  <c r="H2523" i="2"/>
  <c r="H2527" i="2"/>
  <c r="H2535" i="2"/>
  <c r="H2543" i="2"/>
  <c r="H2551" i="2"/>
  <c r="H2559" i="2"/>
  <c r="H2567" i="2"/>
  <c r="H2575" i="2"/>
  <c r="H2583" i="2"/>
  <c r="H2594" i="2"/>
  <c r="H2628" i="2"/>
  <c r="H2481" i="2"/>
  <c r="H2485" i="2"/>
  <c r="H2489" i="2"/>
  <c r="H2493" i="2"/>
  <c r="H2497" i="2"/>
  <c r="H2501" i="2"/>
  <c r="H2505" i="2"/>
  <c r="H2509" i="2"/>
  <c r="H2513" i="2"/>
  <c r="H2517" i="2"/>
  <c r="H2521" i="2"/>
  <c r="H2525" i="2"/>
  <c r="H2531" i="2"/>
  <c r="H2539" i="2"/>
  <c r="H2547" i="2"/>
  <c r="H2555" i="2"/>
  <c r="H2563" i="2"/>
  <c r="H2571" i="2"/>
  <c r="H2579" i="2"/>
  <c r="H2587" i="2"/>
  <c r="H2623" i="2"/>
  <c r="H1631" i="2"/>
  <c r="H1635" i="2"/>
  <c r="H1639" i="2"/>
  <c r="H1643" i="2"/>
  <c r="H1647" i="2"/>
  <c r="H1651" i="2"/>
  <c r="H1655" i="2"/>
  <c r="H1659" i="2"/>
  <c r="H1666" i="2"/>
  <c r="H1674" i="2"/>
  <c r="H1682" i="2"/>
  <c r="H1690" i="2"/>
  <c r="H1698" i="2"/>
  <c r="H2798" i="2"/>
  <c r="H2813" i="2"/>
  <c r="H2829" i="2"/>
  <c r="H2845" i="2"/>
  <c r="H2847" i="2"/>
  <c r="H2877" i="2"/>
  <c r="H2878" i="2"/>
  <c r="H2879" i="2"/>
  <c r="H2880" i="2"/>
  <c r="H1633" i="2"/>
  <c r="H1653" i="2"/>
  <c r="H1670" i="2"/>
  <c r="H1833" i="2"/>
  <c r="H1837" i="2"/>
  <c r="H1841" i="2"/>
  <c r="H1845" i="2"/>
  <c r="H1849" i="2"/>
  <c r="H1857" i="2"/>
  <c r="H1865" i="2"/>
  <c r="H1951" i="2"/>
  <c r="H1959" i="2"/>
  <c r="H1971" i="2"/>
  <c r="H1977" i="2"/>
  <c r="H1980" i="2"/>
  <c r="H1637" i="2"/>
  <c r="H1641" i="2"/>
  <c r="H1645" i="2"/>
  <c r="H1649" i="2"/>
  <c r="H1657" i="2"/>
  <c r="H1662" i="2"/>
  <c r="H1678" i="2"/>
  <c r="H1686" i="2"/>
  <c r="H1694" i="2"/>
  <c r="H1831" i="2"/>
  <c r="H1835" i="2"/>
  <c r="H1839" i="2"/>
  <c r="H1843" i="2"/>
  <c r="H1847" i="2"/>
  <c r="H1853" i="2"/>
  <c r="H1861" i="2"/>
  <c r="H1869" i="2"/>
  <c r="H1955" i="2"/>
  <c r="H1963" i="2"/>
  <c r="H1973" i="2"/>
  <c r="H1979" i="2"/>
  <c r="H2750" i="2"/>
  <c r="H2752" i="2"/>
  <c r="H2530" i="2"/>
  <c r="H2534" i="2"/>
  <c r="H2538" i="2"/>
  <c r="H2542" i="2"/>
  <c r="H2546" i="2"/>
  <c r="H2550" i="2"/>
  <c r="H2554" i="2"/>
  <c r="H2558" i="2"/>
  <c r="H2562" i="2"/>
  <c r="H2566" i="2"/>
  <c r="H2570" i="2"/>
  <c r="H2574" i="2"/>
  <c r="H2578" i="2"/>
  <c r="H2582" i="2"/>
  <c r="H2586" i="2"/>
  <c r="H2592" i="2"/>
  <c r="H2815" i="2"/>
  <c r="H2846" i="2"/>
  <c r="H2662" i="2"/>
  <c r="H2702" i="2"/>
  <c r="H2893" i="2"/>
  <c r="H2528" i="2"/>
  <c r="H2540" i="2"/>
  <c r="H2548" i="2"/>
  <c r="H2552" i="2"/>
  <c r="H2556" i="2"/>
  <c r="H2564" i="2"/>
  <c r="H2568" i="2"/>
  <c r="H2576" i="2"/>
  <c r="H2588" i="2"/>
  <c r="H2782" i="2"/>
  <c r="H2831" i="2"/>
  <c r="H2532" i="2"/>
  <c r="H2536" i="2"/>
  <c r="H2544" i="2"/>
  <c r="H2560" i="2"/>
  <c r="H2572" i="2"/>
  <c r="H2580" i="2"/>
  <c r="H2584" i="2"/>
  <c r="H2596" i="2"/>
  <c r="H2848" i="2"/>
  <c r="H2667" i="2"/>
  <c r="H2704" i="2"/>
  <c r="H2910" i="2"/>
  <c r="H2589" i="2"/>
  <c r="H2593" i="2"/>
  <c r="H2661" i="2"/>
  <c r="H2666" i="2"/>
  <c r="H2799" i="2"/>
  <c r="H2832" i="2"/>
  <c r="H2925" i="2"/>
  <c r="H2929" i="2"/>
  <c r="H2933" i="2"/>
  <c r="H2937" i="2"/>
  <c r="H2941" i="2"/>
  <c r="H2945" i="2"/>
  <c r="H2949" i="2"/>
  <c r="H2953" i="2"/>
  <c r="H2957" i="2"/>
  <c r="H2961" i="2"/>
  <c r="H2965" i="2"/>
  <c r="H2969" i="2"/>
  <c r="H2973" i="2"/>
  <c r="H2977" i="2"/>
  <c r="H2981" i="2"/>
  <c r="H2985" i="2"/>
  <c r="H2989" i="2"/>
  <c r="H2993" i="2"/>
  <c r="H2997" i="2"/>
  <c r="H3001" i="2"/>
  <c r="H3005" i="2"/>
  <c r="H3009" i="2"/>
  <c r="H3013" i="2"/>
  <c r="H3017" i="2"/>
  <c r="H3021" i="2"/>
  <c r="H3025" i="2"/>
  <c r="H3029" i="2"/>
  <c r="H3033" i="2"/>
  <c r="H3037" i="2"/>
  <c r="H3041" i="2"/>
  <c r="H3045" i="2"/>
  <c r="H3049" i="2"/>
  <c r="H3053" i="2"/>
  <c r="H3057" i="2"/>
  <c r="H3061" i="2"/>
  <c r="H3065" i="2"/>
  <c r="H3069" i="2"/>
  <c r="H3073" i="2"/>
  <c r="H3077" i="2"/>
  <c r="H2733" i="2"/>
  <c r="H2766" i="2"/>
  <c r="H2863" i="2"/>
  <c r="H2896" i="2"/>
  <c r="H2591" i="2"/>
  <c r="H2595" i="2"/>
  <c r="H2663" i="2"/>
  <c r="H2668" i="2"/>
  <c r="H2797" i="2"/>
  <c r="H2830" i="2"/>
  <c r="H2927" i="2"/>
  <c r="H2931" i="2"/>
  <c r="H2935" i="2"/>
  <c r="H2939" i="2"/>
  <c r="H2943" i="2"/>
  <c r="H2947" i="2"/>
  <c r="H2951" i="2"/>
  <c r="H2955" i="2"/>
  <c r="H2959" i="2"/>
  <c r="H2963" i="2"/>
  <c r="H2967" i="2"/>
  <c r="H2971" i="2"/>
  <c r="H2975" i="2"/>
  <c r="H2979" i="2"/>
  <c r="H2983" i="2"/>
  <c r="H2987" i="2"/>
  <c r="H2991" i="2"/>
  <c r="H2995" i="2"/>
  <c r="H2999" i="2"/>
  <c r="H3003" i="2"/>
  <c r="H3007" i="2"/>
  <c r="H3011" i="2"/>
  <c r="H3015" i="2"/>
  <c r="H3019" i="2"/>
  <c r="H3023" i="2"/>
  <c r="H3027" i="2"/>
  <c r="H3031" i="2"/>
  <c r="H3035" i="2"/>
  <c r="H3039" i="2"/>
  <c r="H3043" i="2"/>
  <c r="H3047" i="2"/>
  <c r="H3051" i="2"/>
  <c r="H3055" i="2"/>
  <c r="H3059" i="2"/>
  <c r="H3063" i="2"/>
  <c r="H3067" i="2"/>
  <c r="H3071" i="2"/>
  <c r="H3075" i="2"/>
  <c r="H2735" i="2"/>
  <c r="H2768" i="2"/>
  <c r="H2861" i="2"/>
  <c r="H2894" i="2"/>
  <c r="H3231" i="2"/>
  <c r="H3235" i="2"/>
  <c r="H3239" i="2"/>
  <c r="H3243" i="2"/>
  <c r="H3247" i="2"/>
  <c r="H3251" i="2"/>
  <c r="H3255" i="2"/>
  <c r="H3259" i="2"/>
  <c r="H3263" i="2"/>
  <c r="H3267" i="2"/>
  <c r="H3271" i="2"/>
  <c r="H3275" i="2"/>
  <c r="H3279" i="2"/>
  <c r="H3283" i="2"/>
  <c r="H3287" i="2"/>
  <c r="H3291" i="2"/>
  <c r="H3295" i="2"/>
  <c r="H3299" i="2"/>
  <c r="H3303" i="2"/>
  <c r="H3307" i="2"/>
  <c r="H3311" i="2"/>
  <c r="H3315" i="2"/>
  <c r="H3319" i="2"/>
  <c r="H3326" i="2"/>
  <c r="H3334" i="2"/>
  <c r="H3342" i="2"/>
  <c r="H3350" i="2"/>
  <c r="H3358" i="2"/>
  <c r="H3366" i="2"/>
  <c r="H3374" i="2"/>
  <c r="H3406" i="2"/>
  <c r="H3414" i="2"/>
  <c r="H3422" i="2"/>
  <c r="H3430" i="2"/>
  <c r="H3438" i="2"/>
  <c r="H3446" i="2"/>
  <c r="H3454" i="2"/>
  <c r="H3462" i="2"/>
  <c r="H3470" i="2"/>
  <c r="H3478" i="2"/>
  <c r="H3486" i="2"/>
  <c r="H3494" i="2"/>
  <c r="H3502" i="2"/>
  <c r="H3518" i="2"/>
  <c r="H3534" i="2"/>
  <c r="H3233" i="2"/>
  <c r="H3237" i="2"/>
  <c r="H3241" i="2"/>
  <c r="H3245" i="2"/>
  <c r="H3249" i="2"/>
  <c r="H3253" i="2"/>
  <c r="H3257" i="2"/>
  <c r="H3261" i="2"/>
  <c r="H3265" i="2"/>
  <c r="H3269" i="2"/>
  <c r="H3273" i="2"/>
  <c r="H3277" i="2"/>
  <c r="H3281" i="2"/>
  <c r="H3285" i="2"/>
  <c r="H3289" i="2"/>
  <c r="H3293" i="2"/>
  <c r="H3297" i="2"/>
  <c r="H3301" i="2"/>
  <c r="H3305" i="2"/>
  <c r="H3309" i="2"/>
  <c r="H3313" i="2"/>
  <c r="H3317" i="2"/>
  <c r="H3322" i="2"/>
  <c r="H3330" i="2"/>
  <c r="H3338" i="2"/>
  <c r="H3346" i="2"/>
  <c r="H3354" i="2"/>
  <c r="H3362" i="2"/>
  <c r="H3370" i="2"/>
  <c r="H3378" i="2"/>
  <c r="H3410" i="2"/>
  <c r="H3418" i="2"/>
  <c r="H3426" i="2"/>
  <c r="H3434" i="2"/>
  <c r="H3442" i="2"/>
  <c r="H3450" i="2"/>
  <c r="H3458" i="2"/>
  <c r="H3466" i="2"/>
  <c r="H3474" i="2"/>
  <c r="H3482" i="2"/>
  <c r="H3490" i="2"/>
  <c r="H3498" i="2"/>
  <c r="H3510" i="2"/>
  <c r="H3526" i="2"/>
  <c r="H3542" i="2"/>
  <c r="H3506" i="2"/>
  <c r="H3514" i="2"/>
  <c r="H3522" i="2"/>
  <c r="H3530" i="2"/>
  <c r="H3538" i="2"/>
  <c r="H3988" i="2"/>
  <c r="H3990" i="2"/>
  <c r="H3992" i="2"/>
  <c r="H3994" i="2"/>
  <c r="H3996" i="2"/>
  <c r="H3998" i="2"/>
  <c r="H4002" i="2"/>
  <c r="H4006" i="2"/>
  <c r="H4010" i="2"/>
  <c r="H4014" i="2"/>
  <c r="H4018" i="2"/>
  <c r="H4022" i="2"/>
  <c r="H4026" i="2"/>
  <c r="H4030" i="2"/>
  <c r="H4034" i="2"/>
  <c r="H4038" i="2"/>
  <c r="H4042" i="2"/>
  <c r="H4046" i="2"/>
  <c r="H4050" i="2"/>
  <c r="H4054" i="2"/>
  <c r="H4058" i="2"/>
  <c r="H4062" i="2"/>
  <c r="H4066" i="2"/>
  <c r="H4453" i="2"/>
  <c r="H4455" i="2"/>
  <c r="H4457" i="2"/>
  <c r="H4459" i="2"/>
  <c r="H4461" i="2"/>
  <c r="H4463" i="2"/>
  <c r="H4465" i="2"/>
  <c r="H4467" i="2"/>
  <c r="H4469" i="2"/>
  <c r="H4471" i="2"/>
  <c r="H4473" i="2"/>
  <c r="H4475" i="2"/>
  <c r="H4477" i="2"/>
  <c r="H4479" i="2"/>
  <c r="H4481" i="2"/>
  <c r="H4483" i="2"/>
  <c r="H4485" i="2"/>
  <c r="H4487" i="2"/>
  <c r="H4489" i="2"/>
  <c r="H4491" i="2"/>
  <c r="H4493" i="2"/>
  <c r="H4497" i="2"/>
  <c r="H4501" i="2"/>
  <c r="H4505" i="2"/>
  <c r="H4513" i="2"/>
  <c r="H4521" i="2"/>
  <c r="H4529" i="2"/>
  <c r="H4531" i="2"/>
  <c r="H4533" i="2"/>
  <c r="H4535" i="2"/>
  <c r="H4537" i="2"/>
  <c r="H4539" i="2"/>
  <c r="H4541" i="2"/>
  <c r="H4543" i="2"/>
  <c r="H4545" i="2"/>
  <c r="H4547" i="2"/>
  <c r="H4549" i="2"/>
  <c r="H4551" i="2"/>
  <c r="H4553" i="2"/>
  <c r="H4555" i="2"/>
  <c r="H4557" i="2"/>
  <c r="H4559" i="2"/>
  <c r="H4561" i="2"/>
  <c r="H4563" i="2"/>
  <c r="H4565" i="2"/>
  <c r="H4567" i="2"/>
  <c r="H4569" i="2"/>
  <c r="H4571" i="2"/>
  <c r="H4573" i="2"/>
  <c r="H4575" i="2"/>
  <c r="H4577" i="2"/>
  <c r="H4579" i="2"/>
  <c r="H4581" i="2"/>
  <c r="H4583" i="2"/>
  <c r="H4585" i="2"/>
  <c r="H4587" i="2"/>
  <c r="H4589" i="2"/>
  <c r="H4593" i="2"/>
  <c r="H4597" i="2"/>
  <c r="H4601" i="2"/>
  <c r="H4605" i="2"/>
  <c r="H4613" i="2"/>
  <c r="H4621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495" i="2"/>
  <c r="H4499" i="2"/>
  <c r="H4503" i="2"/>
  <c r="H4509" i="2"/>
  <c r="H4517" i="2"/>
  <c r="H4525" i="2"/>
  <c r="H270" i="2"/>
  <c r="H278" i="2"/>
  <c r="H286" i="2"/>
  <c r="H294" i="2"/>
  <c r="H302" i="2"/>
  <c r="H310" i="2"/>
  <c r="H318" i="2"/>
  <c r="H326" i="2"/>
  <c r="H334" i="2"/>
  <c r="H342" i="2"/>
  <c r="H352" i="2"/>
  <c r="H368" i="2"/>
  <c r="H384" i="2"/>
  <c r="H400" i="2"/>
  <c r="H416" i="2"/>
  <c r="H432" i="2"/>
  <c r="H448" i="2"/>
  <c r="H464" i="2"/>
  <c r="H480" i="2"/>
  <c r="H489" i="2"/>
  <c r="H497" i="2"/>
  <c r="H505" i="2"/>
  <c r="H513" i="2"/>
  <c r="H521" i="2"/>
  <c r="H527" i="2"/>
  <c r="H535" i="2"/>
  <c r="H545" i="2"/>
  <c r="H553" i="2"/>
  <c r="H557" i="2"/>
  <c r="H567" i="2"/>
  <c r="H575" i="2"/>
  <c r="H583" i="2"/>
  <c r="H589" i="2"/>
  <c r="H597" i="2"/>
  <c r="H605" i="2"/>
  <c r="H615" i="2"/>
  <c r="H621" i="2"/>
  <c r="H633" i="2"/>
  <c r="H641" i="2"/>
  <c r="H649" i="2"/>
  <c r="H657" i="2"/>
  <c r="H665" i="2"/>
  <c r="H673" i="2"/>
  <c r="H681" i="2"/>
  <c r="H689" i="2"/>
  <c r="H697" i="2"/>
  <c r="H705" i="2"/>
  <c r="H713" i="2"/>
  <c r="H721" i="2"/>
  <c r="H729" i="2"/>
  <c r="H737" i="2"/>
  <c r="H789" i="2"/>
  <c r="H797" i="2"/>
  <c r="H805" i="2"/>
  <c r="H813" i="2"/>
  <c r="H821" i="2"/>
  <c r="H829" i="2"/>
  <c r="H837" i="2"/>
  <c r="H845" i="2"/>
  <c r="H853" i="2"/>
  <c r="H861" i="2"/>
  <c r="H869" i="2"/>
  <c r="H877" i="2"/>
  <c r="H885" i="2"/>
  <c r="H893" i="2"/>
  <c r="H901" i="2"/>
  <c r="H914" i="2"/>
  <c r="H922" i="2"/>
  <c r="H930" i="2"/>
  <c r="H938" i="2"/>
  <c r="H946" i="2"/>
  <c r="H954" i="2"/>
  <c r="H962" i="2"/>
  <c r="H970" i="2"/>
  <c r="H976" i="2"/>
  <c r="H980" i="2"/>
  <c r="H984" i="2"/>
  <c r="H991" i="2"/>
  <c r="H999" i="2"/>
  <c r="H1007" i="2"/>
  <c r="H1015" i="2"/>
  <c r="H1022" i="2"/>
  <c r="H1026" i="2"/>
  <c r="H1030" i="2"/>
  <c r="H1034" i="2"/>
  <c r="H1038" i="2"/>
  <c r="H1042" i="2"/>
  <c r="H1046" i="2"/>
  <c r="H1050" i="2"/>
  <c r="H1054" i="2"/>
  <c r="H1058" i="2"/>
  <c r="H1062" i="2"/>
  <c r="H1066" i="2"/>
  <c r="H1070" i="2"/>
  <c r="H1074" i="2"/>
  <c r="H1078" i="2"/>
  <c r="H1082" i="2"/>
  <c r="H1086" i="2"/>
  <c r="H1090" i="2"/>
  <c r="H1094" i="2"/>
  <c r="H1098" i="2"/>
  <c r="H1102" i="2"/>
  <c r="H1106" i="2"/>
  <c r="H1110" i="2"/>
  <c r="H1114" i="2"/>
  <c r="H1118" i="2"/>
  <c r="H1122" i="2"/>
  <c r="H1126" i="2"/>
  <c r="H1130" i="2"/>
  <c r="H1134" i="2"/>
  <c r="H1138" i="2"/>
  <c r="H1142" i="2"/>
  <c r="H1146" i="2"/>
  <c r="H1150" i="2"/>
  <c r="H1154" i="2"/>
  <c r="H1159" i="2"/>
  <c r="H1166" i="2"/>
  <c r="H264" i="2"/>
  <c r="H272" i="2"/>
  <c r="H280" i="2"/>
  <c r="H288" i="2"/>
  <c r="H296" i="2"/>
  <c r="H304" i="2"/>
  <c r="H312" i="2"/>
  <c r="H320" i="2"/>
  <c r="H328" i="2"/>
  <c r="H336" i="2"/>
  <c r="H344" i="2"/>
  <c r="H356" i="2"/>
  <c r="H372" i="2"/>
  <c r="H388" i="2"/>
  <c r="H404" i="2"/>
  <c r="H420" i="2"/>
  <c r="H436" i="2"/>
  <c r="H452" i="2"/>
  <c r="H468" i="2"/>
  <c r="H483" i="2"/>
  <c r="H491" i="2"/>
  <c r="H499" i="2"/>
  <c r="H507" i="2"/>
  <c r="H515" i="2"/>
  <c r="H523" i="2"/>
  <c r="H531" i="2"/>
  <c r="H539" i="2"/>
  <c r="H547" i="2"/>
  <c r="H555" i="2"/>
  <c r="H563" i="2"/>
  <c r="H571" i="2"/>
  <c r="H579" i="2"/>
  <c r="H587" i="2"/>
  <c r="H595" i="2"/>
  <c r="H603" i="2"/>
  <c r="H611" i="2"/>
  <c r="H619" i="2"/>
  <c r="H627" i="2"/>
  <c r="H635" i="2"/>
  <c r="H643" i="2"/>
  <c r="H651" i="2"/>
  <c r="H661" i="2"/>
  <c r="H667" i="2"/>
  <c r="H675" i="2"/>
  <c r="H683" i="2"/>
  <c r="H691" i="2"/>
  <c r="H699" i="2"/>
  <c r="H707" i="2"/>
  <c r="H715" i="2"/>
  <c r="H723" i="2"/>
  <c r="H731" i="2"/>
  <c r="H739" i="2"/>
  <c r="H745" i="2"/>
  <c r="H751" i="2"/>
  <c r="H757" i="2"/>
  <c r="H763" i="2"/>
  <c r="H769" i="2"/>
  <c r="H775" i="2"/>
  <c r="H781" i="2"/>
  <c r="H787" i="2"/>
  <c r="H795" i="2"/>
  <c r="H803" i="2"/>
  <c r="H811" i="2"/>
  <c r="H819" i="2"/>
  <c r="H827" i="2"/>
  <c r="H835" i="2"/>
  <c r="H843" i="2"/>
  <c r="H851" i="2"/>
  <c r="H859" i="2"/>
  <c r="H867" i="2"/>
  <c r="H875" i="2"/>
  <c r="H883" i="2"/>
  <c r="H891" i="2"/>
  <c r="H899" i="2"/>
  <c r="H912" i="2"/>
  <c r="H920" i="2"/>
  <c r="H928" i="2"/>
  <c r="H934" i="2"/>
  <c r="H942" i="2"/>
  <c r="H950" i="2"/>
  <c r="H958" i="2"/>
  <c r="H966" i="2"/>
  <c r="H974" i="2"/>
  <c r="H978" i="2"/>
  <c r="H982" i="2"/>
  <c r="H985" i="2"/>
  <c r="H995" i="2"/>
  <c r="H1001" i="2"/>
  <c r="H1011" i="2"/>
  <c r="H1019" i="2"/>
  <c r="H1024" i="2"/>
  <c r="H1028" i="2"/>
  <c r="H1032" i="2"/>
  <c r="H1036" i="2"/>
  <c r="H1040" i="2"/>
  <c r="H1044" i="2"/>
  <c r="H1048" i="2"/>
  <c r="H1052" i="2"/>
  <c r="H1055" i="2"/>
  <c r="H1059" i="2"/>
  <c r="H1063" i="2"/>
  <c r="H1067" i="2"/>
  <c r="H1071" i="2"/>
  <c r="H1075" i="2"/>
  <c r="H1079" i="2"/>
  <c r="H1083" i="2"/>
  <c r="H1088" i="2"/>
  <c r="H1092" i="2"/>
  <c r="H1096" i="2"/>
  <c r="H1100" i="2"/>
  <c r="H1104" i="2"/>
  <c r="H1107" i="2"/>
  <c r="H1111" i="2"/>
  <c r="H1116" i="2"/>
  <c r="H1119" i="2"/>
  <c r="H1123" i="2"/>
  <c r="H1127" i="2"/>
  <c r="H1131" i="2"/>
  <c r="H1135" i="2"/>
  <c r="H1139" i="2"/>
  <c r="H1143" i="2"/>
  <c r="H1147" i="2"/>
  <c r="H1151" i="2"/>
  <c r="H1155" i="2"/>
  <c r="H1161" i="2"/>
  <c r="H236" i="2"/>
  <c r="H244" i="2"/>
  <c r="H252" i="2"/>
  <c r="H260" i="2"/>
  <c r="H240" i="2"/>
  <c r="H248" i="2"/>
  <c r="H256" i="2"/>
  <c r="H266" i="2"/>
  <c r="H274" i="2"/>
  <c r="H282" i="2"/>
  <c r="H290" i="2"/>
  <c r="H298" i="2"/>
  <c r="H306" i="2"/>
  <c r="H314" i="2"/>
  <c r="H322" i="2"/>
  <c r="H330" i="2"/>
  <c r="H338" i="2"/>
  <c r="H346" i="2"/>
  <c r="H360" i="2"/>
  <c r="H380" i="2"/>
  <c r="H392" i="2"/>
  <c r="H408" i="2"/>
  <c r="H424" i="2"/>
  <c r="H440" i="2"/>
  <c r="H456" i="2"/>
  <c r="H476" i="2"/>
  <c r="H487" i="2"/>
  <c r="H493" i="2"/>
  <c r="H503" i="2"/>
  <c r="H511" i="2"/>
  <c r="H517" i="2"/>
  <c r="H525" i="2"/>
  <c r="H533" i="2"/>
  <c r="H541" i="2"/>
  <c r="H549" i="2"/>
  <c r="H559" i="2"/>
  <c r="H565" i="2"/>
  <c r="H573" i="2"/>
  <c r="H581" i="2"/>
  <c r="H591" i="2"/>
  <c r="H599" i="2"/>
  <c r="H607" i="2"/>
  <c r="H613" i="2"/>
  <c r="H623" i="2"/>
  <c r="H629" i="2"/>
  <c r="H637" i="2"/>
  <c r="H645" i="2"/>
  <c r="H653" i="2"/>
  <c r="H659" i="2"/>
  <c r="H669" i="2"/>
  <c r="H677" i="2"/>
  <c r="H685" i="2"/>
  <c r="H693" i="2"/>
  <c r="H703" i="2"/>
  <c r="H711" i="2"/>
  <c r="H719" i="2"/>
  <c r="H727" i="2"/>
  <c r="H735" i="2"/>
  <c r="H741" i="2"/>
  <c r="H747" i="2"/>
  <c r="H753" i="2"/>
  <c r="H759" i="2"/>
  <c r="H765" i="2"/>
  <c r="H771" i="2"/>
  <c r="H777" i="2"/>
  <c r="H783" i="2"/>
  <c r="H791" i="2"/>
  <c r="H799" i="2"/>
  <c r="H807" i="2"/>
  <c r="H815" i="2"/>
  <c r="H823" i="2"/>
  <c r="H831" i="2"/>
  <c r="H839" i="2"/>
  <c r="H847" i="2"/>
  <c r="H855" i="2"/>
  <c r="H863" i="2"/>
  <c r="H871" i="2"/>
  <c r="H879" i="2"/>
  <c r="H887" i="2"/>
  <c r="H895" i="2"/>
  <c r="H905" i="2"/>
  <c r="H916" i="2"/>
  <c r="H924" i="2"/>
  <c r="H932" i="2"/>
  <c r="H940" i="2"/>
  <c r="H948" i="2"/>
  <c r="H956" i="2"/>
  <c r="H964" i="2"/>
  <c r="H972" i="2"/>
  <c r="H977" i="2"/>
  <c r="H981" i="2"/>
  <c r="H987" i="2"/>
  <c r="H993" i="2"/>
  <c r="H1003" i="2"/>
  <c r="H1009" i="2"/>
  <c r="H1017" i="2"/>
  <c r="H1023" i="2"/>
  <c r="H1027" i="2"/>
  <c r="H1031" i="2"/>
  <c r="H1035" i="2"/>
  <c r="H1039" i="2"/>
  <c r="H1043" i="2"/>
  <c r="H1047" i="2"/>
  <c r="H1051" i="2"/>
  <c r="H1056" i="2"/>
  <c r="H1060" i="2"/>
  <c r="H1064" i="2"/>
  <c r="H1068" i="2"/>
  <c r="H1072" i="2"/>
  <c r="H1076" i="2"/>
  <c r="H1080" i="2"/>
  <c r="H1084" i="2"/>
  <c r="H1087" i="2"/>
  <c r="H1091" i="2"/>
  <c r="H1095" i="2"/>
  <c r="H1099" i="2"/>
  <c r="H1103" i="2"/>
  <c r="H1108" i="2"/>
  <c r="H1112" i="2"/>
  <c r="H1115" i="2"/>
  <c r="H1120" i="2"/>
  <c r="H1124" i="2"/>
  <c r="H1128" i="2"/>
  <c r="H1132" i="2"/>
  <c r="H1136" i="2"/>
  <c r="H1140" i="2"/>
  <c r="H1144" i="2"/>
  <c r="H1148" i="2"/>
  <c r="H1152" i="2"/>
  <c r="H1156" i="2"/>
  <c r="H1163" i="2"/>
  <c r="H268" i="2"/>
  <c r="H276" i="2"/>
  <c r="H284" i="2"/>
  <c r="H292" i="2"/>
  <c r="H300" i="2"/>
  <c r="H308" i="2"/>
  <c r="H316" i="2"/>
  <c r="H324" i="2"/>
  <c r="H332" i="2"/>
  <c r="H340" i="2"/>
  <c r="H348" i="2"/>
  <c r="H364" i="2"/>
  <c r="H376" i="2"/>
  <c r="H396" i="2"/>
  <c r="H412" i="2"/>
  <c r="H428" i="2"/>
  <c r="H444" i="2"/>
  <c r="H460" i="2"/>
  <c r="H472" i="2"/>
  <c r="H485" i="2"/>
  <c r="H495" i="2"/>
  <c r="H501" i="2"/>
  <c r="H509" i="2"/>
  <c r="H519" i="2"/>
  <c r="H529" i="2"/>
  <c r="H537" i="2"/>
  <c r="H543" i="2"/>
  <c r="H551" i="2"/>
  <c r="H561" i="2"/>
  <c r="H569" i="2"/>
  <c r="H577" i="2"/>
  <c r="H585" i="2"/>
  <c r="H593" i="2"/>
  <c r="H601" i="2"/>
  <c r="H609" i="2"/>
  <c r="H617" i="2"/>
  <c r="H625" i="2"/>
  <c r="H631" i="2"/>
  <c r="H639" i="2"/>
  <c r="H647" i="2"/>
  <c r="H655" i="2"/>
  <c r="H663" i="2"/>
  <c r="H671" i="2"/>
  <c r="H679" i="2"/>
  <c r="H687" i="2"/>
  <c r="H695" i="2"/>
  <c r="H701" i="2"/>
  <c r="H709" i="2"/>
  <c r="H717" i="2"/>
  <c r="H725" i="2"/>
  <c r="H733" i="2"/>
  <c r="H743" i="2"/>
  <c r="H749" i="2"/>
  <c r="H755" i="2"/>
  <c r="H761" i="2"/>
  <c r="H767" i="2"/>
  <c r="H773" i="2"/>
  <c r="H779" i="2"/>
  <c r="H785" i="2"/>
  <c r="H793" i="2"/>
  <c r="H801" i="2"/>
  <c r="H809" i="2"/>
  <c r="H817" i="2"/>
  <c r="H825" i="2"/>
  <c r="H833" i="2"/>
  <c r="H841" i="2"/>
  <c r="H849" i="2"/>
  <c r="H857" i="2"/>
  <c r="H865" i="2"/>
  <c r="H873" i="2"/>
  <c r="H881" i="2"/>
  <c r="H889" i="2"/>
  <c r="H897" i="2"/>
  <c r="H909" i="2"/>
  <c r="H918" i="2"/>
  <c r="H926" i="2"/>
  <c r="H936" i="2"/>
  <c r="H944" i="2"/>
  <c r="H952" i="2"/>
  <c r="H960" i="2"/>
  <c r="H968" i="2"/>
  <c r="H975" i="2"/>
  <c r="H979" i="2"/>
  <c r="H983" i="2"/>
  <c r="H989" i="2"/>
  <c r="H997" i="2"/>
  <c r="H1005" i="2"/>
  <c r="H1013" i="2"/>
  <c r="H1021" i="2"/>
  <c r="H1025" i="2"/>
  <c r="H1029" i="2"/>
  <c r="H1033" i="2"/>
  <c r="H1037" i="2"/>
  <c r="H1041" i="2"/>
  <c r="H1045" i="2"/>
  <c r="H1049" i="2"/>
  <c r="H1053" i="2"/>
  <c r="H1057" i="2"/>
  <c r="H1061" i="2"/>
  <c r="H1065" i="2"/>
  <c r="H1069" i="2"/>
  <c r="H1073" i="2"/>
  <c r="H1077" i="2"/>
  <c r="H1081" i="2"/>
  <c r="H1085" i="2"/>
  <c r="H1089" i="2"/>
  <c r="H1093" i="2"/>
  <c r="H1097" i="2"/>
  <c r="H1101" i="2"/>
  <c r="H1105" i="2"/>
  <c r="H1109" i="2"/>
  <c r="H1113" i="2"/>
  <c r="H1117" i="2"/>
  <c r="H1121" i="2"/>
  <c r="H1125" i="2"/>
  <c r="H1129" i="2"/>
  <c r="H1133" i="2"/>
  <c r="H1137" i="2"/>
  <c r="H1141" i="2"/>
  <c r="H1145" i="2"/>
  <c r="H1149" i="2"/>
  <c r="H1153" i="2"/>
  <c r="H1157" i="2"/>
  <c r="H1165" i="2"/>
  <c r="H1661" i="2"/>
  <c r="H1665" i="2"/>
  <c r="H1669" i="2"/>
  <c r="H1673" i="2"/>
  <c r="H1677" i="2"/>
  <c r="H1681" i="2"/>
  <c r="H1685" i="2"/>
  <c r="H1689" i="2"/>
  <c r="H1693" i="2"/>
  <c r="H1697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4" i="2"/>
  <c r="H1838" i="2"/>
  <c r="H1842" i="2"/>
  <c r="H1846" i="2"/>
  <c r="H1851" i="2"/>
  <c r="H1859" i="2"/>
  <c r="H1867" i="2"/>
  <c r="H1953" i="2"/>
  <c r="H1961" i="2"/>
  <c r="H903" i="2"/>
  <c r="H911" i="2"/>
  <c r="H915" i="2"/>
  <c r="H919" i="2"/>
  <c r="H923" i="2"/>
  <c r="H927" i="2"/>
  <c r="H931" i="2"/>
  <c r="H935" i="2"/>
  <c r="H939" i="2"/>
  <c r="H943" i="2"/>
  <c r="H947" i="2"/>
  <c r="H951" i="2"/>
  <c r="H955" i="2"/>
  <c r="H959" i="2"/>
  <c r="H963" i="2"/>
  <c r="H967" i="2"/>
  <c r="H971" i="2"/>
  <c r="H1663" i="2"/>
  <c r="H1667" i="2"/>
  <c r="H1671" i="2"/>
  <c r="H1675" i="2"/>
  <c r="H1679" i="2"/>
  <c r="H1683" i="2"/>
  <c r="H1687" i="2"/>
  <c r="H1691" i="2"/>
  <c r="H1695" i="2"/>
  <c r="H1699" i="2"/>
  <c r="H1832" i="2"/>
  <c r="H1836" i="2"/>
  <c r="H1840" i="2"/>
  <c r="H1844" i="2"/>
  <c r="H1848" i="2"/>
  <c r="H907" i="2"/>
  <c r="H913" i="2"/>
  <c r="H917" i="2"/>
  <c r="H921" i="2"/>
  <c r="H925" i="2"/>
  <c r="H929" i="2"/>
  <c r="H933" i="2"/>
  <c r="H937" i="2"/>
  <c r="H941" i="2"/>
  <c r="H945" i="2"/>
  <c r="H949" i="2"/>
  <c r="H953" i="2"/>
  <c r="H957" i="2"/>
  <c r="H961" i="2"/>
  <c r="H965" i="2"/>
  <c r="H969" i="2"/>
  <c r="H973" i="2"/>
  <c r="H2003" i="2"/>
  <c r="H2009" i="2"/>
  <c r="H2019" i="2"/>
  <c r="H2033" i="2"/>
  <c r="H1855" i="2"/>
  <c r="H1863" i="2"/>
  <c r="H1871" i="2"/>
  <c r="H1873" i="2"/>
  <c r="H1875" i="2"/>
  <c r="H1877" i="2"/>
  <c r="H1879" i="2"/>
  <c r="H1881" i="2"/>
  <c r="H1883" i="2"/>
  <c r="H1885" i="2"/>
  <c r="H1887" i="2"/>
  <c r="H1889" i="2"/>
  <c r="H1891" i="2"/>
  <c r="H1893" i="2"/>
  <c r="H1895" i="2"/>
  <c r="H1897" i="2"/>
  <c r="H1899" i="2"/>
  <c r="H1901" i="2"/>
  <c r="H1903" i="2"/>
  <c r="H1905" i="2"/>
  <c r="H1907" i="2"/>
  <c r="H1909" i="2"/>
  <c r="H1911" i="2"/>
  <c r="H1913" i="2"/>
  <c r="H1915" i="2"/>
  <c r="H1917" i="2"/>
  <c r="H1919" i="2"/>
  <c r="H1921" i="2"/>
  <c r="H1923" i="2"/>
  <c r="H1925" i="2"/>
  <c r="H1927" i="2"/>
  <c r="H1929" i="2"/>
  <c r="H1931" i="2"/>
  <c r="H1933" i="2"/>
  <c r="H1935" i="2"/>
  <c r="H1937" i="2"/>
  <c r="H1939" i="2"/>
  <c r="H1941" i="2"/>
  <c r="H1943" i="2"/>
  <c r="H1945" i="2"/>
  <c r="H1947" i="2"/>
  <c r="H1949" i="2"/>
  <c r="H1957" i="2"/>
  <c r="H1964" i="2"/>
  <c r="H2012" i="2"/>
  <c r="H2036" i="2"/>
  <c r="H2637" i="2"/>
  <c r="H2638" i="2"/>
  <c r="H2639" i="2"/>
  <c r="H2640" i="2"/>
  <c r="H2725" i="2"/>
  <c r="H2726" i="2"/>
  <c r="H2727" i="2"/>
  <c r="H2728" i="2"/>
  <c r="H2789" i="2"/>
  <c r="H2790" i="2"/>
  <c r="H2791" i="2"/>
  <c r="H2792" i="2"/>
  <c r="H2853" i="2"/>
  <c r="H2854" i="2"/>
  <c r="H2855" i="2"/>
  <c r="H2856" i="2"/>
  <c r="H2917" i="2"/>
  <c r="H2918" i="2"/>
  <c r="H2919" i="2"/>
  <c r="H2920" i="2"/>
  <c r="H2757" i="2"/>
  <c r="H2758" i="2"/>
  <c r="H2759" i="2"/>
  <c r="H2760" i="2"/>
  <c r="H2821" i="2"/>
  <c r="H2822" i="2"/>
  <c r="H2823" i="2"/>
  <c r="H2824" i="2"/>
  <c r="H2885" i="2"/>
  <c r="H2886" i="2"/>
  <c r="H2887" i="2"/>
  <c r="H2888" i="2"/>
  <c r="H1985" i="2"/>
  <c r="H1988" i="2"/>
  <c r="H2027" i="2"/>
  <c r="H2001" i="2"/>
  <c r="H2673" i="2"/>
  <c r="H2674" i="2"/>
  <c r="H2675" i="2"/>
  <c r="H2677" i="2"/>
  <c r="H2678" i="2"/>
  <c r="H2679" i="2"/>
  <c r="H2681" i="2"/>
  <c r="H2682" i="2"/>
  <c r="H2683" i="2"/>
  <c r="H2685" i="2"/>
  <c r="H2686" i="2"/>
  <c r="H2687" i="2"/>
  <c r="H2689" i="2"/>
  <c r="H2690" i="2"/>
  <c r="H2691" i="2"/>
  <c r="H2692" i="2"/>
  <c r="H2773" i="2"/>
  <c r="H2774" i="2"/>
  <c r="H2775" i="2"/>
  <c r="H2776" i="2"/>
  <c r="H2837" i="2"/>
  <c r="H2838" i="2"/>
  <c r="H2839" i="2"/>
  <c r="H2840" i="2"/>
  <c r="H2901" i="2"/>
  <c r="H2902" i="2"/>
  <c r="H2903" i="2"/>
  <c r="H2904" i="2"/>
  <c r="H1987" i="2"/>
  <c r="H2004" i="2"/>
  <c r="H2605" i="2"/>
  <c r="H2606" i="2"/>
  <c r="H2607" i="2"/>
  <c r="H2608" i="2"/>
  <c r="H2741" i="2"/>
  <c r="H2742" i="2"/>
  <c r="H2743" i="2"/>
  <c r="H2744" i="2"/>
  <c r="H2805" i="2"/>
  <c r="H2806" i="2"/>
  <c r="H2807" i="2"/>
  <c r="H2808" i="2"/>
  <c r="H2869" i="2"/>
  <c r="H2870" i="2"/>
  <c r="H2871" i="2"/>
  <c r="H2872" i="2"/>
  <c r="H4818" i="2"/>
  <c r="H4820" i="2"/>
  <c r="H4822" i="2"/>
  <c r="H4824" i="2"/>
  <c r="H4826" i="2"/>
  <c r="H4828" i="2"/>
  <c r="H4830" i="2"/>
  <c r="H4832" i="2"/>
  <c r="H4834" i="2"/>
  <c r="H4836" i="2"/>
  <c r="H4838" i="2"/>
  <c r="H4840" i="2"/>
  <c r="H4842" i="2"/>
  <c r="H4844" i="2"/>
  <c r="H4846" i="2"/>
  <c r="H4848" i="2"/>
  <c r="H4850" i="2"/>
  <c r="H4852" i="2"/>
  <c r="H4854" i="2"/>
  <c r="H4856" i="2"/>
  <c r="H4858" i="2"/>
  <c r="H4860" i="2"/>
  <c r="H4864" i="2"/>
  <c r="H4868" i="2"/>
  <c r="H4872" i="2"/>
  <c r="H4876" i="2"/>
  <c r="H4880" i="2"/>
  <c r="H4884" i="2"/>
  <c r="H4888" i="2"/>
  <c r="H4892" i="2"/>
  <c r="H4896" i="2"/>
  <c r="H4900" i="2"/>
  <c r="H4591" i="2"/>
  <c r="H4599" i="2"/>
  <c r="H4607" i="2"/>
  <c r="H4615" i="2"/>
  <c r="H4623" i="2"/>
  <c r="H4595" i="2"/>
  <c r="H4603" i="2"/>
  <c r="H4611" i="2"/>
  <c r="H4619" i="2"/>
  <c r="H4627" i="2"/>
  <c r="H4629" i="2"/>
  <c r="H4631" i="2"/>
  <c r="H4633" i="2"/>
  <c r="H4635" i="2"/>
  <c r="H4637" i="2"/>
  <c r="H4639" i="2"/>
  <c r="H4641" i="2"/>
  <c r="H4643" i="2"/>
  <c r="H4645" i="2"/>
  <c r="H4647" i="2"/>
  <c r="H4649" i="2"/>
  <c r="H4651" i="2"/>
  <c r="H4653" i="2"/>
  <c r="H4655" i="2"/>
  <c r="H4657" i="2"/>
  <c r="H4659" i="2"/>
  <c r="H4661" i="2"/>
  <c r="H4663" i="2"/>
  <c r="H4665" i="2"/>
  <c r="H4667" i="2"/>
  <c r="H4669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9" i="2"/>
  <c r="H4711" i="2"/>
  <c r="H4713" i="2"/>
  <c r="H4715" i="2"/>
  <c r="H4717" i="2"/>
  <c r="H4719" i="2"/>
  <c r="H4721" i="2"/>
  <c r="H4723" i="2"/>
  <c r="H4725" i="2"/>
  <c r="H4727" i="2"/>
  <c r="H4729" i="2"/>
  <c r="H4731" i="2"/>
  <c r="H4733" i="2"/>
  <c r="H4735" i="2"/>
  <c r="H4737" i="2"/>
  <c r="H4739" i="2"/>
  <c r="H4741" i="2"/>
  <c r="H4743" i="2"/>
  <c r="H4745" i="2"/>
  <c r="H4747" i="2"/>
  <c r="H4749" i="2"/>
  <c r="H4751" i="2"/>
  <c r="H4753" i="2"/>
  <c r="H4755" i="2"/>
  <c r="H4757" i="2"/>
  <c r="H4759" i="2"/>
  <c r="H4761" i="2"/>
  <c r="H4763" i="2"/>
  <c r="H4765" i="2"/>
  <c r="H4767" i="2"/>
  <c r="H4769" i="2"/>
  <c r="H4771" i="2"/>
  <c r="H4773" i="2"/>
  <c r="H4775" i="2"/>
  <c r="H4777" i="2"/>
  <c r="H4779" i="2"/>
  <c r="H4781" i="2"/>
  <c r="H4783" i="2"/>
  <c r="H4785" i="2"/>
  <c r="H4787" i="2"/>
  <c r="H4789" i="2"/>
  <c r="H4791" i="2"/>
  <c r="H4792" i="2"/>
  <c r="H4819" i="2"/>
  <c r="H4823" i="2"/>
  <c r="H4827" i="2"/>
  <c r="H4831" i="2"/>
  <c r="H4835" i="2"/>
  <c r="H4839" i="2"/>
  <c r="H4843" i="2"/>
  <c r="H4847" i="2"/>
  <c r="H4851" i="2"/>
  <c r="H4855" i="2"/>
  <c r="H4859" i="2"/>
  <c r="H4863" i="2"/>
  <c r="H4867" i="2"/>
  <c r="H4871" i="2"/>
  <c r="H4875" i="2"/>
  <c r="H4879" i="2"/>
  <c r="H4883" i="2"/>
  <c r="H4887" i="2"/>
  <c r="H4891" i="2"/>
  <c r="H4895" i="2"/>
  <c r="H4899" i="2"/>
  <c r="H4821" i="2"/>
  <c r="H4825" i="2"/>
  <c r="H4829" i="2"/>
  <c r="H4833" i="2"/>
  <c r="H4837" i="2"/>
  <c r="H4841" i="2"/>
  <c r="H4845" i="2"/>
  <c r="H4849" i="2"/>
  <c r="H4853" i="2"/>
  <c r="H4857" i="2"/>
  <c r="H4861" i="2"/>
  <c r="H4865" i="2"/>
  <c r="H4869" i="2"/>
  <c r="H4873" i="2"/>
  <c r="H4877" i="2"/>
  <c r="H4881" i="2"/>
  <c r="H4885" i="2"/>
  <c r="H4889" i="2"/>
  <c r="H4893" i="2"/>
  <c r="H4897" i="2"/>
  <c r="H4901" i="2"/>
  <c r="H5190" i="2"/>
  <c r="H5198" i="2"/>
  <c r="H5206" i="2"/>
  <c r="H5214" i="2"/>
  <c r="H5222" i="2"/>
  <c r="H5230" i="2"/>
  <c r="H5238" i="2"/>
  <c r="H5246" i="2"/>
  <c r="H5248" i="2"/>
  <c r="H5250" i="2"/>
  <c r="H5252" i="2"/>
  <c r="H5254" i="2"/>
  <c r="H5256" i="2"/>
  <c r="H5258" i="2"/>
  <c r="H5260" i="2"/>
  <c r="H5262" i="2"/>
  <c r="H5264" i="2"/>
  <c r="H5266" i="2"/>
  <c r="H5268" i="2"/>
  <c r="H5270" i="2"/>
  <c r="H5272" i="2"/>
  <c r="H5274" i="2"/>
  <c r="H5276" i="2"/>
  <c r="H5278" i="2"/>
  <c r="H5280" i="2"/>
  <c r="H5282" i="2"/>
  <c r="H5284" i="2"/>
  <c r="H5286" i="2"/>
  <c r="H5288" i="2"/>
  <c r="H5290" i="2"/>
  <c r="H5292" i="2"/>
  <c r="H5294" i="2"/>
  <c r="H5296" i="2"/>
  <c r="H5298" i="2"/>
  <c r="H5300" i="2"/>
  <c r="H5302" i="2"/>
  <c r="H5304" i="2"/>
  <c r="H5306" i="2"/>
  <c r="H5308" i="2"/>
  <c r="H5310" i="2"/>
  <c r="H5312" i="2"/>
  <c r="H5314" i="2"/>
  <c r="H5316" i="2"/>
  <c r="H5318" i="2"/>
  <c r="H5320" i="2"/>
  <c r="H5322" i="2"/>
  <c r="H5324" i="2"/>
  <c r="H5326" i="2"/>
  <c r="H5336" i="2"/>
  <c r="H5338" i="2"/>
  <c r="H5340" i="2"/>
  <c r="H5342" i="2"/>
  <c r="H5344" i="2"/>
  <c r="H5346" i="2"/>
  <c r="H5348" i="2"/>
  <c r="H5350" i="2"/>
  <c r="H5352" i="2"/>
  <c r="H5354" i="2"/>
  <c r="H5356" i="2"/>
  <c r="H5358" i="2"/>
  <c r="H5360" i="2"/>
  <c r="H5362" i="2"/>
  <c r="H5186" i="2"/>
  <c r="H5194" i="2"/>
  <c r="H5202" i="2"/>
  <c r="H5210" i="2"/>
  <c r="H5218" i="2"/>
  <c r="H5226" i="2"/>
  <c r="H5234" i="2"/>
  <c r="H5242" i="2"/>
  <c r="H626" i="2"/>
  <c r="H630" i="2"/>
  <c r="H634" i="2"/>
  <c r="H638" i="2"/>
  <c r="H642" i="2"/>
  <c r="H646" i="2"/>
  <c r="H650" i="2"/>
  <c r="H654" i="2"/>
  <c r="H658" i="2"/>
  <c r="H662" i="2"/>
  <c r="H666" i="2"/>
  <c r="H670" i="2"/>
  <c r="H674" i="2"/>
  <c r="H678" i="2"/>
  <c r="H682" i="2"/>
  <c r="H686" i="2"/>
  <c r="H690" i="2"/>
  <c r="H694" i="2"/>
  <c r="H698" i="2"/>
  <c r="H702" i="2"/>
  <c r="H706" i="2"/>
  <c r="H710" i="2"/>
  <c r="H714" i="2"/>
  <c r="H718" i="2"/>
  <c r="H722" i="2"/>
  <c r="H726" i="2"/>
  <c r="H730" i="2"/>
  <c r="H734" i="2"/>
  <c r="H738" i="2"/>
  <c r="H742" i="2"/>
  <c r="H746" i="2"/>
  <c r="H750" i="2"/>
  <c r="H754" i="2"/>
  <c r="H758" i="2"/>
  <c r="H762" i="2"/>
  <c r="H766" i="2"/>
  <c r="H770" i="2"/>
  <c r="H774" i="2"/>
  <c r="H778" i="2"/>
  <c r="H782" i="2"/>
  <c r="H786" i="2"/>
  <c r="H790" i="2"/>
  <c r="H794" i="2"/>
  <c r="H798" i="2"/>
  <c r="H802" i="2"/>
  <c r="H624" i="2"/>
  <c r="H628" i="2"/>
  <c r="H632" i="2"/>
  <c r="H636" i="2"/>
  <c r="H640" i="2"/>
  <c r="H644" i="2"/>
  <c r="H648" i="2"/>
  <c r="H652" i="2"/>
  <c r="H656" i="2"/>
  <c r="H660" i="2"/>
  <c r="H664" i="2"/>
  <c r="H668" i="2"/>
  <c r="H672" i="2"/>
  <c r="H676" i="2"/>
  <c r="H680" i="2"/>
  <c r="H684" i="2"/>
  <c r="H688" i="2"/>
  <c r="H692" i="2"/>
  <c r="H696" i="2"/>
  <c r="H700" i="2"/>
  <c r="H704" i="2"/>
  <c r="H708" i="2"/>
  <c r="H712" i="2"/>
  <c r="H716" i="2"/>
  <c r="H720" i="2"/>
  <c r="H724" i="2"/>
  <c r="H728" i="2"/>
  <c r="H732" i="2"/>
  <c r="H736" i="2"/>
  <c r="H740" i="2"/>
  <c r="H744" i="2"/>
  <c r="H748" i="2"/>
  <c r="H752" i="2"/>
  <c r="H756" i="2"/>
  <c r="H760" i="2"/>
  <c r="H764" i="2"/>
  <c r="H768" i="2"/>
  <c r="H772" i="2"/>
  <c r="H776" i="2"/>
  <c r="H780" i="2"/>
  <c r="H784" i="2"/>
  <c r="H788" i="2"/>
  <c r="H792" i="2"/>
  <c r="H796" i="2"/>
  <c r="H800" i="2"/>
  <c r="H804" i="2"/>
  <c r="H1965" i="2"/>
  <c r="H1997" i="2"/>
  <c r="H1999" i="2"/>
  <c r="H2000" i="2"/>
  <c r="H2029" i="2"/>
  <c r="H2031" i="2"/>
  <c r="H2032" i="2"/>
  <c r="H1975" i="2"/>
  <c r="H1976" i="2"/>
  <c r="H2005" i="2"/>
  <c r="H2007" i="2"/>
  <c r="H2008" i="2"/>
  <c r="H2037" i="2"/>
  <c r="H2039" i="2"/>
  <c r="H2040" i="2"/>
  <c r="H2609" i="2"/>
  <c r="H2611" i="2"/>
  <c r="H2614" i="2"/>
  <c r="H2617" i="2"/>
  <c r="H2619" i="2"/>
  <c r="H2641" i="2"/>
  <c r="H2643" i="2"/>
  <c r="H2646" i="2"/>
  <c r="H2649" i="2"/>
  <c r="H2651" i="2"/>
  <c r="H2654" i="2"/>
  <c r="H2657" i="2"/>
  <c r="H2659" i="2"/>
  <c r="H1968" i="2"/>
  <c r="H1981" i="2"/>
  <c r="H1983" i="2"/>
  <c r="H1984" i="2"/>
  <c r="H2013" i="2"/>
  <c r="H2015" i="2"/>
  <c r="H2016" i="2"/>
  <c r="H2597" i="2"/>
  <c r="H2599" i="2"/>
  <c r="H2602" i="2"/>
  <c r="H2604" i="2"/>
  <c r="H2629" i="2"/>
  <c r="H2631" i="2"/>
  <c r="H2634" i="2"/>
  <c r="H2636" i="2"/>
  <c r="H2669" i="2"/>
  <c r="H1989" i="2"/>
  <c r="H1991" i="2"/>
  <c r="H1992" i="2"/>
  <c r="H2021" i="2"/>
  <c r="H2023" i="2"/>
  <c r="H2024" i="2"/>
  <c r="H3323" i="2"/>
  <c r="H3327" i="2"/>
  <c r="H3331" i="2"/>
  <c r="H3335" i="2"/>
  <c r="H3339" i="2"/>
  <c r="H3343" i="2"/>
  <c r="H3347" i="2"/>
  <c r="H3351" i="2"/>
  <c r="H3355" i="2"/>
  <c r="H3359" i="2"/>
  <c r="H3363" i="2"/>
  <c r="H3367" i="2"/>
  <c r="H3371" i="2"/>
  <c r="H3375" i="2"/>
  <c r="H3379" i="2"/>
  <c r="H3407" i="2"/>
  <c r="H3411" i="2"/>
  <c r="H3415" i="2"/>
  <c r="H3419" i="2"/>
  <c r="H3423" i="2"/>
  <c r="H3427" i="2"/>
  <c r="H3431" i="2"/>
  <c r="H3435" i="2"/>
  <c r="H3439" i="2"/>
  <c r="H3443" i="2"/>
  <c r="H3447" i="2"/>
  <c r="H3451" i="2"/>
  <c r="H3455" i="2"/>
  <c r="H3459" i="2"/>
  <c r="H3463" i="2"/>
  <c r="H3467" i="2"/>
  <c r="H3471" i="2"/>
  <c r="H3475" i="2"/>
  <c r="H3479" i="2"/>
  <c r="H3483" i="2"/>
  <c r="H3487" i="2"/>
  <c r="H3491" i="2"/>
  <c r="H3495" i="2"/>
  <c r="H3499" i="2"/>
  <c r="H3503" i="2"/>
  <c r="H3507" i="2"/>
  <c r="H3511" i="2"/>
  <c r="H3515" i="2"/>
  <c r="H3519" i="2"/>
  <c r="H3523" i="2"/>
  <c r="H3527" i="2"/>
  <c r="H3531" i="2"/>
  <c r="H3535" i="2"/>
  <c r="H3539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321" i="2"/>
  <c r="H3325" i="2"/>
  <c r="H3329" i="2"/>
  <c r="H3333" i="2"/>
  <c r="H3337" i="2"/>
  <c r="H3341" i="2"/>
  <c r="H3345" i="2"/>
  <c r="H3349" i="2"/>
  <c r="H3353" i="2"/>
  <c r="H3357" i="2"/>
  <c r="H3361" i="2"/>
  <c r="H3365" i="2"/>
  <c r="H3369" i="2"/>
  <c r="H3373" i="2"/>
  <c r="H3377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9" i="2"/>
  <c r="H3413" i="2"/>
  <c r="H3417" i="2"/>
  <c r="H3421" i="2"/>
  <c r="H3425" i="2"/>
  <c r="H3429" i="2"/>
  <c r="H3433" i="2"/>
  <c r="H3437" i="2"/>
  <c r="H3441" i="2"/>
  <c r="H3445" i="2"/>
  <c r="H3449" i="2"/>
  <c r="H3453" i="2"/>
  <c r="H3457" i="2"/>
  <c r="H3461" i="2"/>
  <c r="H3465" i="2"/>
  <c r="H3469" i="2"/>
  <c r="H3473" i="2"/>
  <c r="H3477" i="2"/>
  <c r="H3481" i="2"/>
  <c r="H3485" i="2"/>
  <c r="H3489" i="2"/>
  <c r="H3493" i="2"/>
  <c r="H3497" i="2"/>
  <c r="H3501" i="2"/>
  <c r="H3505" i="2"/>
  <c r="H3509" i="2"/>
  <c r="H3513" i="2"/>
  <c r="H3517" i="2"/>
  <c r="H3521" i="2"/>
  <c r="H3525" i="2"/>
  <c r="H3529" i="2"/>
  <c r="H3533" i="2"/>
  <c r="H3537" i="2"/>
  <c r="H3541" i="2"/>
  <c r="H4508" i="2"/>
  <c r="H4512" i="2"/>
  <c r="H4516" i="2"/>
  <c r="H4520" i="2"/>
  <c r="H4524" i="2"/>
  <c r="H4528" i="2"/>
  <c r="H4532" i="2"/>
  <c r="H4536" i="2"/>
  <c r="H4540" i="2"/>
  <c r="H4544" i="2"/>
  <c r="H4548" i="2"/>
  <c r="H4552" i="2"/>
  <c r="H4556" i="2"/>
  <c r="H4560" i="2"/>
  <c r="H4564" i="2"/>
  <c r="H4568" i="2"/>
  <c r="H4572" i="2"/>
  <c r="H4576" i="2"/>
  <c r="H4580" i="2"/>
  <c r="H4584" i="2"/>
  <c r="H4588" i="2"/>
  <c r="H4592" i="2"/>
  <c r="H4596" i="2"/>
  <c r="H4600" i="2"/>
  <c r="H4604" i="2"/>
  <c r="H4506" i="2"/>
  <c r="H4510" i="2"/>
  <c r="H4514" i="2"/>
  <c r="H4518" i="2"/>
  <c r="H4522" i="2"/>
  <c r="H4526" i="2"/>
  <c r="H4530" i="2"/>
  <c r="H4534" i="2"/>
  <c r="H4538" i="2"/>
  <c r="H4542" i="2"/>
  <c r="H4546" i="2"/>
  <c r="H4550" i="2"/>
  <c r="H4554" i="2"/>
  <c r="H4558" i="2"/>
  <c r="H4562" i="2"/>
  <c r="H4566" i="2"/>
  <c r="H4570" i="2"/>
  <c r="H4574" i="2"/>
  <c r="H4578" i="2"/>
  <c r="H4582" i="2"/>
  <c r="H4586" i="2"/>
  <c r="H4590" i="2"/>
  <c r="H4594" i="2"/>
  <c r="H4598" i="2"/>
  <c r="H4602" i="2"/>
  <c r="H4708" i="2"/>
  <c r="H4712" i="2"/>
  <c r="H4716" i="2"/>
  <c r="H4720" i="2"/>
  <c r="H4724" i="2"/>
  <c r="H4728" i="2"/>
  <c r="H4732" i="2"/>
  <c r="H4736" i="2"/>
  <c r="H4740" i="2"/>
  <c r="H4744" i="2"/>
  <c r="H4748" i="2"/>
  <c r="H4752" i="2"/>
  <c r="H4756" i="2"/>
  <c r="H4760" i="2"/>
  <c r="H4710" i="2"/>
  <c r="H4714" i="2"/>
  <c r="H4718" i="2"/>
  <c r="H4722" i="2"/>
  <c r="H4726" i="2"/>
  <c r="H4730" i="2"/>
  <c r="H4734" i="2"/>
  <c r="H4738" i="2"/>
  <c r="H4742" i="2"/>
  <c r="H4746" i="2"/>
  <c r="H4750" i="2"/>
  <c r="H4754" i="2"/>
  <c r="H4758" i="2"/>
  <c r="H4904" i="2"/>
  <c r="P14" i="3"/>
  <c r="P12" i="3"/>
  <c r="H1978" i="2"/>
  <c r="H2010" i="2"/>
  <c r="H2042" i="2"/>
  <c r="H2058" i="2"/>
  <c r="H2074" i="2"/>
  <c r="H2090" i="2"/>
  <c r="H2106" i="2"/>
  <c r="H2122" i="2"/>
  <c r="H2138" i="2"/>
  <c r="H2154" i="2"/>
  <c r="H2170" i="2"/>
  <c r="H2186" i="2"/>
  <c r="H2202" i="2"/>
  <c r="H2218" i="2"/>
  <c r="H2234" i="2"/>
  <c r="H2250" i="2"/>
  <c r="H2266" i="2"/>
  <c r="H2282" i="2"/>
  <c r="H2298" i="2"/>
  <c r="H2676" i="2"/>
  <c r="P5" i="3"/>
  <c r="P8" i="3"/>
  <c r="O11" i="3"/>
  <c r="H1858" i="2"/>
  <c r="H1874" i="2"/>
  <c r="H1890" i="2"/>
  <c r="H1906" i="2"/>
  <c r="H1922" i="2"/>
  <c r="H1938" i="2"/>
  <c r="H1954" i="2"/>
  <c r="H1998" i="2"/>
  <c r="H2030" i="2"/>
  <c r="H2612" i="2"/>
  <c r="H1986" i="2"/>
  <c r="H2018" i="2"/>
  <c r="H2054" i="2"/>
  <c r="H2070" i="2"/>
  <c r="H2086" i="2"/>
  <c r="H2102" i="2"/>
  <c r="H2118" i="2"/>
  <c r="H2134" i="2"/>
  <c r="H2150" i="2"/>
  <c r="H2166" i="2"/>
  <c r="H2182" i="2"/>
  <c r="H2198" i="2"/>
  <c r="H2214" i="2"/>
  <c r="H2230" i="2"/>
  <c r="H2246" i="2"/>
  <c r="H2262" i="2"/>
  <c r="H2278" i="2"/>
  <c r="H2294" i="2"/>
  <c r="O3" i="3"/>
  <c r="H1854" i="2"/>
  <c r="H1870" i="2"/>
  <c r="H1886" i="2"/>
  <c r="H1902" i="2"/>
  <c r="H1918" i="2"/>
  <c r="H1934" i="2"/>
  <c r="H1950" i="2"/>
  <c r="H1966" i="2"/>
  <c r="H1974" i="2"/>
  <c r="H2006" i="2"/>
  <c r="H2038" i="2"/>
  <c r="H2708" i="2"/>
  <c r="F15" i="3"/>
  <c r="H1994" i="2"/>
  <c r="H2026" i="2"/>
  <c r="H2050" i="2"/>
  <c r="H2066" i="2"/>
  <c r="H2082" i="2"/>
  <c r="H2098" i="2"/>
  <c r="H2114" i="2"/>
  <c r="H2130" i="2"/>
  <c r="H2146" i="2"/>
  <c r="H2162" i="2"/>
  <c r="H2178" i="2"/>
  <c r="H2194" i="2"/>
  <c r="H2210" i="2"/>
  <c r="H2226" i="2"/>
  <c r="H2242" i="2"/>
  <c r="H2258" i="2"/>
  <c r="H2274" i="2"/>
  <c r="H2290" i="2"/>
  <c r="H2306" i="2"/>
  <c r="O2" i="3"/>
  <c r="H1850" i="2"/>
  <c r="H1866" i="2"/>
  <c r="H1882" i="2"/>
  <c r="H1898" i="2"/>
  <c r="H1914" i="2"/>
  <c r="H1930" i="2"/>
  <c r="H1946" i="2"/>
  <c r="H1962" i="2"/>
  <c r="H1982" i="2"/>
  <c r="H2014" i="2"/>
  <c r="H2644" i="2"/>
  <c r="H1970" i="2"/>
  <c r="H2002" i="2"/>
  <c r="H2034" i="2"/>
  <c r="H2046" i="2"/>
  <c r="H2062" i="2"/>
  <c r="H2078" i="2"/>
  <c r="H2094" i="2"/>
  <c r="H2110" i="2"/>
  <c r="H2126" i="2"/>
  <c r="H2142" i="2"/>
  <c r="H2158" i="2"/>
  <c r="H2174" i="2"/>
  <c r="H2190" i="2"/>
  <c r="H2206" i="2"/>
  <c r="H2222" i="2"/>
  <c r="H2238" i="2"/>
  <c r="H2254" i="2"/>
  <c r="H2270" i="2"/>
  <c r="H2286" i="2"/>
  <c r="H2302" i="2"/>
  <c r="H1862" i="2"/>
  <c r="H1878" i="2"/>
  <c r="H1894" i="2"/>
  <c r="H1910" i="2"/>
  <c r="H1926" i="2"/>
  <c r="H1942" i="2"/>
  <c r="H1958" i="2"/>
  <c r="H1990" i="2"/>
  <c r="H2022" i="2"/>
  <c r="H3582" i="2"/>
  <c r="H3598" i="2"/>
  <c r="H3614" i="2"/>
  <c r="H3630" i="2"/>
  <c r="H3646" i="2"/>
  <c r="H3662" i="2"/>
  <c r="H3678" i="2"/>
  <c r="H3694" i="2"/>
  <c r="H3710" i="2"/>
  <c r="H3722" i="2"/>
  <c r="H3730" i="2"/>
  <c r="H3738" i="2"/>
  <c r="H3746" i="2"/>
  <c r="H3754" i="2"/>
  <c r="H3762" i="2"/>
  <c r="H3770" i="2"/>
  <c r="H3778" i="2"/>
  <c r="H3786" i="2"/>
  <c r="H3794" i="2"/>
  <c r="H3802" i="2"/>
  <c r="H3810" i="2"/>
  <c r="H3827" i="2"/>
  <c r="H3843" i="2"/>
  <c r="H3859" i="2"/>
  <c r="H3875" i="2"/>
  <c r="H3891" i="2"/>
  <c r="H3907" i="2"/>
  <c r="H3923" i="2"/>
  <c r="H3939" i="2"/>
  <c r="H3955" i="2"/>
  <c r="H3971" i="2"/>
  <c r="H3586" i="2"/>
  <c r="H3602" i="2"/>
  <c r="H3618" i="2"/>
  <c r="H3634" i="2"/>
  <c r="H3650" i="2"/>
  <c r="H3666" i="2"/>
  <c r="H3682" i="2"/>
  <c r="H3698" i="2"/>
  <c r="H3714" i="2"/>
  <c r="H3724" i="2"/>
  <c r="H3732" i="2"/>
  <c r="H3740" i="2"/>
  <c r="H3748" i="2"/>
  <c r="H3756" i="2"/>
  <c r="H3764" i="2"/>
  <c r="H3772" i="2"/>
  <c r="H3780" i="2"/>
  <c r="H3788" i="2"/>
  <c r="H3796" i="2"/>
  <c r="H3804" i="2"/>
  <c r="H3812" i="2"/>
  <c r="H3831" i="2"/>
  <c r="H3847" i="2"/>
  <c r="H3863" i="2"/>
  <c r="H3879" i="2"/>
  <c r="H3895" i="2"/>
  <c r="H3911" i="2"/>
  <c r="H3927" i="2"/>
  <c r="H3943" i="2"/>
  <c r="H3959" i="2"/>
  <c r="H3975" i="2"/>
  <c r="H3579" i="2"/>
  <c r="H3583" i="2"/>
  <c r="H3587" i="2"/>
  <c r="H3591" i="2"/>
  <c r="H3595" i="2"/>
  <c r="H3599" i="2"/>
  <c r="H3603" i="2"/>
  <c r="H3607" i="2"/>
  <c r="H3611" i="2"/>
  <c r="H3615" i="2"/>
  <c r="H3619" i="2"/>
  <c r="H3623" i="2"/>
  <c r="H3627" i="2"/>
  <c r="H3631" i="2"/>
  <c r="H3635" i="2"/>
  <c r="H3639" i="2"/>
  <c r="H3643" i="2"/>
  <c r="H3647" i="2"/>
  <c r="H3651" i="2"/>
  <c r="H3655" i="2"/>
  <c r="H3659" i="2"/>
  <c r="H3663" i="2"/>
  <c r="H3667" i="2"/>
  <c r="H3671" i="2"/>
  <c r="H3675" i="2"/>
  <c r="H3679" i="2"/>
  <c r="H3683" i="2"/>
  <c r="H3687" i="2"/>
  <c r="H3691" i="2"/>
  <c r="H3695" i="2"/>
  <c r="H3699" i="2"/>
  <c r="H3703" i="2"/>
  <c r="H3707" i="2"/>
  <c r="H3711" i="2"/>
  <c r="H3715" i="2"/>
  <c r="H3719" i="2"/>
  <c r="H3723" i="2"/>
  <c r="H3727" i="2"/>
  <c r="H3731" i="2"/>
  <c r="H3735" i="2"/>
  <c r="H3739" i="2"/>
  <c r="H3743" i="2"/>
  <c r="H3747" i="2"/>
  <c r="H3751" i="2"/>
  <c r="H3755" i="2"/>
  <c r="H3759" i="2"/>
  <c r="H3763" i="2"/>
  <c r="H3767" i="2"/>
  <c r="H3771" i="2"/>
  <c r="H3775" i="2"/>
  <c r="H3779" i="2"/>
  <c r="H3783" i="2"/>
  <c r="H3787" i="2"/>
  <c r="H3791" i="2"/>
  <c r="H3795" i="2"/>
  <c r="H3799" i="2"/>
  <c r="H3803" i="2"/>
  <c r="H3807" i="2"/>
  <c r="H3811" i="2"/>
  <c r="H3815" i="2"/>
  <c r="H3821" i="2"/>
  <c r="H3822" i="2"/>
  <c r="H3829" i="2"/>
  <c r="H3830" i="2"/>
  <c r="H3837" i="2"/>
  <c r="H3838" i="2"/>
  <c r="H3845" i="2"/>
  <c r="H3846" i="2"/>
  <c r="H3853" i="2"/>
  <c r="H3854" i="2"/>
  <c r="H3861" i="2"/>
  <c r="H3862" i="2"/>
  <c r="H3869" i="2"/>
  <c r="H3870" i="2"/>
  <c r="H3877" i="2"/>
  <c r="H3878" i="2"/>
  <c r="H3885" i="2"/>
  <c r="H3886" i="2"/>
  <c r="H3893" i="2"/>
  <c r="H3894" i="2"/>
  <c r="H3901" i="2"/>
  <c r="H3902" i="2"/>
  <c r="H3909" i="2"/>
  <c r="H3910" i="2"/>
  <c r="H3917" i="2"/>
  <c r="H3918" i="2"/>
  <c r="H3925" i="2"/>
  <c r="H3926" i="2"/>
  <c r="H3933" i="2"/>
  <c r="H3934" i="2"/>
  <c r="H3941" i="2"/>
  <c r="H3942" i="2"/>
  <c r="H3949" i="2"/>
  <c r="H3950" i="2"/>
  <c r="H3957" i="2"/>
  <c r="H3958" i="2"/>
  <c r="H3965" i="2"/>
  <c r="H3966" i="2"/>
  <c r="H3973" i="2"/>
  <c r="H3974" i="2"/>
  <c r="H3981" i="2"/>
  <c r="H3989" i="2"/>
  <c r="H3993" i="2"/>
  <c r="H3997" i="2"/>
  <c r="H4004" i="2"/>
  <c r="H3577" i="2"/>
  <c r="H3581" i="2"/>
  <c r="H3585" i="2"/>
  <c r="H3589" i="2"/>
  <c r="H3593" i="2"/>
  <c r="H3597" i="2"/>
  <c r="H3601" i="2"/>
  <c r="H3605" i="2"/>
  <c r="H3609" i="2"/>
  <c r="H3613" i="2"/>
  <c r="H3617" i="2"/>
  <c r="H3621" i="2"/>
  <c r="H3625" i="2"/>
  <c r="H3629" i="2"/>
  <c r="H3633" i="2"/>
  <c r="H3637" i="2"/>
  <c r="H3641" i="2"/>
  <c r="H3645" i="2"/>
  <c r="H3649" i="2"/>
  <c r="H3653" i="2"/>
  <c r="H3657" i="2"/>
  <c r="H3661" i="2"/>
  <c r="H3665" i="2"/>
  <c r="H3669" i="2"/>
  <c r="H3673" i="2"/>
  <c r="H3677" i="2"/>
  <c r="H3681" i="2"/>
  <c r="H3685" i="2"/>
  <c r="H3689" i="2"/>
  <c r="H3693" i="2"/>
  <c r="H3697" i="2"/>
  <c r="H3701" i="2"/>
  <c r="H3705" i="2"/>
  <c r="H3709" i="2"/>
  <c r="H3713" i="2"/>
  <c r="H3717" i="2"/>
  <c r="H3721" i="2"/>
  <c r="H3725" i="2"/>
  <c r="H3729" i="2"/>
  <c r="H3733" i="2"/>
  <c r="H3737" i="2"/>
  <c r="H3741" i="2"/>
  <c r="H3745" i="2"/>
  <c r="H3749" i="2"/>
  <c r="H3753" i="2"/>
  <c r="H3757" i="2"/>
  <c r="H3761" i="2"/>
  <c r="H3765" i="2"/>
  <c r="H3769" i="2"/>
  <c r="H3773" i="2"/>
  <c r="H3777" i="2"/>
  <c r="H3781" i="2"/>
  <c r="H3785" i="2"/>
  <c r="H3789" i="2"/>
  <c r="H3793" i="2"/>
  <c r="H3797" i="2"/>
  <c r="H3801" i="2"/>
  <c r="H3805" i="2"/>
  <c r="H3809" i="2"/>
  <c r="H3813" i="2"/>
  <c r="H3817" i="2"/>
  <c r="H3818" i="2"/>
  <c r="H3825" i="2"/>
  <c r="H3826" i="2"/>
  <c r="H3833" i="2"/>
  <c r="H3834" i="2"/>
  <c r="H3841" i="2"/>
  <c r="H3842" i="2"/>
  <c r="H3849" i="2"/>
  <c r="H3850" i="2"/>
  <c r="H3857" i="2"/>
  <c r="H3858" i="2"/>
  <c r="H3865" i="2"/>
  <c r="H3866" i="2"/>
  <c r="H3873" i="2"/>
  <c r="H3874" i="2"/>
  <c r="H3881" i="2"/>
  <c r="H3882" i="2"/>
  <c r="H3889" i="2"/>
  <c r="H3890" i="2"/>
  <c r="H3897" i="2"/>
  <c r="H3898" i="2"/>
  <c r="H3905" i="2"/>
  <c r="H3906" i="2"/>
  <c r="H3913" i="2"/>
  <c r="H3914" i="2"/>
  <c r="H3921" i="2"/>
  <c r="H3922" i="2"/>
  <c r="H3929" i="2"/>
  <c r="H3930" i="2"/>
  <c r="H3937" i="2"/>
  <c r="H3938" i="2"/>
  <c r="H3945" i="2"/>
  <c r="H3946" i="2"/>
  <c r="H3953" i="2"/>
  <c r="H3954" i="2"/>
  <c r="H3961" i="2"/>
  <c r="H3962" i="2"/>
  <c r="H3969" i="2"/>
  <c r="H3970" i="2"/>
  <c r="H3977" i="2"/>
  <c r="H3985" i="2"/>
  <c r="H3991" i="2"/>
  <c r="H3995" i="2"/>
  <c r="H4000" i="2"/>
  <c r="H4008" i="2"/>
  <c r="H4016" i="2"/>
  <c r="H3820" i="2"/>
  <c r="H3824" i="2"/>
  <c r="H3828" i="2"/>
  <c r="H3832" i="2"/>
  <c r="H3836" i="2"/>
  <c r="H3840" i="2"/>
  <c r="H3844" i="2"/>
  <c r="H3848" i="2"/>
  <c r="H3852" i="2"/>
  <c r="H3856" i="2"/>
  <c r="H3860" i="2"/>
  <c r="H3864" i="2"/>
  <c r="H3868" i="2"/>
  <c r="H3872" i="2"/>
  <c r="H3876" i="2"/>
  <c r="H3880" i="2"/>
  <c r="H3884" i="2"/>
  <c r="H3888" i="2"/>
  <c r="H3892" i="2"/>
  <c r="H3896" i="2"/>
  <c r="H3900" i="2"/>
  <c r="H3904" i="2"/>
  <c r="H3908" i="2"/>
  <c r="H3912" i="2"/>
  <c r="H3916" i="2"/>
  <c r="H3920" i="2"/>
  <c r="H3924" i="2"/>
  <c r="H3928" i="2"/>
  <c r="H3932" i="2"/>
  <c r="H3936" i="2"/>
  <c r="H3940" i="2"/>
  <c r="H3944" i="2"/>
  <c r="H3948" i="2"/>
  <c r="H3952" i="2"/>
  <c r="H3956" i="2"/>
  <c r="H3960" i="2"/>
  <c r="H3964" i="2"/>
  <c r="H3968" i="2"/>
  <c r="H3972" i="2"/>
  <c r="H3976" i="2"/>
  <c r="H3980" i="2"/>
  <c r="H3984" i="2"/>
  <c r="H4012" i="2"/>
  <c r="H4020" i="2"/>
  <c r="H4028" i="2"/>
  <c r="H4036" i="2"/>
  <c r="H4044" i="2"/>
  <c r="H4052" i="2"/>
  <c r="H4060" i="2"/>
  <c r="H4068" i="2"/>
  <c r="H3978" i="2"/>
  <c r="H3982" i="2"/>
  <c r="H3986" i="2"/>
  <c r="H4024" i="2"/>
  <c r="H4032" i="2"/>
  <c r="H4040" i="2"/>
  <c r="H4048" i="2"/>
  <c r="H4056" i="2"/>
  <c r="H4064" i="2"/>
  <c r="H4376" i="2"/>
  <c r="H4378" i="2"/>
  <c r="H4380" i="2"/>
  <c r="H4382" i="2"/>
  <c r="H4384" i="2"/>
  <c r="H4386" i="2"/>
  <c r="H4388" i="2"/>
  <c r="H4390" i="2"/>
  <c r="H4392" i="2"/>
  <c r="H4394" i="2"/>
  <c r="H4396" i="2"/>
  <c r="H4398" i="2"/>
  <c r="H4400" i="2"/>
  <c r="H4402" i="2"/>
  <c r="H4404" i="2"/>
  <c r="H4406" i="2"/>
  <c r="H4408" i="2"/>
  <c r="H4410" i="2"/>
  <c r="H4412" i="2"/>
  <c r="H4414" i="2"/>
  <c r="H4416" i="2"/>
  <c r="H4418" i="2"/>
  <c r="H4420" i="2"/>
  <c r="H4422" i="2"/>
  <c r="H4424" i="2"/>
  <c r="H4426" i="2"/>
  <c r="H4428" i="2"/>
  <c r="H4430" i="2"/>
  <c r="H4432" i="2"/>
  <c r="H4434" i="2"/>
  <c r="H4436" i="2"/>
  <c r="H4438" i="2"/>
  <c r="H4440" i="2"/>
  <c r="H4442" i="2"/>
  <c r="H4444" i="2"/>
  <c r="H4446" i="2"/>
  <c r="H4448" i="2"/>
  <c r="H4450" i="2"/>
  <c r="H4451" i="2"/>
  <c r="F11" i="3"/>
  <c r="Q10" i="3" s="1"/>
  <c r="O10" i="3"/>
  <c r="O4" i="3"/>
  <c r="F14" i="3"/>
  <c r="Q4" i="3" s="1"/>
  <c r="O8" i="3"/>
  <c r="O13" i="3"/>
  <c r="O9" i="3"/>
  <c r="F10" i="3"/>
  <c r="O7" i="3"/>
  <c r="O5" i="3"/>
  <c r="H4001" i="2"/>
  <c r="H4005" i="2"/>
  <c r="H4009" i="2"/>
  <c r="H4013" i="2"/>
  <c r="H4017" i="2"/>
  <c r="H4021" i="2"/>
  <c r="H4025" i="2"/>
  <c r="H4029" i="2"/>
  <c r="H4033" i="2"/>
  <c r="H4037" i="2"/>
  <c r="H4041" i="2"/>
  <c r="H4045" i="2"/>
  <c r="H4049" i="2"/>
  <c r="H4053" i="2"/>
  <c r="H4057" i="2"/>
  <c r="H4061" i="2"/>
  <c r="H4065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6" i="2"/>
  <c r="H4328" i="2"/>
  <c r="H4330" i="2"/>
  <c r="H4332" i="2"/>
  <c r="H4334" i="2"/>
  <c r="H4336" i="2"/>
  <c r="H4338" i="2"/>
  <c r="H4340" i="2"/>
  <c r="P2" i="3"/>
  <c r="U3" i="3"/>
  <c r="F9" i="3"/>
  <c r="Q16" i="3" s="1"/>
  <c r="P11" i="3"/>
  <c r="F13" i="3"/>
  <c r="P3" i="3"/>
  <c r="F12" i="3"/>
  <c r="Q15" i="3" s="1"/>
  <c r="F16" i="3"/>
  <c r="Q6" i="3" s="1"/>
  <c r="H3999" i="2"/>
  <c r="H4003" i="2"/>
  <c r="H4007" i="2"/>
  <c r="H4011" i="2"/>
  <c r="H4015" i="2"/>
  <c r="H4019" i="2"/>
  <c r="H4023" i="2"/>
  <c r="H4027" i="2"/>
  <c r="H4031" i="2"/>
  <c r="H4035" i="2"/>
  <c r="H4039" i="2"/>
  <c r="H4043" i="2"/>
  <c r="H4047" i="2"/>
  <c r="H4051" i="2"/>
  <c r="H4055" i="2"/>
  <c r="H4059" i="2"/>
  <c r="H4063" i="2"/>
  <c r="H4067" i="2"/>
  <c r="H4965" i="2"/>
  <c r="H4969" i="2"/>
  <c r="H4973" i="2"/>
  <c r="H4977" i="2"/>
  <c r="H4981" i="2"/>
  <c r="H4985" i="2"/>
  <c r="H4989" i="2"/>
  <c r="H4993" i="2"/>
  <c r="H4997" i="2"/>
  <c r="H5001" i="2"/>
  <c r="H5005" i="2"/>
  <c r="H5009" i="2"/>
  <c r="H5013" i="2"/>
  <c r="H5017" i="2"/>
  <c r="H5021" i="2"/>
  <c r="H5025" i="2"/>
  <c r="H5029" i="2"/>
  <c r="H5033" i="2"/>
  <c r="H5037" i="2"/>
  <c r="H5041" i="2"/>
  <c r="H5045" i="2"/>
  <c r="H5049" i="2"/>
  <c r="H5053" i="2"/>
  <c r="H5057" i="2"/>
  <c r="H5061" i="2"/>
  <c r="H5065" i="2"/>
  <c r="H5069" i="2"/>
  <c r="H5073" i="2"/>
  <c r="H5077" i="2"/>
  <c r="H5081" i="2"/>
  <c r="H5085" i="2"/>
  <c r="H5089" i="2"/>
  <c r="H5093" i="2"/>
  <c r="H5097" i="2"/>
  <c r="H5101" i="2"/>
  <c r="H5105" i="2"/>
  <c r="H5109" i="2"/>
  <c r="H5113" i="2"/>
  <c r="H5117" i="2"/>
  <c r="H5121" i="2"/>
  <c r="H5125" i="2"/>
  <c r="H5129" i="2"/>
  <c r="H5133" i="2"/>
  <c r="H5137" i="2"/>
  <c r="H5141" i="2"/>
  <c r="H5145" i="2"/>
  <c r="H5149" i="2"/>
  <c r="H5153" i="2"/>
  <c r="H5157" i="2"/>
  <c r="H5161" i="2"/>
  <c r="H5165" i="2"/>
  <c r="H5169" i="2"/>
  <c r="H5173" i="2"/>
  <c r="H5177" i="2"/>
  <c r="H5181" i="2"/>
  <c r="H5185" i="2"/>
  <c r="H5189" i="2"/>
  <c r="H5193" i="2"/>
  <c r="H5197" i="2"/>
  <c r="H5201" i="2"/>
  <c r="H5205" i="2"/>
  <c r="H5209" i="2"/>
  <c r="H5213" i="2"/>
  <c r="H5217" i="2"/>
  <c r="H5221" i="2"/>
  <c r="H5225" i="2"/>
  <c r="H5229" i="2"/>
  <c r="H5233" i="2"/>
  <c r="H5237" i="2"/>
  <c r="H5241" i="2"/>
  <c r="H5245" i="2"/>
  <c r="H5249" i="2"/>
  <c r="H5253" i="2"/>
  <c r="H5257" i="2"/>
  <c r="H5261" i="2"/>
  <c r="H5265" i="2"/>
  <c r="H5269" i="2"/>
  <c r="H5273" i="2"/>
  <c r="H5277" i="2"/>
  <c r="H5281" i="2"/>
  <c r="H5285" i="2"/>
  <c r="H5289" i="2"/>
  <c r="H5293" i="2"/>
  <c r="H5297" i="2"/>
  <c r="H5301" i="2"/>
  <c r="H5305" i="2"/>
  <c r="H5309" i="2"/>
  <c r="H5313" i="2"/>
  <c r="H5317" i="2"/>
  <c r="H5321" i="2"/>
  <c r="H5325" i="2"/>
  <c r="H5329" i="2"/>
  <c r="H5333" i="2"/>
  <c r="H5337" i="2"/>
  <c r="H5341" i="2"/>
  <c r="H5345" i="2"/>
  <c r="H5349" i="2"/>
  <c r="H5353" i="2"/>
  <c r="H4963" i="2"/>
  <c r="H4967" i="2"/>
  <c r="H4971" i="2"/>
  <c r="H4975" i="2"/>
  <c r="H4979" i="2"/>
  <c r="H4983" i="2"/>
  <c r="H4987" i="2"/>
  <c r="H4991" i="2"/>
  <c r="H4995" i="2"/>
  <c r="H4999" i="2"/>
  <c r="H5003" i="2"/>
  <c r="H5007" i="2"/>
  <c r="H5011" i="2"/>
  <c r="H5015" i="2"/>
  <c r="H5019" i="2"/>
  <c r="H5023" i="2"/>
  <c r="H5027" i="2"/>
  <c r="H5031" i="2"/>
  <c r="H5035" i="2"/>
  <c r="H5039" i="2"/>
  <c r="H5043" i="2"/>
  <c r="H5047" i="2"/>
  <c r="H5051" i="2"/>
  <c r="H5055" i="2"/>
  <c r="H5059" i="2"/>
  <c r="H5063" i="2"/>
  <c r="H5067" i="2"/>
  <c r="H5071" i="2"/>
  <c r="H5075" i="2"/>
  <c r="H5079" i="2"/>
  <c r="H5083" i="2"/>
  <c r="H5087" i="2"/>
  <c r="H5091" i="2"/>
  <c r="H5095" i="2"/>
  <c r="H5099" i="2"/>
  <c r="H5103" i="2"/>
  <c r="H5107" i="2"/>
  <c r="H5111" i="2"/>
  <c r="H5115" i="2"/>
  <c r="H5119" i="2"/>
  <c r="H5123" i="2"/>
  <c r="H5127" i="2"/>
  <c r="H5131" i="2"/>
  <c r="H5135" i="2"/>
  <c r="H5139" i="2"/>
  <c r="H5143" i="2"/>
  <c r="H5147" i="2"/>
  <c r="H5151" i="2"/>
  <c r="H5155" i="2"/>
  <c r="H5159" i="2"/>
  <c r="H5163" i="2"/>
  <c r="H5167" i="2"/>
  <c r="H5171" i="2"/>
  <c r="H5175" i="2"/>
  <c r="H5179" i="2"/>
  <c r="H5183" i="2"/>
  <c r="H5187" i="2"/>
  <c r="H5191" i="2"/>
  <c r="H5195" i="2"/>
  <c r="H5199" i="2"/>
  <c r="H5203" i="2"/>
  <c r="H5207" i="2"/>
  <c r="H5211" i="2"/>
  <c r="H5215" i="2"/>
  <c r="H5219" i="2"/>
  <c r="H5223" i="2"/>
  <c r="H5227" i="2"/>
  <c r="H5231" i="2"/>
  <c r="H5235" i="2"/>
  <c r="H5239" i="2"/>
  <c r="H5243" i="2"/>
  <c r="H5247" i="2"/>
  <c r="H5251" i="2"/>
  <c r="H5255" i="2"/>
  <c r="H5259" i="2"/>
  <c r="H5263" i="2"/>
  <c r="H5267" i="2"/>
  <c r="H5271" i="2"/>
  <c r="H5275" i="2"/>
  <c r="H5279" i="2"/>
  <c r="H5283" i="2"/>
  <c r="H5287" i="2"/>
  <c r="H5291" i="2"/>
  <c r="H5295" i="2"/>
  <c r="H5299" i="2"/>
  <c r="H5303" i="2"/>
  <c r="H5307" i="2"/>
  <c r="H5311" i="2"/>
  <c r="H5315" i="2"/>
  <c r="H5319" i="2"/>
  <c r="H5323" i="2"/>
  <c r="H5327" i="2"/>
  <c r="H5331" i="2"/>
  <c r="H5335" i="2"/>
  <c r="H5339" i="2"/>
  <c r="H5343" i="2"/>
  <c r="H5347" i="2"/>
  <c r="H5351" i="2"/>
  <c r="H5355" i="2"/>
  <c r="J530" i="1" l="1"/>
  <c r="I531" i="1"/>
  <c r="K536" i="1"/>
  <c r="J523" i="1"/>
  <c r="K530" i="1"/>
  <c r="J531" i="1"/>
  <c r="I523" i="1"/>
  <c r="I526" i="1"/>
  <c r="K531" i="1"/>
  <c r="J526" i="1"/>
  <c r="I527" i="1"/>
  <c r="I528" i="1"/>
  <c r="I529" i="1"/>
  <c r="K523" i="1"/>
  <c r="K526" i="1"/>
  <c r="J527" i="1"/>
  <c r="J528" i="1"/>
  <c r="J529" i="1"/>
  <c r="I532" i="1"/>
  <c r="I533" i="1"/>
  <c r="K527" i="1"/>
  <c r="K528" i="1"/>
  <c r="K529" i="1"/>
  <c r="J532" i="1"/>
  <c r="J533" i="1"/>
  <c r="I534" i="1"/>
  <c r="I535" i="1"/>
  <c r="I524" i="1"/>
  <c r="I525" i="1"/>
  <c r="K532" i="1"/>
  <c r="K533" i="1"/>
  <c r="J534" i="1"/>
  <c r="J535" i="1"/>
  <c r="I536" i="1"/>
  <c r="J524" i="1"/>
  <c r="J525" i="1"/>
  <c r="K524" i="1"/>
  <c r="K525" i="1"/>
  <c r="I530" i="1"/>
  <c r="K534" i="1"/>
  <c r="K535" i="1"/>
  <c r="J536" i="1"/>
  <c r="I482" i="1"/>
  <c r="I522" i="1"/>
  <c r="K522" i="1"/>
  <c r="J522" i="1"/>
  <c r="I394" i="1"/>
  <c r="J395" i="1"/>
  <c r="K396" i="1"/>
  <c r="I398" i="1"/>
  <c r="J399" i="1"/>
  <c r="K400" i="1"/>
  <c r="I402" i="1"/>
  <c r="J403" i="1"/>
  <c r="K404" i="1"/>
  <c r="I406" i="1"/>
  <c r="J407" i="1"/>
  <c r="K408" i="1"/>
  <c r="I410" i="1"/>
  <c r="J411" i="1"/>
  <c r="K412" i="1"/>
  <c r="I414" i="1"/>
  <c r="J415" i="1"/>
  <c r="K416" i="1"/>
  <c r="I418" i="1"/>
  <c r="J419" i="1"/>
  <c r="K420" i="1"/>
  <c r="I422" i="1"/>
  <c r="J423" i="1"/>
  <c r="K424" i="1"/>
  <c r="I426" i="1"/>
  <c r="J427" i="1"/>
  <c r="K428" i="1"/>
  <c r="I430" i="1"/>
  <c r="J431" i="1"/>
  <c r="K432" i="1"/>
  <c r="I434" i="1"/>
  <c r="J435" i="1"/>
  <c r="K436" i="1"/>
  <c r="I438" i="1"/>
  <c r="J439" i="1"/>
  <c r="K440" i="1"/>
  <c r="I442" i="1"/>
  <c r="J443" i="1"/>
  <c r="K444" i="1"/>
  <c r="I446" i="1"/>
  <c r="J447" i="1"/>
  <c r="K448" i="1"/>
  <c r="I450" i="1"/>
  <c r="J451" i="1"/>
  <c r="K452" i="1"/>
  <c r="I454" i="1"/>
  <c r="J455" i="1"/>
  <c r="K456" i="1"/>
  <c r="I458" i="1"/>
  <c r="J459" i="1"/>
  <c r="K460" i="1"/>
  <c r="I462" i="1"/>
  <c r="J463" i="1"/>
  <c r="K464" i="1"/>
  <c r="I466" i="1"/>
  <c r="J467" i="1"/>
  <c r="K468" i="1"/>
  <c r="I470" i="1"/>
  <c r="J471" i="1"/>
  <c r="K472" i="1"/>
  <c r="I474" i="1"/>
  <c r="J475" i="1"/>
  <c r="K476" i="1"/>
  <c r="I478" i="1"/>
  <c r="J479" i="1"/>
  <c r="K480" i="1"/>
  <c r="J483" i="1"/>
  <c r="K484" i="1"/>
  <c r="I486" i="1"/>
  <c r="J487" i="1"/>
  <c r="K488" i="1"/>
  <c r="I490" i="1"/>
  <c r="J491" i="1"/>
  <c r="K492" i="1"/>
  <c r="I494" i="1"/>
  <c r="J495" i="1"/>
  <c r="K496" i="1"/>
  <c r="I498" i="1"/>
  <c r="J499" i="1"/>
  <c r="K500" i="1"/>
  <c r="I502" i="1"/>
  <c r="J503" i="1"/>
  <c r="K504" i="1"/>
  <c r="I506" i="1"/>
  <c r="J394" i="1"/>
  <c r="K395" i="1"/>
  <c r="I397" i="1"/>
  <c r="J398" i="1"/>
  <c r="K399" i="1"/>
  <c r="I401" i="1"/>
  <c r="J402" i="1"/>
  <c r="K403" i="1"/>
  <c r="I405" i="1"/>
  <c r="J406" i="1"/>
  <c r="K407" i="1"/>
  <c r="I409" i="1"/>
  <c r="J410" i="1"/>
  <c r="K411" i="1"/>
  <c r="I413" i="1"/>
  <c r="J414" i="1"/>
  <c r="K415" i="1"/>
  <c r="I417" i="1"/>
  <c r="J418" i="1"/>
  <c r="K419" i="1"/>
  <c r="I421" i="1"/>
  <c r="J422" i="1"/>
  <c r="K423" i="1"/>
  <c r="I425" i="1"/>
  <c r="J426" i="1"/>
  <c r="K427" i="1"/>
  <c r="I429" i="1"/>
  <c r="J430" i="1"/>
  <c r="K431" i="1"/>
  <c r="I433" i="1"/>
  <c r="J434" i="1"/>
  <c r="K435" i="1"/>
  <c r="I437" i="1"/>
  <c r="J438" i="1"/>
  <c r="K439" i="1"/>
  <c r="I441" i="1"/>
  <c r="J442" i="1"/>
  <c r="K443" i="1"/>
  <c r="I445" i="1"/>
  <c r="J446" i="1"/>
  <c r="K447" i="1"/>
  <c r="I449" i="1"/>
  <c r="J450" i="1"/>
  <c r="K451" i="1"/>
  <c r="I453" i="1"/>
  <c r="J454" i="1"/>
  <c r="K455" i="1"/>
  <c r="I457" i="1"/>
  <c r="J458" i="1"/>
  <c r="K459" i="1"/>
  <c r="I461" i="1"/>
  <c r="J462" i="1"/>
  <c r="K463" i="1"/>
  <c r="I465" i="1"/>
  <c r="J466" i="1"/>
  <c r="K467" i="1"/>
  <c r="I469" i="1"/>
  <c r="J470" i="1"/>
  <c r="K471" i="1"/>
  <c r="I473" i="1"/>
  <c r="J474" i="1"/>
  <c r="K475" i="1"/>
  <c r="I477" i="1"/>
  <c r="J478" i="1"/>
  <c r="K479" i="1"/>
  <c r="I481" i="1"/>
  <c r="J482" i="1"/>
  <c r="K483" i="1"/>
  <c r="I485" i="1"/>
  <c r="J486" i="1"/>
  <c r="K487" i="1"/>
  <c r="I489" i="1"/>
  <c r="J490" i="1"/>
  <c r="K491" i="1"/>
  <c r="I493" i="1"/>
  <c r="J494" i="1"/>
  <c r="K495" i="1"/>
  <c r="I497" i="1"/>
  <c r="J498" i="1"/>
  <c r="K499" i="1"/>
  <c r="I501" i="1"/>
  <c r="J502" i="1"/>
  <c r="K503" i="1"/>
  <c r="I505" i="1"/>
  <c r="J506" i="1"/>
  <c r="K394" i="1"/>
  <c r="I396" i="1"/>
  <c r="J397" i="1"/>
  <c r="K398" i="1"/>
  <c r="I400" i="1"/>
  <c r="J401" i="1"/>
  <c r="K402" i="1"/>
  <c r="I404" i="1"/>
  <c r="J405" i="1"/>
  <c r="K406" i="1"/>
  <c r="I408" i="1"/>
  <c r="J409" i="1"/>
  <c r="K410" i="1"/>
  <c r="I412" i="1"/>
  <c r="J413" i="1"/>
  <c r="K414" i="1"/>
  <c r="I416" i="1"/>
  <c r="J417" i="1"/>
  <c r="K418" i="1"/>
  <c r="I420" i="1"/>
  <c r="J421" i="1"/>
  <c r="K422" i="1"/>
  <c r="I424" i="1"/>
  <c r="J425" i="1"/>
  <c r="K426" i="1"/>
  <c r="I428" i="1"/>
  <c r="J429" i="1"/>
  <c r="K430" i="1"/>
  <c r="I432" i="1"/>
  <c r="J433" i="1"/>
  <c r="K434" i="1"/>
  <c r="I436" i="1"/>
  <c r="J437" i="1"/>
  <c r="K438" i="1"/>
  <c r="I440" i="1"/>
  <c r="J441" i="1"/>
  <c r="K442" i="1"/>
  <c r="I444" i="1"/>
  <c r="J445" i="1"/>
  <c r="K446" i="1"/>
  <c r="I448" i="1"/>
  <c r="J449" i="1"/>
  <c r="K450" i="1"/>
  <c r="I452" i="1"/>
  <c r="J453" i="1"/>
  <c r="K454" i="1"/>
  <c r="I456" i="1"/>
  <c r="J457" i="1"/>
  <c r="K458" i="1"/>
  <c r="I460" i="1"/>
  <c r="J461" i="1"/>
  <c r="K462" i="1"/>
  <c r="I464" i="1"/>
  <c r="J465" i="1"/>
  <c r="K466" i="1"/>
  <c r="I468" i="1"/>
  <c r="J469" i="1"/>
  <c r="K470" i="1"/>
  <c r="I472" i="1"/>
  <c r="J473" i="1"/>
  <c r="K474" i="1"/>
  <c r="I476" i="1"/>
  <c r="J477" i="1"/>
  <c r="K478" i="1"/>
  <c r="I480" i="1"/>
  <c r="J481" i="1"/>
  <c r="K482" i="1"/>
  <c r="I484" i="1"/>
  <c r="J485" i="1"/>
  <c r="K486" i="1"/>
  <c r="I488" i="1"/>
  <c r="J489" i="1"/>
  <c r="DN489" i="1" s="1"/>
  <c r="K490" i="1"/>
  <c r="I492" i="1"/>
  <c r="J493" i="1"/>
  <c r="K494" i="1"/>
  <c r="I496" i="1"/>
  <c r="J497" i="1"/>
  <c r="K498" i="1"/>
  <c r="I500" i="1"/>
  <c r="J501" i="1"/>
  <c r="K502" i="1"/>
  <c r="I504" i="1"/>
  <c r="J505" i="1"/>
  <c r="I395" i="1"/>
  <c r="J400" i="1"/>
  <c r="K405" i="1"/>
  <c r="I411" i="1"/>
  <c r="J416" i="1"/>
  <c r="K421" i="1"/>
  <c r="I427" i="1"/>
  <c r="J432" i="1"/>
  <c r="K437" i="1"/>
  <c r="I443" i="1"/>
  <c r="J448" i="1"/>
  <c r="K453" i="1"/>
  <c r="I459" i="1"/>
  <c r="J464" i="1"/>
  <c r="K469" i="1"/>
  <c r="I475" i="1"/>
  <c r="J480" i="1"/>
  <c r="K485" i="1"/>
  <c r="I491" i="1"/>
  <c r="J496" i="1"/>
  <c r="K501" i="1"/>
  <c r="K506" i="1"/>
  <c r="I508" i="1"/>
  <c r="J509" i="1"/>
  <c r="K510" i="1"/>
  <c r="I512" i="1"/>
  <c r="J513" i="1"/>
  <c r="K514" i="1"/>
  <c r="I516" i="1"/>
  <c r="J517" i="1"/>
  <c r="K518" i="1"/>
  <c r="I520" i="1"/>
  <c r="J521" i="1"/>
  <c r="K512" i="1"/>
  <c r="J515" i="1"/>
  <c r="I518" i="1"/>
  <c r="K520" i="1"/>
  <c r="J404" i="1"/>
  <c r="I415" i="1"/>
  <c r="I431" i="1"/>
  <c r="K441" i="1"/>
  <c r="J452" i="1"/>
  <c r="I463" i="1"/>
  <c r="K473" i="1"/>
  <c r="J484" i="1"/>
  <c r="I495" i="1"/>
  <c r="K505" i="1"/>
  <c r="I509" i="1"/>
  <c r="K511" i="1"/>
  <c r="J514" i="1"/>
  <c r="I517" i="1"/>
  <c r="K519" i="1"/>
  <c r="J396" i="1"/>
  <c r="K401" i="1"/>
  <c r="I407" i="1"/>
  <c r="J412" i="1"/>
  <c r="K417" i="1"/>
  <c r="I423" i="1"/>
  <c r="J428" i="1"/>
  <c r="K433" i="1"/>
  <c r="I439" i="1"/>
  <c r="J444" i="1"/>
  <c r="K449" i="1"/>
  <c r="I455" i="1"/>
  <c r="J460" i="1"/>
  <c r="K465" i="1"/>
  <c r="I471" i="1"/>
  <c r="J476" i="1"/>
  <c r="K481" i="1"/>
  <c r="I487" i="1"/>
  <c r="J492" i="1"/>
  <c r="K497" i="1"/>
  <c r="I503" i="1"/>
  <c r="I507" i="1"/>
  <c r="J508" i="1"/>
  <c r="K509" i="1"/>
  <c r="I511" i="1"/>
  <c r="J512" i="1"/>
  <c r="K513" i="1"/>
  <c r="I515" i="1"/>
  <c r="J516" i="1"/>
  <c r="K517" i="1"/>
  <c r="I519" i="1"/>
  <c r="J520" i="1"/>
  <c r="K521" i="1"/>
  <c r="K397" i="1"/>
  <c r="I403" i="1"/>
  <c r="J408" i="1"/>
  <c r="K413" i="1"/>
  <c r="I419" i="1"/>
  <c r="J424" i="1"/>
  <c r="K429" i="1"/>
  <c r="I435" i="1"/>
  <c r="J440" i="1"/>
  <c r="K445" i="1"/>
  <c r="I451" i="1"/>
  <c r="J456" i="1"/>
  <c r="K461" i="1"/>
  <c r="I467" i="1"/>
  <c r="J472" i="1"/>
  <c r="K477" i="1"/>
  <c r="I483" i="1"/>
  <c r="J488" i="1"/>
  <c r="DN488" i="1" s="1"/>
  <c r="K493" i="1"/>
  <c r="I499" i="1"/>
  <c r="J504" i="1"/>
  <c r="J507" i="1"/>
  <c r="K508" i="1"/>
  <c r="I510" i="1"/>
  <c r="J511" i="1"/>
  <c r="I514" i="1"/>
  <c r="K516" i="1"/>
  <c r="J519" i="1"/>
  <c r="I399" i="1"/>
  <c r="K409" i="1"/>
  <c r="J420" i="1"/>
  <c r="K425" i="1"/>
  <c r="J436" i="1"/>
  <c r="I447" i="1"/>
  <c r="K457" i="1"/>
  <c r="J468" i="1"/>
  <c r="I479" i="1"/>
  <c r="K489" i="1"/>
  <c r="J500" i="1"/>
  <c r="K507" i="1"/>
  <c r="J510" i="1"/>
  <c r="I513" i="1"/>
  <c r="K515" i="1"/>
  <c r="J518" i="1"/>
  <c r="I521" i="1"/>
  <c r="E489" i="1"/>
  <c r="J393" i="1"/>
  <c r="K393" i="1"/>
  <c r="I393" i="1"/>
  <c r="J379" i="1"/>
  <c r="J380" i="1"/>
  <c r="J381" i="1"/>
  <c r="J382" i="1"/>
  <c r="J383" i="1"/>
  <c r="J384" i="1"/>
  <c r="J385" i="1"/>
  <c r="J388" i="1"/>
  <c r="J389" i="1"/>
  <c r="J390" i="1"/>
  <c r="J391" i="1"/>
  <c r="I377" i="1"/>
  <c r="I375" i="1"/>
  <c r="I374" i="1"/>
  <c r="K379" i="1"/>
  <c r="K380" i="1"/>
  <c r="K381" i="1"/>
  <c r="K382" i="1"/>
  <c r="K383" i="1"/>
  <c r="K384" i="1"/>
  <c r="K385" i="1"/>
  <c r="K388" i="1"/>
  <c r="K389" i="1"/>
  <c r="K390" i="1"/>
  <c r="K391" i="1"/>
  <c r="J377" i="1"/>
  <c r="J375" i="1"/>
  <c r="J374" i="1"/>
  <c r="I383" i="1"/>
  <c r="I384" i="1"/>
  <c r="I388" i="1"/>
  <c r="I389" i="1"/>
  <c r="I390" i="1"/>
  <c r="I391" i="1"/>
  <c r="K377" i="1"/>
  <c r="K375" i="1"/>
  <c r="K374" i="1"/>
  <c r="I379" i="1"/>
  <c r="I380" i="1"/>
  <c r="I381" i="1"/>
  <c r="I382" i="1"/>
  <c r="I385" i="1"/>
  <c r="J365" i="1"/>
  <c r="J366" i="1"/>
  <c r="K369" i="1"/>
  <c r="K370" i="1"/>
  <c r="K371" i="1"/>
  <c r="K372" i="1"/>
  <c r="I357" i="1"/>
  <c r="K361" i="1"/>
  <c r="K362" i="1"/>
  <c r="K363" i="1"/>
  <c r="K364" i="1"/>
  <c r="J353" i="1"/>
  <c r="J354" i="1"/>
  <c r="J339" i="1"/>
  <c r="K341" i="1"/>
  <c r="K342" i="1"/>
  <c r="I344" i="1"/>
  <c r="I345" i="1"/>
  <c r="I346" i="1"/>
  <c r="I347" i="1"/>
  <c r="I355" i="1"/>
  <c r="I356" i="1"/>
  <c r="K365" i="1"/>
  <c r="K366" i="1"/>
  <c r="J357" i="1"/>
  <c r="I359" i="1"/>
  <c r="I348" i="1"/>
  <c r="I349" i="1"/>
  <c r="K353" i="1"/>
  <c r="K354" i="1"/>
  <c r="K339" i="1"/>
  <c r="J344" i="1"/>
  <c r="J345" i="1"/>
  <c r="J346" i="1"/>
  <c r="J347" i="1"/>
  <c r="J355" i="1"/>
  <c r="J356" i="1"/>
  <c r="I342" i="1"/>
  <c r="K345" i="1"/>
  <c r="K347" i="1"/>
  <c r="K356" i="1"/>
  <c r="I369" i="1"/>
  <c r="I370" i="1"/>
  <c r="I371" i="1"/>
  <c r="I372" i="1"/>
  <c r="K357" i="1"/>
  <c r="J359" i="1"/>
  <c r="I361" i="1"/>
  <c r="I362" i="1"/>
  <c r="I363" i="1"/>
  <c r="I364" i="1"/>
  <c r="J348" i="1"/>
  <c r="J349" i="1"/>
  <c r="I341" i="1"/>
  <c r="K344" i="1"/>
  <c r="K346" i="1"/>
  <c r="K355" i="1"/>
  <c r="I365" i="1"/>
  <c r="I366" i="1"/>
  <c r="J369" i="1"/>
  <c r="J370" i="1"/>
  <c r="J371" i="1"/>
  <c r="J372" i="1"/>
  <c r="K359" i="1"/>
  <c r="J361" i="1"/>
  <c r="J362" i="1"/>
  <c r="J363" i="1"/>
  <c r="J364" i="1"/>
  <c r="K348" i="1"/>
  <c r="K349" i="1"/>
  <c r="I353" i="1"/>
  <c r="I354" i="1"/>
  <c r="I339" i="1"/>
  <c r="J341" i="1"/>
  <c r="J342" i="1"/>
  <c r="K336" i="1"/>
  <c r="K335" i="1"/>
  <c r="I336" i="1"/>
  <c r="I338" i="1"/>
  <c r="I335" i="1"/>
  <c r="J338" i="1"/>
  <c r="K338" i="1"/>
  <c r="J336" i="1"/>
  <c r="J335" i="1"/>
  <c r="K321" i="1"/>
  <c r="K322" i="1"/>
  <c r="K323" i="1"/>
  <c r="I326" i="1"/>
  <c r="I327" i="1"/>
  <c r="I328" i="1"/>
  <c r="I329" i="1"/>
  <c r="I330" i="1"/>
  <c r="I331" i="1"/>
  <c r="J326" i="1"/>
  <c r="J327" i="1"/>
  <c r="J328" i="1"/>
  <c r="J329" i="1"/>
  <c r="J330" i="1"/>
  <c r="J331" i="1"/>
  <c r="I337" i="1"/>
  <c r="I321" i="1"/>
  <c r="I322" i="1"/>
  <c r="I323" i="1"/>
  <c r="K326" i="1"/>
  <c r="K327" i="1"/>
  <c r="K328" i="1"/>
  <c r="K329" i="1"/>
  <c r="K330" i="1"/>
  <c r="K331" i="1"/>
  <c r="J321" i="1"/>
  <c r="J322" i="1"/>
  <c r="J323" i="1"/>
  <c r="J337" i="1"/>
  <c r="K337" i="1"/>
  <c r="I313" i="1"/>
  <c r="J313" i="1"/>
  <c r="K313" i="1"/>
  <c r="K304" i="1"/>
  <c r="K305" i="1"/>
  <c r="I308" i="1"/>
  <c r="I309" i="1"/>
  <c r="I316" i="1"/>
  <c r="I293" i="1"/>
  <c r="J308" i="1"/>
  <c r="J309" i="1"/>
  <c r="I310" i="1"/>
  <c r="I311" i="1"/>
  <c r="I312" i="1"/>
  <c r="I314" i="1"/>
  <c r="J316" i="1"/>
  <c r="I294" i="1"/>
  <c r="I298" i="1"/>
  <c r="I299" i="1"/>
  <c r="I300" i="1"/>
  <c r="I301" i="1"/>
  <c r="I302" i="1"/>
  <c r="I303" i="1"/>
  <c r="I306" i="1"/>
  <c r="I317" i="1"/>
  <c r="I287" i="1"/>
  <c r="I285" i="1"/>
  <c r="I284" i="1"/>
  <c r="I286" i="1"/>
  <c r="I288" i="1"/>
  <c r="I289" i="1"/>
  <c r="I290" i="1"/>
  <c r="I291" i="1"/>
  <c r="I292" i="1"/>
  <c r="I295" i="1"/>
  <c r="I296" i="1"/>
  <c r="I297" i="1"/>
  <c r="I318" i="1"/>
  <c r="I319" i="1"/>
  <c r="I304" i="1"/>
  <c r="I305" i="1"/>
  <c r="K308" i="1"/>
  <c r="K309" i="1"/>
  <c r="J310" i="1"/>
  <c r="J311" i="1"/>
  <c r="J312" i="1"/>
  <c r="J314" i="1"/>
  <c r="K316" i="1"/>
  <c r="J294" i="1"/>
  <c r="J298" i="1"/>
  <c r="J299" i="1"/>
  <c r="J300" i="1"/>
  <c r="J301" i="1"/>
  <c r="J302" i="1"/>
  <c r="J303" i="1"/>
  <c r="J306" i="1"/>
  <c r="J317" i="1"/>
  <c r="J287" i="1"/>
  <c r="J285" i="1"/>
  <c r="J284" i="1"/>
  <c r="J286" i="1"/>
  <c r="J288" i="1"/>
  <c r="J289" i="1"/>
  <c r="J290" i="1"/>
  <c r="J291" i="1"/>
  <c r="J292" i="1"/>
  <c r="J293" i="1"/>
  <c r="J295" i="1"/>
  <c r="J296" i="1"/>
  <c r="J297" i="1"/>
  <c r="J318" i="1"/>
  <c r="J319" i="1"/>
  <c r="J304" i="1"/>
  <c r="J305" i="1"/>
  <c r="K310" i="1"/>
  <c r="K311" i="1"/>
  <c r="K312" i="1"/>
  <c r="K314" i="1"/>
  <c r="K294" i="1"/>
  <c r="K298" i="1"/>
  <c r="K299" i="1"/>
  <c r="K300" i="1"/>
  <c r="K301" i="1"/>
  <c r="K302" i="1"/>
  <c r="K303" i="1"/>
  <c r="K306" i="1"/>
  <c r="K317" i="1"/>
  <c r="K287" i="1"/>
  <c r="K285" i="1"/>
  <c r="K284" i="1"/>
  <c r="K286" i="1"/>
  <c r="K288" i="1"/>
  <c r="K289" i="1"/>
  <c r="K290" i="1"/>
  <c r="K291" i="1"/>
  <c r="K292" i="1"/>
  <c r="K293" i="1"/>
  <c r="K295" i="1"/>
  <c r="K296" i="1"/>
  <c r="K297" i="1"/>
  <c r="K318" i="1"/>
  <c r="K319" i="1"/>
  <c r="J267" i="1"/>
  <c r="J268" i="1"/>
  <c r="J269" i="1"/>
  <c r="J270" i="1"/>
  <c r="J271" i="1"/>
  <c r="J272" i="1"/>
  <c r="J273" i="1"/>
  <c r="I274" i="1"/>
  <c r="I275" i="1"/>
  <c r="I276" i="1"/>
  <c r="I277" i="1"/>
  <c r="I278" i="1"/>
  <c r="I320" i="1"/>
  <c r="I266" i="1"/>
  <c r="K267" i="1"/>
  <c r="K268" i="1"/>
  <c r="K269" i="1"/>
  <c r="K270" i="1"/>
  <c r="K271" i="1"/>
  <c r="K272" i="1"/>
  <c r="K273" i="1"/>
  <c r="J274" i="1"/>
  <c r="J275" i="1"/>
  <c r="J276" i="1"/>
  <c r="J277" i="1"/>
  <c r="J278" i="1"/>
  <c r="I279" i="1"/>
  <c r="I280" i="1"/>
  <c r="I281" i="1"/>
  <c r="I282" i="1"/>
  <c r="I283" i="1"/>
  <c r="J266" i="1"/>
  <c r="K274" i="1"/>
  <c r="K275" i="1"/>
  <c r="K276" i="1"/>
  <c r="K277" i="1"/>
  <c r="K278" i="1"/>
  <c r="J279" i="1"/>
  <c r="J280" i="1"/>
  <c r="J281" i="1"/>
  <c r="J282" i="1"/>
  <c r="J283" i="1"/>
  <c r="J320" i="1"/>
  <c r="K281" i="1"/>
  <c r="K283" i="1"/>
  <c r="K266" i="1"/>
  <c r="I267" i="1"/>
  <c r="I268" i="1"/>
  <c r="I269" i="1"/>
  <c r="I270" i="1"/>
  <c r="I271" i="1"/>
  <c r="I272" i="1"/>
  <c r="I273" i="1"/>
  <c r="K279" i="1"/>
  <c r="K280" i="1"/>
  <c r="K282" i="1"/>
  <c r="K320" i="1"/>
  <c r="K222" i="1"/>
  <c r="K263" i="1"/>
  <c r="K264" i="1"/>
  <c r="K265" i="1"/>
  <c r="J250" i="1"/>
  <c r="J251" i="1"/>
  <c r="J252" i="1"/>
  <c r="I253" i="1"/>
  <c r="I254" i="1"/>
  <c r="I249" i="1"/>
  <c r="I255" i="1"/>
  <c r="J259" i="1"/>
  <c r="K260" i="1"/>
  <c r="K261" i="1"/>
  <c r="K250" i="1"/>
  <c r="K251" i="1"/>
  <c r="K252" i="1"/>
  <c r="J253" i="1"/>
  <c r="J254" i="1"/>
  <c r="J249" i="1"/>
  <c r="J255" i="1"/>
  <c r="I256" i="1"/>
  <c r="I257" i="1"/>
  <c r="K259" i="1"/>
  <c r="I263" i="1"/>
  <c r="I264" i="1"/>
  <c r="I265" i="1"/>
  <c r="K253" i="1"/>
  <c r="K254" i="1"/>
  <c r="K249" i="1"/>
  <c r="K255" i="1"/>
  <c r="J256" i="1"/>
  <c r="J257" i="1"/>
  <c r="I260" i="1"/>
  <c r="I261" i="1"/>
  <c r="J263" i="1"/>
  <c r="J264" i="1"/>
  <c r="J265" i="1"/>
  <c r="I250" i="1"/>
  <c r="I251" i="1"/>
  <c r="I252" i="1"/>
  <c r="K256" i="1"/>
  <c r="K257" i="1"/>
  <c r="I259" i="1"/>
  <c r="J260" i="1"/>
  <c r="J261" i="1"/>
  <c r="K246" i="1"/>
  <c r="K247" i="1"/>
  <c r="K248" i="1"/>
  <c r="K235" i="1"/>
  <c r="J230" i="1"/>
  <c r="K231" i="1"/>
  <c r="I236" i="1"/>
  <c r="I237" i="1"/>
  <c r="I238" i="1"/>
  <c r="K243" i="1"/>
  <c r="K244" i="1"/>
  <c r="K245" i="1"/>
  <c r="K230" i="1"/>
  <c r="I234" i="1"/>
  <c r="J236" i="1"/>
  <c r="J237" i="1"/>
  <c r="J238" i="1"/>
  <c r="I239" i="1"/>
  <c r="I240" i="1"/>
  <c r="I241" i="1"/>
  <c r="I243" i="1"/>
  <c r="I244" i="1"/>
  <c r="I245" i="1"/>
  <c r="I246" i="1"/>
  <c r="I247" i="1"/>
  <c r="I248" i="1"/>
  <c r="I235" i="1"/>
  <c r="I231" i="1"/>
  <c r="J234" i="1"/>
  <c r="K236" i="1"/>
  <c r="K237" i="1"/>
  <c r="K238" i="1"/>
  <c r="J239" i="1"/>
  <c r="J240" i="1"/>
  <c r="J241" i="1"/>
  <c r="J246" i="1"/>
  <c r="J247" i="1"/>
  <c r="J248" i="1"/>
  <c r="J235" i="1"/>
  <c r="I230" i="1"/>
  <c r="J231" i="1"/>
  <c r="K234" i="1"/>
  <c r="K239" i="1"/>
  <c r="K240" i="1"/>
  <c r="K241" i="1"/>
  <c r="J243" i="1"/>
  <c r="J244" i="1"/>
  <c r="J245" i="1"/>
  <c r="K227" i="1"/>
  <c r="K228" i="1"/>
  <c r="J229" i="1"/>
  <c r="J223" i="1"/>
  <c r="K224" i="1"/>
  <c r="K225" i="1"/>
  <c r="J213" i="1"/>
  <c r="K217" i="1"/>
  <c r="K218" i="1"/>
  <c r="I218" i="1"/>
  <c r="I262" i="1"/>
  <c r="K229" i="1"/>
  <c r="I222" i="1"/>
  <c r="K223" i="1"/>
  <c r="K213" i="1"/>
  <c r="I215" i="1"/>
  <c r="I216" i="1"/>
  <c r="J218" i="1"/>
  <c r="J262" i="1"/>
  <c r="I227" i="1"/>
  <c r="I228" i="1"/>
  <c r="J222" i="1"/>
  <c r="I224" i="1"/>
  <c r="I225" i="1"/>
  <c r="J215" i="1"/>
  <c r="J216" i="1"/>
  <c r="I217" i="1"/>
  <c r="J217" i="1"/>
  <c r="K262" i="1"/>
  <c r="J227" i="1"/>
  <c r="J228" i="1"/>
  <c r="I229" i="1"/>
  <c r="I223" i="1"/>
  <c r="J224" i="1"/>
  <c r="J225" i="1"/>
  <c r="I213" i="1"/>
  <c r="K215" i="1"/>
  <c r="K216" i="1"/>
  <c r="K226" i="1"/>
  <c r="I226" i="1"/>
  <c r="J226" i="1"/>
  <c r="K203" i="1"/>
  <c r="J203" i="1"/>
  <c r="I203" i="1"/>
  <c r="J201" i="1"/>
  <c r="J202" i="1"/>
  <c r="J205" i="1"/>
  <c r="I206" i="1"/>
  <c r="K207" i="1"/>
  <c r="J208" i="1"/>
  <c r="K205" i="1"/>
  <c r="J206" i="1"/>
  <c r="K208" i="1"/>
  <c r="K206" i="1"/>
  <c r="I207" i="1"/>
  <c r="I201" i="1"/>
  <c r="J207" i="1"/>
  <c r="K201" i="1"/>
  <c r="K202" i="1"/>
  <c r="I202" i="1"/>
  <c r="I205" i="1"/>
  <c r="I208" i="1"/>
  <c r="J195" i="1"/>
  <c r="J198" i="1"/>
  <c r="J192" i="1"/>
  <c r="DM194" i="1"/>
  <c r="J196" i="1"/>
  <c r="J197" i="1"/>
  <c r="K192" i="1"/>
  <c r="I195" i="1"/>
  <c r="K196" i="1"/>
  <c r="K197" i="1"/>
  <c r="I198" i="1"/>
  <c r="I192" i="1"/>
  <c r="K195" i="1"/>
  <c r="I196" i="1"/>
  <c r="I197" i="1"/>
  <c r="K198" i="1"/>
  <c r="K189" i="1"/>
  <c r="I188" i="1"/>
  <c r="K187" i="1"/>
  <c r="I186" i="1"/>
  <c r="K185" i="1"/>
  <c r="I184" i="1"/>
  <c r="K183" i="1"/>
  <c r="I182" i="1"/>
  <c r="K162" i="1"/>
  <c r="I175" i="1"/>
  <c r="I176" i="1"/>
  <c r="I177" i="1"/>
  <c r="I178" i="1"/>
  <c r="I179" i="1"/>
  <c r="I180" i="1"/>
  <c r="I181" i="1"/>
  <c r="I174" i="1"/>
  <c r="J190" i="1"/>
  <c r="I189" i="1"/>
  <c r="I187" i="1"/>
  <c r="I185" i="1"/>
  <c r="I183" i="1"/>
  <c r="K182" i="1"/>
  <c r="K175" i="1"/>
  <c r="K177" i="1"/>
  <c r="K178" i="1"/>
  <c r="K180" i="1"/>
  <c r="K174" i="1"/>
  <c r="J186" i="1"/>
  <c r="J182" i="1"/>
  <c r="K190" i="1"/>
  <c r="J189" i="1"/>
  <c r="J187" i="1"/>
  <c r="J185" i="1"/>
  <c r="J183" i="1"/>
  <c r="J175" i="1"/>
  <c r="J176" i="1"/>
  <c r="J177" i="1"/>
  <c r="J178" i="1"/>
  <c r="J179" i="1"/>
  <c r="J180" i="1"/>
  <c r="J181" i="1"/>
  <c r="J174" i="1"/>
  <c r="K188" i="1"/>
  <c r="K186" i="1"/>
  <c r="K184" i="1"/>
  <c r="I162" i="1"/>
  <c r="K176" i="1"/>
  <c r="K179" i="1"/>
  <c r="K181" i="1"/>
  <c r="I190" i="1"/>
  <c r="J188" i="1"/>
  <c r="J184" i="1"/>
  <c r="J162" i="1"/>
  <c r="J166" i="1"/>
  <c r="I159" i="1"/>
  <c r="I160" i="1"/>
  <c r="I158" i="1"/>
  <c r="I161" i="1"/>
  <c r="I163" i="1"/>
  <c r="K165" i="1"/>
  <c r="K168" i="1"/>
  <c r="K169" i="1"/>
  <c r="J167" i="1"/>
  <c r="K158" i="1"/>
  <c r="K161" i="1"/>
  <c r="J164" i="1"/>
  <c r="I165" i="1"/>
  <c r="I169" i="1"/>
  <c r="I166" i="1"/>
  <c r="K164" i="1"/>
  <c r="J168" i="1"/>
  <c r="J169" i="1"/>
  <c r="K166" i="1"/>
  <c r="I167" i="1"/>
  <c r="J159" i="1"/>
  <c r="J160" i="1"/>
  <c r="J158" i="1"/>
  <c r="J161" i="1"/>
  <c r="J163" i="1"/>
  <c r="I164" i="1"/>
  <c r="K159" i="1"/>
  <c r="K160" i="1"/>
  <c r="K163" i="1"/>
  <c r="I168" i="1"/>
  <c r="K167" i="1"/>
  <c r="J165" i="1"/>
  <c r="K170" i="1"/>
  <c r="J171" i="1"/>
  <c r="I172" i="1"/>
  <c r="I173" i="1"/>
  <c r="K173" i="1"/>
  <c r="J170" i="1"/>
  <c r="I171" i="1"/>
  <c r="K171" i="1"/>
  <c r="J172" i="1"/>
  <c r="J173" i="1"/>
  <c r="I170" i="1"/>
  <c r="K172" i="1"/>
  <c r="J154" i="1"/>
  <c r="I153" i="1"/>
  <c r="I156" i="1"/>
  <c r="K154" i="1"/>
  <c r="J153" i="1"/>
  <c r="I152" i="1"/>
  <c r="K151" i="1"/>
  <c r="K153" i="1"/>
  <c r="J152" i="1"/>
  <c r="I151" i="1"/>
  <c r="K152" i="1"/>
  <c r="J151" i="1"/>
  <c r="I155" i="1"/>
  <c r="J156" i="1"/>
  <c r="I157" i="1"/>
  <c r="J155" i="1"/>
  <c r="K156" i="1"/>
  <c r="J157" i="1"/>
  <c r="K155" i="1"/>
  <c r="I154" i="1"/>
  <c r="K157" i="1"/>
  <c r="J145" i="1"/>
  <c r="J146" i="1"/>
  <c r="I147" i="1"/>
  <c r="K145" i="1"/>
  <c r="K146" i="1"/>
  <c r="J147" i="1"/>
  <c r="I144" i="1"/>
  <c r="K147" i="1"/>
  <c r="J144" i="1"/>
  <c r="K144" i="1"/>
  <c r="I145" i="1"/>
  <c r="I146" i="1"/>
  <c r="K148" i="1"/>
  <c r="I148" i="1"/>
  <c r="J148" i="1"/>
  <c r="K149" i="1"/>
  <c r="I149" i="1"/>
  <c r="J149" i="1"/>
  <c r="I150" i="1"/>
  <c r="J150" i="1"/>
  <c r="K150" i="1"/>
  <c r="K114" i="1"/>
  <c r="I114" i="1"/>
  <c r="J114" i="1"/>
  <c r="K130" i="1"/>
  <c r="K131" i="1"/>
  <c r="K132" i="1"/>
  <c r="K133" i="1"/>
  <c r="K134" i="1"/>
  <c r="K135" i="1"/>
  <c r="K136" i="1"/>
  <c r="K137" i="1"/>
  <c r="K138" i="1"/>
  <c r="K139" i="1"/>
  <c r="K140" i="1"/>
  <c r="J141" i="1"/>
  <c r="K141" i="1"/>
  <c r="K142" i="1"/>
  <c r="K143" i="1"/>
  <c r="K118" i="1"/>
  <c r="J119" i="1"/>
  <c r="J120" i="1"/>
  <c r="J121" i="1"/>
  <c r="J122" i="1"/>
  <c r="J123" i="1"/>
  <c r="I124" i="1"/>
  <c r="I125" i="1"/>
  <c r="I126" i="1"/>
  <c r="I127" i="1"/>
  <c r="K124" i="1"/>
  <c r="K125" i="1"/>
  <c r="K127" i="1"/>
  <c r="J142" i="1"/>
  <c r="I120" i="1"/>
  <c r="I122" i="1"/>
  <c r="I130" i="1"/>
  <c r="I131" i="1"/>
  <c r="I132" i="1"/>
  <c r="I133" i="1"/>
  <c r="I134" i="1"/>
  <c r="I135" i="1"/>
  <c r="I136" i="1"/>
  <c r="I137" i="1"/>
  <c r="I138" i="1"/>
  <c r="I139" i="1"/>
  <c r="I140" i="1"/>
  <c r="K119" i="1"/>
  <c r="K120" i="1"/>
  <c r="K121" i="1"/>
  <c r="K122" i="1"/>
  <c r="K123" i="1"/>
  <c r="J124" i="1"/>
  <c r="J125" i="1"/>
  <c r="J126" i="1"/>
  <c r="J127" i="1"/>
  <c r="J130" i="1"/>
  <c r="J131" i="1"/>
  <c r="J132" i="1"/>
  <c r="J133" i="1"/>
  <c r="J134" i="1"/>
  <c r="J135" i="1"/>
  <c r="J136" i="1"/>
  <c r="J137" i="1"/>
  <c r="J138" i="1"/>
  <c r="J139" i="1"/>
  <c r="J140" i="1"/>
  <c r="I141" i="1"/>
  <c r="I142" i="1"/>
  <c r="I143" i="1"/>
  <c r="I118" i="1"/>
  <c r="K126" i="1"/>
  <c r="J143" i="1"/>
  <c r="J118" i="1"/>
  <c r="I119" i="1"/>
  <c r="I121" i="1"/>
  <c r="I123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J115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K115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I115" i="1"/>
  <c r="K97" i="1"/>
  <c r="K116" i="1"/>
  <c r="K117" i="1"/>
  <c r="K128" i="1"/>
  <c r="K129" i="1"/>
  <c r="I97" i="1"/>
  <c r="I116" i="1"/>
  <c r="I117" i="1"/>
  <c r="I128" i="1"/>
  <c r="I129" i="1"/>
  <c r="J97" i="1"/>
  <c r="J116" i="1"/>
  <c r="J117" i="1"/>
  <c r="J128" i="1"/>
  <c r="J129" i="1"/>
  <c r="K87" i="1"/>
  <c r="I88" i="1"/>
  <c r="K89" i="1"/>
  <c r="J91" i="1"/>
  <c r="I92" i="1"/>
  <c r="J94" i="1"/>
  <c r="I95" i="1"/>
  <c r="I96" i="1"/>
  <c r="K90" i="1"/>
  <c r="K93" i="1"/>
  <c r="J88" i="1"/>
  <c r="I90" i="1"/>
  <c r="K91" i="1"/>
  <c r="J92" i="1"/>
  <c r="I93" i="1"/>
  <c r="K94" i="1"/>
  <c r="J95" i="1"/>
  <c r="J96" i="1"/>
  <c r="DM96" i="1" s="1"/>
  <c r="J87" i="1"/>
  <c r="I87" i="1"/>
  <c r="K88" i="1"/>
  <c r="I89" i="1"/>
  <c r="J90" i="1"/>
  <c r="K92" i="1"/>
  <c r="J93" i="1"/>
  <c r="K95" i="1"/>
  <c r="K96" i="1"/>
  <c r="J89" i="1"/>
  <c r="I91" i="1"/>
  <c r="I94" i="1"/>
  <c r="K77" i="1"/>
  <c r="I78" i="1"/>
  <c r="K79" i="1"/>
  <c r="I80" i="1"/>
  <c r="J82" i="1"/>
  <c r="J83" i="1"/>
  <c r="J84" i="1"/>
  <c r="I85" i="1"/>
  <c r="I86" i="1"/>
  <c r="I77" i="1"/>
  <c r="K85" i="1"/>
  <c r="J79" i="1"/>
  <c r="I82" i="1"/>
  <c r="J78" i="1"/>
  <c r="J80" i="1"/>
  <c r="I81" i="1"/>
  <c r="K82" i="1"/>
  <c r="K83" i="1"/>
  <c r="K84" i="1"/>
  <c r="J85" i="1"/>
  <c r="J86" i="1"/>
  <c r="K80" i="1"/>
  <c r="K86" i="1"/>
  <c r="J77" i="1"/>
  <c r="DM77" i="1" s="1"/>
  <c r="I83" i="1"/>
  <c r="K78" i="1"/>
  <c r="I79" i="1"/>
  <c r="J81" i="1"/>
  <c r="K81" i="1"/>
  <c r="I84" i="1"/>
  <c r="J62" i="1"/>
  <c r="I64" i="1"/>
  <c r="J65" i="1"/>
  <c r="J68" i="1"/>
  <c r="K69" i="1"/>
  <c r="I70" i="1"/>
  <c r="K71" i="1"/>
  <c r="I72" i="1"/>
  <c r="K73" i="1"/>
  <c r="J74" i="1"/>
  <c r="I75" i="1"/>
  <c r="K52" i="1"/>
  <c r="K53" i="1"/>
  <c r="K54" i="1"/>
  <c r="K55" i="1"/>
  <c r="K56" i="1"/>
  <c r="K57" i="1"/>
  <c r="K66" i="1"/>
  <c r="I68" i="1"/>
  <c r="K76" i="1"/>
  <c r="J53" i="1"/>
  <c r="J54" i="1"/>
  <c r="J56" i="1"/>
  <c r="K62" i="1"/>
  <c r="I63" i="1"/>
  <c r="J64" i="1"/>
  <c r="K65" i="1"/>
  <c r="I66" i="1"/>
  <c r="I67" i="1"/>
  <c r="K68" i="1"/>
  <c r="J70" i="1"/>
  <c r="J72" i="1"/>
  <c r="K74" i="1"/>
  <c r="J75" i="1"/>
  <c r="I76" i="1"/>
  <c r="I57" i="1"/>
  <c r="I62" i="1"/>
  <c r="I65" i="1"/>
  <c r="J73" i="1"/>
  <c r="J52" i="1"/>
  <c r="J63" i="1"/>
  <c r="K64" i="1"/>
  <c r="J66" i="1"/>
  <c r="J67" i="1"/>
  <c r="I69" i="1"/>
  <c r="K70" i="1"/>
  <c r="I71" i="1"/>
  <c r="K72" i="1"/>
  <c r="I73" i="1"/>
  <c r="K75" i="1"/>
  <c r="J76" i="1"/>
  <c r="I52" i="1"/>
  <c r="I53" i="1"/>
  <c r="I54" i="1"/>
  <c r="I55" i="1"/>
  <c r="I56" i="1"/>
  <c r="K63" i="1"/>
  <c r="K67" i="1"/>
  <c r="J69" i="1"/>
  <c r="J71" i="1"/>
  <c r="I74" i="1"/>
  <c r="J55" i="1"/>
  <c r="J57" i="1"/>
  <c r="I58" i="1"/>
  <c r="I60" i="1"/>
  <c r="K61" i="1"/>
  <c r="J58" i="1"/>
  <c r="I59" i="1"/>
  <c r="J60" i="1"/>
  <c r="K58" i="1"/>
  <c r="J59" i="1"/>
  <c r="K60" i="1"/>
  <c r="I61" i="1"/>
  <c r="K59" i="1"/>
  <c r="J61" i="1"/>
  <c r="K43" i="1"/>
  <c r="K44" i="1"/>
  <c r="K45" i="1"/>
  <c r="I46" i="1"/>
  <c r="J47" i="1"/>
  <c r="J49" i="1"/>
  <c r="K50" i="1"/>
  <c r="I51" i="1"/>
  <c r="I42" i="1"/>
  <c r="K48" i="1"/>
  <c r="J46" i="1"/>
  <c r="K47" i="1"/>
  <c r="I48" i="1"/>
  <c r="K49" i="1"/>
  <c r="J51" i="1"/>
  <c r="I44" i="1"/>
  <c r="I45" i="1"/>
  <c r="K46" i="1"/>
  <c r="J48" i="1"/>
  <c r="I50" i="1"/>
  <c r="K51" i="1"/>
  <c r="J43" i="1"/>
  <c r="DM43" i="1" s="1"/>
  <c r="J44" i="1"/>
  <c r="J45" i="1"/>
  <c r="I47" i="1"/>
  <c r="I49" i="1"/>
  <c r="J50" i="1"/>
  <c r="I43" i="1"/>
  <c r="I26" i="1"/>
  <c r="K26" i="1"/>
  <c r="J26" i="1"/>
  <c r="K36" i="1"/>
  <c r="I38" i="1"/>
  <c r="K39" i="1"/>
  <c r="I34" i="1"/>
  <c r="I35" i="1"/>
  <c r="I37" i="1"/>
  <c r="J38" i="1"/>
  <c r="I40" i="1"/>
  <c r="K41" i="1"/>
  <c r="J34" i="1"/>
  <c r="J35" i="1"/>
  <c r="I36" i="1"/>
  <c r="J37" i="1"/>
  <c r="K38" i="1"/>
  <c r="I39" i="1"/>
  <c r="J40" i="1"/>
  <c r="J42" i="1"/>
  <c r="DM42" i="1" s="1"/>
  <c r="K34" i="1"/>
  <c r="K35" i="1"/>
  <c r="J36" i="1"/>
  <c r="K37" i="1"/>
  <c r="J39" i="1"/>
  <c r="K40" i="1"/>
  <c r="I41" i="1"/>
  <c r="K42" i="1"/>
  <c r="J41" i="1"/>
  <c r="J22" i="1"/>
  <c r="I23" i="1"/>
  <c r="I25" i="1"/>
  <c r="K27" i="1"/>
  <c r="J28" i="1"/>
  <c r="I29" i="1"/>
  <c r="J30" i="1"/>
  <c r="I31" i="1"/>
  <c r="J32" i="1"/>
  <c r="I33" i="1"/>
  <c r="K22" i="1"/>
  <c r="J23" i="1"/>
  <c r="I24" i="1"/>
  <c r="J25" i="1"/>
  <c r="K28" i="1"/>
  <c r="J29" i="1"/>
  <c r="K30" i="1"/>
  <c r="J31" i="1"/>
  <c r="K32" i="1"/>
  <c r="J33" i="1"/>
  <c r="K23" i="1"/>
  <c r="J24" i="1"/>
  <c r="K25" i="1"/>
  <c r="I27" i="1"/>
  <c r="K29" i="1"/>
  <c r="K31" i="1"/>
  <c r="K33" i="1"/>
  <c r="I22" i="1"/>
  <c r="K24" i="1"/>
  <c r="J27" i="1"/>
  <c r="DM27" i="1" s="1"/>
  <c r="I28" i="1"/>
  <c r="I30" i="1"/>
  <c r="I32" i="1"/>
  <c r="K7" i="1"/>
  <c r="K8" i="1"/>
  <c r="J9" i="1"/>
  <c r="I10" i="1"/>
  <c r="K12" i="1"/>
  <c r="J13" i="1"/>
  <c r="I14" i="1"/>
  <c r="K16" i="1"/>
  <c r="I16" i="1"/>
  <c r="J8" i="1"/>
  <c r="K15" i="1"/>
  <c r="K9" i="1"/>
  <c r="J10" i="1"/>
  <c r="I11" i="1"/>
  <c r="K13" i="1"/>
  <c r="I15" i="1"/>
  <c r="J7" i="1"/>
  <c r="K11" i="1"/>
  <c r="I13" i="1"/>
  <c r="J16" i="1"/>
  <c r="I7" i="1"/>
  <c r="I8" i="1"/>
  <c r="K10" i="1"/>
  <c r="J11" i="1"/>
  <c r="I12" i="1"/>
  <c r="K14" i="1"/>
  <c r="J15" i="1"/>
  <c r="I9" i="1"/>
  <c r="J12" i="1"/>
  <c r="J3" i="1"/>
  <c r="I4" i="1"/>
  <c r="I5" i="1"/>
  <c r="J17" i="1"/>
  <c r="J18" i="1"/>
  <c r="J19" i="1"/>
  <c r="J20" i="1"/>
  <c r="I21" i="1"/>
  <c r="I17" i="1"/>
  <c r="K3" i="1"/>
  <c r="J4" i="1"/>
  <c r="J5" i="1"/>
  <c r="I6" i="1"/>
  <c r="K17" i="1"/>
  <c r="K18" i="1"/>
  <c r="K19" i="1"/>
  <c r="K20" i="1"/>
  <c r="J21" i="1"/>
  <c r="I18" i="1"/>
  <c r="I20" i="1"/>
  <c r="K4" i="1"/>
  <c r="K5" i="1"/>
  <c r="K21" i="1"/>
  <c r="I3" i="1"/>
  <c r="K6" i="1"/>
  <c r="I19" i="1"/>
  <c r="T4" i="3"/>
  <c r="X3" i="3"/>
  <c r="Q14" i="3"/>
  <c r="Q3" i="3"/>
  <c r="Q2" i="3"/>
  <c r="Q11" i="3"/>
  <c r="Q12" i="3"/>
  <c r="Q7" i="3"/>
  <c r="Q5" i="3"/>
  <c r="Q13" i="3"/>
  <c r="Q9" i="3"/>
  <c r="Q8" i="3"/>
  <c r="DL534" i="1" l="1"/>
  <c r="DI534" i="1"/>
  <c r="DR534" i="1" s="1"/>
  <c r="DI532" i="1"/>
  <c r="DR532" i="1" s="1"/>
  <c r="DL532" i="1"/>
  <c r="DL527" i="1"/>
  <c r="DI527" i="1"/>
  <c r="DR527" i="1" s="1"/>
  <c r="DI522" i="1"/>
  <c r="DN522" i="1" s="1"/>
  <c r="DL522" i="1"/>
  <c r="DI531" i="1"/>
  <c r="DR531" i="1" s="1"/>
  <c r="DL531" i="1"/>
  <c r="DM531" i="1"/>
  <c r="DI525" i="1"/>
  <c r="DR525" i="1" s="1"/>
  <c r="DL525" i="1"/>
  <c r="DI523" i="1"/>
  <c r="DR523" i="1" s="1"/>
  <c r="DL523" i="1"/>
  <c r="DI524" i="1"/>
  <c r="DR524" i="1" s="1"/>
  <c r="DM524" i="1"/>
  <c r="DL524" i="1"/>
  <c r="DL536" i="1"/>
  <c r="DI536" i="1"/>
  <c r="DR536" i="1" s="1"/>
  <c r="DN536" i="1"/>
  <c r="DI529" i="1"/>
  <c r="DR529" i="1" s="1"/>
  <c r="DL529" i="1"/>
  <c r="DI526" i="1"/>
  <c r="DR526" i="1" s="1"/>
  <c r="DL526" i="1"/>
  <c r="DI535" i="1"/>
  <c r="DR535" i="1" s="1"/>
  <c r="DN535" i="1"/>
  <c r="DL535" i="1"/>
  <c r="DL533" i="1"/>
  <c r="DI533" i="1"/>
  <c r="DR533" i="1" s="1"/>
  <c r="DL528" i="1"/>
  <c r="DN528" i="1"/>
  <c r="DI528" i="1"/>
  <c r="DR528" i="1" s="1"/>
  <c r="DI530" i="1"/>
  <c r="DR530" i="1" s="1"/>
  <c r="DL530" i="1"/>
  <c r="DI510" i="1"/>
  <c r="DL510" i="1"/>
  <c r="DI511" i="1"/>
  <c r="DL511" i="1"/>
  <c r="DI504" i="1"/>
  <c r="DL504" i="1"/>
  <c r="DM440" i="1"/>
  <c r="DI440" i="1"/>
  <c r="DR440" i="1" s="1"/>
  <c r="DL440" i="1"/>
  <c r="DI512" i="1"/>
  <c r="DL512" i="1"/>
  <c r="DN512" i="1"/>
  <c r="DI444" i="1"/>
  <c r="DL444" i="1"/>
  <c r="DI514" i="1"/>
  <c r="DL514" i="1"/>
  <c r="DM514" i="1" s="1"/>
  <c r="DM404" i="1"/>
  <c r="DL404" i="1"/>
  <c r="DI404" i="1"/>
  <c r="DR404" i="1" s="1"/>
  <c r="DI517" i="1"/>
  <c r="DL517" i="1"/>
  <c r="DI497" i="1"/>
  <c r="DL497" i="1"/>
  <c r="DM497" i="1"/>
  <c r="DM481" i="1"/>
  <c r="DI481" i="1"/>
  <c r="DN481" i="1" s="1"/>
  <c r="DL481" i="1"/>
  <c r="DM433" i="1"/>
  <c r="DI433" i="1"/>
  <c r="DR433" i="1" s="1"/>
  <c r="DL433" i="1"/>
  <c r="DI498" i="1"/>
  <c r="DL498" i="1"/>
  <c r="DM498" i="1" s="1"/>
  <c r="DI482" i="1"/>
  <c r="DR482" i="1" s="1"/>
  <c r="DL482" i="1"/>
  <c r="DI450" i="1"/>
  <c r="DR450" i="1" s="1"/>
  <c r="DM450" i="1"/>
  <c r="DL450" i="1"/>
  <c r="DI434" i="1"/>
  <c r="DL434" i="1"/>
  <c r="DI499" i="1"/>
  <c r="DL499" i="1"/>
  <c r="DI451" i="1"/>
  <c r="DR451" i="1" s="1"/>
  <c r="DM451" i="1"/>
  <c r="DL451" i="1"/>
  <c r="DI518" i="1"/>
  <c r="DL518" i="1"/>
  <c r="DI468" i="1"/>
  <c r="DN468" i="1" s="1"/>
  <c r="DL468" i="1"/>
  <c r="DI519" i="1"/>
  <c r="DL519" i="1"/>
  <c r="DI516" i="1"/>
  <c r="DL516" i="1"/>
  <c r="DI460" i="1"/>
  <c r="DR460" i="1" s="1"/>
  <c r="DM460" i="1"/>
  <c r="DL460" i="1"/>
  <c r="DI521" i="1"/>
  <c r="DN521" i="1"/>
  <c r="DL521" i="1"/>
  <c r="DM480" i="1"/>
  <c r="DI480" i="1"/>
  <c r="DR480" i="1" s="1"/>
  <c r="DL480" i="1"/>
  <c r="DI501" i="1"/>
  <c r="DL501" i="1"/>
  <c r="DI421" i="1"/>
  <c r="DR421" i="1" s="1"/>
  <c r="DM421" i="1"/>
  <c r="DL421" i="1"/>
  <c r="DI405" i="1"/>
  <c r="DN405" i="1" s="1"/>
  <c r="DL405" i="1"/>
  <c r="DI502" i="1"/>
  <c r="DL502" i="1"/>
  <c r="DN502" i="1"/>
  <c r="DI422" i="1"/>
  <c r="DR422" i="1" s="1"/>
  <c r="DM422" i="1"/>
  <c r="DL422" i="1"/>
  <c r="DI503" i="1"/>
  <c r="DL503" i="1"/>
  <c r="DN503" i="1"/>
  <c r="DM471" i="1"/>
  <c r="DI471" i="1"/>
  <c r="DR471" i="1" s="1"/>
  <c r="DL471" i="1"/>
  <c r="DI423" i="1"/>
  <c r="DR423" i="1" s="1"/>
  <c r="DL423" i="1"/>
  <c r="DM423" i="1"/>
  <c r="DI500" i="1"/>
  <c r="DL500" i="1"/>
  <c r="DL420" i="1"/>
  <c r="DM420" i="1"/>
  <c r="DI420" i="1"/>
  <c r="DR420" i="1" s="1"/>
  <c r="DI472" i="1"/>
  <c r="DR472" i="1" s="1"/>
  <c r="DM472" i="1"/>
  <c r="DL472" i="1"/>
  <c r="DI520" i="1"/>
  <c r="DL520" i="1"/>
  <c r="DN520" i="1"/>
  <c r="DM412" i="1"/>
  <c r="DI412" i="1"/>
  <c r="DR412" i="1" s="1"/>
  <c r="DL412" i="1"/>
  <c r="DI509" i="1"/>
  <c r="DL509" i="1"/>
  <c r="DI496" i="1"/>
  <c r="DL496" i="1"/>
  <c r="DM432" i="1"/>
  <c r="DI432" i="1"/>
  <c r="DR432" i="1" s="1"/>
  <c r="DL432" i="1"/>
  <c r="DL505" i="1"/>
  <c r="DI505" i="1"/>
  <c r="DI473" i="1"/>
  <c r="DN473" i="1" s="1"/>
  <c r="DL473" i="1"/>
  <c r="DM441" i="1"/>
  <c r="DI441" i="1"/>
  <c r="DR441" i="1" s="1"/>
  <c r="DL441" i="1"/>
  <c r="DI506" i="1"/>
  <c r="DL506" i="1"/>
  <c r="DI442" i="1"/>
  <c r="DR442" i="1" s="1"/>
  <c r="DM442" i="1"/>
  <c r="DL442" i="1"/>
  <c r="DM394" i="1"/>
  <c r="DI394" i="1"/>
  <c r="DR394" i="1" s="1"/>
  <c r="DL394" i="1"/>
  <c r="DI507" i="1"/>
  <c r="DL507" i="1"/>
  <c r="DI424" i="1"/>
  <c r="DN424" i="1" s="1"/>
  <c r="DL424" i="1"/>
  <c r="DI508" i="1"/>
  <c r="DL508" i="1"/>
  <c r="DI515" i="1"/>
  <c r="DL515" i="1"/>
  <c r="DI513" i="1"/>
  <c r="DN513" i="1"/>
  <c r="DL513" i="1"/>
  <c r="DM461" i="1"/>
  <c r="DI461" i="1"/>
  <c r="DR461" i="1" s="1"/>
  <c r="DL461" i="1"/>
  <c r="DM413" i="1"/>
  <c r="DI413" i="1"/>
  <c r="DR413" i="1" s="1"/>
  <c r="DL413" i="1"/>
  <c r="DI462" i="1"/>
  <c r="DN462" i="1" s="1"/>
  <c r="DL462" i="1"/>
  <c r="DI414" i="1"/>
  <c r="DL414" i="1"/>
  <c r="DI431" i="1"/>
  <c r="DR431" i="1" s="1"/>
  <c r="DM431" i="1"/>
  <c r="DL431" i="1"/>
  <c r="DI225" i="1"/>
  <c r="DN225" i="1" s="1"/>
  <c r="DL225" i="1"/>
  <c r="DI228" i="1"/>
  <c r="DN228" i="1"/>
  <c r="DL228" i="1"/>
  <c r="DI262" i="1"/>
  <c r="DN262" i="1" s="1"/>
  <c r="DL262" i="1"/>
  <c r="DI213" i="1"/>
  <c r="DR213" i="1" s="1"/>
  <c r="DM213" i="1"/>
  <c r="DL213" i="1"/>
  <c r="DI229" i="1"/>
  <c r="DN229" i="1"/>
  <c r="DL229" i="1"/>
  <c r="DI244" i="1"/>
  <c r="DN244" i="1" s="1"/>
  <c r="DL244" i="1"/>
  <c r="DI235" i="1"/>
  <c r="DN235" i="1" s="1"/>
  <c r="DL235" i="1"/>
  <c r="DI241" i="1"/>
  <c r="DN241" i="1" s="1"/>
  <c r="DL241" i="1"/>
  <c r="DI236" i="1"/>
  <c r="DN236" i="1" s="1"/>
  <c r="DL236" i="1"/>
  <c r="DI260" i="1"/>
  <c r="DN260" i="1" s="1"/>
  <c r="DL260" i="1"/>
  <c r="DI264" i="1"/>
  <c r="DN264" i="1"/>
  <c r="DL264" i="1"/>
  <c r="DI257" i="1"/>
  <c r="DN257" i="1" s="1"/>
  <c r="DL257" i="1"/>
  <c r="DI255" i="1"/>
  <c r="DN255" i="1"/>
  <c r="DL255" i="1"/>
  <c r="DI250" i="1"/>
  <c r="DN250" i="1" s="1"/>
  <c r="DL250" i="1"/>
  <c r="DI283" i="1"/>
  <c r="DL283" i="1"/>
  <c r="DN283" i="1"/>
  <c r="DI279" i="1"/>
  <c r="DN279" i="1" s="1"/>
  <c r="DL279" i="1"/>
  <c r="DI278" i="1"/>
  <c r="DN278" i="1" s="1"/>
  <c r="DL278" i="1"/>
  <c r="DI274" i="1"/>
  <c r="DN274" i="1" s="1"/>
  <c r="DL274" i="1"/>
  <c r="DI272" i="1"/>
  <c r="DL272" i="1"/>
  <c r="DN272" i="1"/>
  <c r="DI268" i="1"/>
  <c r="DR268" i="1" s="1"/>
  <c r="DL268" i="1"/>
  <c r="DM268" i="1"/>
  <c r="DN319" i="1"/>
  <c r="DL319" i="1"/>
  <c r="DI319" i="1"/>
  <c r="DI295" i="1"/>
  <c r="DL295" i="1"/>
  <c r="DI290" i="1"/>
  <c r="DN290" i="1" s="1"/>
  <c r="DL290" i="1"/>
  <c r="DI284" i="1"/>
  <c r="DL284" i="1"/>
  <c r="DI306" i="1"/>
  <c r="DN306" i="1" s="1"/>
  <c r="DL306" i="1"/>
  <c r="DI300" i="1"/>
  <c r="DN300" i="1" s="1"/>
  <c r="DL300" i="1"/>
  <c r="DI310" i="1"/>
  <c r="DL310" i="1"/>
  <c r="DN310" i="1"/>
  <c r="DI316" i="1"/>
  <c r="DN316" i="1" s="1"/>
  <c r="DL316" i="1"/>
  <c r="DI321" i="1"/>
  <c r="DL321" i="1"/>
  <c r="DI330" i="1"/>
  <c r="DL330" i="1"/>
  <c r="DI326" i="1"/>
  <c r="DN326" i="1" s="1"/>
  <c r="DL326" i="1"/>
  <c r="DI341" i="1"/>
  <c r="DR341" i="1" s="1"/>
  <c r="DM341" i="1"/>
  <c r="DL341" i="1"/>
  <c r="DI362" i="1"/>
  <c r="DN362" i="1" s="1"/>
  <c r="DL362" i="1"/>
  <c r="DI371" i="1"/>
  <c r="DL371" i="1"/>
  <c r="DN371" i="1"/>
  <c r="DI346" i="1"/>
  <c r="DN346" i="1"/>
  <c r="DL346" i="1"/>
  <c r="DI339" i="1"/>
  <c r="DL339" i="1"/>
  <c r="DM366" i="1"/>
  <c r="DI366" i="1"/>
  <c r="DR366" i="1" s="1"/>
  <c r="DL366" i="1"/>
  <c r="DI377" i="1"/>
  <c r="DR377" i="1" s="1"/>
  <c r="DL377" i="1"/>
  <c r="DM377" i="1"/>
  <c r="DL391" i="1"/>
  <c r="DI391" i="1"/>
  <c r="DN391" i="1"/>
  <c r="DI385" i="1"/>
  <c r="DR385" i="1" s="1"/>
  <c r="DM385" i="1"/>
  <c r="DL385" i="1"/>
  <c r="DI381" i="1"/>
  <c r="DN381" i="1"/>
  <c r="DL381" i="1"/>
  <c r="DI398" i="1"/>
  <c r="DN398" i="1" s="1"/>
  <c r="DL398" i="1"/>
  <c r="DI393" i="1"/>
  <c r="DL393" i="1"/>
  <c r="DM393" i="1" s="1"/>
  <c r="DI410" i="1"/>
  <c r="DN410" i="1" s="1"/>
  <c r="DL410" i="1"/>
  <c r="DI406" i="1"/>
  <c r="DN406" i="1" s="1"/>
  <c r="DL406" i="1"/>
  <c r="DL401" i="1"/>
  <c r="DI401" i="1"/>
  <c r="DN401" i="1" s="1"/>
  <c r="DI446" i="1"/>
  <c r="DN446" i="1" s="1"/>
  <c r="DL446" i="1"/>
  <c r="DI427" i="1"/>
  <c r="DL427" i="1"/>
  <c r="DN427" i="1"/>
  <c r="DI438" i="1"/>
  <c r="DL438" i="1"/>
  <c r="DN438" i="1"/>
  <c r="DI436" i="1"/>
  <c r="DN436" i="1" s="1"/>
  <c r="DL436" i="1"/>
  <c r="DI465" i="1"/>
  <c r="DN465" i="1" s="1"/>
  <c r="DL465" i="1"/>
  <c r="DL455" i="1"/>
  <c r="DI455" i="1"/>
  <c r="DN455" i="1" s="1"/>
  <c r="DI478" i="1"/>
  <c r="DL478" i="1"/>
  <c r="DN478" i="1"/>
  <c r="DI476" i="1"/>
  <c r="DN476" i="1" s="1"/>
  <c r="DL476" i="1"/>
  <c r="DI494" i="1"/>
  <c r="DN494" i="1"/>
  <c r="DL494" i="1"/>
  <c r="DI224" i="1"/>
  <c r="DN224" i="1" s="1"/>
  <c r="DL224" i="1"/>
  <c r="DL227" i="1"/>
  <c r="DI227" i="1"/>
  <c r="DN227" i="1" s="1"/>
  <c r="DI216" i="1"/>
  <c r="DN216" i="1" s="1"/>
  <c r="DL216" i="1"/>
  <c r="DI222" i="1"/>
  <c r="DR222" i="1" s="1"/>
  <c r="DL222" i="1"/>
  <c r="DM222" i="1"/>
  <c r="DL218" i="1"/>
  <c r="DN218" i="1"/>
  <c r="DI218" i="1"/>
  <c r="DI243" i="1"/>
  <c r="DN243" i="1" s="1"/>
  <c r="DL243" i="1"/>
  <c r="DI248" i="1"/>
  <c r="DL248" i="1"/>
  <c r="DN248" i="1"/>
  <c r="DI240" i="1"/>
  <c r="DN240" i="1" s="1"/>
  <c r="DL240" i="1"/>
  <c r="DI263" i="1"/>
  <c r="DN263" i="1" s="1"/>
  <c r="DL263" i="1"/>
  <c r="DI256" i="1"/>
  <c r="DL256" i="1"/>
  <c r="DN256" i="1"/>
  <c r="DI249" i="1"/>
  <c r="DN249" i="1" s="1"/>
  <c r="DL249" i="1"/>
  <c r="DI259" i="1"/>
  <c r="DN259" i="1" s="1"/>
  <c r="DM259" i="1"/>
  <c r="DL259" i="1"/>
  <c r="DI282" i="1"/>
  <c r="DL282" i="1"/>
  <c r="DN282" i="1"/>
  <c r="DI277" i="1"/>
  <c r="DN277" i="1" s="1"/>
  <c r="DL277" i="1"/>
  <c r="DI271" i="1"/>
  <c r="DN271" i="1" s="1"/>
  <c r="DL271" i="1"/>
  <c r="DI267" i="1"/>
  <c r="DN267" i="1" s="1"/>
  <c r="DL267" i="1"/>
  <c r="DI318" i="1"/>
  <c r="DN318" i="1" s="1"/>
  <c r="DL318" i="1"/>
  <c r="DI293" i="1"/>
  <c r="DL293" i="1"/>
  <c r="DI289" i="1"/>
  <c r="DN289" i="1" s="1"/>
  <c r="DL289" i="1"/>
  <c r="DI285" i="1"/>
  <c r="DL285" i="1"/>
  <c r="DI303" i="1"/>
  <c r="DL303" i="1"/>
  <c r="DI299" i="1"/>
  <c r="DN299" i="1" s="1"/>
  <c r="DL299" i="1"/>
  <c r="DI314" i="1"/>
  <c r="DL314" i="1"/>
  <c r="DL309" i="1"/>
  <c r="DI309" i="1"/>
  <c r="DN309" i="1" s="1"/>
  <c r="DN337" i="1"/>
  <c r="DL337" i="1"/>
  <c r="DI337" i="1"/>
  <c r="DI329" i="1"/>
  <c r="DL329" i="1"/>
  <c r="DN329" i="1"/>
  <c r="DI338" i="1"/>
  <c r="DN338" i="1"/>
  <c r="DL338" i="1"/>
  <c r="DI361" i="1"/>
  <c r="DN361" i="1" s="1"/>
  <c r="DL361" i="1"/>
  <c r="DI370" i="1"/>
  <c r="DN370" i="1" s="1"/>
  <c r="DL370" i="1"/>
  <c r="DI349" i="1"/>
  <c r="DR349" i="1" s="1"/>
  <c r="DM349" i="1"/>
  <c r="DL349" i="1"/>
  <c r="DI356" i="1"/>
  <c r="DN356" i="1"/>
  <c r="DL356" i="1"/>
  <c r="DI345" i="1"/>
  <c r="DN345" i="1" s="1"/>
  <c r="DL345" i="1"/>
  <c r="DI357" i="1"/>
  <c r="DL357" i="1"/>
  <c r="DI354" i="1"/>
  <c r="DN354" i="1" s="1"/>
  <c r="DL354" i="1"/>
  <c r="DI365" i="1"/>
  <c r="DL365" i="1"/>
  <c r="DI400" i="1"/>
  <c r="DL400" i="1"/>
  <c r="DN400" i="1"/>
  <c r="DI390" i="1"/>
  <c r="DN390" i="1"/>
  <c r="DL390" i="1"/>
  <c r="DI384" i="1"/>
  <c r="DL384" i="1"/>
  <c r="DI380" i="1"/>
  <c r="DN380" i="1" s="1"/>
  <c r="DL380" i="1"/>
  <c r="DI397" i="1"/>
  <c r="DN397" i="1" s="1"/>
  <c r="DL397" i="1"/>
  <c r="DI396" i="1"/>
  <c r="DN396" i="1" s="1"/>
  <c r="DL396" i="1"/>
  <c r="DN428" i="1"/>
  <c r="DL428" i="1"/>
  <c r="DI428" i="1"/>
  <c r="DI409" i="1"/>
  <c r="DN409" i="1"/>
  <c r="DL409" i="1"/>
  <c r="DI417" i="1"/>
  <c r="DN417" i="1"/>
  <c r="DL417" i="1"/>
  <c r="DI419" i="1"/>
  <c r="DL419" i="1"/>
  <c r="DI445" i="1"/>
  <c r="DN445" i="1" s="1"/>
  <c r="DL445" i="1"/>
  <c r="DI426" i="1"/>
  <c r="DN426" i="1" s="1"/>
  <c r="DL426" i="1"/>
  <c r="DI429" i="1"/>
  <c r="DL429" i="1"/>
  <c r="DI435" i="1"/>
  <c r="DN435" i="1" s="1"/>
  <c r="DL435" i="1"/>
  <c r="DI464" i="1"/>
  <c r="DN464" i="1" s="1"/>
  <c r="DL464" i="1"/>
  <c r="DI459" i="1"/>
  <c r="DL459" i="1"/>
  <c r="DI449" i="1"/>
  <c r="DL449" i="1"/>
  <c r="DI454" i="1"/>
  <c r="DN454" i="1" s="1"/>
  <c r="DL454" i="1"/>
  <c r="DI487" i="1"/>
  <c r="DL487" i="1"/>
  <c r="DN487" i="1"/>
  <c r="DI477" i="1"/>
  <c r="DN477" i="1"/>
  <c r="DL477" i="1"/>
  <c r="DL485" i="1"/>
  <c r="DI485" i="1"/>
  <c r="DN485" i="1" s="1"/>
  <c r="DL475" i="1"/>
  <c r="DI475" i="1"/>
  <c r="DN475" i="1" s="1"/>
  <c r="DI226" i="1"/>
  <c r="DN226" i="1" s="1"/>
  <c r="DL226" i="1"/>
  <c r="DI215" i="1"/>
  <c r="DN215" i="1" s="1"/>
  <c r="DL215" i="1"/>
  <c r="DI231" i="1"/>
  <c r="DL231" i="1"/>
  <c r="DI247" i="1"/>
  <c r="DN247" i="1"/>
  <c r="DL247" i="1"/>
  <c r="DI239" i="1"/>
  <c r="DN239" i="1"/>
  <c r="DL239" i="1"/>
  <c r="DI234" i="1"/>
  <c r="DR234" i="1" s="1"/>
  <c r="DM234" i="1"/>
  <c r="DL234" i="1"/>
  <c r="DI238" i="1"/>
  <c r="DN238" i="1"/>
  <c r="DL238" i="1"/>
  <c r="DI230" i="1"/>
  <c r="DL230" i="1"/>
  <c r="DI254" i="1"/>
  <c r="DN254" i="1" s="1"/>
  <c r="DL254" i="1"/>
  <c r="DI252" i="1"/>
  <c r="DN252" i="1" s="1"/>
  <c r="DL252" i="1"/>
  <c r="DI281" i="1"/>
  <c r="DN281" i="1" s="1"/>
  <c r="DL281" i="1"/>
  <c r="DI266" i="1"/>
  <c r="DN266" i="1" s="1"/>
  <c r="DL266" i="1"/>
  <c r="DI276" i="1"/>
  <c r="DL276" i="1"/>
  <c r="DI270" i="1"/>
  <c r="DN270" i="1" s="1"/>
  <c r="DL270" i="1"/>
  <c r="DI305" i="1"/>
  <c r="DL305" i="1"/>
  <c r="DI297" i="1"/>
  <c r="DN297" i="1" s="1"/>
  <c r="DL297" i="1"/>
  <c r="DI292" i="1"/>
  <c r="DN292" i="1"/>
  <c r="DL292" i="1"/>
  <c r="DI288" i="1"/>
  <c r="DN288" i="1" s="1"/>
  <c r="DM288" i="1"/>
  <c r="DL288" i="1"/>
  <c r="DM287" i="1"/>
  <c r="DL287" i="1"/>
  <c r="DI287" i="1"/>
  <c r="DR287" i="1" s="1"/>
  <c r="DI302" i="1"/>
  <c r="DN302" i="1"/>
  <c r="DL302" i="1"/>
  <c r="DI298" i="1"/>
  <c r="DN298" i="1" s="1"/>
  <c r="DL298" i="1"/>
  <c r="DI312" i="1"/>
  <c r="DL312" i="1"/>
  <c r="DI308" i="1"/>
  <c r="DN308" i="1" s="1"/>
  <c r="DL308" i="1"/>
  <c r="DL313" i="1"/>
  <c r="DI313" i="1"/>
  <c r="DI323" i="1"/>
  <c r="DL323" i="1"/>
  <c r="DI328" i="1"/>
  <c r="DN328" i="1"/>
  <c r="DL328" i="1"/>
  <c r="DL335" i="1"/>
  <c r="DI335" i="1"/>
  <c r="DN335" i="1" s="1"/>
  <c r="DI364" i="1"/>
  <c r="DL364" i="1"/>
  <c r="DN364" i="1"/>
  <c r="DL369" i="1"/>
  <c r="DI369" i="1"/>
  <c r="DN369" i="1" s="1"/>
  <c r="DI348" i="1"/>
  <c r="DL348" i="1"/>
  <c r="DI355" i="1"/>
  <c r="DL355" i="1"/>
  <c r="DN355" i="1"/>
  <c r="DI344" i="1"/>
  <c r="DN344" i="1" s="1"/>
  <c r="DL344" i="1"/>
  <c r="DI353" i="1"/>
  <c r="DN353" i="1" s="1"/>
  <c r="DL353" i="1"/>
  <c r="DI374" i="1"/>
  <c r="DL374" i="1"/>
  <c r="DI389" i="1"/>
  <c r="DN389" i="1" s="1"/>
  <c r="DL389" i="1"/>
  <c r="DI383" i="1"/>
  <c r="DL383" i="1"/>
  <c r="DI379" i="1"/>
  <c r="DN379" i="1" s="1"/>
  <c r="DL379" i="1"/>
  <c r="DI395" i="1"/>
  <c r="DR395" i="1" s="1"/>
  <c r="DM395" i="1"/>
  <c r="DL395" i="1"/>
  <c r="DL408" i="1"/>
  <c r="DI408" i="1"/>
  <c r="DN408" i="1"/>
  <c r="DI416" i="1"/>
  <c r="DN416" i="1" s="1"/>
  <c r="DL416" i="1"/>
  <c r="DI403" i="1"/>
  <c r="DN403" i="1" s="1"/>
  <c r="DM403" i="1"/>
  <c r="DL403" i="1"/>
  <c r="DI418" i="1"/>
  <c r="DN418" i="1"/>
  <c r="DL418" i="1"/>
  <c r="DI448" i="1"/>
  <c r="DN448" i="1"/>
  <c r="DL448" i="1"/>
  <c r="DI425" i="1"/>
  <c r="DN425" i="1" s="1"/>
  <c r="DL425" i="1"/>
  <c r="DI443" i="1"/>
  <c r="DL443" i="1"/>
  <c r="DI430" i="1"/>
  <c r="DL430" i="1"/>
  <c r="DI467" i="1"/>
  <c r="DN467" i="1"/>
  <c r="DL467" i="1"/>
  <c r="DI463" i="1"/>
  <c r="DN463" i="1" s="1"/>
  <c r="DL463" i="1"/>
  <c r="DI458" i="1"/>
  <c r="DL458" i="1"/>
  <c r="DI453" i="1"/>
  <c r="DN453" i="1" s="1"/>
  <c r="DL453" i="1"/>
  <c r="DI486" i="1"/>
  <c r="DN486" i="1"/>
  <c r="DL486" i="1"/>
  <c r="DI483" i="1"/>
  <c r="DN483" i="1" s="1"/>
  <c r="DL483" i="1"/>
  <c r="DI484" i="1"/>
  <c r="DN484" i="1" s="1"/>
  <c r="DL484" i="1"/>
  <c r="DI474" i="1"/>
  <c r="DN474" i="1" s="1"/>
  <c r="DL474" i="1"/>
  <c r="DI493" i="1"/>
  <c r="DL493" i="1"/>
  <c r="DI490" i="1"/>
  <c r="DR490" i="1" s="1"/>
  <c r="DL490" i="1"/>
  <c r="DI217" i="1"/>
  <c r="DN217" i="1"/>
  <c r="DL217" i="1"/>
  <c r="DI223" i="1"/>
  <c r="DR223" i="1" s="1"/>
  <c r="DL223" i="1"/>
  <c r="DM223" i="1"/>
  <c r="DI245" i="1"/>
  <c r="DN245" i="1" s="1"/>
  <c r="DL245" i="1"/>
  <c r="DL246" i="1"/>
  <c r="DI246" i="1"/>
  <c r="DN246" i="1" s="1"/>
  <c r="DI237" i="1"/>
  <c r="DN237" i="1" s="1"/>
  <c r="DL237" i="1"/>
  <c r="DL261" i="1"/>
  <c r="DI261" i="1"/>
  <c r="DN261" i="1" s="1"/>
  <c r="DI265" i="1"/>
  <c r="DL265" i="1"/>
  <c r="DN265" i="1"/>
  <c r="DI253" i="1"/>
  <c r="DN253" i="1" s="1"/>
  <c r="DL253" i="1"/>
  <c r="DI251" i="1"/>
  <c r="DN251" i="1" s="1"/>
  <c r="DM251" i="1"/>
  <c r="DL251" i="1"/>
  <c r="DI320" i="1"/>
  <c r="DN320" i="1"/>
  <c r="DL320" i="1"/>
  <c r="DI280" i="1"/>
  <c r="DN280" i="1" s="1"/>
  <c r="DL280" i="1"/>
  <c r="DI275" i="1"/>
  <c r="DL275" i="1"/>
  <c r="DI273" i="1"/>
  <c r="DN273" i="1"/>
  <c r="DL273" i="1"/>
  <c r="DI269" i="1"/>
  <c r="DR269" i="1" s="1"/>
  <c r="DM269" i="1"/>
  <c r="DL269" i="1"/>
  <c r="DI304" i="1"/>
  <c r="DL304" i="1"/>
  <c r="DI296" i="1"/>
  <c r="DN296" i="1" s="1"/>
  <c r="DL296" i="1"/>
  <c r="DI291" i="1"/>
  <c r="DN291" i="1"/>
  <c r="DL291" i="1"/>
  <c r="DI286" i="1"/>
  <c r="DL286" i="1"/>
  <c r="DI317" i="1"/>
  <c r="DN317" i="1" s="1"/>
  <c r="DL317" i="1"/>
  <c r="DI301" i="1"/>
  <c r="DN301" i="1"/>
  <c r="DL301" i="1"/>
  <c r="DI294" i="1"/>
  <c r="DL294" i="1"/>
  <c r="DI311" i="1"/>
  <c r="DN311" i="1"/>
  <c r="DL311" i="1"/>
  <c r="DI322" i="1"/>
  <c r="DL322" i="1"/>
  <c r="DL331" i="1"/>
  <c r="DI331" i="1"/>
  <c r="DN331" i="1" s="1"/>
  <c r="DL327" i="1"/>
  <c r="DI327" i="1"/>
  <c r="DN327" i="1" s="1"/>
  <c r="DI336" i="1"/>
  <c r="DN336" i="1" s="1"/>
  <c r="DL336" i="1"/>
  <c r="DI342" i="1"/>
  <c r="DN342" i="1" s="1"/>
  <c r="DL342" i="1"/>
  <c r="DM342" i="1"/>
  <c r="DI363" i="1"/>
  <c r="DN363" i="1"/>
  <c r="DL363" i="1"/>
  <c r="DI372" i="1"/>
  <c r="DN372" i="1"/>
  <c r="DL372" i="1"/>
  <c r="DI359" i="1"/>
  <c r="DR359" i="1" s="1"/>
  <c r="DM359" i="1"/>
  <c r="DL359" i="1"/>
  <c r="DI347" i="1"/>
  <c r="DN347" i="1"/>
  <c r="DL347" i="1"/>
  <c r="DL375" i="1"/>
  <c r="DI375" i="1"/>
  <c r="DI388" i="1"/>
  <c r="DN388" i="1" s="1"/>
  <c r="DL388" i="1"/>
  <c r="DI382" i="1"/>
  <c r="DL382" i="1"/>
  <c r="DN382" i="1"/>
  <c r="DI399" i="1"/>
  <c r="DL399" i="1"/>
  <c r="DN399" i="1"/>
  <c r="DI411" i="1"/>
  <c r="DL411" i="1"/>
  <c r="DM411" i="1" s="1"/>
  <c r="DI407" i="1"/>
  <c r="DN407" i="1" s="1"/>
  <c r="DL407" i="1"/>
  <c r="DI415" i="1"/>
  <c r="DN415" i="1" s="1"/>
  <c r="DL415" i="1"/>
  <c r="DI402" i="1"/>
  <c r="DN402" i="1" s="1"/>
  <c r="DM402" i="1"/>
  <c r="DL402" i="1"/>
  <c r="DI447" i="1"/>
  <c r="DN447" i="1"/>
  <c r="DL447" i="1"/>
  <c r="DI439" i="1"/>
  <c r="DL439" i="1"/>
  <c r="DI437" i="1"/>
  <c r="DN437" i="1"/>
  <c r="DL437" i="1"/>
  <c r="DL466" i="1"/>
  <c r="DN466" i="1"/>
  <c r="DI466" i="1"/>
  <c r="DI457" i="1"/>
  <c r="DL457" i="1"/>
  <c r="DN457" i="1"/>
  <c r="DI456" i="1"/>
  <c r="DL456" i="1"/>
  <c r="DN456" i="1"/>
  <c r="DI452" i="1"/>
  <c r="DN452" i="1" s="1"/>
  <c r="DL452" i="1"/>
  <c r="DI479" i="1"/>
  <c r="DL479" i="1"/>
  <c r="DI469" i="1"/>
  <c r="DL469" i="1"/>
  <c r="DI470" i="1"/>
  <c r="DL470" i="1"/>
  <c r="DI492" i="1"/>
  <c r="DL492" i="1"/>
  <c r="DI495" i="1"/>
  <c r="DN495" i="1"/>
  <c r="DL495" i="1"/>
  <c r="DI491" i="1"/>
  <c r="DL491" i="1"/>
  <c r="DI200" i="1"/>
  <c r="DR200" i="1" s="1"/>
  <c r="DM200" i="1"/>
  <c r="DL200" i="1"/>
  <c r="DI199" i="1"/>
  <c r="DL199" i="1"/>
  <c r="DI207" i="1"/>
  <c r="DN207" i="1"/>
  <c r="DL207" i="1"/>
  <c r="DI206" i="1"/>
  <c r="DN206" i="1" s="1"/>
  <c r="DL206" i="1"/>
  <c r="DI208" i="1"/>
  <c r="DN208" i="1"/>
  <c r="DL208" i="1"/>
  <c r="DI205" i="1"/>
  <c r="DN205" i="1" s="1"/>
  <c r="DL205" i="1"/>
  <c r="DL204" i="1"/>
  <c r="DI204" i="1"/>
  <c r="DN204" i="1" s="1"/>
  <c r="DI202" i="1"/>
  <c r="DR202" i="1" s="1"/>
  <c r="DM202" i="1"/>
  <c r="DL202" i="1"/>
  <c r="DI201" i="1"/>
  <c r="DN201" i="1" s="1"/>
  <c r="DL201" i="1"/>
  <c r="DI203" i="1"/>
  <c r="DR203" i="1" s="1"/>
  <c r="DM203" i="1"/>
  <c r="DL203" i="1"/>
  <c r="DL172" i="1"/>
  <c r="DI172" i="1"/>
  <c r="DN172" i="1"/>
  <c r="DI163" i="1"/>
  <c r="DN163" i="1" s="1"/>
  <c r="DL163" i="1"/>
  <c r="DI159" i="1"/>
  <c r="DN159" i="1" s="1"/>
  <c r="DL159" i="1"/>
  <c r="DI168" i="1"/>
  <c r="DR168" i="1" s="1"/>
  <c r="DL168" i="1"/>
  <c r="DM168" i="1"/>
  <c r="DI167" i="1"/>
  <c r="DL167" i="1"/>
  <c r="DL188" i="1"/>
  <c r="DI188" i="1"/>
  <c r="DI179" i="1"/>
  <c r="DN179" i="1" s="1"/>
  <c r="DL179" i="1"/>
  <c r="DI175" i="1"/>
  <c r="DL175" i="1"/>
  <c r="DL189" i="1"/>
  <c r="DI189" i="1"/>
  <c r="DN189" i="1"/>
  <c r="DL196" i="1"/>
  <c r="DI196" i="1"/>
  <c r="DI195" i="1"/>
  <c r="DL195" i="1"/>
  <c r="DI165" i="1"/>
  <c r="DN165" i="1"/>
  <c r="DL165" i="1"/>
  <c r="DL161" i="1"/>
  <c r="DI161" i="1"/>
  <c r="DI164" i="1"/>
  <c r="DN164" i="1" s="1"/>
  <c r="DL164" i="1"/>
  <c r="DI166" i="1"/>
  <c r="DL166" i="1"/>
  <c r="DI174" i="1"/>
  <c r="DN174" i="1" s="1"/>
  <c r="DL174" i="1"/>
  <c r="DI178" i="1"/>
  <c r="DN178" i="1" s="1"/>
  <c r="DL178" i="1"/>
  <c r="DL183" i="1"/>
  <c r="DI183" i="1"/>
  <c r="DI194" i="1"/>
  <c r="DR194" i="1" s="1"/>
  <c r="DL194" i="1"/>
  <c r="DI193" i="1"/>
  <c r="DR193" i="1" s="1"/>
  <c r="DL193" i="1"/>
  <c r="DL158" i="1"/>
  <c r="DI158" i="1"/>
  <c r="DN158" i="1" s="1"/>
  <c r="DI162" i="1"/>
  <c r="DL162" i="1"/>
  <c r="DI181" i="1"/>
  <c r="DN181" i="1"/>
  <c r="DL181" i="1"/>
  <c r="DI177" i="1"/>
  <c r="DR177" i="1" s="1"/>
  <c r="DM177" i="1"/>
  <c r="DL177" i="1"/>
  <c r="DL185" i="1"/>
  <c r="DI185" i="1"/>
  <c r="DN185" i="1" s="1"/>
  <c r="DI182" i="1"/>
  <c r="DL182" i="1"/>
  <c r="DL190" i="1"/>
  <c r="DI190" i="1"/>
  <c r="DN190" i="1"/>
  <c r="DI191" i="1"/>
  <c r="DN191" i="1" s="1"/>
  <c r="DL191" i="1"/>
  <c r="DI192" i="1"/>
  <c r="DL192" i="1"/>
  <c r="DL173" i="1"/>
  <c r="DI173" i="1"/>
  <c r="DN173" i="1"/>
  <c r="DI170" i="1"/>
  <c r="DN170" i="1" s="1"/>
  <c r="DL170" i="1"/>
  <c r="DL171" i="1"/>
  <c r="DI171" i="1"/>
  <c r="DN171" i="1" s="1"/>
  <c r="DI160" i="1"/>
  <c r="DN160" i="1" s="1"/>
  <c r="DL160" i="1"/>
  <c r="DI169" i="1"/>
  <c r="DN169" i="1" s="1"/>
  <c r="DL169" i="1"/>
  <c r="DL184" i="1"/>
  <c r="DI184" i="1"/>
  <c r="DR184" i="1" s="1"/>
  <c r="DM184" i="1"/>
  <c r="DI180" i="1"/>
  <c r="DL180" i="1"/>
  <c r="DN180" i="1"/>
  <c r="DI176" i="1"/>
  <c r="DR176" i="1" s="1"/>
  <c r="DM176" i="1"/>
  <c r="DL176" i="1"/>
  <c r="DL187" i="1"/>
  <c r="DI187" i="1"/>
  <c r="DL186" i="1"/>
  <c r="DM186" i="1"/>
  <c r="DI186" i="1"/>
  <c r="DR186" i="1" s="1"/>
  <c r="DL197" i="1"/>
  <c r="DI198" i="1"/>
  <c r="DN198" i="1"/>
  <c r="DL198" i="1"/>
  <c r="DI155" i="1"/>
  <c r="DL155" i="1"/>
  <c r="DN155" i="1"/>
  <c r="DI149" i="1"/>
  <c r="DL149" i="1"/>
  <c r="DI146" i="1"/>
  <c r="DN146" i="1" s="1"/>
  <c r="DL146" i="1"/>
  <c r="DI144" i="1"/>
  <c r="DN144" i="1" s="1"/>
  <c r="DL144" i="1"/>
  <c r="DI145" i="1"/>
  <c r="DN145" i="1" s="1"/>
  <c r="DL145" i="1"/>
  <c r="DI156" i="1"/>
  <c r="DN156" i="1"/>
  <c r="DL156" i="1"/>
  <c r="DI153" i="1"/>
  <c r="DN153" i="1" s="1"/>
  <c r="DL153" i="1"/>
  <c r="DI148" i="1"/>
  <c r="DN148" i="1"/>
  <c r="DL148" i="1"/>
  <c r="DI151" i="1"/>
  <c r="DN151" i="1" s="1"/>
  <c r="DL151" i="1"/>
  <c r="DN147" i="1"/>
  <c r="DI147" i="1"/>
  <c r="DL147" i="1"/>
  <c r="DI157" i="1"/>
  <c r="DN157" i="1" s="1"/>
  <c r="DL157" i="1"/>
  <c r="DI150" i="1"/>
  <c r="DL150" i="1"/>
  <c r="DI152" i="1"/>
  <c r="DN152" i="1" s="1"/>
  <c r="DL152" i="1"/>
  <c r="DI154" i="1"/>
  <c r="DN154" i="1" s="1"/>
  <c r="DL154" i="1"/>
  <c r="DI129" i="1"/>
  <c r="DL129" i="1"/>
  <c r="DL128" i="1"/>
  <c r="DM128" i="1"/>
  <c r="DI128" i="1"/>
  <c r="DR128" i="1" s="1"/>
  <c r="DL117" i="1"/>
  <c r="DI117" i="1"/>
  <c r="DN117" i="1" s="1"/>
  <c r="DL116" i="1"/>
  <c r="DI116" i="1"/>
  <c r="DN116" i="1" s="1"/>
  <c r="DI97" i="1"/>
  <c r="DN97" i="1" s="1"/>
  <c r="DL97" i="1"/>
  <c r="DI113" i="1"/>
  <c r="DL113" i="1"/>
  <c r="DI112" i="1"/>
  <c r="DN112" i="1" s="1"/>
  <c r="DL112" i="1"/>
  <c r="DI111" i="1"/>
  <c r="DN111" i="1"/>
  <c r="DL111" i="1"/>
  <c r="DI110" i="1"/>
  <c r="DN110" i="1" s="1"/>
  <c r="DL110" i="1"/>
  <c r="DI109" i="1"/>
  <c r="DL109" i="1"/>
  <c r="DN109" i="1"/>
  <c r="DI108" i="1"/>
  <c r="DN108" i="1" s="1"/>
  <c r="DL108" i="1"/>
  <c r="DI107" i="1"/>
  <c r="DN107" i="1" s="1"/>
  <c r="DL107" i="1"/>
  <c r="DI106" i="1"/>
  <c r="DN106" i="1" s="1"/>
  <c r="DL106" i="1"/>
  <c r="DI105" i="1"/>
  <c r="DR105" i="1" s="1"/>
  <c r="DM105" i="1"/>
  <c r="DL105" i="1"/>
  <c r="DI104" i="1"/>
  <c r="DN104" i="1" s="1"/>
  <c r="DL104" i="1"/>
  <c r="DI103" i="1"/>
  <c r="DN103" i="1"/>
  <c r="DL103" i="1"/>
  <c r="DI102" i="1"/>
  <c r="DN102" i="1"/>
  <c r="DL102" i="1"/>
  <c r="DI101" i="1"/>
  <c r="DN101" i="1" s="1"/>
  <c r="DL101" i="1"/>
  <c r="DI100" i="1"/>
  <c r="DN100" i="1" s="1"/>
  <c r="DL100" i="1"/>
  <c r="DI99" i="1"/>
  <c r="DN99" i="1" s="1"/>
  <c r="DL99" i="1"/>
  <c r="DI98" i="1"/>
  <c r="DN98" i="1" s="1"/>
  <c r="DL98" i="1"/>
  <c r="DI115" i="1"/>
  <c r="DN115" i="1" s="1"/>
  <c r="DL115" i="1"/>
  <c r="DL118" i="1"/>
  <c r="DN118" i="1"/>
  <c r="DI118" i="1"/>
  <c r="DI143" i="1"/>
  <c r="DN143" i="1" s="1"/>
  <c r="DL143" i="1"/>
  <c r="DI140" i="1"/>
  <c r="DN140" i="1" s="1"/>
  <c r="DL140" i="1"/>
  <c r="DL139" i="1"/>
  <c r="DI139" i="1"/>
  <c r="DN139" i="1" s="1"/>
  <c r="DI138" i="1"/>
  <c r="DN138" i="1" s="1"/>
  <c r="DL138" i="1"/>
  <c r="DI137" i="1"/>
  <c r="DN137" i="1" s="1"/>
  <c r="DL137" i="1"/>
  <c r="DI136" i="1"/>
  <c r="DN136" i="1" s="1"/>
  <c r="DL136" i="1"/>
  <c r="DI135" i="1"/>
  <c r="DN135" i="1" s="1"/>
  <c r="DL135" i="1"/>
  <c r="DI134" i="1"/>
  <c r="DL134" i="1"/>
  <c r="DN133" i="1"/>
  <c r="DI133" i="1"/>
  <c r="DL133" i="1"/>
  <c r="DI132" i="1"/>
  <c r="DN132" i="1" s="1"/>
  <c r="DL132" i="1"/>
  <c r="DI131" i="1"/>
  <c r="DN131" i="1" s="1"/>
  <c r="DL131" i="1"/>
  <c r="DI130" i="1"/>
  <c r="DN130" i="1" s="1"/>
  <c r="DL130" i="1"/>
  <c r="DL127" i="1"/>
  <c r="DI127" i="1"/>
  <c r="DN127" i="1"/>
  <c r="DN126" i="1"/>
  <c r="DL126" i="1"/>
  <c r="DI126" i="1"/>
  <c r="DI125" i="1"/>
  <c r="DN125" i="1" s="1"/>
  <c r="DL125" i="1"/>
  <c r="DL124" i="1"/>
  <c r="DI124" i="1"/>
  <c r="DN124" i="1" s="1"/>
  <c r="DI142" i="1"/>
  <c r="DL142" i="1"/>
  <c r="DN142" i="1"/>
  <c r="DI123" i="1"/>
  <c r="DN123" i="1" s="1"/>
  <c r="DL123" i="1"/>
  <c r="DI122" i="1"/>
  <c r="DN122" i="1" s="1"/>
  <c r="DL122" i="1"/>
  <c r="DI121" i="1"/>
  <c r="DN121" i="1" s="1"/>
  <c r="DL121" i="1"/>
  <c r="DI120" i="1"/>
  <c r="DL120" i="1"/>
  <c r="DI119" i="1"/>
  <c r="DL119" i="1"/>
  <c r="DI141" i="1"/>
  <c r="DL141" i="1"/>
  <c r="DN141" i="1"/>
  <c r="DI114" i="1"/>
  <c r="DL114" i="1"/>
  <c r="DI89" i="1"/>
  <c r="DN89" i="1" s="1"/>
  <c r="DL89" i="1"/>
  <c r="DI93" i="1"/>
  <c r="DN93" i="1" s="1"/>
  <c r="DL93" i="1"/>
  <c r="DI90" i="1"/>
  <c r="DN90" i="1" s="1"/>
  <c r="DL90" i="1"/>
  <c r="DI87" i="1"/>
  <c r="DN87" i="1" s="1"/>
  <c r="DL87" i="1"/>
  <c r="DI96" i="1"/>
  <c r="DR96" i="1" s="1"/>
  <c r="DL96" i="1"/>
  <c r="DL95" i="1"/>
  <c r="DI95" i="1"/>
  <c r="DN95" i="1"/>
  <c r="DI92" i="1"/>
  <c r="DN92" i="1" s="1"/>
  <c r="DL92" i="1"/>
  <c r="DI88" i="1"/>
  <c r="DN88" i="1" s="1"/>
  <c r="DL88" i="1"/>
  <c r="DI94" i="1"/>
  <c r="DN94" i="1"/>
  <c r="DL94" i="1"/>
  <c r="DI91" i="1"/>
  <c r="DN91" i="1" s="1"/>
  <c r="DL91" i="1"/>
  <c r="DI81" i="1"/>
  <c r="DN81" i="1" s="1"/>
  <c r="DL81" i="1"/>
  <c r="DI77" i="1"/>
  <c r="DR77" i="1" s="1"/>
  <c r="DL77" i="1"/>
  <c r="DI85" i="1"/>
  <c r="DN85" i="1" s="1"/>
  <c r="DL85" i="1"/>
  <c r="DI79" i="1"/>
  <c r="DL79" i="1"/>
  <c r="DI80" i="1"/>
  <c r="DN80" i="1" s="1"/>
  <c r="DL80" i="1"/>
  <c r="DI84" i="1"/>
  <c r="DL84" i="1"/>
  <c r="DN84" i="1"/>
  <c r="DI78" i="1"/>
  <c r="DN78" i="1" s="1"/>
  <c r="DL78" i="1"/>
  <c r="DI83" i="1"/>
  <c r="DN83" i="1"/>
  <c r="DL83" i="1"/>
  <c r="DI86" i="1"/>
  <c r="DN86" i="1" s="1"/>
  <c r="DL86" i="1"/>
  <c r="DI82" i="1"/>
  <c r="DN82" i="1" s="1"/>
  <c r="DL82" i="1"/>
  <c r="DI61" i="1"/>
  <c r="DN61" i="1" s="1"/>
  <c r="DL61" i="1"/>
  <c r="DI59" i="1"/>
  <c r="DN59" i="1" s="1"/>
  <c r="DL59" i="1"/>
  <c r="DI60" i="1"/>
  <c r="DL60" i="1"/>
  <c r="DL58" i="1"/>
  <c r="DI58" i="1"/>
  <c r="DN58" i="1"/>
  <c r="DI57" i="1"/>
  <c r="DN57" i="1"/>
  <c r="DL57" i="1"/>
  <c r="DI55" i="1"/>
  <c r="DN55" i="1" s="1"/>
  <c r="DL55" i="1"/>
  <c r="DI71" i="1"/>
  <c r="DN71" i="1" s="1"/>
  <c r="DL71" i="1"/>
  <c r="DI69" i="1"/>
  <c r="DN69" i="1" s="1"/>
  <c r="DL69" i="1"/>
  <c r="DI76" i="1"/>
  <c r="DN76" i="1"/>
  <c r="DL76" i="1"/>
  <c r="DI67" i="1"/>
  <c r="DL67" i="1"/>
  <c r="DN67" i="1"/>
  <c r="DL66" i="1"/>
  <c r="DN66" i="1"/>
  <c r="DI66" i="1"/>
  <c r="DI63" i="1"/>
  <c r="DR63" i="1" s="1"/>
  <c r="DM63" i="1"/>
  <c r="DL63" i="1"/>
  <c r="DI52" i="1"/>
  <c r="DN52" i="1" s="1"/>
  <c r="DL52" i="1"/>
  <c r="DI73" i="1"/>
  <c r="DN73" i="1" s="1"/>
  <c r="DL73" i="1"/>
  <c r="DI75" i="1"/>
  <c r="DN75" i="1" s="1"/>
  <c r="DL75" i="1"/>
  <c r="DI72" i="1"/>
  <c r="DN72" i="1" s="1"/>
  <c r="DL72" i="1"/>
  <c r="DI70" i="1"/>
  <c r="DN70" i="1" s="1"/>
  <c r="DL70" i="1"/>
  <c r="DL64" i="1"/>
  <c r="DI64" i="1"/>
  <c r="DN64" i="1" s="1"/>
  <c r="DI56" i="1"/>
  <c r="DN56" i="1" s="1"/>
  <c r="DL56" i="1"/>
  <c r="DI54" i="1"/>
  <c r="DN54" i="1" s="1"/>
  <c r="DL54" i="1"/>
  <c r="DI53" i="1"/>
  <c r="DN53" i="1" s="1"/>
  <c r="DL53" i="1"/>
  <c r="DI74" i="1"/>
  <c r="DN74" i="1" s="1"/>
  <c r="DL74" i="1"/>
  <c r="DI68" i="1"/>
  <c r="DN68" i="1" s="1"/>
  <c r="DL68" i="1"/>
  <c r="DL65" i="1"/>
  <c r="DI65" i="1"/>
  <c r="DN65" i="1" s="1"/>
  <c r="DI62" i="1"/>
  <c r="DL62" i="1"/>
  <c r="DI45" i="1"/>
  <c r="DL45" i="1"/>
  <c r="DI50" i="1"/>
  <c r="DN50" i="1" s="1"/>
  <c r="DL50" i="1"/>
  <c r="DI44" i="1"/>
  <c r="DL44" i="1"/>
  <c r="DI48" i="1"/>
  <c r="DL48" i="1"/>
  <c r="DI51" i="1"/>
  <c r="DL51" i="1"/>
  <c r="DI46" i="1"/>
  <c r="DL46" i="1"/>
  <c r="DI43" i="1"/>
  <c r="DR43" i="1" s="1"/>
  <c r="DL43" i="1"/>
  <c r="DI49" i="1"/>
  <c r="DL49" i="1"/>
  <c r="DI47" i="1"/>
  <c r="DL47" i="1"/>
  <c r="DL36" i="1"/>
  <c r="DI36" i="1"/>
  <c r="DL40" i="1"/>
  <c r="DN40" i="1"/>
  <c r="DI40" i="1"/>
  <c r="DI35" i="1"/>
  <c r="DL35" i="1"/>
  <c r="DI26" i="1"/>
  <c r="DR26" i="1" s="1"/>
  <c r="DM26" i="1"/>
  <c r="DL26" i="1"/>
  <c r="DI41" i="1"/>
  <c r="DN41" i="1"/>
  <c r="DL41" i="1"/>
  <c r="DL39" i="1"/>
  <c r="DI39" i="1"/>
  <c r="DI34" i="1"/>
  <c r="DL34" i="1"/>
  <c r="DL38" i="1"/>
  <c r="DI38" i="1"/>
  <c r="DL42" i="1"/>
  <c r="DI42" i="1"/>
  <c r="DR42" i="1" s="1"/>
  <c r="DI37" i="1"/>
  <c r="DL37" i="1"/>
  <c r="DI33" i="1"/>
  <c r="DL33" i="1"/>
  <c r="DL29" i="1"/>
  <c r="DI29" i="1"/>
  <c r="DL23" i="1"/>
  <c r="DI23" i="1"/>
  <c r="DI30" i="1"/>
  <c r="DL30" i="1"/>
  <c r="DN30" i="1"/>
  <c r="DI27" i="1"/>
  <c r="DR27" i="1" s="1"/>
  <c r="DL27" i="1"/>
  <c r="DL24" i="1"/>
  <c r="DI24" i="1"/>
  <c r="DI31" i="1"/>
  <c r="DL31" i="1"/>
  <c r="DN31" i="1"/>
  <c r="DI25" i="1"/>
  <c r="DL25" i="1"/>
  <c r="DL32" i="1"/>
  <c r="DI32" i="1"/>
  <c r="DL28" i="1"/>
  <c r="DI28" i="1"/>
  <c r="DI22" i="1"/>
  <c r="DL22" i="1"/>
  <c r="DN6" i="1"/>
  <c r="DI6" i="1"/>
  <c r="DL6" i="1"/>
  <c r="DL21" i="1"/>
  <c r="DI21" i="1"/>
  <c r="DN21" i="1"/>
  <c r="DI5" i="1"/>
  <c r="DL5" i="1"/>
  <c r="DI4" i="1"/>
  <c r="DL4" i="1"/>
  <c r="DI20" i="1"/>
  <c r="DN20" i="1"/>
  <c r="DL20" i="1"/>
  <c r="DL19" i="1"/>
  <c r="DI19" i="1"/>
  <c r="DI18" i="1"/>
  <c r="DL18" i="1"/>
  <c r="DI17" i="1"/>
  <c r="DL17" i="1"/>
  <c r="DI3" i="1"/>
  <c r="DR3" i="1" s="1"/>
  <c r="DM3" i="1"/>
  <c r="DL3" i="1"/>
  <c r="DL12" i="1"/>
  <c r="DI12" i="1"/>
  <c r="DN12" i="1"/>
  <c r="DL15" i="1"/>
  <c r="DI15" i="1"/>
  <c r="DI11" i="1"/>
  <c r="DL11" i="1"/>
  <c r="DN11" i="1"/>
  <c r="DI16" i="1"/>
  <c r="DL16" i="1"/>
  <c r="DI7" i="1"/>
  <c r="DL7" i="1"/>
  <c r="DL14" i="1"/>
  <c r="DI14" i="1"/>
  <c r="DN14" i="1" s="1"/>
  <c r="DL10" i="1"/>
  <c r="DI10" i="1"/>
  <c r="DL8" i="1"/>
  <c r="DI8" i="1"/>
  <c r="DI13" i="1"/>
  <c r="DL13" i="1"/>
  <c r="DL9" i="1"/>
  <c r="DI9" i="1"/>
  <c r="U4" i="3"/>
  <c r="T5" i="3" s="1"/>
  <c r="V4" i="3"/>
  <c r="W4" i="3" s="1"/>
  <c r="DN525" i="1" l="1"/>
  <c r="DN530" i="1"/>
  <c r="DN524" i="1"/>
  <c r="DN526" i="1"/>
  <c r="DN531" i="1"/>
  <c r="DN533" i="1"/>
  <c r="DM529" i="1"/>
  <c r="DN529" i="1" s="1"/>
  <c r="DN532" i="1"/>
  <c r="DM523" i="1"/>
  <c r="DN523" i="1" s="1"/>
  <c r="DN534" i="1"/>
  <c r="DN527" i="1"/>
  <c r="DN432" i="1"/>
  <c r="DN451" i="1"/>
  <c r="DN450" i="1"/>
  <c r="DN480" i="1"/>
  <c r="DN472" i="1"/>
  <c r="DN471" i="1"/>
  <c r="DN461" i="1"/>
  <c r="DN460" i="1"/>
  <c r="DN441" i="1"/>
  <c r="DN442" i="1"/>
  <c r="DN440" i="1"/>
  <c r="DN433" i="1"/>
  <c r="DN431" i="1"/>
  <c r="DN423" i="1"/>
  <c r="DN422" i="1"/>
  <c r="DN421" i="1"/>
  <c r="DN420" i="1"/>
  <c r="DN413" i="1"/>
  <c r="DN515" i="1"/>
  <c r="DN516" i="1"/>
  <c r="DN519" i="1"/>
  <c r="DN499" i="1"/>
  <c r="DM482" i="1"/>
  <c r="DN482" i="1" s="1"/>
  <c r="DN514" i="1"/>
  <c r="DN504" i="1"/>
  <c r="DN412" i="1"/>
  <c r="DN509" i="1"/>
  <c r="DN404" i="1"/>
  <c r="DN394" i="1"/>
  <c r="DN518" i="1"/>
  <c r="DN517" i="1"/>
  <c r="DM508" i="1"/>
  <c r="DN508" i="1" s="1"/>
  <c r="DN506" i="1"/>
  <c r="DM496" i="1"/>
  <c r="DN496" i="1" s="1"/>
  <c r="DN500" i="1"/>
  <c r="DN501" i="1"/>
  <c r="DM444" i="1"/>
  <c r="DN444" i="1" s="1"/>
  <c r="DN510" i="1"/>
  <c r="DM414" i="1"/>
  <c r="DN414" i="1" s="1"/>
  <c r="DM507" i="1"/>
  <c r="DN507" i="1" s="1"/>
  <c r="DN505" i="1"/>
  <c r="DM434" i="1"/>
  <c r="DN434" i="1" s="1"/>
  <c r="DN498" i="1"/>
  <c r="DN497" i="1"/>
  <c r="DN511" i="1"/>
  <c r="DM313" i="1"/>
  <c r="DN313" i="1" s="1"/>
  <c r="DM230" i="1"/>
  <c r="DN230" i="1" s="1"/>
  <c r="DN491" i="1"/>
  <c r="DM490" i="1"/>
  <c r="DN490" i="1" s="1"/>
  <c r="DM312" i="1"/>
  <c r="DN312" i="1" s="1"/>
  <c r="DM443" i="1"/>
  <c r="DN443" i="1" s="1"/>
  <c r="DM323" i="1"/>
  <c r="DN323" i="1" s="1"/>
  <c r="DM470" i="1"/>
  <c r="DN470" i="1" s="1"/>
  <c r="DM479" i="1"/>
  <c r="DN479" i="1" s="1"/>
  <c r="DM375" i="1"/>
  <c r="DN375" i="1" s="1"/>
  <c r="DM357" i="1"/>
  <c r="DN357" i="1" s="1"/>
  <c r="DM275" i="1"/>
  <c r="DN275" i="1" s="1"/>
  <c r="DN287" i="1"/>
  <c r="DM276" i="1"/>
  <c r="DN276" i="1" s="1"/>
  <c r="DN234" i="1"/>
  <c r="DM295" i="1"/>
  <c r="DN295" i="1" s="1"/>
  <c r="DM303" i="1"/>
  <c r="DN303" i="1" s="1"/>
  <c r="DM383" i="1"/>
  <c r="DN383" i="1" s="1"/>
  <c r="DN349" i="1"/>
  <c r="DN492" i="1"/>
  <c r="DM469" i="1"/>
  <c r="DN469" i="1" s="1"/>
  <c r="DM348" i="1"/>
  <c r="DN348" i="1" s="1"/>
  <c r="DM449" i="1"/>
  <c r="DN449" i="1" s="1"/>
  <c r="DN393" i="1"/>
  <c r="DN385" i="1"/>
  <c r="DN268" i="1"/>
  <c r="DN411" i="1"/>
  <c r="DN359" i="1"/>
  <c r="DM322" i="1"/>
  <c r="DN322" i="1" s="1"/>
  <c r="DN493" i="1"/>
  <c r="DM458" i="1"/>
  <c r="DN458" i="1" s="1"/>
  <c r="DM430" i="1"/>
  <c r="DN430" i="1" s="1"/>
  <c r="DM285" i="1"/>
  <c r="DN285" i="1" s="1"/>
  <c r="DN213" i="1"/>
  <c r="DN223" i="1"/>
  <c r="DN395" i="1"/>
  <c r="DM374" i="1"/>
  <c r="DN374" i="1" s="1"/>
  <c r="DM231" i="1"/>
  <c r="DN231" i="1" s="1"/>
  <c r="DM314" i="1"/>
  <c r="DN314" i="1" s="1"/>
  <c r="DM293" i="1"/>
  <c r="DN293" i="1" s="1"/>
  <c r="DN222" i="1"/>
  <c r="DM330" i="1"/>
  <c r="DN330" i="1" s="1"/>
  <c r="DM284" i="1"/>
  <c r="DN284" i="1" s="1"/>
  <c r="DN269" i="1"/>
  <c r="DM439" i="1"/>
  <c r="DN439" i="1" s="1"/>
  <c r="DM294" i="1"/>
  <c r="DN294" i="1" s="1"/>
  <c r="DM286" i="1"/>
  <c r="DN286" i="1" s="1"/>
  <c r="DM304" i="1"/>
  <c r="DN304" i="1" s="1"/>
  <c r="DM305" i="1"/>
  <c r="DN305" i="1" s="1"/>
  <c r="DM459" i="1"/>
  <c r="DN459" i="1" s="1"/>
  <c r="DM429" i="1"/>
  <c r="DN429" i="1" s="1"/>
  <c r="DM419" i="1"/>
  <c r="DN419" i="1" s="1"/>
  <c r="DM384" i="1"/>
  <c r="DN384" i="1" s="1"/>
  <c r="DM365" i="1"/>
  <c r="DN365" i="1" s="1"/>
  <c r="DN377" i="1"/>
  <c r="DN366" i="1"/>
  <c r="DM339" i="1"/>
  <c r="DN339" i="1" s="1"/>
  <c r="DN341" i="1"/>
  <c r="DM321" i="1"/>
  <c r="DN321" i="1" s="1"/>
  <c r="DN203" i="1"/>
  <c r="DN202" i="1"/>
  <c r="DN168" i="1"/>
  <c r="DN200" i="1"/>
  <c r="DM199" i="1"/>
  <c r="DN199" i="1" s="1"/>
  <c r="DM161" i="1"/>
  <c r="DN161" i="1" s="1"/>
  <c r="DN194" i="1"/>
  <c r="DN193" i="1"/>
  <c r="DN196" i="1"/>
  <c r="DN188" i="1"/>
  <c r="DN176" i="1"/>
  <c r="DN177" i="1"/>
  <c r="DN183" i="1"/>
  <c r="DN186" i="1"/>
  <c r="DN187" i="1"/>
  <c r="DN192" i="1"/>
  <c r="DM182" i="1"/>
  <c r="DN182" i="1" s="1"/>
  <c r="DM162" i="1"/>
  <c r="DN162" i="1" s="1"/>
  <c r="DM166" i="1"/>
  <c r="DN166" i="1" s="1"/>
  <c r="DN195" i="1"/>
  <c r="DM175" i="1"/>
  <c r="DN175" i="1" s="1"/>
  <c r="DM167" i="1"/>
  <c r="DN167" i="1" s="1"/>
  <c r="DN197" i="1"/>
  <c r="DN184" i="1"/>
  <c r="DM149" i="1"/>
  <c r="DN149" i="1" s="1"/>
  <c r="DM150" i="1"/>
  <c r="DN150" i="1" s="1"/>
  <c r="DM119" i="1"/>
  <c r="DN119" i="1" s="1"/>
  <c r="DM134" i="1"/>
  <c r="DN134" i="1" s="1"/>
  <c r="DN128" i="1"/>
  <c r="DM129" i="1"/>
  <c r="DN129" i="1" s="1"/>
  <c r="DM120" i="1"/>
  <c r="DN120" i="1" s="1"/>
  <c r="DN105" i="1"/>
  <c r="DM114" i="1"/>
  <c r="DN114" i="1" s="1"/>
  <c r="DM113" i="1"/>
  <c r="DN113" i="1" s="1"/>
  <c r="DN96" i="1"/>
  <c r="DN77" i="1"/>
  <c r="DM79" i="1"/>
  <c r="DN79" i="1" s="1"/>
  <c r="DM60" i="1"/>
  <c r="DN60" i="1" s="1"/>
  <c r="DN63" i="1"/>
  <c r="DM62" i="1"/>
  <c r="DN62" i="1" s="1"/>
  <c r="DM51" i="1"/>
  <c r="DN51" i="1" s="1"/>
  <c r="DN42" i="1"/>
  <c r="DN45" i="1"/>
  <c r="DM47" i="1"/>
  <c r="DN47" i="1" s="1"/>
  <c r="DN49" i="1"/>
  <c r="DM46" i="1"/>
  <c r="DN46" i="1" s="1"/>
  <c r="DN48" i="1"/>
  <c r="DN43" i="1"/>
  <c r="DN44" i="1"/>
  <c r="DN26" i="1"/>
  <c r="DN39" i="1"/>
  <c r="DN38" i="1"/>
  <c r="DN37" i="1"/>
  <c r="DN34" i="1"/>
  <c r="DN36" i="1"/>
  <c r="DN35" i="1"/>
  <c r="DN33" i="1"/>
  <c r="DM25" i="1"/>
  <c r="DN25" i="1" s="1"/>
  <c r="DN32" i="1"/>
  <c r="DN29" i="1"/>
  <c r="DN28" i="1"/>
  <c r="DN27" i="1"/>
  <c r="DN22" i="1"/>
  <c r="DN24" i="1"/>
  <c r="DN23" i="1"/>
  <c r="DN18" i="1"/>
  <c r="DN10" i="1"/>
  <c r="DN16" i="1"/>
  <c r="DN19" i="1"/>
  <c r="DM7" i="1"/>
  <c r="DN7" i="1" s="1"/>
  <c r="DN15" i="1"/>
  <c r="DN3" i="1"/>
  <c r="DN9" i="1"/>
  <c r="DN5" i="1"/>
  <c r="DN8" i="1"/>
  <c r="DN17" i="1"/>
  <c r="DN4" i="1"/>
  <c r="DM13" i="1"/>
  <c r="DN13" i="1" s="1"/>
  <c r="DI544" i="1"/>
  <c r="X4" i="3"/>
  <c r="V5" i="3"/>
  <c r="W5" i="3" s="1"/>
  <c r="U5" i="3"/>
  <c r="T6" i="3" s="1"/>
  <c r="X5" i="3" l="1"/>
  <c r="U6" i="3"/>
  <c r="T7" i="3" s="1"/>
  <c r="V6" i="3"/>
  <c r="W6" i="3" s="1"/>
  <c r="X6" i="3" l="1"/>
  <c r="V7" i="3"/>
  <c r="W7" i="3" s="1"/>
  <c r="U7" i="3"/>
  <c r="T8" i="3" s="1"/>
  <c r="U8" i="3" l="1"/>
  <c r="T9" i="3" s="1"/>
  <c r="V8" i="3"/>
  <c r="W8" i="3" s="1"/>
  <c r="X7" i="3"/>
  <c r="X8" i="3" l="1"/>
  <c r="V9" i="3"/>
  <c r="W9" i="3" s="1"/>
  <c r="U9" i="3"/>
  <c r="T10" i="3" s="1"/>
  <c r="X9" i="3" l="1"/>
  <c r="V10" i="3"/>
  <c r="W10" i="3" s="1"/>
  <c r="U10" i="3"/>
  <c r="T11" i="3" s="1"/>
  <c r="X10" i="3" l="1"/>
  <c r="U11" i="3"/>
  <c r="T12" i="3" s="1"/>
  <c r="V11" i="3"/>
  <c r="W11" i="3" s="1"/>
  <c r="U12" i="3" l="1"/>
  <c r="T13" i="3" s="1"/>
  <c r="V12" i="3"/>
  <c r="W12" i="3" s="1"/>
  <c r="X11" i="3"/>
  <c r="X12" i="3" l="1"/>
  <c r="V13" i="3"/>
  <c r="W13" i="3" s="1"/>
  <c r="U13" i="3"/>
  <c r="T14" i="3" s="1"/>
  <c r="X13" i="3" l="1"/>
  <c r="V14" i="3"/>
  <c r="W14" i="3" s="1"/>
  <c r="U14" i="3"/>
  <c r="T15" i="3" s="1"/>
  <c r="X14" i="3" l="1"/>
  <c r="V15" i="3"/>
  <c r="W15" i="3" s="1"/>
  <c r="U15" i="3"/>
  <c r="T16" i="3" s="1"/>
  <c r="X15" i="3" l="1"/>
  <c r="U16" i="3"/>
  <c r="T17" i="3" s="1"/>
  <c r="V16" i="3"/>
  <c r="W16" i="3" s="1"/>
  <c r="X16" i="3" l="1"/>
  <c r="V17" i="3"/>
  <c r="W17" i="3" s="1"/>
  <c r="U17" i="3"/>
  <c r="T18" i="3" s="1"/>
  <c r="V18" i="3" l="1"/>
  <c r="W18" i="3" s="1"/>
  <c r="U18" i="3"/>
  <c r="T19" i="3" s="1"/>
  <c r="X17" i="3"/>
  <c r="V19" i="3" l="1"/>
  <c r="W19" i="3" s="1"/>
  <c r="U19" i="3"/>
  <c r="T20" i="3" s="1"/>
  <c r="X18" i="3"/>
  <c r="X19" i="3" l="1"/>
  <c r="U20" i="3"/>
  <c r="T21" i="3" s="1"/>
  <c r="V20" i="3"/>
  <c r="W20" i="3" s="1"/>
  <c r="X20" i="3" l="1"/>
  <c r="U21" i="3"/>
  <c r="T22" i="3" s="1"/>
  <c r="V21" i="3"/>
  <c r="W21" i="3" s="1"/>
  <c r="X21" i="3" l="1"/>
  <c r="V22" i="3"/>
  <c r="W22" i="3" s="1"/>
  <c r="U22" i="3"/>
  <c r="T23" i="3" s="1"/>
  <c r="V23" i="3" l="1"/>
  <c r="W23" i="3" s="1"/>
  <c r="U23" i="3"/>
  <c r="T24" i="3" s="1"/>
  <c r="X22" i="3"/>
  <c r="X23" i="3" l="1"/>
  <c r="U24" i="3"/>
  <c r="T25" i="3" s="1"/>
  <c r="V24" i="3"/>
  <c r="W24" i="3" s="1"/>
  <c r="X24" i="3" l="1"/>
  <c r="U25" i="3"/>
  <c r="T26" i="3" s="1"/>
  <c r="V25" i="3"/>
  <c r="W25" i="3" s="1"/>
  <c r="V26" i="3" l="1"/>
  <c r="W26" i="3" s="1"/>
  <c r="U26" i="3"/>
  <c r="T27" i="3" s="1"/>
  <c r="X26" i="3"/>
  <c r="X25" i="3"/>
  <c r="V27" i="3" l="1"/>
  <c r="W27" i="3" s="1"/>
  <c r="U27" i="3"/>
  <c r="T28" i="3" s="1"/>
  <c r="X27" i="3"/>
  <c r="U28" i="3" l="1"/>
  <c r="T29" i="3" s="1"/>
  <c r="V28" i="3"/>
  <c r="W28" i="3" s="1"/>
  <c r="X28" i="3" l="1"/>
  <c r="U29" i="3"/>
  <c r="T30" i="3" s="1"/>
  <c r="V29" i="3"/>
  <c r="W29" i="3" s="1"/>
  <c r="V30" i="3" l="1"/>
  <c r="W30" i="3" s="1"/>
  <c r="U30" i="3"/>
  <c r="T31" i="3" s="1"/>
  <c r="X30" i="3"/>
  <c r="X29" i="3"/>
  <c r="V31" i="3" l="1"/>
  <c r="W31" i="3" s="1"/>
  <c r="U31" i="3"/>
  <c r="T32" i="3" s="1"/>
  <c r="X31" i="3"/>
  <c r="U32" i="3" l="1"/>
  <c r="T33" i="3" s="1"/>
  <c r="X32" i="3"/>
  <c r="V32" i="3"/>
  <c r="W32" i="3" s="1"/>
  <c r="U33" i="3" l="1"/>
  <c r="T34" i="3" s="1"/>
  <c r="V33" i="3"/>
  <c r="W33" i="3" s="1"/>
  <c r="V34" i="3" l="1"/>
  <c r="W34" i="3" s="1"/>
  <c r="U34" i="3"/>
  <c r="T35" i="3" s="1"/>
  <c r="X34" i="3"/>
  <c r="X33" i="3"/>
  <c r="V35" i="3" l="1"/>
  <c r="W35" i="3" s="1"/>
  <c r="U35" i="3"/>
  <c r="T36" i="3" s="1"/>
  <c r="X35" i="3" l="1"/>
  <c r="U36" i="3"/>
  <c r="T37" i="3" s="1"/>
  <c r="V36" i="3"/>
  <c r="W36" i="3" s="1"/>
  <c r="X36" i="3" l="1"/>
  <c r="U37" i="3"/>
  <c r="T38" i="3" s="1"/>
  <c r="V37" i="3"/>
  <c r="W37" i="3" s="1"/>
  <c r="V38" i="3" l="1"/>
  <c r="W38" i="3" s="1"/>
  <c r="U38" i="3"/>
  <c r="T39" i="3" s="1"/>
  <c r="X37" i="3"/>
  <c r="V39" i="3" l="1"/>
  <c r="W39" i="3" s="1"/>
  <c r="U39" i="3"/>
  <c r="T40" i="3" s="1"/>
  <c r="X39" i="3"/>
  <c r="X38" i="3"/>
  <c r="U40" i="3" l="1"/>
  <c r="T41" i="3" s="1"/>
  <c r="V40" i="3"/>
  <c r="W40" i="3" s="1"/>
  <c r="X40" i="3" l="1"/>
  <c r="V41" i="3"/>
  <c r="W41" i="3" s="1"/>
  <c r="U41" i="3"/>
  <c r="T42" i="3" s="1"/>
  <c r="V42" i="3" l="1"/>
  <c r="W42" i="3" s="1"/>
  <c r="U42" i="3"/>
  <c r="T43" i="3" s="1"/>
  <c r="X41" i="3"/>
  <c r="V43" i="3" l="1"/>
  <c r="W43" i="3" s="1"/>
  <c r="U43" i="3"/>
  <c r="T44" i="3" s="1"/>
  <c r="X42" i="3"/>
  <c r="X43" i="3" l="1"/>
  <c r="U44" i="3"/>
  <c r="T45" i="3" s="1"/>
  <c r="X44" i="3"/>
  <c r="V44" i="3"/>
  <c r="W44" i="3" s="1"/>
  <c r="U45" i="3" l="1"/>
  <c r="T46" i="3" s="1"/>
  <c r="V45" i="3"/>
  <c r="W45" i="3" s="1"/>
  <c r="X45" i="3" l="1"/>
  <c r="V46" i="3"/>
  <c r="W46" i="3" s="1"/>
  <c r="U46" i="3"/>
  <c r="T47" i="3" s="1"/>
  <c r="V47" i="3" l="1"/>
  <c r="W47" i="3" s="1"/>
  <c r="U47" i="3"/>
  <c r="T48" i="3" s="1"/>
  <c r="X47" i="3"/>
  <c r="X46" i="3"/>
  <c r="U48" i="3" l="1"/>
  <c r="T49" i="3" s="1"/>
  <c r="V48" i="3"/>
  <c r="W48" i="3" s="1"/>
  <c r="X48" i="3" l="1"/>
  <c r="U49" i="3"/>
  <c r="T50" i="3" s="1"/>
  <c r="V49" i="3"/>
  <c r="W49" i="3" s="1"/>
  <c r="V50" i="3" l="1"/>
  <c r="W50" i="3" s="1"/>
  <c r="U50" i="3"/>
  <c r="T51" i="3" s="1"/>
  <c r="X49" i="3"/>
  <c r="X50" i="3" l="1"/>
  <c r="V51" i="3"/>
  <c r="W51" i="3" s="1"/>
  <c r="U51" i="3"/>
  <c r="T52" i="3" s="1"/>
  <c r="X51" i="3"/>
  <c r="U52" i="3" l="1"/>
  <c r="T53" i="3" s="1"/>
  <c r="V52" i="3"/>
  <c r="W52" i="3" s="1"/>
  <c r="X52" i="3" l="1"/>
  <c r="X53" i="3"/>
  <c r="V53" i="3"/>
  <c r="W53" i="3" s="1"/>
</calcChain>
</file>

<file path=xl/sharedStrings.xml><?xml version="1.0" encoding="utf-8"?>
<sst xmlns="http://schemas.openxmlformats.org/spreadsheetml/2006/main" count="16774" uniqueCount="12479">
  <si>
    <t>CECO_L</t>
  </si>
  <si>
    <t>LABOR</t>
  </si>
  <si>
    <t>TRABAJO</t>
  </si>
  <si>
    <t>ZONA</t>
  </si>
  <si>
    <t>ETAPA</t>
  </si>
  <si>
    <t>CECO_T</t>
  </si>
  <si>
    <t>CECO_COMPLETO</t>
  </si>
  <si>
    <t>110021</t>
  </si>
  <si>
    <t xml:space="preserve">EXPLOR,ESPERANZA,GA 170 NE Cx.128 NE,DESQUINCHE   </t>
  </si>
  <si>
    <t>110022</t>
  </si>
  <si>
    <t xml:space="preserve">EXPLOR,ESPERANZA,GA 170 NE Cx.128 NE,ENMADERADO   </t>
  </si>
  <si>
    <t>110023</t>
  </si>
  <si>
    <t xml:space="preserve">EXPLOR,ESPERANZA,GA 170 NE Cx.128 NE,LIMPIEZA     </t>
  </si>
  <si>
    <t>110024</t>
  </si>
  <si>
    <t xml:space="preserve">EXPLOR,ESPERANZA,GA 170 NE Cx.128 NE,SERVIC       </t>
  </si>
  <si>
    <t>110025</t>
  </si>
  <si>
    <t xml:space="preserve">EXPLOR,ESPERANZA,GA 170 NE Cx.128 NE,EXTRACCION   </t>
  </si>
  <si>
    <t>110026</t>
  </si>
  <si>
    <t xml:space="preserve">EXPLOR,ESPERANZA,GA 170 NE Cx.128 NE,SPLIT SET    </t>
  </si>
  <si>
    <t>110027</t>
  </si>
  <si>
    <t>EXPLOR,ESPERANZA,GA 170 NE Cx.128 NE,SPLIT CON MAL</t>
  </si>
  <si>
    <t>110028</t>
  </si>
  <si>
    <t>EXPLOR,ESPERANZA,GA 170 NE Cx.128 NE,IZAJE Y DESCE</t>
  </si>
  <si>
    <t>110029</t>
  </si>
  <si>
    <t xml:space="preserve">EXPLOR,ESPERANZA,GA 170 NE Cx.128 NE,PERFORACION  </t>
  </si>
  <si>
    <t>111011</t>
  </si>
  <si>
    <t>EXPL , ESPERANZA , Cx.128 NE_GL.028 NE , DESQUINCH</t>
  </si>
  <si>
    <t>111012</t>
  </si>
  <si>
    <t>EXPL , ESPERANZA , Cx.128 NE_GL.028 NE , ENMADERAD</t>
  </si>
  <si>
    <t>111013</t>
  </si>
  <si>
    <t xml:space="preserve">EXPL , ESPERANZA , Cx.128 NE_GL.028 NE , LIMPIEZA </t>
  </si>
  <si>
    <t>111014</t>
  </si>
  <si>
    <t>EXPL , ESPERANZA , Cx.128 NE_GL.028 NE , SERVICIOS</t>
  </si>
  <si>
    <t>111015</t>
  </si>
  <si>
    <t>EXPL , ESPERANZA , Cx.128 NE_GL.028 NE , EXTRACCIO</t>
  </si>
  <si>
    <t>111016</t>
  </si>
  <si>
    <t>EXPL , ESPERANZA , Cx.128 NE_GL.028 NE , SPLIT SET</t>
  </si>
  <si>
    <t>111017</t>
  </si>
  <si>
    <t>EXPL , ESPERANZA , Cx.128 NE_GL.028 NE , SPLIT CON</t>
  </si>
  <si>
    <t>111018</t>
  </si>
  <si>
    <t>EXPL , ESPERANZA , Cx.128 NE_GL.028 NE , IZAJE Y D</t>
  </si>
  <si>
    <t>111019</t>
  </si>
  <si>
    <t>EXPL , ESPERANZA , Cx.128 NE_GL.028 NE , PERFORACI</t>
  </si>
  <si>
    <t>112011</t>
  </si>
  <si>
    <t>EXPL , ESPERANZA , CH.045_SN 095-1 SW , DESQUINCHE</t>
  </si>
  <si>
    <t>112012</t>
  </si>
  <si>
    <t>EXPL , ESPERANZA , CH.045_SN 095-1 SW , ENMADERADO</t>
  </si>
  <si>
    <t>112013</t>
  </si>
  <si>
    <t xml:space="preserve">EXPL , ESPERANZA , CH.045_SN 095-1 SW , LIMPIEZA  </t>
  </si>
  <si>
    <t>112014</t>
  </si>
  <si>
    <t xml:space="preserve">EXPL , ESPERANZA , CH.045_SN 095-1 SW , SERVICIOS </t>
  </si>
  <si>
    <t>112015</t>
  </si>
  <si>
    <t>EXPL , ESPERANZA , CH.045_SN 095-1 SW , EXTRACCION</t>
  </si>
  <si>
    <t>112016</t>
  </si>
  <si>
    <t xml:space="preserve">EXPL , ESPERANZA , CH.045_SN 095-1 SW , SPLIT SET </t>
  </si>
  <si>
    <t>112017</t>
  </si>
  <si>
    <t xml:space="preserve">EXPL , ESPERANZA , CH.045_SN 095-1 SW , SPLIT CON </t>
  </si>
  <si>
    <t>112018</t>
  </si>
  <si>
    <t>EXPL , ESPERANZA , CH.045_SN 095-1 SW , IZAJE Y DE</t>
  </si>
  <si>
    <t>112019</t>
  </si>
  <si>
    <t>EXPL , ESPERANZA , CH.045_SN 095-1 SW , PERFORACIO</t>
  </si>
  <si>
    <t>112051</t>
  </si>
  <si>
    <t>EXPLOR , ESPERANZA , CH. 025  SNv.039-SW , DESQUIN</t>
  </si>
  <si>
    <t>112052</t>
  </si>
  <si>
    <t>EXPLOR , ESPERANZA , CH. 025  SNv.039-SW , ENMADER</t>
  </si>
  <si>
    <t>112053</t>
  </si>
  <si>
    <t>EXPLOR , ESPERANZA , CH. 025  SNv.039-SW , LIMPIEZ</t>
  </si>
  <si>
    <t>112054</t>
  </si>
  <si>
    <t>EXPLOR , ESPERANZA , CH. 025  SNv.039-SW , SERVICI</t>
  </si>
  <si>
    <t>112055</t>
  </si>
  <si>
    <t>EXPLOR , ESPERANZA , CH. 025  SNv.039-SW , EXTRACC</t>
  </si>
  <si>
    <t>112056</t>
  </si>
  <si>
    <t>EXPLOR , ESPERANZA , CH. 025  SNv.039-SW , split s</t>
  </si>
  <si>
    <t>112057</t>
  </si>
  <si>
    <t>EXPLOR , ESPERANZA , CH. 025  SNv.039-SW , split c</t>
  </si>
  <si>
    <t>112058</t>
  </si>
  <si>
    <t>EXPLOR , ESPERANZA , CH.025 SNv.039-SW,IZAJE Y DES</t>
  </si>
  <si>
    <t>112059</t>
  </si>
  <si>
    <t>EXPLOR , ESPERANZA , CH. 025  SNv.039-SW , PERFORA</t>
  </si>
  <si>
    <t>112091</t>
  </si>
  <si>
    <t xml:space="preserve">EXPLOR,ESPERANZA,CH 580 -1 TJ 580 NE,DESQUINCHE   </t>
  </si>
  <si>
    <t>112092</t>
  </si>
  <si>
    <t xml:space="preserve">EXPLOR,ESPERANZA,CH 580 -1 TJ 580 NE,ENMADERADO   </t>
  </si>
  <si>
    <t>112093</t>
  </si>
  <si>
    <t xml:space="preserve">EXPLOR,ESPERANZA,CH 580 -1 TJ 580 NE,LIMPIEZA     </t>
  </si>
  <si>
    <t>112094</t>
  </si>
  <si>
    <t xml:space="preserve">EXPLOR,ESPERANZA,CH 580 -1 TJ 580 NE,SERVICIOS    </t>
  </si>
  <si>
    <t>112095</t>
  </si>
  <si>
    <t xml:space="preserve">EXPLOR,ESPERANZA,CH 580 -1 TJ 580 NE,EXTRACCION   </t>
  </si>
  <si>
    <t>112096</t>
  </si>
  <si>
    <t xml:space="preserve">EXPLOR,ESPERANZA,CH 580 -1 TJ 580 NE,SPLIT SET    </t>
  </si>
  <si>
    <t>112097</t>
  </si>
  <si>
    <t>EXPLOR,ESPERANZA,CH 580 -1 TJ 580 NE,SPLIT CON MAL</t>
  </si>
  <si>
    <t>112098</t>
  </si>
  <si>
    <t>EXPLOR,ESPERANZA,CH 580 -1 TJ 580 NE,IZAJE Y DESCE</t>
  </si>
  <si>
    <t>112099</t>
  </si>
  <si>
    <t xml:space="preserve">EXPLOR,ESPERANZA,CH 580 -1 TJ 580 NE,PERFORACION  </t>
  </si>
  <si>
    <t>114011</t>
  </si>
  <si>
    <t>EXPLOR , ESPERANZA ,Snv.095-1-SW_Est.095-1SW,DESQU</t>
  </si>
  <si>
    <t>114012</t>
  </si>
  <si>
    <t>EXPLOR , ESPERANZA ,Snv.095-1-SW_Est.095-1 SW,ENMA</t>
  </si>
  <si>
    <t>114013</t>
  </si>
  <si>
    <t>EXPLOR , ESPERANZA , Snv. 095-1-SW_Est. 095-1 SW ,</t>
  </si>
  <si>
    <t>114014</t>
  </si>
  <si>
    <t>EXPLOR,ESPERANZA,Snv.095-1-SW_Est.095-1 SW,SERVICI</t>
  </si>
  <si>
    <t>114015</t>
  </si>
  <si>
    <t>EXPLOR , ESPERANZA,Snv.095-1-SW_Est.095-1 SW, EXTR</t>
  </si>
  <si>
    <t>114016</t>
  </si>
  <si>
    <t>114017</t>
  </si>
  <si>
    <t>EXPLOR ,ESPERANZ,Snv.095-1-SW_Est.095-1SW,SPLIT CO</t>
  </si>
  <si>
    <t>114018</t>
  </si>
  <si>
    <t>EXPLOR, ESPERANZ,Snv.095-1-SW_Est.095-1SW, IZAJE Y</t>
  </si>
  <si>
    <t>114019</t>
  </si>
  <si>
    <t>EXPLOR , ESPERANZ,Snv.095-1-SW_Est.095-1 SW, PERFO</t>
  </si>
  <si>
    <t>114021</t>
  </si>
  <si>
    <t>EXPLOR , ESPERANZA , SN.039-SW Est. 039 SW , DESQU</t>
  </si>
  <si>
    <t>114022</t>
  </si>
  <si>
    <t>EXPLOR , ESPERANZA , SN.039-SW Est. 039 SW , ENMAD</t>
  </si>
  <si>
    <t>114023</t>
  </si>
  <si>
    <t>EXPLOR , ESPERANZA , SN.039-SW Est. 039 SW , LIMPI</t>
  </si>
  <si>
    <t>114024</t>
  </si>
  <si>
    <t>EXPLOR , ESPERANZA , SN.039-SW Est. 039 SW , SERVI</t>
  </si>
  <si>
    <t>114025</t>
  </si>
  <si>
    <t>EXPLOR , ESPERANZA , SN.039-SW Est. 039 SW , EXTRA</t>
  </si>
  <si>
    <t>114026</t>
  </si>
  <si>
    <t>EXPLOR , ESPERANZA , SN.039-SW Est. 039 SW , split</t>
  </si>
  <si>
    <t>114027</t>
  </si>
  <si>
    <t>114028</t>
  </si>
  <si>
    <t>EXPLOR , ESPERANZ,SN.039-SW Est.039 SW,IZAJE Y DES</t>
  </si>
  <si>
    <t>114029</t>
  </si>
  <si>
    <t>EXPLOR , ESPERANZA , SN.039-SW Est. 039 SW , PERFO</t>
  </si>
  <si>
    <t>114101</t>
  </si>
  <si>
    <t xml:space="preserve">EXPLOR,ESPERANZA,SNv.580-4SW CH 580,DESQUIN       </t>
  </si>
  <si>
    <t>114102</t>
  </si>
  <si>
    <t xml:space="preserve">EXPLOR,ESPERANZA,SNv.580-4SW CH 580,ENMADERADO    </t>
  </si>
  <si>
    <t>114103</t>
  </si>
  <si>
    <t xml:space="preserve">EXPLOR,ESPERANZA,SNv.580-4SW CH 580,LIMPIEZA      </t>
  </si>
  <si>
    <t>114104</t>
  </si>
  <si>
    <t xml:space="preserve">EXPLOR,ESPERANZA,SNv.580-4SW CH 580,SERVICIOS     </t>
  </si>
  <si>
    <t>114105</t>
  </si>
  <si>
    <t xml:space="preserve">EXPLOR,ESPERANZA,SNv.580-4SW CH 580,EXTRACCION    </t>
  </si>
  <si>
    <t>114106</t>
  </si>
  <si>
    <t xml:space="preserve">EXPLOR,ESPERANZA,SNv.580-4SW CH 580,SPLIT SET     </t>
  </si>
  <si>
    <t>114107</t>
  </si>
  <si>
    <t>EXPLOR,ESPERANZA,SNv.580-4SW CH 580,SPLIT CON MALL</t>
  </si>
  <si>
    <t>114108</t>
  </si>
  <si>
    <t>EXPLOR,ESPERANZA,SNv.580-4SW CH 580,IZAJE Y DESCEN</t>
  </si>
  <si>
    <t>114109</t>
  </si>
  <si>
    <t xml:space="preserve">EXPLOR,ESPERANZA,SNv.580-4SW CH 580,PERFORACION   </t>
  </si>
  <si>
    <t>114131</t>
  </si>
  <si>
    <t xml:space="preserve">EXPLOR,ESPERANZA,SNV 095 NE EST 095 NE,DESQUINCHE </t>
  </si>
  <si>
    <t>114132</t>
  </si>
  <si>
    <t xml:space="preserve">EXPLOR,ESPERANZA,SNV 095 NE EST 095 NE,ENMADERADO </t>
  </si>
  <si>
    <t>114133</t>
  </si>
  <si>
    <t xml:space="preserve">EXPLOR,ESPERANZA,SNV 095 NE EST 095 NE,LIMPIEZA   </t>
  </si>
  <si>
    <t>114134</t>
  </si>
  <si>
    <t xml:space="preserve">EXPLOR,ESPERANZA,SNV 095 NE EST 095 NE,SERVICIOS  </t>
  </si>
  <si>
    <t>114135</t>
  </si>
  <si>
    <t xml:space="preserve">EXPLOR,ESPERANZA,SNV 095 NE EST 095 NE,EXTRACCION </t>
  </si>
  <si>
    <t>114136</t>
  </si>
  <si>
    <t xml:space="preserve">EXPLOR,ESPERANZA,SNV 095 NE EST 095 NE,SPLIT SET  </t>
  </si>
  <si>
    <t>114137</t>
  </si>
  <si>
    <t>EXPLOR,ESPERAN,SNV 095 NE EST 095 NE,SPLIT CON MAL</t>
  </si>
  <si>
    <t>114138</t>
  </si>
  <si>
    <t>EXPLOR,ESPERA,SNV 095 NE EST 095 NE,IZAJE Y DESCEN</t>
  </si>
  <si>
    <t>114139</t>
  </si>
  <si>
    <t>EXPLOR,ESPERANZA,SNV 095 NE EST 095 NE,PERFORACION</t>
  </si>
  <si>
    <t>114171</t>
  </si>
  <si>
    <t xml:space="preserve">EXPLOR,ESPERANZA,SNV 100-S CH 100,DESQUINCHE      </t>
  </si>
  <si>
    <t>114172</t>
  </si>
  <si>
    <t xml:space="preserve">EXPLOR,ESPERANZA,SNV 100-S CH 100,ENMADERADO      </t>
  </si>
  <si>
    <t>114173</t>
  </si>
  <si>
    <t xml:space="preserve">EXPLOR,ESPERANZA,SNV 100-S CH 100,LIMPIEZA        </t>
  </si>
  <si>
    <t>114174</t>
  </si>
  <si>
    <t xml:space="preserve">EXPLOR,ESPERANZA,SNV 100-S CH 100,SERVICIOS       </t>
  </si>
  <si>
    <t>114175</t>
  </si>
  <si>
    <t xml:space="preserve">EXPLOR,ESPERANZA,SNV 100-S CH 100,EXTRACCION      </t>
  </si>
  <si>
    <t>114176</t>
  </si>
  <si>
    <t xml:space="preserve">EXPLOR,ESPERANZA,SNV 100-S CH 100,SPLIT SET       </t>
  </si>
  <si>
    <t>114177</t>
  </si>
  <si>
    <t xml:space="preserve">EXPLOR,ESPERANZA,SNV 100-S CH 100,SPLIT CON MALLA </t>
  </si>
  <si>
    <t>114178</t>
  </si>
  <si>
    <t>EXPLOR,ESPERANZA,SNV 100-S CH 100,IZAJE Y DESCENSO</t>
  </si>
  <si>
    <t>114179</t>
  </si>
  <si>
    <t xml:space="preserve">EXPLOR,ESPERANZA,SNV 100-S CH 100,PERFORACION     </t>
  </si>
  <si>
    <t>114181</t>
  </si>
  <si>
    <t xml:space="preserve">EXPLOR,ESPERANZA,SNV 100-N CH 100,DESQUINCHE      </t>
  </si>
  <si>
    <t>114182</t>
  </si>
  <si>
    <t xml:space="preserve">EXPLOR,ESPERANZA,SNV 100-N CH 100,ENMADERADO      </t>
  </si>
  <si>
    <t>114183</t>
  </si>
  <si>
    <t xml:space="preserve">EXPLOR,ESPERANZA,SNV 100-N CH 100,LIMPIEZA        </t>
  </si>
  <si>
    <t>114184</t>
  </si>
  <si>
    <t xml:space="preserve">EXPLOR,ESPERANZA,SNV 100-N CH 100,SERVICIOS       </t>
  </si>
  <si>
    <t>114185</t>
  </si>
  <si>
    <t xml:space="preserve">EXPLOR,ESPERANZA,SNV 100-N CH 100,EXTRACCION      </t>
  </si>
  <si>
    <t>114186</t>
  </si>
  <si>
    <t xml:space="preserve">EXPLOR,ESPERANZA,SNV 100-N CH 100,SPLIT SET       </t>
  </si>
  <si>
    <t>114187</t>
  </si>
  <si>
    <t xml:space="preserve">EXPLOR,ESPERANZA,SNV 100-N CH 100,SPLIT CON MALLA </t>
  </si>
  <si>
    <t>114188</t>
  </si>
  <si>
    <t>EXPLOR,ESPERANZA,SNV 100-N CH 100,IZAJE Y DESCENSO</t>
  </si>
  <si>
    <t>114189</t>
  </si>
  <si>
    <t xml:space="preserve">EXPLOR,ESPERANZA,SNV 100-N CH 100,PERFORACION     </t>
  </si>
  <si>
    <t>114191</t>
  </si>
  <si>
    <t xml:space="preserve">EXPLOR,ESPERANZA,SNV 150-S CH 100,DESQUINCHE      </t>
  </si>
  <si>
    <t>114192</t>
  </si>
  <si>
    <t xml:space="preserve">EXPLOR,ESPERANZA,SNV 150-S CH 100,ENMADERADO      </t>
  </si>
  <si>
    <t>114193</t>
  </si>
  <si>
    <t xml:space="preserve">EXPLOR,ESPERANZA,SNV 150-S CH 100,LIMPIEZA        </t>
  </si>
  <si>
    <t>114194</t>
  </si>
  <si>
    <t xml:space="preserve">EXPLOR,ESPERANZA,SNV 150-S CH 100,SERVICIOS       </t>
  </si>
  <si>
    <t>114195</t>
  </si>
  <si>
    <t xml:space="preserve">EXPLOR,ESPERANZA,SNV 150-S CH 100,EXTRACCION      </t>
  </si>
  <si>
    <t>114196</t>
  </si>
  <si>
    <t xml:space="preserve">EXPLOR,ESPERANZA,SNV 150-S CH 100,SPLIT SET       </t>
  </si>
  <si>
    <t>114197</t>
  </si>
  <si>
    <t xml:space="preserve">EXPLOR,ESPERANZA,SNV 150-S CH 100,SPLIT CON MALLA </t>
  </si>
  <si>
    <t>114198</t>
  </si>
  <si>
    <t>EXPLOR,ESPERANZA,SNV 150-S CH 100,IZAJE Y DESCENSO</t>
  </si>
  <si>
    <t>114199</t>
  </si>
  <si>
    <t xml:space="preserve">EXPLOR,ESPERANZA,SNV 150-S CH 100,PERFORACION     </t>
  </si>
  <si>
    <t>114201</t>
  </si>
  <si>
    <t xml:space="preserve">EXPLOR,ESPERANZA,SNV 150-N CH 100,DESQUINCHE      </t>
  </si>
  <si>
    <t>114202</t>
  </si>
  <si>
    <t xml:space="preserve">EXPLOR,ESPERANZA,SNV 150-N CH 100,ENMADERADO      </t>
  </si>
  <si>
    <t>114203</t>
  </si>
  <si>
    <t xml:space="preserve">EXPLOR,ESPERANZA,SNV 150-N CH 100,LIMPIEZA        </t>
  </si>
  <si>
    <t>114204</t>
  </si>
  <si>
    <t xml:space="preserve">EXPLOR,ESPERANZA,SNV 150-N CH 100,SERVICIOS       </t>
  </si>
  <si>
    <t>114205</t>
  </si>
  <si>
    <t xml:space="preserve">EXPLOR,ESPERANZA,SNV 150-N CH 100,EXTRACCION      </t>
  </si>
  <si>
    <t>114206</t>
  </si>
  <si>
    <t xml:space="preserve">EXPLOR,ESPERANZA,SNV 150-N CH 100,SPLIT SET       </t>
  </si>
  <si>
    <t>114207</t>
  </si>
  <si>
    <t xml:space="preserve">EXPLOR,ESPERANZA,SNV 150-N CH 100,SPLIT CON MALLA </t>
  </si>
  <si>
    <t>114208</t>
  </si>
  <si>
    <t>EXPLOR,ESPERANZA,SNV 150-N CH 100,IZAJE Y DESCENSO</t>
  </si>
  <si>
    <t>114209</t>
  </si>
  <si>
    <t xml:space="preserve">EXPLOR,ESPERANZA,SNV 150-N CH 100,PERFORACION     </t>
  </si>
  <si>
    <t>114221</t>
  </si>
  <si>
    <t xml:space="preserve">EXPLOR,ESPERANZA,SNv 095 NE EST 077 NE,DESQUINCHE </t>
  </si>
  <si>
    <t>114222</t>
  </si>
  <si>
    <t xml:space="preserve">EXPLOR,ESPERANZA,SNv 095 NE EST 077 NE,ENMADERADO </t>
  </si>
  <si>
    <t>114223</t>
  </si>
  <si>
    <t xml:space="preserve">EXPLOR,ESPERANZA,SNv 095 NE EST 077 NE,LIMPIEZA   </t>
  </si>
  <si>
    <t>114224</t>
  </si>
  <si>
    <t xml:space="preserve">EXPLOR,ESPERANZA,SNv 095 NE EST 077 NE,SERVICIOS  </t>
  </si>
  <si>
    <t>114225</t>
  </si>
  <si>
    <t xml:space="preserve">EXPLOR,ESPERANZA,SNv 095 NE EST 077 NE,EXTRACCION </t>
  </si>
  <si>
    <t>114226</t>
  </si>
  <si>
    <t xml:space="preserve">EXPLOR,ESPERANZA,SNv 095 NE EST 077 NE,SPLIT SET  </t>
  </si>
  <si>
    <t>114227</t>
  </si>
  <si>
    <t>EXPLOR,ESPERANZA,SNv 095 NE EST 077 NE,SPLIT CON M</t>
  </si>
  <si>
    <t>114228</t>
  </si>
  <si>
    <t>EXPLOR,ESPERANZA,SNv 095 NE EST 077 NE,IZAJE Y DES</t>
  </si>
  <si>
    <t>114229</t>
  </si>
  <si>
    <t>EXPLOR,ESPERANZA,SNv 095 NE EST 077 NE,PERFORACION</t>
  </si>
  <si>
    <t>115021</t>
  </si>
  <si>
    <t>EXPL , ESPERANZA , Est.039-SW_Snv.095-1-SW , DESQU</t>
  </si>
  <si>
    <t>115022</t>
  </si>
  <si>
    <t>EXPL , ESPERANZA , Est.039-SW_Snv.095-1-SW , ENMAD</t>
  </si>
  <si>
    <t>115023</t>
  </si>
  <si>
    <t>EXPL , ESPERANZA , Est.039-SW_Snv.095-1-SW , LIMPI</t>
  </si>
  <si>
    <t>115024</t>
  </si>
  <si>
    <t>EXPL , ESPERANZA , Est.039-SW_Snv.095-1-SW , SERVI</t>
  </si>
  <si>
    <t>115025</t>
  </si>
  <si>
    <t>EXPL , ESPERANZA , Est.039-SW_Snv.095-1-SW , EXTRA</t>
  </si>
  <si>
    <t>115026</t>
  </si>
  <si>
    <t>EXPL , ESPERANZA , Est.039-SW_Snv.095-1-SW , SPLIT</t>
  </si>
  <si>
    <t>115027</t>
  </si>
  <si>
    <t>EXPL , ESPERANZA , Est.039-SW_Snv.095-1-SW,SPLIT C</t>
  </si>
  <si>
    <t>115028</t>
  </si>
  <si>
    <t>EXPL , ESPERANZA, Est.039-SW_Snv.095-1-SW, IZAJE/D</t>
  </si>
  <si>
    <t>115029</t>
  </si>
  <si>
    <t>EXPL , ESPERANZA , Est.039-SW_Snv.095-1-SW , PERFO</t>
  </si>
  <si>
    <t>123011</t>
  </si>
  <si>
    <t xml:space="preserve">PRODUC , ESPERANZA , TJ 580 -3 NE , DESQUINCHE    </t>
  </si>
  <si>
    <t>123012</t>
  </si>
  <si>
    <t xml:space="preserve">PRODUC , ESPERANZA , TJ 580 -3 NE , ENMADERADO    </t>
  </si>
  <si>
    <t>123013</t>
  </si>
  <si>
    <t xml:space="preserve">PRODUC , ESPERANZA , TJ 580 -3 NE , LIMPIEZA      </t>
  </si>
  <si>
    <t>123014</t>
  </si>
  <si>
    <t xml:space="preserve">PRODUC , ESPERANZA , TJ 580 -3 NE , SERVICIOS     </t>
  </si>
  <si>
    <t>123015</t>
  </si>
  <si>
    <t xml:space="preserve">PRODUC , ESPERANZA , TJ 580 -3 NE , EXTRACCION    </t>
  </si>
  <si>
    <t>123016</t>
  </si>
  <si>
    <t xml:space="preserve">PRODUC , ESPERANZA , TJ 580 -3 NE , split set     </t>
  </si>
  <si>
    <t>123017</t>
  </si>
  <si>
    <t>PRODUC , ESPERANZA , TJ 580 -3 NE , split con mall</t>
  </si>
  <si>
    <t>123018</t>
  </si>
  <si>
    <t>PRODUC , ESPERANZA , TJ 580 -3 NE , IZAJE Y DESCEN</t>
  </si>
  <si>
    <t>123019</t>
  </si>
  <si>
    <t xml:space="preserve">PRODUC , ESPERANZA , TJ 580 -3 NE , PERFORACION   </t>
  </si>
  <si>
    <t>123031</t>
  </si>
  <si>
    <t>PRODUC , ESPERANZA , TJ 605 NE    P-3,4 , DESQUINC</t>
  </si>
  <si>
    <t>123032</t>
  </si>
  <si>
    <t>PRODUC , ESPERANZA , TJ 605 NE    P-3,4 , ENMADERA</t>
  </si>
  <si>
    <t>123033</t>
  </si>
  <si>
    <t>PRODUC , ESPERANZA , TJ 605 NE    P-3,4 , LIMPIEZA</t>
  </si>
  <si>
    <t>123034</t>
  </si>
  <si>
    <t>PRODUC , ESPERANZA , TJ 605 NE    P-3,4 , SERVICIO</t>
  </si>
  <si>
    <t>123035</t>
  </si>
  <si>
    <t>PRODUC , ESPERANZA , TJ 605 NE    P-3,4 , EXTRACCI</t>
  </si>
  <si>
    <t>123036</t>
  </si>
  <si>
    <t>PRODUC , ESPERANZA , TJ 605 NE    P-3,4 , split se</t>
  </si>
  <si>
    <t>123037</t>
  </si>
  <si>
    <t>PRODUC , ESPERANZA , TJ 605 NE    P-3,4 , split co</t>
  </si>
  <si>
    <t>123038</t>
  </si>
  <si>
    <t>PRODUC , ESPERANZA , TJ 605 NE P-3,4, IZAJE Y DESC</t>
  </si>
  <si>
    <t>123039</t>
  </si>
  <si>
    <t>PRODUC , ESPERANZA , TJ 605 NE    P-3,4 , PERFORAC</t>
  </si>
  <si>
    <t>123041</t>
  </si>
  <si>
    <t>PRODUC , ESPERANZA , TJ 605 SW   P-3,4 , DESQUINCH</t>
  </si>
  <si>
    <t>123042</t>
  </si>
  <si>
    <t>PRODUC , ESPERANZA , TJ 605 SW   P-3,4 , ENMADERAD</t>
  </si>
  <si>
    <t>123043</t>
  </si>
  <si>
    <t xml:space="preserve">PRODUC , ESPERANZA , TJ 605 SW   P-3,4 , LIMPIEZA </t>
  </si>
  <si>
    <t>123044</t>
  </si>
  <si>
    <t>PRODUC , ESPERANZA , TJ 605 SW   P-3,4 , SERVICIOS</t>
  </si>
  <si>
    <t>123045</t>
  </si>
  <si>
    <t>PRODUC , ESPERANZA , TJ 605 SW   P-3,4 , EXTRACCIO</t>
  </si>
  <si>
    <t>123046</t>
  </si>
  <si>
    <t>PRODUC , ESPERANZA , TJ 605 SW   P-3,4 , split set</t>
  </si>
  <si>
    <t>123047</t>
  </si>
  <si>
    <t>PRODUC , ESPERANZA , TJ 605 SW   P-3,4 , split con</t>
  </si>
  <si>
    <t>123048</t>
  </si>
  <si>
    <t>PRODUC , ESPERANZA , TJ 605 SW P-3,4 , IZAJE Y DES</t>
  </si>
  <si>
    <t>123049</t>
  </si>
  <si>
    <t>PRODUC , ESPERANZA , TJ 605 SW   P-3,4 , PERFORACI</t>
  </si>
  <si>
    <t>123051</t>
  </si>
  <si>
    <t xml:space="preserve">PRODUC , ESPERANZA , TJ 610 SW , DESQUINCHE       </t>
  </si>
  <si>
    <t>123052</t>
  </si>
  <si>
    <t xml:space="preserve">PRODUC , ESPERANZA , TJ 610 SW , ENMADERADO       </t>
  </si>
  <si>
    <t>123053</t>
  </si>
  <si>
    <t xml:space="preserve">PRODUC , ESPERANZA , TJ 610 SW , LIMPIEZA         </t>
  </si>
  <si>
    <t>123054</t>
  </si>
  <si>
    <t xml:space="preserve">PRODUC , ESPERANZA , TJ 610 SW , SERVICIOS        </t>
  </si>
  <si>
    <t>123055</t>
  </si>
  <si>
    <t xml:space="preserve">PRODUC , ESPERANZA , TJ 610 SW , EXTRACCION       </t>
  </si>
  <si>
    <t>123056</t>
  </si>
  <si>
    <t xml:space="preserve">PRODUC , ESPERANZA , TJ 610 SW , split set        </t>
  </si>
  <si>
    <t>123057</t>
  </si>
  <si>
    <t xml:space="preserve">PRODUC , ESPERANZA , TJ 610 SW , split con malla  </t>
  </si>
  <si>
    <t>123058</t>
  </si>
  <si>
    <t xml:space="preserve">PRODUC , ESPERANZA , TJ 610 SW , IZAJE Y DESCENSO </t>
  </si>
  <si>
    <t>123059</t>
  </si>
  <si>
    <t xml:space="preserve">PRODUC , ESPERANZA , TJ 610 SW , PERFORACION      </t>
  </si>
  <si>
    <t>123061</t>
  </si>
  <si>
    <t xml:space="preserve">PRODUC , ESPERANZA , TJ 616 SW , DESQUINCHE       </t>
  </si>
  <si>
    <t>123062</t>
  </si>
  <si>
    <t xml:space="preserve">PRODUC , ESPERANZA , TJ 616 SW , ENMADERADO       </t>
  </si>
  <si>
    <t>123063</t>
  </si>
  <si>
    <t xml:space="preserve">PRODUC , ESPERANZA , TJ 616 SW , LIMPIEZA         </t>
  </si>
  <si>
    <t>123064</t>
  </si>
  <si>
    <t xml:space="preserve">PRODUC , ESPERANZA , TJ 616 SW , SERVICIOS        </t>
  </si>
  <si>
    <t>123065</t>
  </si>
  <si>
    <t xml:space="preserve">PRODUC , ESPERANZA , TJ 616 SW , EXTRACCION       </t>
  </si>
  <si>
    <t>123066</t>
  </si>
  <si>
    <t xml:space="preserve">PRODUC , ESPERANZA , TJ 616 SW , split set        </t>
  </si>
  <si>
    <t>123067</t>
  </si>
  <si>
    <t xml:space="preserve">PRODUC , ESPERANZA , TJ 616 SW , split con malla  </t>
  </si>
  <si>
    <t>123068</t>
  </si>
  <si>
    <t xml:space="preserve">PRODUC , ESPERANZA , TJ 616 SW , IZAJE Y DESCENSO </t>
  </si>
  <si>
    <t>123069</t>
  </si>
  <si>
    <t xml:space="preserve">PRODUC , ESPERANZA , TJ 616 SW , PERFORACION      </t>
  </si>
  <si>
    <t>123071</t>
  </si>
  <si>
    <t xml:space="preserve">PRODUC , ESPERANZA , TJ 299 -3 NE , DESQUINCHE    </t>
  </si>
  <si>
    <t>123072</t>
  </si>
  <si>
    <t xml:space="preserve">PRODUC , ESPERANZA , TJ 299 -3 NE , ENMADERADO    </t>
  </si>
  <si>
    <t>123073</t>
  </si>
  <si>
    <t xml:space="preserve">PRODUC , ESPERANZA , TJ 299 -3 NE , LIMPIEZA      </t>
  </si>
  <si>
    <t>123074</t>
  </si>
  <si>
    <t xml:space="preserve">PRODUC , ESPERANZA , TJ 299 -3 NE , SERVICIOS     </t>
  </si>
  <si>
    <t>123075</t>
  </si>
  <si>
    <t xml:space="preserve">PRODUC , ESPERANZA , TJ 299 -3 NE , EXTRACCION    </t>
  </si>
  <si>
    <t>123076</t>
  </si>
  <si>
    <t xml:space="preserve">PRODUC , ESPERANZA , TJ 299 -3 NE , split set     </t>
  </si>
  <si>
    <t>123077</t>
  </si>
  <si>
    <t>PRODUC , ESPERANZA , TJ 299 -3 NE , split con mall</t>
  </si>
  <si>
    <t>123078</t>
  </si>
  <si>
    <t>PRODUC , ESPERANZA , TJ 299 -3 NE , IZAJE Y DESCEN</t>
  </si>
  <si>
    <t>123079</t>
  </si>
  <si>
    <t xml:space="preserve">PRODUC , ESPERANZA , TJ 299 -3 NE , PERFORACION   </t>
  </si>
  <si>
    <t>124341</t>
  </si>
  <si>
    <t xml:space="preserve">PREPA,ESPERANZA,SNV 070 NE  CH 078,DESQUINCHE     </t>
  </si>
  <si>
    <t>124342</t>
  </si>
  <si>
    <t xml:space="preserve">PREPA,ESPERANZA,SNV 070 NE  CH 078,ENMADERADO     </t>
  </si>
  <si>
    <t>124343</t>
  </si>
  <si>
    <t xml:space="preserve">PREPA,ESPERANZA,SNV 070 NE  CH 078,LIMPIEZA       </t>
  </si>
  <si>
    <t>124344</t>
  </si>
  <si>
    <t xml:space="preserve">PREPA,ESPERANZA,SNV 070 NE  CH 078,SERVICIOS      </t>
  </si>
  <si>
    <t>124345</t>
  </si>
  <si>
    <t xml:space="preserve">PREPA,ESPERANZA,SNV 070 NE  CH 078,EXTRACCION     </t>
  </si>
  <si>
    <t>124346</t>
  </si>
  <si>
    <t xml:space="preserve">PREPA,ESPERANZA,SNV 070 NE  CH 078,SPLIT SET      </t>
  </si>
  <si>
    <t>124347</t>
  </si>
  <si>
    <t>PREPA,ESPERANZA,SNV 070 NE  CH 078,SPLIT CON MALLA</t>
  </si>
  <si>
    <t>124348</t>
  </si>
  <si>
    <t>PREPA,ESPERANZA,SNV 070 NE  CH 078,IZAJE Y DESCENS</t>
  </si>
  <si>
    <t>124349</t>
  </si>
  <si>
    <t xml:space="preserve">PREPA,ESPERANZA,SNV 070 NE  CH 078,PERFORACION    </t>
  </si>
  <si>
    <t>132091</t>
  </si>
  <si>
    <t xml:space="preserve">DESARR,ESPERANZA,CH 580 -1 TJ 580 NE,DESQUINCHE   </t>
  </si>
  <si>
    <t>132092</t>
  </si>
  <si>
    <t xml:space="preserve">DESARR,ESPERANZA,CH 580 -1 TJ 580 NE,ENMADERADO   </t>
  </si>
  <si>
    <t>132093</t>
  </si>
  <si>
    <t xml:space="preserve">DESARR,ESPERANZA,CH 580 -1 TJ 580 NE,LIMPIEZA     </t>
  </si>
  <si>
    <t>132094</t>
  </si>
  <si>
    <t xml:space="preserve">DESARR,ESPERANZA,CH 580 -1 TJ 580 NE,SERVICIOS    </t>
  </si>
  <si>
    <t>132095</t>
  </si>
  <si>
    <t xml:space="preserve">DESARR,ESPERANZA,CH 580 -1 TJ 580 NE,EXTRACCION   </t>
  </si>
  <si>
    <t>132096</t>
  </si>
  <si>
    <t xml:space="preserve">DESARR,ESPERANZA,CH 580 -1 TJ 580 NE,SPLIT SET    </t>
  </si>
  <si>
    <t>132097</t>
  </si>
  <si>
    <t>DESARR,ESPERANZA,CH 580 -1 TJ 580 NE,SPLIT CON MAL</t>
  </si>
  <si>
    <t>132098</t>
  </si>
  <si>
    <t>DESARR,ESPERANZA,CH 580 -1 TJ 580 NE,IZAJE Y DESCE</t>
  </si>
  <si>
    <t>132099</t>
  </si>
  <si>
    <t xml:space="preserve">DESARR,ESPERANZA,CH 580 -1 TJ 580 NE,PERFORACION  </t>
  </si>
  <si>
    <t>132111</t>
  </si>
  <si>
    <t xml:space="preserve">DESARR,ESPERANZA,CH 105 SNV 095 NE,DESQUINCHE     </t>
  </si>
  <si>
    <t>132112</t>
  </si>
  <si>
    <t xml:space="preserve">DESARR,ESPERANZA,CH 105 SNV 095 NE,ENMADERADO     </t>
  </si>
  <si>
    <t>132113</t>
  </si>
  <si>
    <t xml:space="preserve">DESARR,ESPERANZA,CH 105 SNV 095 NE,LIMPIEZA       </t>
  </si>
  <si>
    <t>132114</t>
  </si>
  <si>
    <t xml:space="preserve">DESARR,ESPERANZA,CH 105 SNV 095 NE,SERVICIOS      </t>
  </si>
  <si>
    <t>132115</t>
  </si>
  <si>
    <t xml:space="preserve">DESARR,ESPERANZA,CH 105 SNV 095 NE,EXTRACCION     </t>
  </si>
  <si>
    <t>132116</t>
  </si>
  <si>
    <t xml:space="preserve">DESARR,ESPERANZA,CH 105 SNV 095 NE,SPLIT SET      </t>
  </si>
  <si>
    <t>132117</t>
  </si>
  <si>
    <t>DESARR,ESPERANZA,CH 105 SNV 095 NE,SPLIT CON MALLA</t>
  </si>
  <si>
    <t>132118</t>
  </si>
  <si>
    <t>DESARR,ESPERANZA,CH 105 SNV 095 NE,IZAJE Y DESCENS</t>
  </si>
  <si>
    <t>132119</t>
  </si>
  <si>
    <t xml:space="preserve">DESARR,ESPERANZA,CH 105 SNV 095 NE,PERFORACION    </t>
  </si>
  <si>
    <t>134011</t>
  </si>
  <si>
    <t>DESA , ESPERANZA , Snv. 095-1-SW_Est. 095-1 SW , D</t>
  </si>
  <si>
    <t>134012</t>
  </si>
  <si>
    <t>DESA , ESPERANZA , Snv. 095-1-SW_Est. 095-1 SW , E</t>
  </si>
  <si>
    <t>134013</t>
  </si>
  <si>
    <t>DESA , ESPERANZA , Snv. 095-1-SW_Est. 095-1 SW , L</t>
  </si>
  <si>
    <t>134014</t>
  </si>
  <si>
    <t>DESA , ESPERANZA , Snv. 095-1-SW_Est. 095-1 SW , S</t>
  </si>
  <si>
    <t>134015</t>
  </si>
  <si>
    <t>134016</t>
  </si>
  <si>
    <t>134017</t>
  </si>
  <si>
    <t>134018</t>
  </si>
  <si>
    <t>DESA , ESPERANZA, Snv. 095-1-SW_Est.095-1 SW, IZAJ</t>
  </si>
  <si>
    <t>134019</t>
  </si>
  <si>
    <t>DESA , ESPERANZA , Snv. 095-1-SW_Est. 095-1 SW , P</t>
  </si>
  <si>
    <t>134021</t>
  </si>
  <si>
    <t>DESARR , ESPERANZA , SN.039-SW Est. 039 SW , DESQU</t>
  </si>
  <si>
    <t>134022</t>
  </si>
  <si>
    <t>DESARR , ESPERANZA , SN.039-SW Est. 039 SW , ENMAD</t>
  </si>
  <si>
    <t>134023</t>
  </si>
  <si>
    <t>DESARR , ESPERANZA , SN.039-SW Est. 039 SW , LIMPI</t>
  </si>
  <si>
    <t>134024</t>
  </si>
  <si>
    <t>DESARR , ESPERANZA , SN.039-SW Est. 039 SW , SERVI</t>
  </si>
  <si>
    <t>134025</t>
  </si>
  <si>
    <t>DESARR , ESPERANZA , SN.039-SW Est. 039 SW , EXTRA</t>
  </si>
  <si>
    <t>134026</t>
  </si>
  <si>
    <t>DESARR , ESPERANZA , SN.039-SW Est. 039 SW , split</t>
  </si>
  <si>
    <t>134027</t>
  </si>
  <si>
    <t>134028</t>
  </si>
  <si>
    <t xml:space="preserve">DESARR , ESPERANZA ,SN.039-SW Est.039 SW, IZAJE Y </t>
  </si>
  <si>
    <t>134029</t>
  </si>
  <si>
    <t>DESARR , ESPERANZA , SN.039-SW Est. 039 SW , PERFO</t>
  </si>
  <si>
    <t>134121</t>
  </si>
  <si>
    <t xml:space="preserve">DESARR,ESPERANZA,SNV 590 N CH 616,DESQUINCHE      </t>
  </si>
  <si>
    <t>134122</t>
  </si>
  <si>
    <t xml:space="preserve">DESARR,ESPERANZA,SNV 590 N CH 616,ENMADERADO      </t>
  </si>
  <si>
    <t>134123</t>
  </si>
  <si>
    <t xml:space="preserve">DESARR,ESPERANZA,SNV 590 N CH 616,LIMPIEZA        </t>
  </si>
  <si>
    <t>134124</t>
  </si>
  <si>
    <t xml:space="preserve">DESARR,ESPERANZA,SNV 590 N CH 616,SERVICIOS       </t>
  </si>
  <si>
    <t>134125</t>
  </si>
  <si>
    <t xml:space="preserve">DESARR,ESPERANZA,SNV 590 N CH 616,EXTRACCION      </t>
  </si>
  <si>
    <t>134126</t>
  </si>
  <si>
    <t xml:space="preserve">DESARR,ESPERANZA,SNV 590 N CH 616,SPLIT SET       </t>
  </si>
  <si>
    <t>134127</t>
  </si>
  <si>
    <t xml:space="preserve">DESARR,ESPERANZA,SNV 590 N CH 616,SPLIT CON MALLA </t>
  </si>
  <si>
    <t>134128</t>
  </si>
  <si>
    <t xml:space="preserve">DESARR,ESPERANZA,SNV 590 N CH 616,IZAJE Y DESCENS </t>
  </si>
  <si>
    <t>134129</t>
  </si>
  <si>
    <t xml:space="preserve">DESARR,ESPERANZA,SNV 590 N CH 616,PERFORACION     </t>
  </si>
  <si>
    <t>134231</t>
  </si>
  <si>
    <t xml:space="preserve">DESAR,ESPERANZA,SNv.616-3-SW_CH.616,DESQUINCHE    </t>
  </si>
  <si>
    <t>134232</t>
  </si>
  <si>
    <t xml:space="preserve">DESAR,ESPERANZA,SNv.616-3-SW_CH.616 ,ENMADERADO   </t>
  </si>
  <si>
    <t>134233</t>
  </si>
  <si>
    <t xml:space="preserve">DESAR,ESPERANZA,SNv.616-3-SW_CH.616 ,LIMPIEZA     </t>
  </si>
  <si>
    <t>134234</t>
  </si>
  <si>
    <t xml:space="preserve">DESAR,ESPERANZA,SNv.616-3-SW_CH.616 ,SERVICIOS    </t>
  </si>
  <si>
    <t>134235</t>
  </si>
  <si>
    <t xml:space="preserve">DESAR,ESPERANZA,SNv.616-3-SW_CH.616 ,EXTRACCION   </t>
  </si>
  <si>
    <t>134236</t>
  </si>
  <si>
    <t xml:space="preserve">DESAR,ESPERANZA,SNv.616-3-SW_CH.616 ,SPLIT SET    </t>
  </si>
  <si>
    <t>134237</t>
  </si>
  <si>
    <t>DESAR,ESPERANZA,SNv.616-3-SW_CH.616 ,SPLIT CON MAL</t>
  </si>
  <si>
    <t>134238</t>
  </si>
  <si>
    <t>DESAR,ESPERANZA,SNv.616-3-SW_CH.616 ,IZAJE Y DESCE</t>
  </si>
  <si>
    <t>134239</t>
  </si>
  <si>
    <t xml:space="preserve">DESAR,ESPERANZA,SNv.616-3-SW_CH.616 ,PERFORACION  </t>
  </si>
  <si>
    <t>134241</t>
  </si>
  <si>
    <t xml:space="preserve">DESAR,ESPERANZA,SNv.616-3-NE_CH.616,DESQUINCHE    </t>
  </si>
  <si>
    <t>134242</t>
  </si>
  <si>
    <t xml:space="preserve">DESAR,ESPERANZA,SNv.616-3-NE_CH.616,ENMADERADO    </t>
  </si>
  <si>
    <t>134243</t>
  </si>
  <si>
    <t xml:space="preserve">DESAR,ESPERANZA,SNv.616-3-NE_CH.616,LIMPIEZA      </t>
  </si>
  <si>
    <t>134244</t>
  </si>
  <si>
    <t xml:space="preserve">DESAR,ESPERANZA,SNv.616-3-NE_CH.616,SERVICIOS     </t>
  </si>
  <si>
    <t>134245</t>
  </si>
  <si>
    <t xml:space="preserve">DESAR,ESPERANZA,SNv.616-3-NE_CH.616,EXTRACCION    </t>
  </si>
  <si>
    <t>134246</t>
  </si>
  <si>
    <t xml:space="preserve">DESAR,ESPERANZA,SNv.616-3-NE_CH.616,SPLIT SET     </t>
  </si>
  <si>
    <t>134247</t>
  </si>
  <si>
    <t>DESAR,ESPERANZA,SNv.616-3-NE_CH.616,SPLIT CON MALL</t>
  </si>
  <si>
    <t>134248</t>
  </si>
  <si>
    <t>DESAR,ESPERANZA,SNv.616-3-NE_CH.616,IZAJE Y DESCEN</t>
  </si>
  <si>
    <t>134249</t>
  </si>
  <si>
    <t xml:space="preserve">DESAR,ESPERANZA,SNv.616-3-NE_CH.616,PERFORACION   </t>
  </si>
  <si>
    <t>134301</t>
  </si>
  <si>
    <t xml:space="preserve">DESAR,ESPERANZA,SNV 076 SW  CH 078,DESQUINCHE     </t>
  </si>
  <si>
    <t>134302</t>
  </si>
  <si>
    <t xml:space="preserve">DESAR,ESPERANZA,SNV 076 SW  CH 078,ENMADERADO     </t>
  </si>
  <si>
    <t>134303</t>
  </si>
  <si>
    <t xml:space="preserve">DESAR,ESPERANZA,SNV 076 SW  CH 078,LIMPIEZA       </t>
  </si>
  <si>
    <t>134304</t>
  </si>
  <si>
    <t xml:space="preserve">DESAR,ESPERANZA,SNV 076 SW  CH 078,SERVICIOS      </t>
  </si>
  <si>
    <t>134305</t>
  </si>
  <si>
    <t xml:space="preserve">DESAR,ESPERANZA,SNV 076 SW  CH 078,EXTRACCION     </t>
  </si>
  <si>
    <t>134306</t>
  </si>
  <si>
    <t xml:space="preserve">DESAR,ESPERANZA,SNV 076 SW  CH 078,SPLIT SET      </t>
  </si>
  <si>
    <t>134307</t>
  </si>
  <si>
    <t>DESAR,ESPERANZA,SNV 076 SW  CH 078,SPLIT CON MALLA</t>
  </si>
  <si>
    <t>134308</t>
  </si>
  <si>
    <t>DESAR,ESPERANZA,SNV 076 SW  CH 078,IZAJE Y DESCENS</t>
  </si>
  <si>
    <t>134309</t>
  </si>
  <si>
    <t xml:space="preserve">DESAR,ESPERANZA,SNV 076 SW  CH 078,PERFORACION    </t>
  </si>
  <si>
    <t>134311</t>
  </si>
  <si>
    <t xml:space="preserve">DESAR,ESPERANZA,SNV 076 NE  CH 078,DESQUINCHE     </t>
  </si>
  <si>
    <t>134312</t>
  </si>
  <si>
    <t xml:space="preserve">DESAR,ESPERANZA,SNV 076 NE  CH 078,ENMADERADO     </t>
  </si>
  <si>
    <t>134313</t>
  </si>
  <si>
    <t xml:space="preserve">DESAR,ESPERANZA,SNV 076 NE  CH 078,LIMPIEZA       </t>
  </si>
  <si>
    <t>134314</t>
  </si>
  <si>
    <t xml:space="preserve">DESAR,ESPERANZA,SNV 076 NE  CH 078,SERVICIOS      </t>
  </si>
  <si>
    <t>134315</t>
  </si>
  <si>
    <t xml:space="preserve">DESAR,ESPERANZA,SNV 076 NE  CH 078,EXTRACCION     </t>
  </si>
  <si>
    <t>134316</t>
  </si>
  <si>
    <t xml:space="preserve">DESAR,ESPERANZA,SNV 076 NE  CH 078,SPLIT SET      </t>
  </si>
  <si>
    <t>134317</t>
  </si>
  <si>
    <t>DESAR,ESPERANZA,SNV 076 NE  CH 078,SPLIT CON MALLA</t>
  </si>
  <si>
    <t>134318</t>
  </si>
  <si>
    <t>DESAR,ESPERANZA,SNV 076 NE  CH 078,IZAJE Y DESCENS</t>
  </si>
  <si>
    <t>134319</t>
  </si>
  <si>
    <t xml:space="preserve">DESAR,ESPERANZA,SNV 076 NE  CH 078,PERFORACION    </t>
  </si>
  <si>
    <t>135121</t>
  </si>
  <si>
    <t xml:space="preserve">DESARR,ESPERANZA,EST 164 NW CX 128 NE,DESQUINCHE  </t>
  </si>
  <si>
    <t>135122</t>
  </si>
  <si>
    <t xml:space="preserve">DESARR,ESPERANZA,EST 164 NW CX 128 NE,ENMADERADO  </t>
  </si>
  <si>
    <t>135123</t>
  </si>
  <si>
    <t xml:space="preserve">DESARR,ESPERANZA,EST 164 NW CX 128 NE,LIMPIEZA    </t>
  </si>
  <si>
    <t>135124</t>
  </si>
  <si>
    <t xml:space="preserve">DESARR,ESPERANZA,EST 164 NW CX 128 NE,SERVICIOS   </t>
  </si>
  <si>
    <t>135125</t>
  </si>
  <si>
    <t xml:space="preserve">DESARR,ESPERANZA,EST 164 NW CX 128 NE,EXTRACCION  </t>
  </si>
  <si>
    <t>135126</t>
  </si>
  <si>
    <t xml:space="preserve">DESARR,ESPERANZA,EST 164 NW CX 128 NE,SPLIT SET   </t>
  </si>
  <si>
    <t>135127</t>
  </si>
  <si>
    <t>DESARR,ESPERANZA,EST 164 NW CX 128 NE,SPLIT CON MA</t>
  </si>
  <si>
    <t>135128</t>
  </si>
  <si>
    <t>DESARR,ESPERANZA,EST 164 NW CX 128 NE,IZAJE Y DESC</t>
  </si>
  <si>
    <t>135129</t>
  </si>
  <si>
    <t xml:space="preserve">DESARR,ESPERANZA,EST 164 NW CX 128 NE,PERFORACION </t>
  </si>
  <si>
    <t>141011</t>
  </si>
  <si>
    <t>OPER , ESPERANZA , Cx.128 NE_GL.028 NE , DESQUINCH</t>
  </si>
  <si>
    <t>141012</t>
  </si>
  <si>
    <t>OPER , ESPERANZA , Cx.128 NE_GL.028 NE , ENMADERAD</t>
  </si>
  <si>
    <t>141013</t>
  </si>
  <si>
    <t xml:space="preserve">OPER , ESPERANZA , Cx.128 NE_GL.028 NE , LIMPIEZA </t>
  </si>
  <si>
    <t>141014</t>
  </si>
  <si>
    <t>OPER , ESPERANZA , Cx.128 NE_GL.028 NE , SERVICIOS</t>
  </si>
  <si>
    <t>141015</t>
  </si>
  <si>
    <t>OPER , ESPERANZA , Cx.128 NE_GL.028 NE , EXTRACCIO</t>
  </si>
  <si>
    <t>141016</t>
  </si>
  <si>
    <t>OPER , ESPERANZA , Cx.128 NE_GL.028 NE , SPLIT SET</t>
  </si>
  <si>
    <t>141017</t>
  </si>
  <si>
    <t>OPER , ESPERANZA , Cx.128 NE_GL.028 NE , SPLIT CON</t>
  </si>
  <si>
    <t>141018</t>
  </si>
  <si>
    <t>OPER , ESPERANZA , Cx.128 NE_GL.028 NE , IZAJE Y D</t>
  </si>
  <si>
    <t>141019</t>
  </si>
  <si>
    <t>OPER , ESPERANZA , Cx.128 NE_GL.028 NE , PERFORACI</t>
  </si>
  <si>
    <t>144411</t>
  </si>
  <si>
    <t xml:space="preserve">OPERA,ESPERANZA,SNV 590 SW (CH 610),DESQUINCHE    </t>
  </si>
  <si>
    <t>144412</t>
  </si>
  <si>
    <t xml:space="preserve">OPERA,ESPERANZA,SNV 590 SW (CH 610),ENMADERADO    </t>
  </si>
  <si>
    <t>144413</t>
  </si>
  <si>
    <t xml:space="preserve">OPERA,ESPERANZA,SNV 590 SW (CH 610),LIMPIEZA      </t>
  </si>
  <si>
    <t>144414</t>
  </si>
  <si>
    <t xml:space="preserve">OPERA,ESPERANZA,SNV 590 SW (CH 610),SERVICIOS     </t>
  </si>
  <si>
    <t>144415</t>
  </si>
  <si>
    <t xml:space="preserve">OPERA,ESPERANZA,SNV 590 SW (CH 610),EXTRACCION    </t>
  </si>
  <si>
    <t>144416</t>
  </si>
  <si>
    <t xml:space="preserve">OPERA,ESPERANZA,SNV 590 SW (CH 610),SPLIT SET     </t>
  </si>
  <si>
    <t>144417</t>
  </si>
  <si>
    <t>OPERA,ESPERANZA,SNV 590 SW (CH 610),SPLIT CON MALL</t>
  </si>
  <si>
    <t>144418</t>
  </si>
  <si>
    <t>OPERA,ESPERANZA,SNV 590 SW (CH 610),IZAJE Y DESCEN</t>
  </si>
  <si>
    <t>144419</t>
  </si>
  <si>
    <t xml:space="preserve">OPERA,ESPERANZA,SNV 590 SW (CH 610),PERFORACION   </t>
  </si>
  <si>
    <t>145011</t>
  </si>
  <si>
    <t>OPERAC , ESPERANZA , Est. 140-NW_Cx. 128-NE , DESQ</t>
  </si>
  <si>
    <t>145012</t>
  </si>
  <si>
    <t>OPERAC , ESPERANZA , Est. 140-NW_Cx. 128-NE , ENMA</t>
  </si>
  <si>
    <t>145013</t>
  </si>
  <si>
    <t>OPERAC , ESPERANZA , Est. 140-NW_Cx. 128-NE , LIMP</t>
  </si>
  <si>
    <t>145014</t>
  </si>
  <si>
    <t>OPERAC , ESPERANZA , Est. 140-NW_Cx. 128-NE , SERV</t>
  </si>
  <si>
    <t>145015</t>
  </si>
  <si>
    <t>OPERAC , ESPERANZA , Est. 140-NW_Cx. 128-NE , EXTR</t>
  </si>
  <si>
    <t>145016</t>
  </si>
  <si>
    <t>OPERAC , ESPERANZA , Est. 140-NW_Cx. 128-NE , spli</t>
  </si>
  <si>
    <t>145017</t>
  </si>
  <si>
    <t xml:space="preserve">OPERAC , ESPERANZA,Est.140-NW_Cx.128-NE,split con </t>
  </si>
  <si>
    <t>145018</t>
  </si>
  <si>
    <t>OPERAC,ESPERANZA ,Est.140-NW_Cx.128-NE,IZAJE Y DES</t>
  </si>
  <si>
    <t>145019</t>
  </si>
  <si>
    <t>OPERAC , ESPERANZA , Est. 140-NW_Cx. 128-NE , PERF</t>
  </si>
  <si>
    <t>145051</t>
  </si>
  <si>
    <t>OPERAC , ESPERANZA , Est. 095-1 SW SN. 095 SW , DE</t>
  </si>
  <si>
    <t>145052</t>
  </si>
  <si>
    <t>OPERAC , ESPERANZA , Est. 095-1 SW SN. 095 SW , EN</t>
  </si>
  <si>
    <t>145053</t>
  </si>
  <si>
    <t>OPERAC , ESPERANZA , Est. 095-1 SW SN. 095 SW , LI</t>
  </si>
  <si>
    <t>145054</t>
  </si>
  <si>
    <t>OPERAC , ESPERANZA , Est. 095-1 SW SN. 095 SW , SE</t>
  </si>
  <si>
    <t>145055</t>
  </si>
  <si>
    <t>OPERAC , ESPERANZA , Est. 095-1 SW SN. 095 SW , EX</t>
  </si>
  <si>
    <t>145056</t>
  </si>
  <si>
    <t>OPERAC , ESPERANZA , Est. 095-1 SW SN. 095 SW , sp</t>
  </si>
  <si>
    <t>145057</t>
  </si>
  <si>
    <t>OPERAC , ESPERANZ,Est.095-1 SW SN.095 SW, split co</t>
  </si>
  <si>
    <t>145058</t>
  </si>
  <si>
    <t>OPERAC ,ESPERANZ,Est.095-1 SW SN.095 SW,IZAJE Y DE</t>
  </si>
  <si>
    <t>145059</t>
  </si>
  <si>
    <t>OPERAC , ESPERANZA , Est. 095-1 SW SN. 095 SW , PE</t>
  </si>
  <si>
    <t>153101</t>
  </si>
  <si>
    <t xml:space="preserve">PRODUC,ESPERANZA,TJ 616 - 1 NE,DESQUINCHE         </t>
  </si>
  <si>
    <t>153102</t>
  </si>
  <si>
    <t xml:space="preserve">PRODUC,ESPERANZA,TJ 616 - 1 NE,ENMADERADO         </t>
  </si>
  <si>
    <t>153103</t>
  </si>
  <si>
    <t xml:space="preserve">PRODUC,ESPERANZA,TJ 616 - 1 NE,LIMPIEZA           </t>
  </si>
  <si>
    <t>153104</t>
  </si>
  <si>
    <t xml:space="preserve">PRODUC,ESPERANZA,TJ 616 - 1 NE,SERVICIOS          </t>
  </si>
  <si>
    <t>153105</t>
  </si>
  <si>
    <t xml:space="preserve">PRODUC,ESPERANZA,TJ 616 - 1 NE,EXTRACCION         </t>
  </si>
  <si>
    <t>153106</t>
  </si>
  <si>
    <t xml:space="preserve">PRODUC,ESPERANZA,TJ 616 - 1 NE,SPLIT SET          </t>
  </si>
  <si>
    <t>153107</t>
  </si>
  <si>
    <t xml:space="preserve">PRODUC,ESPERANZA,TJ 616 - 1 NE,SPLIT CON MALLA    </t>
  </si>
  <si>
    <t>153108</t>
  </si>
  <si>
    <t xml:space="preserve">PRODUC,ESPERANZA,TJ 616 - 1 NE,IZAJE Y DESCENSO   </t>
  </si>
  <si>
    <t>153109</t>
  </si>
  <si>
    <t xml:space="preserve">PRODUC,ESPERANZA,TJ 616 - 1 NE,PERFORACION        </t>
  </si>
  <si>
    <t>153111</t>
  </si>
  <si>
    <t>153112</t>
  </si>
  <si>
    <t>153113</t>
  </si>
  <si>
    <t>153114</t>
  </si>
  <si>
    <t>153115</t>
  </si>
  <si>
    <t>153116</t>
  </si>
  <si>
    <t>153117</t>
  </si>
  <si>
    <t>153118</t>
  </si>
  <si>
    <t>153119</t>
  </si>
  <si>
    <t>153141</t>
  </si>
  <si>
    <t xml:space="preserve">PRODU,ESPERANZA,TJ 620 CH 592,DESQUINCHE          </t>
  </si>
  <si>
    <t>153142</t>
  </si>
  <si>
    <t xml:space="preserve">PRODU,ESPERANZA,TJ 620 CH 592,ENMADERADO          </t>
  </si>
  <si>
    <t>153143</t>
  </si>
  <si>
    <t xml:space="preserve">PRODU,ESPERANZA,TJ 620 CH 592,LIMPIEZA            </t>
  </si>
  <si>
    <t>153144</t>
  </si>
  <si>
    <t xml:space="preserve">PRODU,ESPERANZA,TJ 620 CH 592,SERVICIOS           </t>
  </si>
  <si>
    <t>153145</t>
  </si>
  <si>
    <t xml:space="preserve">PRODU,ESPERANZA,TJ 620 CH 592,EXTRACCION          </t>
  </si>
  <si>
    <t>153146</t>
  </si>
  <si>
    <t xml:space="preserve">PRODU,ESPERANZA,TJ 620 CH 592,SPLIT SET           </t>
  </si>
  <si>
    <t>153147</t>
  </si>
  <si>
    <t xml:space="preserve">PRODU,ESPERANZA,TJ 620 CH 592,SPLIT CON MALLA     </t>
  </si>
  <si>
    <t>153148</t>
  </si>
  <si>
    <t xml:space="preserve">PRODU,ESPERANZA,TJ 620 CH 592,IZAJE Y DESCENSO W  </t>
  </si>
  <si>
    <t>153149</t>
  </si>
  <si>
    <t xml:space="preserve">PRODU,ESPERANZA,TJ 620 CH 592,PERFORACION         </t>
  </si>
  <si>
    <t>153161</t>
  </si>
  <si>
    <t xml:space="preserve">PRODU,ESPERANZA,TJ 620 CH 610,DESQUINCHE          </t>
  </si>
  <si>
    <t>153162</t>
  </si>
  <si>
    <t xml:space="preserve">PRODU,ESPERANZA,TJ 620 CH 610,ENMADERADO          </t>
  </si>
  <si>
    <t>153163</t>
  </si>
  <si>
    <t xml:space="preserve">PRODU,ESPERANZA,TJ 620 CH 610,LIMPIEZA            </t>
  </si>
  <si>
    <t>153164</t>
  </si>
  <si>
    <t xml:space="preserve">PRODU,ESPERANZA,TJ 620 CH 610,SERVICIOS           </t>
  </si>
  <si>
    <t>153165</t>
  </si>
  <si>
    <t xml:space="preserve">PRODU,ESPERANZA,TJ 620 CH 610,EXTRACCION          </t>
  </si>
  <si>
    <t>153166</t>
  </si>
  <si>
    <t xml:space="preserve">PRODU,ESPERANZA,TJ 620 CH 610,SPLIT SET           </t>
  </si>
  <si>
    <t>153167</t>
  </si>
  <si>
    <t xml:space="preserve">PRODU,ESPERANZA,TJ 620 CH 610,SPLIT CON MALLA     </t>
  </si>
  <si>
    <t>153168</t>
  </si>
  <si>
    <t xml:space="preserve">PRODU,ESPERANZA,TJ 620 CH 610,IZAJE Y DESCENSO W  </t>
  </si>
  <si>
    <t>153169</t>
  </si>
  <si>
    <t xml:space="preserve">PRODU,ESPERANZA,TJ 620 CH 610,PERFORACION         </t>
  </si>
  <si>
    <t>153191</t>
  </si>
  <si>
    <t>153192</t>
  </si>
  <si>
    <t>153193</t>
  </si>
  <si>
    <t>153194</t>
  </si>
  <si>
    <t>153195</t>
  </si>
  <si>
    <t>153196</t>
  </si>
  <si>
    <t>153197</t>
  </si>
  <si>
    <t>153198</t>
  </si>
  <si>
    <t>153199</t>
  </si>
  <si>
    <t>153231</t>
  </si>
  <si>
    <t xml:space="preserve">PRODU,ESPERANZA,TJ 580-SW (CH 580),DESQUINCHE     </t>
  </si>
  <si>
    <t>153232</t>
  </si>
  <si>
    <t xml:space="preserve">PRODU,ESPERANZA,TJ 580-SW (CH 580),ENMADERADO     </t>
  </si>
  <si>
    <t>153233</t>
  </si>
  <si>
    <t xml:space="preserve">PRODU,ESPERANZA,TJ 580-SW (CH 580),LIMPIEZA       </t>
  </si>
  <si>
    <t>153234</t>
  </si>
  <si>
    <t xml:space="preserve">PRODU,ESPERANZA,TJ 580-SW (CH 580),SERVICIOS      </t>
  </si>
  <si>
    <t>153235</t>
  </si>
  <si>
    <t xml:space="preserve">PRODU,ESPERANZA,TJ 580-SW (CH 580),EXTRACCION     </t>
  </si>
  <si>
    <t>153236</t>
  </si>
  <si>
    <t xml:space="preserve">PRODU,ESPERANZA,TJ 580-SW (CH 580),SPLIT SET      </t>
  </si>
  <si>
    <t>153237</t>
  </si>
  <si>
    <t>PRODU,ESPERANZA,TJ 580-SW (CH 580),SPLIT CON MALLA</t>
  </si>
  <si>
    <t>153238</t>
  </si>
  <si>
    <t>PRODU,ESPERANZA,TJ 580-SW (CH 580),IZAJE Y DESCENS</t>
  </si>
  <si>
    <t>153239</t>
  </si>
  <si>
    <t xml:space="preserve">PRODU,ESPERANZA,TJ 580-SW (CH 580),PERFORACION    </t>
  </si>
  <si>
    <t>214111</t>
  </si>
  <si>
    <t xml:space="preserve">EXPLOR,INKA,SNv. 612 SE CH 626,DESQUINCHE         </t>
  </si>
  <si>
    <t>214112</t>
  </si>
  <si>
    <t xml:space="preserve">EXPLOR,INKA,SNv. 612 SE CH 626,ENMADERADO         </t>
  </si>
  <si>
    <t>214113</t>
  </si>
  <si>
    <t xml:space="preserve">EXPLOR,INKA,SNv. 612 SE CH 626,LIMPIEZA           </t>
  </si>
  <si>
    <t>214114</t>
  </si>
  <si>
    <t xml:space="preserve">EXPLOR,INKA,SNv. 612 SE CH 626,SERVICIOS          </t>
  </si>
  <si>
    <t>214115</t>
  </si>
  <si>
    <t xml:space="preserve">EXPLOR,INKA,SNv. 612 SE CH 626,EXTRACCION         </t>
  </si>
  <si>
    <t>214116</t>
  </si>
  <si>
    <t xml:space="preserve">EXPLOR,INKA,SNv. 612 SE CH 626,SPLIT SET          </t>
  </si>
  <si>
    <t>214117</t>
  </si>
  <si>
    <t xml:space="preserve">EXPLOR,INKA,SNv. 612 SE CH 626,SPLIT CON MALLA    </t>
  </si>
  <si>
    <t>214118</t>
  </si>
  <si>
    <t xml:space="preserve">EXPLOR,INKA,SNv. 612 SE CH 626,IZAJE Y DESCENSO   </t>
  </si>
  <si>
    <t>214119</t>
  </si>
  <si>
    <t xml:space="preserve">EXPLOR,INKA,SNv. 612 SE CH 626,PERFORACION        </t>
  </si>
  <si>
    <t>214151</t>
  </si>
  <si>
    <t xml:space="preserve">EXPLOR,INKA,SNv. 613 NW  SNv. 617 NW ,DESQUINCHE  </t>
  </si>
  <si>
    <t>214152</t>
  </si>
  <si>
    <t xml:space="preserve">EXPLOR,INKA,SNv. 613 NW  SNv. 617 NW ,ENMADERADO  </t>
  </si>
  <si>
    <t>214153</t>
  </si>
  <si>
    <t xml:space="preserve">EXPLOR,INKA,SNv. 613 NW  SNv. 617 NW ,LIMPIEZA    </t>
  </si>
  <si>
    <t>214154</t>
  </si>
  <si>
    <t xml:space="preserve">EXPLOR,INKA,SNv. 613 NW  SNv. 617 NW ,SERVICIOS   </t>
  </si>
  <si>
    <t>214155</t>
  </si>
  <si>
    <t xml:space="preserve">EXPLOR,INKA,SNv. 613 NW  SNv. 617 NW ,EXTRACCION  </t>
  </si>
  <si>
    <t>214156</t>
  </si>
  <si>
    <t xml:space="preserve">EXPLOR,INKA,SNv. 613 NW  SNv. 617 NW ,SPLIT SET   </t>
  </si>
  <si>
    <t>214157</t>
  </si>
  <si>
    <t>EXPLOR,INKA,SNv. 613 NW  SNv. 617 NW ,SPLIT CON MA</t>
  </si>
  <si>
    <t>214158</t>
  </si>
  <si>
    <t>EXPLOR,INKA,SNv. 613 NW  SNv. 617 NW ,IZAJE Y DESC</t>
  </si>
  <si>
    <t>214159</t>
  </si>
  <si>
    <t xml:space="preserve">EXPLOR,INKA,SNv. 613 NW  SNv. 617 NW ,PERFORACION </t>
  </si>
  <si>
    <t>215171</t>
  </si>
  <si>
    <t xml:space="preserve">EXPLOR,INKA,Est 568 SE SNV 585-9 SE,DESQUINCHE    </t>
  </si>
  <si>
    <t>215172</t>
  </si>
  <si>
    <t xml:space="preserve">EXPLOR,INKA,Est 568 SE SNV 585-9 SE,ENMADERADO    </t>
  </si>
  <si>
    <t>215173</t>
  </si>
  <si>
    <t xml:space="preserve">EXPLOR,INKA,Est 568 SE SNV 585-9 SE,LIMPIEZA      </t>
  </si>
  <si>
    <t>215174</t>
  </si>
  <si>
    <t xml:space="preserve">EXPLOR,INKA,Est 568 SE SNV 585-9 SE,SERVICIOS     </t>
  </si>
  <si>
    <t>215175</t>
  </si>
  <si>
    <t xml:space="preserve">EXPLOR,INKA,Est 568 SE SNV 585-9 SE,EXTRACCION    </t>
  </si>
  <si>
    <t>215176</t>
  </si>
  <si>
    <t xml:space="preserve">EXPLOR,INKA,Est 568 SE SNV 585-9 SE,SPLIT SET     </t>
  </si>
  <si>
    <t>215177</t>
  </si>
  <si>
    <t>EXPLOR,INKA,Est 568 SE SNV 585-9 SE,SPLIT CON MALL</t>
  </si>
  <si>
    <t>215178</t>
  </si>
  <si>
    <t>EXPLOR,INKA,Est 568 SE SNV 585-9 SE,IZAJE Y DESCEN</t>
  </si>
  <si>
    <t>215179</t>
  </si>
  <si>
    <t xml:space="preserve">EXPLOR,INKA,Est 568 SE SNV 585-9 SE,PERFORACION   </t>
  </si>
  <si>
    <t>215181</t>
  </si>
  <si>
    <t xml:space="preserve">EXPLOR,INKA,Est 585 -2 SE SNv 585-9 SE,DESQUINCHE </t>
  </si>
  <si>
    <t>215182</t>
  </si>
  <si>
    <t xml:space="preserve">EXPLOR,INKA,Est 585 -2 SE SNv 585-9 SE,ENMADERADO </t>
  </si>
  <si>
    <t>215183</t>
  </si>
  <si>
    <t xml:space="preserve">EXPLOR,INKA,Est 585 -2 SE SNv 585-9 SE,LIMPIEZA   </t>
  </si>
  <si>
    <t>215184</t>
  </si>
  <si>
    <t xml:space="preserve">EXPLOR,INKA,Est 585 -2 SE SNv 585-9 SE,SERVICIOS  </t>
  </si>
  <si>
    <t>215185</t>
  </si>
  <si>
    <t xml:space="preserve">EXPLOR,INKA,Est 585 -2 SE SNv 585-9 SE,EXTRACCION </t>
  </si>
  <si>
    <t>215186</t>
  </si>
  <si>
    <t xml:space="preserve">EXPLOR,INKA,Est 585 -2 SE SNv 585-9 SE,SPLIT SET  </t>
  </si>
  <si>
    <t>215187</t>
  </si>
  <si>
    <t>EXPLOR,INKA,Est 585 -2 SE SNv 585-9 SE,SPLIT CON M</t>
  </si>
  <si>
    <t>215188</t>
  </si>
  <si>
    <t>EXPLOR,INKA,Est 585 -2 SE SNv 585-9 SE,IZAJE Y DES</t>
  </si>
  <si>
    <t>215189</t>
  </si>
  <si>
    <t>EXPLOR,INKA,Est 585 -2 SE SNv 585-9 SE,PERFORACION</t>
  </si>
  <si>
    <t>223021</t>
  </si>
  <si>
    <t xml:space="preserve">PRODUC , INKA , TJ 585 -6 NW , DESQUINCHE         </t>
  </si>
  <si>
    <t>223022</t>
  </si>
  <si>
    <t xml:space="preserve">PRODUC , INKA , TJ 585 -6 NW , ENMADERADO         </t>
  </si>
  <si>
    <t>223023</t>
  </si>
  <si>
    <t xml:space="preserve">PRODUC , INKA , TJ 585 -6 NW , LIMPIEZA           </t>
  </si>
  <si>
    <t>223024</t>
  </si>
  <si>
    <t xml:space="preserve">PRODUC , INKA , TJ 585 -6 NW , SERVICIOS          </t>
  </si>
  <si>
    <t>223025</t>
  </si>
  <si>
    <t xml:space="preserve">PRODUC , INKA , TJ 585 -6 NW , EXTRACCION         </t>
  </si>
  <si>
    <t>223026</t>
  </si>
  <si>
    <t xml:space="preserve">PRODUC , INKA , TJ 585 -6 NW , split set          </t>
  </si>
  <si>
    <t>223027</t>
  </si>
  <si>
    <t xml:space="preserve">PRODUC , INKA , TJ 585 -6 NW , split con malla    </t>
  </si>
  <si>
    <t>223028</t>
  </si>
  <si>
    <t xml:space="preserve">PRODUC , INKA , TJ 585 -6 NW , IZAJE Y DESCENSO W </t>
  </si>
  <si>
    <t>223029</t>
  </si>
  <si>
    <t xml:space="preserve">PRODUC , INKA , TJ 585 -6 NW , PERFORACION        </t>
  </si>
  <si>
    <t>223081</t>
  </si>
  <si>
    <t xml:space="preserve">PRODUC , INKA , TJ 600 NW , DESQUINCHE            </t>
  </si>
  <si>
    <t>223082</t>
  </si>
  <si>
    <t xml:space="preserve">PRODUC , INKA , TJ 600 NW , ENMADERADO            </t>
  </si>
  <si>
    <t>223083</t>
  </si>
  <si>
    <t xml:space="preserve">PRODUC , INKA , TJ 600 NW , LIMPIEZA              </t>
  </si>
  <si>
    <t>223084</t>
  </si>
  <si>
    <t xml:space="preserve">PRODUC , INKA , TJ 600 NW , SERVICIOS             </t>
  </si>
  <si>
    <t>223085</t>
  </si>
  <si>
    <t xml:space="preserve">PRODUC , INKA , TJ 600 NW , EXTRACCION            </t>
  </si>
  <si>
    <t>223086</t>
  </si>
  <si>
    <t xml:space="preserve">PRODUC , INKA , TJ 600 NW , split set             </t>
  </si>
  <si>
    <t>223087</t>
  </si>
  <si>
    <t xml:space="preserve">PRODUC , INKA , TJ 600 NW , split con malla       </t>
  </si>
  <si>
    <t>223088</t>
  </si>
  <si>
    <t xml:space="preserve">PRODUC , INKA , TJ 600 NW , IZAJE Y DESCENSO W    </t>
  </si>
  <si>
    <t>223089</t>
  </si>
  <si>
    <t xml:space="preserve">PRODUC , INKA , TJ 600 NW , PERFORACION           </t>
  </si>
  <si>
    <t>223091</t>
  </si>
  <si>
    <t xml:space="preserve">PRODUC , INKA , TJ 600 SE , DESQUINCHE            </t>
  </si>
  <si>
    <t>223092</t>
  </si>
  <si>
    <t xml:space="preserve">PRODUC , INKA , TJ 600 SE , ENMADERADO            </t>
  </si>
  <si>
    <t>223093</t>
  </si>
  <si>
    <t xml:space="preserve">PRODUC , INKA , TJ 600 SE , LIMPIEZA              </t>
  </si>
  <si>
    <t>223094</t>
  </si>
  <si>
    <t xml:space="preserve">PRODUC , INKA , TJ 600 SE , SERVICIOS             </t>
  </si>
  <si>
    <t>223095</t>
  </si>
  <si>
    <t xml:space="preserve">PRODUC , INKA , TJ 600 SE , EXTRACCION            </t>
  </si>
  <si>
    <t>223096</t>
  </si>
  <si>
    <t xml:space="preserve">PRODUC , INKA , TJ 600 SE , split set             </t>
  </si>
  <si>
    <t>223097</t>
  </si>
  <si>
    <t xml:space="preserve">PRODUC , INKA , TJ 600 SE , split con malla       </t>
  </si>
  <si>
    <t>223098</t>
  </si>
  <si>
    <t xml:space="preserve">PRODUC , INKA , TJ 600 SE , IZAJE Y DESCENSO W    </t>
  </si>
  <si>
    <t>223099</t>
  </si>
  <si>
    <t xml:space="preserve">PRODUC , INKA , TJ 600 SE , PERFORACION           </t>
  </si>
  <si>
    <t>232041</t>
  </si>
  <si>
    <t xml:space="preserve">DESARR , INKA , CH. 626  SN. 615 SE , DESQUINCHE  </t>
  </si>
  <si>
    <t>232042</t>
  </si>
  <si>
    <t xml:space="preserve">DESARR , INKA , CH. 626  SN. 615 SE , ENMADERADO  </t>
  </si>
  <si>
    <t>232043</t>
  </si>
  <si>
    <t xml:space="preserve">DESARR , INKA , CH. 626  SN. 615 SE , LIMPIEZA    </t>
  </si>
  <si>
    <t>232044</t>
  </si>
  <si>
    <t xml:space="preserve">DESARR , INKA , CH. 626  SN. 615 SE , SERVICIOS   </t>
  </si>
  <si>
    <t>232045</t>
  </si>
  <si>
    <t xml:space="preserve">DESARR , INKA , CH. 626  SN. 615 SE , EXTRACCION  </t>
  </si>
  <si>
    <t>232046</t>
  </si>
  <si>
    <t xml:space="preserve">DESARR , INKA , CH. 626  SN. 615 SE , split set   </t>
  </si>
  <si>
    <t>232047</t>
  </si>
  <si>
    <t>DESARR , INKA , CH. 626  SN. 615 SE , split con ma</t>
  </si>
  <si>
    <t>232048</t>
  </si>
  <si>
    <t>DESARR , INKA , CH. 626  SN. 615 SE , IZAJE Y DESC</t>
  </si>
  <si>
    <t>232049</t>
  </si>
  <si>
    <t xml:space="preserve">DESARR , INKA , CH. 626  SN. 615 SE , PERFORACION </t>
  </si>
  <si>
    <t>232121</t>
  </si>
  <si>
    <t xml:space="preserve">DESARR,INKA,CH 585 SNV 617 NW,DESQUINCHE          </t>
  </si>
  <si>
    <t>232122</t>
  </si>
  <si>
    <t xml:space="preserve">DESARR,INKA,CH 585 SNV 617 NW,ENMADERADO          </t>
  </si>
  <si>
    <t>232123</t>
  </si>
  <si>
    <t xml:space="preserve">DESARR,INKA,CH 585 SNV 617 NW,LIMPIEZA            </t>
  </si>
  <si>
    <t>232124</t>
  </si>
  <si>
    <t xml:space="preserve">DESARR,INKA,CH 585 SNV 617 NW,SERVICIOS           </t>
  </si>
  <si>
    <t>232125</t>
  </si>
  <si>
    <t xml:space="preserve">DESARR,INKA,CH 585 SNV 617 NW,EXTRACCION          </t>
  </si>
  <si>
    <t>232126</t>
  </si>
  <si>
    <t xml:space="preserve">DESARR,INKA,CH 585 SNV 617 NW,SPLIT SET           </t>
  </si>
  <si>
    <t>232127</t>
  </si>
  <si>
    <t xml:space="preserve">DESARR,INKA,CH 585 SNV 617 NW,SPLIT CON MALLA     </t>
  </si>
  <si>
    <t>232128</t>
  </si>
  <si>
    <t xml:space="preserve">DESARR,INKA,CH 585 SNV 617 NW,IZAJE Y DESCENSO W  </t>
  </si>
  <si>
    <t>232129</t>
  </si>
  <si>
    <t xml:space="preserve">DESARR,INKA,CH 585 SNV 617 NW,PERFORACION         </t>
  </si>
  <si>
    <t>234051</t>
  </si>
  <si>
    <t xml:space="preserve">DESARR,INKA,SNv. 613 NW CH.626,DESQUINCHE         </t>
  </si>
  <si>
    <t>234052</t>
  </si>
  <si>
    <t xml:space="preserve">DESARR,INKA,SNv. 613 NW CH.626,ENMADERADO         </t>
  </si>
  <si>
    <t>234053</t>
  </si>
  <si>
    <t xml:space="preserve">DESARR,INKA,SNv. 613 NW CH.626,LIMPIEZA           </t>
  </si>
  <si>
    <t>234054</t>
  </si>
  <si>
    <t xml:space="preserve">DESARR,INKA,SNv. 613 NW CH.626,SERVICIOS          </t>
  </si>
  <si>
    <t>234055</t>
  </si>
  <si>
    <t xml:space="preserve">DESARR,INKA,SNv. 613 NW CH.626,EXTRACCION         </t>
  </si>
  <si>
    <t>234056</t>
  </si>
  <si>
    <t xml:space="preserve">DESARR,INKA,SNv. 613 NW CH.626,SPLIT SET          </t>
  </si>
  <si>
    <t>234057</t>
  </si>
  <si>
    <t xml:space="preserve">DESARR,INKA,SNv. 613 NW CH.626,SPLIT CON MALLA    </t>
  </si>
  <si>
    <t>234058</t>
  </si>
  <si>
    <t xml:space="preserve">DESARR,INKA,SNv. 613 NW CH.626,IZAJE Y DESCENSO   </t>
  </si>
  <si>
    <t>234059</t>
  </si>
  <si>
    <t xml:space="preserve">DESARR,INKA,SNv. 613 NW CH.626,PERFORACION        </t>
  </si>
  <si>
    <t>234141</t>
  </si>
  <si>
    <t xml:space="preserve">DESARR,INKA,SNV 617 NW EST 630-1,DESQUINCHE       </t>
  </si>
  <si>
    <t>234142</t>
  </si>
  <si>
    <t xml:space="preserve">DESARR,INKA,SNV 617 NW EST 630-1,ENMADERADO       </t>
  </si>
  <si>
    <t>234143</t>
  </si>
  <si>
    <t xml:space="preserve">DESARR,INKA,SNV 617 NW EST 630-1,LIMPIEZA         </t>
  </si>
  <si>
    <t>234144</t>
  </si>
  <si>
    <t xml:space="preserve">DESARR,INKA,SNV 617 NW EST 630-1,SERVICIOS        </t>
  </si>
  <si>
    <t>234145</t>
  </si>
  <si>
    <t xml:space="preserve">DESARR,INKA,SNV 617 NW EST 630-1,EXTRACCION       </t>
  </si>
  <si>
    <t>234146</t>
  </si>
  <si>
    <t xml:space="preserve">DESARR,INKA,SNV 617 NW EST 630-1,SPLIT SET        </t>
  </si>
  <si>
    <t>234147</t>
  </si>
  <si>
    <t xml:space="preserve">DESARR,INKA,SNV 617 NW EST 630-1,SPLIT CON MALLA  </t>
  </si>
  <si>
    <t>234148</t>
  </si>
  <si>
    <t xml:space="preserve">DESARR,INKA,SNV 617 NW EST 630-1,IZAJE Y DESCENSO </t>
  </si>
  <si>
    <t>234149</t>
  </si>
  <si>
    <t xml:space="preserve">DESARR,INKA,SNV 617 NW EST 630-1,PERFORACION      </t>
  </si>
  <si>
    <t>234161</t>
  </si>
  <si>
    <t xml:space="preserve">DESARR,INKA,SNV 585 SE EST 585-1 SW,DESQUINCHE    </t>
  </si>
  <si>
    <t>234162</t>
  </si>
  <si>
    <t xml:space="preserve">DESARR,INKA,SNV 585 SE EST 585-1 SW,ENMADERADO    </t>
  </si>
  <si>
    <t>234163</t>
  </si>
  <si>
    <t xml:space="preserve">DESARR,INKA,SNV 585 SE EST 585-1 SW,LIMPIEZA      </t>
  </si>
  <si>
    <t>234164</t>
  </si>
  <si>
    <t xml:space="preserve">DESARR,INKA,SNV 585 SE EST 585-1 SW,SERVICIOS     </t>
  </si>
  <si>
    <t>234165</t>
  </si>
  <si>
    <t xml:space="preserve">DESARR,INKA,SNV 585 SE EST 585-1 SW,EXTRACCION    </t>
  </si>
  <si>
    <t>234166</t>
  </si>
  <si>
    <t xml:space="preserve">DESARR,INKA,SNV 585 SE EST 585-1 SW,SPLIT SET     </t>
  </si>
  <si>
    <t>234167</t>
  </si>
  <si>
    <t>DESARR,INKA,SNV 585 SE EST 585-1 SW,SPLIT CON MALL</t>
  </si>
  <si>
    <t>234168</t>
  </si>
  <si>
    <t>DESARR,INKA,SNV 585 SE EST 585-1 SW,IZAJE Y DESCEN</t>
  </si>
  <si>
    <t>234169</t>
  </si>
  <si>
    <t xml:space="preserve">DESARR,INKA,SNV 585 SE EST 585-1 SW,PERFORACION   </t>
  </si>
  <si>
    <t>234321</t>
  </si>
  <si>
    <t xml:space="preserve">DESARR,INKA,SNV 626 NW CH 626,DESQUINCHE          </t>
  </si>
  <si>
    <t>234322</t>
  </si>
  <si>
    <t xml:space="preserve">DESARR,INKA,SNV 626 NW CH 626,ENMADERADO          </t>
  </si>
  <si>
    <t>234323</t>
  </si>
  <si>
    <t xml:space="preserve">DESARR,INKA,SNV 626 NW CH 626,LIMPIEZA            </t>
  </si>
  <si>
    <t>234324</t>
  </si>
  <si>
    <t xml:space="preserve">DESARR,INKA,SNV 626 NW CH 626,SERVICIOS           </t>
  </si>
  <si>
    <t>234325</t>
  </si>
  <si>
    <t xml:space="preserve">DESARR,INKA,SNV 626 NW CH 626,EXTRACCION          </t>
  </si>
  <si>
    <t>234326</t>
  </si>
  <si>
    <t xml:space="preserve">DESARR,INKA,SNV 626 NW CH 626,SPLIT SET           </t>
  </si>
  <si>
    <t>234327</t>
  </si>
  <si>
    <t xml:space="preserve">DESARR,INKA,SNV 626 NW CH 626,SPLIT CON MALLA     </t>
  </si>
  <si>
    <t>234328</t>
  </si>
  <si>
    <t xml:space="preserve">DESARR,INKA,SNV 626 NW CH 626,IZAJE Y DESCENSO W  </t>
  </si>
  <si>
    <t>234329</t>
  </si>
  <si>
    <t xml:space="preserve">DESARR,INKA,SNV 626 NW CH 626,PERFORACION         </t>
  </si>
  <si>
    <t>234331</t>
  </si>
  <si>
    <t xml:space="preserve">DESARR,INKA,SNV 626 SE CH 626,DESQUINCHE          </t>
  </si>
  <si>
    <t>234332</t>
  </si>
  <si>
    <t xml:space="preserve">DESARR,INKA,SNV 626 SE CH 626,ENMADERADO          </t>
  </si>
  <si>
    <t>234333</t>
  </si>
  <si>
    <t xml:space="preserve">DESARR,INKA,SNV 626 SE CH 626,LIMPIEZA            </t>
  </si>
  <si>
    <t>234334</t>
  </si>
  <si>
    <t xml:space="preserve">DESARR,INKA,SNV 626 SE CH 626,SERVICIOS           </t>
  </si>
  <si>
    <t>234335</t>
  </si>
  <si>
    <t xml:space="preserve">DESARR,INKA,SNV 626 SE CH 626,EXTRACCION          </t>
  </si>
  <si>
    <t>234336</t>
  </si>
  <si>
    <t xml:space="preserve">DESARR,INKA,SNV 626 SE CH 626,SPLIT SET           </t>
  </si>
  <si>
    <t>234337</t>
  </si>
  <si>
    <t xml:space="preserve">DESARR,INKA,SNV 626 SE CH 626,SPLIT CON MALLA     </t>
  </si>
  <si>
    <t>234338</t>
  </si>
  <si>
    <t xml:space="preserve">DESARR,INKA,SNV 626 SE CH 626,IZAJE Y DESCENSO W  </t>
  </si>
  <si>
    <t>234339</t>
  </si>
  <si>
    <t xml:space="preserve">DESARR,INKA,SNV 626 SE CH 626,PERFORACION         </t>
  </si>
  <si>
    <t>234341</t>
  </si>
  <si>
    <t xml:space="preserve">DESARR,INKA,SNV 590 NW  CH 585,DESQUINCHE         </t>
  </si>
  <si>
    <t>234342</t>
  </si>
  <si>
    <t xml:space="preserve">DESARR,INKA,SNV 590 NW  CH 585,ENMADERADO         </t>
  </si>
  <si>
    <t>234343</t>
  </si>
  <si>
    <t xml:space="preserve">DESARR,INKA,SNV 590 NW  CH 585,LIMPIEZA           </t>
  </si>
  <si>
    <t>234344</t>
  </si>
  <si>
    <t xml:space="preserve">DESARR,INKA,SNV 590 NW  CH 585,SERVICIOS          </t>
  </si>
  <si>
    <t>234345</t>
  </si>
  <si>
    <t xml:space="preserve">DESARR,INKA,SNV 590 NW  CH 585,EXTRACCION         </t>
  </si>
  <si>
    <t>234346</t>
  </si>
  <si>
    <t xml:space="preserve">DESARR,INKA,SNV 590 NW  CH 585,SPLIT SET          </t>
  </si>
  <si>
    <t>234347</t>
  </si>
  <si>
    <t xml:space="preserve">DESARR,INKA,SNV 590 NW  CH 585,SPLIT CON MALLA    </t>
  </si>
  <si>
    <t>234348</t>
  </si>
  <si>
    <t xml:space="preserve">DESARR,INKA,SNV 590 NW  CH 585,IZAJE Y DESCENSO W </t>
  </si>
  <si>
    <t>234349</t>
  </si>
  <si>
    <t xml:space="preserve">DESARR,INKA,SNV 590 NW  CH 585,PERFORACION        </t>
  </si>
  <si>
    <t>235131</t>
  </si>
  <si>
    <t xml:space="preserve">DESARR,INKA,EST. 585-1 NW TJ.585 SW,DESQUINCHE    </t>
  </si>
  <si>
    <t>235132</t>
  </si>
  <si>
    <t xml:space="preserve">DESARR,INKA,EST. 585-1 NW TJ.585 SW,ENMADERADO    </t>
  </si>
  <si>
    <t>235133</t>
  </si>
  <si>
    <t xml:space="preserve">DESARR,INKA,EST. 585-1 NW TJ.585 SW,LIMPIEZA      </t>
  </si>
  <si>
    <t>235134</t>
  </si>
  <si>
    <t xml:space="preserve">DESARR,INKA,EST. 585-1 NW TJ.585 SW,SERVICIOS     </t>
  </si>
  <si>
    <t>235135</t>
  </si>
  <si>
    <t xml:space="preserve">DESARR,INKA,EST. 585-1 NW TJ.585 SW,EXTRACCION    </t>
  </si>
  <si>
    <t>235136</t>
  </si>
  <si>
    <t xml:space="preserve">DESARR,INKA,EST. 585-1 NW TJ.585 SW,SPLIT SET     </t>
  </si>
  <si>
    <t>235137</t>
  </si>
  <si>
    <t>DESARR,INKA,EST. 585-1 NW TJ.585 SW,SPLIT CON MALL</t>
  </si>
  <si>
    <t>235138</t>
  </si>
  <si>
    <t>DESARR,INKA,EST. 585-1 NW TJ.585 SW,IZAJE Y DESCEN</t>
  </si>
  <si>
    <t>235139</t>
  </si>
  <si>
    <t xml:space="preserve">DESARR,INKA,EST. 585-1 NW TJ.585 SW,PERFORACION   </t>
  </si>
  <si>
    <t>241111</t>
  </si>
  <si>
    <t>241112</t>
  </si>
  <si>
    <t>241113</t>
  </si>
  <si>
    <t>241114</t>
  </si>
  <si>
    <t>241115</t>
  </si>
  <si>
    <t>242021</t>
  </si>
  <si>
    <t xml:space="preserve">OPER , INKA , CH. 630-1 , DESQUINCHE              </t>
  </si>
  <si>
    <t>242022</t>
  </si>
  <si>
    <t xml:space="preserve">OPER , INKA , CH. 630-1 , ENMADERADO              </t>
  </si>
  <si>
    <t>242023</t>
  </si>
  <si>
    <t xml:space="preserve">OPER , INKA , CH. 630-1 , LIMPIEZA                </t>
  </si>
  <si>
    <t>242024</t>
  </si>
  <si>
    <t xml:space="preserve">OPER , INKA , CH. 630-1 , SERVICIOS               </t>
  </si>
  <si>
    <t>242025</t>
  </si>
  <si>
    <t xml:space="preserve">OPER , INKA , CH. 630-1 , EXTRACCION              </t>
  </si>
  <si>
    <t>242026</t>
  </si>
  <si>
    <t xml:space="preserve">OPER , INKA , CH. 630-1 , SPLIT SET               </t>
  </si>
  <si>
    <t>242027</t>
  </si>
  <si>
    <t xml:space="preserve">OPER , INKA , CH. 630-1 , SPLIT CON MALLA         </t>
  </si>
  <si>
    <t>242028</t>
  </si>
  <si>
    <t xml:space="preserve">OPER , INKA , CH. 630-1 , IZAJE Y DESCENSO W      </t>
  </si>
  <si>
    <t>242029</t>
  </si>
  <si>
    <t xml:space="preserve">OPER , INKA , CH. 630-1 , PERFORACION             </t>
  </si>
  <si>
    <t>242031</t>
  </si>
  <si>
    <t>OPERAC , INKA , CH. 630-1  Est. 630-6 SW , DESQUIN</t>
  </si>
  <si>
    <t>242032</t>
  </si>
  <si>
    <t>OPERAC , INKA , CH. 630-1  Est. 630-6 SW , ENMADER</t>
  </si>
  <si>
    <t>242033</t>
  </si>
  <si>
    <t>OPERAC , INKA , CH. 630-1  Est. 630-6 SW , LIMPIEZ</t>
  </si>
  <si>
    <t>242034</t>
  </si>
  <si>
    <t>OPERAC , INKA , CH. 630-1  Est. 630-6 SW , SERVICI</t>
  </si>
  <si>
    <t>242035</t>
  </si>
  <si>
    <t>OPERAC , INKA , CH. 630-1  Est. 630-6 SW , EXTRACC</t>
  </si>
  <si>
    <t>242036</t>
  </si>
  <si>
    <t>OPERAC , INKA , CH. 630-1  Est. 630-6 SW , split s</t>
  </si>
  <si>
    <t>242037</t>
  </si>
  <si>
    <t>OPERAC , INKA,CH. 630-1 Est.630-6 SW ,split con ma</t>
  </si>
  <si>
    <t>242038</t>
  </si>
  <si>
    <t>OPERAC , INKA,CH.630-1 Est.630-6 SW,IZAJE Y DESCEN</t>
  </si>
  <si>
    <t>242039</t>
  </si>
  <si>
    <t>OPERAC , INKA , CH. 630-1  Est. 630-6 SW , PERFORA</t>
  </si>
  <si>
    <t>242171</t>
  </si>
  <si>
    <t xml:space="preserve">OPERA,INKA,CH 597 TJ 626 NW,DESQUINCHE            </t>
  </si>
  <si>
    <t>242172</t>
  </si>
  <si>
    <t xml:space="preserve">OPERA,INKA,CH 597 TJ 626 NW,ENMADERADO            </t>
  </si>
  <si>
    <t>242173</t>
  </si>
  <si>
    <t xml:space="preserve">OPERA,INKA,CH 597 TJ 626 NW,LIMPIEZA              </t>
  </si>
  <si>
    <t>242174</t>
  </si>
  <si>
    <t xml:space="preserve">OPERA,INKA,CH 597 TJ 626 NW,SERVICIOS             </t>
  </si>
  <si>
    <t>242175</t>
  </si>
  <si>
    <t xml:space="preserve">OPERA,INKA,CH 597 TJ 626 NW,EXTRACCION            </t>
  </si>
  <si>
    <t>242176</t>
  </si>
  <si>
    <t xml:space="preserve">OPERA,INKA,CH 597 TJ 626 NW,SPLIT SET             </t>
  </si>
  <si>
    <t>242177</t>
  </si>
  <si>
    <t xml:space="preserve">OPERA,INKA,CH 597 TJ 626 NW,SPLIT CON MALLA       </t>
  </si>
  <si>
    <t>242178</t>
  </si>
  <si>
    <t xml:space="preserve">OPERA,INKA,CH 597 TJ 626 NW,IZAJE Y DESCENSO W    </t>
  </si>
  <si>
    <t>242179</t>
  </si>
  <si>
    <t xml:space="preserve">OPERA,INKA,CH 597 TJ 626 NW,PERFORACION           </t>
  </si>
  <si>
    <t>245031</t>
  </si>
  <si>
    <t xml:space="preserve">OPER , INKA , ES. 630-6 SW_PQ. 630 , DESQUINCHE   </t>
  </si>
  <si>
    <t>245032</t>
  </si>
  <si>
    <t xml:space="preserve">OPER , INKA , ES. 630-6 SW_PQ. 630 , ENMADERADO   </t>
  </si>
  <si>
    <t>245033</t>
  </si>
  <si>
    <t xml:space="preserve">OPER , INKA , ES. 630-6 SW_PQ. 630 , LIMPIEZA     </t>
  </si>
  <si>
    <t>245034</t>
  </si>
  <si>
    <t xml:space="preserve">OPER , INKA , ES. 630-6 SW_PQ. 630 , SERVICIOS    </t>
  </si>
  <si>
    <t>245035</t>
  </si>
  <si>
    <t xml:space="preserve">OPER , INKA , ES. 630-6 SW_PQ. 630 , EXTRACCION   </t>
  </si>
  <si>
    <t>245036</t>
  </si>
  <si>
    <t xml:space="preserve">OPER , INKA , ES. 630-6 SW_PQ. 630 , SPLIT SET    </t>
  </si>
  <si>
    <t>245037</t>
  </si>
  <si>
    <t>OPER , INKA , ES. 630-6 SW_PQ. 630 , SPLIT CON MAL</t>
  </si>
  <si>
    <t>245038</t>
  </si>
  <si>
    <t>OPER , INKA , ES. 630-6 SW_PQ. 630 , IZAJE Y DESCE</t>
  </si>
  <si>
    <t>245039</t>
  </si>
  <si>
    <t xml:space="preserve">OPER , INKA , ES. 630-6 SW_PQ. 630 , PERFORACION  </t>
  </si>
  <si>
    <t>245061</t>
  </si>
  <si>
    <t xml:space="preserve">OPERAC , INKA , Est. 626-1 CH. 626 , DESQUINCHE   </t>
  </si>
  <si>
    <t>245062</t>
  </si>
  <si>
    <t xml:space="preserve">OPERAC , INKA , Est. 626-1 CH. 626 , ENMADERADO   </t>
  </si>
  <si>
    <t>245063</t>
  </si>
  <si>
    <t xml:space="preserve">OPERAC , INKA , Est. 626-1 CH. 626 , LIMPIEZA     </t>
  </si>
  <si>
    <t>245064</t>
  </si>
  <si>
    <t xml:space="preserve">OPERAC , INKA , Est. 626-1 CH. 626 , SERVICIOS    </t>
  </si>
  <si>
    <t>245065</t>
  </si>
  <si>
    <t xml:space="preserve">OPERAC , INKA , Est. 626-1 CH. 626 , EXTRACCION   </t>
  </si>
  <si>
    <t>245066</t>
  </si>
  <si>
    <t xml:space="preserve">OPERAC , INKA , Est. 626-1 CH. 626 , split set    </t>
  </si>
  <si>
    <t>245067</t>
  </si>
  <si>
    <t>OPERAC , INKA , Est. 626-1 CH. 626 , split con mal</t>
  </si>
  <si>
    <t>245068</t>
  </si>
  <si>
    <t>OPERAC , INKA , Est. 626-1 CH. 626 , IZAJE Y DESCE</t>
  </si>
  <si>
    <t>245069</t>
  </si>
  <si>
    <t xml:space="preserve">OPERAC , INKA , Est. 626-1 CH. 626 , PERFORACION  </t>
  </si>
  <si>
    <t>246011</t>
  </si>
  <si>
    <t xml:space="preserve">OPER , INKA , PQ 630_CX. 616 SW , DESQUINCHE      </t>
  </si>
  <si>
    <t>246012</t>
  </si>
  <si>
    <t xml:space="preserve">OPER , INKA , PQ 630_CX. 616 SW , ENMADERADO      </t>
  </si>
  <si>
    <t>246013</t>
  </si>
  <si>
    <t xml:space="preserve">OPER , INKA , PQ 630_CX. 616 SW , LIMPIEZA        </t>
  </si>
  <si>
    <t>246014</t>
  </si>
  <si>
    <t xml:space="preserve">OPER , INKA , PQ 630_CX. 616 SW , SERVICIOS       </t>
  </si>
  <si>
    <t>246015</t>
  </si>
  <si>
    <t xml:space="preserve">OPER , INKA , PQ 630_CX. 616 SW , EXTRACCION      </t>
  </si>
  <si>
    <t>246016</t>
  </si>
  <si>
    <t xml:space="preserve">OPER , INKA , PQ 630_CX. 616 SW , SPLIT SET       </t>
  </si>
  <si>
    <t>246017</t>
  </si>
  <si>
    <t xml:space="preserve">OPER , INKA , PQ 630_CX. 616 SW , SPLIT CON MALLA </t>
  </si>
  <si>
    <t>246018</t>
  </si>
  <si>
    <t>OPER , INKA , PQ 630_CX. 616 SW , IZAJE Y DESCENSO</t>
  </si>
  <si>
    <t>246019</t>
  </si>
  <si>
    <t xml:space="preserve">OPER , INKA , PQ 630_CX. 616 SW , PERFORACION     </t>
  </si>
  <si>
    <t>246031</t>
  </si>
  <si>
    <t xml:space="preserve">OPERAC , INKA , PQ. 630  Cam. 623 , DESQUINCHE    </t>
  </si>
  <si>
    <t>246032</t>
  </si>
  <si>
    <t xml:space="preserve">OPERAC , INKA , PQ. 630  Cam. 623 , ENMADERADO    </t>
  </si>
  <si>
    <t>246033</t>
  </si>
  <si>
    <t xml:space="preserve">OPERAC , INKA , PQ. 630  Cam. 623 , LIMPIEZA      </t>
  </si>
  <si>
    <t>246034</t>
  </si>
  <si>
    <t xml:space="preserve">OPERAC , INKA , PQ. 630  Cam. 623 , SERVICIOS     </t>
  </si>
  <si>
    <t>246035</t>
  </si>
  <si>
    <t xml:space="preserve">OPERAC , INKA , PQ. 630  Cam. 623 , EXTRACCION    </t>
  </si>
  <si>
    <t>246036</t>
  </si>
  <si>
    <t xml:space="preserve">OPERAC , INKA , PQ. 630  Cam. 623 , split set     </t>
  </si>
  <si>
    <t>246037</t>
  </si>
  <si>
    <t>OPERAC , INKA , PQ. 630  Cam. 623 , split con mall</t>
  </si>
  <si>
    <t>246038</t>
  </si>
  <si>
    <t>OPERAC , INKA , PQ. 630  Cam. 623 , IZAJE Y DESCEN</t>
  </si>
  <si>
    <t>246039</t>
  </si>
  <si>
    <t xml:space="preserve">OPERAC , INKA , PQ. 630  Cam. 623 , PERFORACION   </t>
  </si>
  <si>
    <t>253121</t>
  </si>
  <si>
    <t xml:space="preserve">PRODU,INKA,TJ 626,CH 626,DESQUINCHE               </t>
  </si>
  <si>
    <t>253122</t>
  </si>
  <si>
    <t xml:space="preserve">PRODU,INKA,TJ 626,CH 626,ENMADERADO               </t>
  </si>
  <si>
    <t>253123</t>
  </si>
  <si>
    <t xml:space="preserve">PRODU,INKA,TJ 626,CH 626,LIMPIEZA                 </t>
  </si>
  <si>
    <t>253124</t>
  </si>
  <si>
    <t xml:space="preserve">PRODU,INKA,TJ 626,CH 626,SERVICIOS                </t>
  </si>
  <si>
    <t>253125</t>
  </si>
  <si>
    <t xml:space="preserve">PRODU,INKA,TJ 626,CH 626,EXTRACCION               </t>
  </si>
  <si>
    <t>253126</t>
  </si>
  <si>
    <t xml:space="preserve">PRODU,INKA,TJ 626,CH 626,SPLIT SET                </t>
  </si>
  <si>
    <t>253127</t>
  </si>
  <si>
    <t xml:space="preserve">PRODU,INKA,TJ 626,CH 626,SPLIT CON MALLA          </t>
  </si>
  <si>
    <t>253128</t>
  </si>
  <si>
    <t xml:space="preserve">PRODU,INKA,TJ 626,CH 626,IZAJE Y DESCENSO W       </t>
  </si>
  <si>
    <t>253129</t>
  </si>
  <si>
    <t xml:space="preserve">PRODU,INKA,TJ 626,CH 626,PERFORACION              </t>
  </si>
  <si>
    <t>253171</t>
  </si>
  <si>
    <t xml:space="preserve">PRODU,INKA,TJ 626,SNV 626 NW,DESQUINCHE           </t>
  </si>
  <si>
    <t>253172</t>
  </si>
  <si>
    <t xml:space="preserve">PRODU,INKA,TJ 626,SNV 626 NW,ENMADERADO           </t>
  </si>
  <si>
    <t>253173</t>
  </si>
  <si>
    <t xml:space="preserve">PRODU,INKA,TJ 626,SNV 626 NW,LIMPIEZA             </t>
  </si>
  <si>
    <t>253174</t>
  </si>
  <si>
    <t xml:space="preserve">PRODU,INKA,TJ 626,SNV 626 NW,SERVICIOS            </t>
  </si>
  <si>
    <t>253175</t>
  </si>
  <si>
    <t xml:space="preserve">PRODU,INKA,TJ 626,SNV 626 NW,EXTRACCION           </t>
  </si>
  <si>
    <t>253176</t>
  </si>
  <si>
    <t xml:space="preserve">PRODU,INKA,TJ 626,SNV 626 NW,SPLIT SET            </t>
  </si>
  <si>
    <t>253177</t>
  </si>
  <si>
    <t xml:space="preserve">PRODU,INKA,TJ 626,SNV 626 NW,SPLIT CON MALLA      </t>
  </si>
  <si>
    <t>253178</t>
  </si>
  <si>
    <t xml:space="preserve">PRODU,INKA,TJ 626,SNV 626 NW,IZAJE Y DESCENSO W   </t>
  </si>
  <si>
    <t>253179</t>
  </si>
  <si>
    <t xml:space="preserve">PRODU,INKA,TJ 626,SNV 626 NW,PERFORACION          </t>
  </si>
  <si>
    <t>253181</t>
  </si>
  <si>
    <t xml:space="preserve">PRODU,INKA,TJ 626,SNV 626 SE,DESQUINCHE           </t>
  </si>
  <si>
    <t>253182</t>
  </si>
  <si>
    <t xml:space="preserve">PRODU,INKA,TJ 626,SNV 626 SE,ENMADERADO           </t>
  </si>
  <si>
    <t>253183</t>
  </si>
  <si>
    <t xml:space="preserve">PRODU,INKA,TJ 626,SNV 626 SE,LIMPIEZA             </t>
  </si>
  <si>
    <t>253184</t>
  </si>
  <si>
    <t xml:space="preserve">PRODU,INKA,TJ 626,SNV 626 SE,SERVICIOS            </t>
  </si>
  <si>
    <t>253185</t>
  </si>
  <si>
    <t xml:space="preserve">PRODU,INKA,TJ 626,SNV 626 SE,EXTRACCION           </t>
  </si>
  <si>
    <t>253186</t>
  </si>
  <si>
    <t xml:space="preserve">PRODU,INKA,TJ 626,SNV 626 SE,SPLIT SET            </t>
  </si>
  <si>
    <t>253187</t>
  </si>
  <si>
    <t xml:space="preserve">PRODU,INKA,TJ 626,SNV 626 SE,SPLIT CON MALLA      </t>
  </si>
  <si>
    <t>253188</t>
  </si>
  <si>
    <t xml:space="preserve">PRODU,INKA,TJ 626,SNV 626 SE,IZAJE Y DESCENSO W   </t>
  </si>
  <si>
    <t>253189</t>
  </si>
  <si>
    <t xml:space="preserve">PRODU,INKA,TJ 626,SNV 626 SE,PERFORACION          </t>
  </si>
  <si>
    <t>253201</t>
  </si>
  <si>
    <t xml:space="preserve">PRODU,INKA,TJ 590 (CH 585),DESQUINCHE             </t>
  </si>
  <si>
    <t>253202</t>
  </si>
  <si>
    <t xml:space="preserve">PRODU,INKA,TJ 590 (CH 585),ENMADERADO             </t>
  </si>
  <si>
    <t>253203</t>
  </si>
  <si>
    <t xml:space="preserve">PRODU,INKA,TJ 590 (CH 585),LIMPIEZA               </t>
  </si>
  <si>
    <t>253204</t>
  </si>
  <si>
    <t xml:space="preserve">PRODU,INKA,TJ 590 (CH 585),SERVICIOS              </t>
  </si>
  <si>
    <t>253205</t>
  </si>
  <si>
    <t xml:space="preserve">PRODU,INKA,TJ 590 (CH 585),EXTRACCION             </t>
  </si>
  <si>
    <t>253206</t>
  </si>
  <si>
    <t xml:space="preserve">PRODU,INKA,TJ 590 (CH 585),SPLIT SET              </t>
  </si>
  <si>
    <t>253207</t>
  </si>
  <si>
    <t xml:space="preserve">PRODU,INKA,TJ 590 (CH 585),SPLIT CON MALLA        </t>
  </si>
  <si>
    <t>253208</t>
  </si>
  <si>
    <t xml:space="preserve">PRODU,INKA,TJ 590 (CH 585),IZAJE Y DESCENSO W     </t>
  </si>
  <si>
    <t>253209</t>
  </si>
  <si>
    <t xml:space="preserve">PRODU,INKA,TJ 590 (CH 585),PERFORACION            </t>
  </si>
  <si>
    <t>314031</t>
  </si>
  <si>
    <t>EXPLOR , CHAPI , SN. 320 NE Est. 845-2 NE , DESQUI</t>
  </si>
  <si>
    <t>314032</t>
  </si>
  <si>
    <t>EXPLOR , CHAPI , SN. 320 NE Est. 845-2 NE , ENMADE</t>
  </si>
  <si>
    <t>314033</t>
  </si>
  <si>
    <t>EXPLOR , CHAPI , SN. 320 NE Est. 845-2 NE , LIMPIE</t>
  </si>
  <si>
    <t>314034</t>
  </si>
  <si>
    <t>EXPLOR , CHAPI , SN. 320 NE Est. 845-2 NE , SERVIC</t>
  </si>
  <si>
    <t>314035</t>
  </si>
  <si>
    <t>EXPLOR , CHAPI , SN. 320 NE Est. 845-2 NE , EXTRAC</t>
  </si>
  <si>
    <t>314036</t>
  </si>
  <si>
    <t xml:space="preserve">EXPLOR , CHAPI , SN. 320 NE Est. 845-2 NE , split </t>
  </si>
  <si>
    <t>314037</t>
  </si>
  <si>
    <t>314038</t>
  </si>
  <si>
    <t>EXPLOR , CHAPI,SN.320 NE Est.845-2 NE,IZAJE Y DESC</t>
  </si>
  <si>
    <t>314039</t>
  </si>
  <si>
    <t>EXPLOR , CHAPI , SN. 320 NE Est. 845-2 NE , PERFOR</t>
  </si>
  <si>
    <t>314041</t>
  </si>
  <si>
    <t>EXPLOR , CHAPI , SN. 320 SW Est. 845-2 NE , DESQUI</t>
  </si>
  <si>
    <t>314042</t>
  </si>
  <si>
    <t>EXPLOR , CHAPI , SN. 320 SW Est. 845-2 NE , ENMADE</t>
  </si>
  <si>
    <t>314043</t>
  </si>
  <si>
    <t>EXPLOR , CHAPI , SN. 320 SW Est. 845-2 NE , LIMPIE</t>
  </si>
  <si>
    <t>314044</t>
  </si>
  <si>
    <t>EXPLOR , CHAPI , SN. 320 SW Est. 845-2 NE , SERVIC</t>
  </si>
  <si>
    <t>314045</t>
  </si>
  <si>
    <t>EXPLOR , CHAPI , SN. 320 SW Est. 845-2 NE , EXTRAC</t>
  </si>
  <si>
    <t>314046</t>
  </si>
  <si>
    <t xml:space="preserve">EXPLOR , CHAPI , SN. 320 SW Est. 845-2 NE , split </t>
  </si>
  <si>
    <t>314047</t>
  </si>
  <si>
    <t>314048</t>
  </si>
  <si>
    <t>EXPLOR , CHAPI ,SN.320 SW Est.845-2 NE,IZAJE Y DES</t>
  </si>
  <si>
    <t>314049</t>
  </si>
  <si>
    <t>EXPLOR , CHAPI , SN. 320 SW Est. 845-2 NE , PERFOR</t>
  </si>
  <si>
    <t>332061</t>
  </si>
  <si>
    <t>DESARR , CHAPI , CH. 862-1  SNv. 320 NE , DESQUINC</t>
  </si>
  <si>
    <t>332062</t>
  </si>
  <si>
    <t>DESARR , CHAPI , CH. 862-1  SNv. 320 NE , ENMADERA</t>
  </si>
  <si>
    <t>332063</t>
  </si>
  <si>
    <t>DESARR , CHAPI , CH. 862-1  SNv. 320 NE , LIMPIEZA</t>
  </si>
  <si>
    <t>332064</t>
  </si>
  <si>
    <t>DESARR , CHAPI , CH. 862-1  SNv. 320 NE , SERVICIO</t>
  </si>
  <si>
    <t>332065</t>
  </si>
  <si>
    <t>DESARR , CHAPI , CH. 862-1  SNv. 320 NE , EXTRACCI</t>
  </si>
  <si>
    <t>332066</t>
  </si>
  <si>
    <t>DESARR , CHAPI , CH. 862-1  SNv. 320 NE , split se</t>
  </si>
  <si>
    <t>332067</t>
  </si>
  <si>
    <t>DESARR , CHAPI , CH. 862-1  SNv. 320 NE , split co</t>
  </si>
  <si>
    <t>332068</t>
  </si>
  <si>
    <t xml:space="preserve">DESARR , CHAPI , CH. 862-1  SNv. 320 NE , IZAJE Y </t>
  </si>
  <si>
    <t>332069</t>
  </si>
  <si>
    <t>DESARR , CHAPI , CH. 862-1  SNv. 320 NE , PERFORAC</t>
  </si>
  <si>
    <t>332071</t>
  </si>
  <si>
    <t xml:space="preserve">DESARR,CHAPI,CH 886-1 SNV 320 NE,DESQUINCHE       </t>
  </si>
  <si>
    <t>332072</t>
  </si>
  <si>
    <t xml:space="preserve">DESARR,CHAPI,CH 886-1 SNV 320 NE,ENMADERADO       </t>
  </si>
  <si>
    <t>332073</t>
  </si>
  <si>
    <t xml:space="preserve">DESARR,CHAPI,CH 886-1 SNV 320 NE,LIMPIEZA         </t>
  </si>
  <si>
    <t>332074</t>
  </si>
  <si>
    <t xml:space="preserve">DESARR,CHAPI,CH 886-1 SNV 320 NE,SERVICIOS        </t>
  </si>
  <si>
    <t>332075</t>
  </si>
  <si>
    <t xml:space="preserve">DESARR,CHAPI,CH 886-1 SNV 320 NE,EXTRACCION       </t>
  </si>
  <si>
    <t>332076</t>
  </si>
  <si>
    <t xml:space="preserve">DESARR,CHAPI,CH 886-1 SNV 320 NE,SPLIT SET        </t>
  </si>
  <si>
    <t>332077</t>
  </si>
  <si>
    <t xml:space="preserve">DESARR,CHAPI,CH 886-1 SNV 320 NE,SPLIT CON MALLA  </t>
  </si>
  <si>
    <t>332078</t>
  </si>
  <si>
    <t xml:space="preserve">DESARR,CHAPI,CH 886-1 SNV 320 NE,IZAJE Y DESCENSO </t>
  </si>
  <si>
    <t>332079</t>
  </si>
  <si>
    <t xml:space="preserve">DESARR,CHAPI,CH 886-1 SNV 320 NE,PERFORACION      </t>
  </si>
  <si>
    <t>334031</t>
  </si>
  <si>
    <t>DESARR , CHAPI , SN. 320 NE Est. 845-2 NE , DESQUI</t>
  </si>
  <si>
    <t>334032</t>
  </si>
  <si>
    <t>DESARR , CHAPI , SN. 320 NE Est. 845-2 NE , ENMADE</t>
  </si>
  <si>
    <t>334033</t>
  </si>
  <si>
    <t>DESARR , CHAPI , SN. 320 NE Est. 845-2 NE , LIMPIE</t>
  </si>
  <si>
    <t>334034</t>
  </si>
  <si>
    <t>DESARR , CHAPI , SN. 320 NE Est. 845-2 NE , SERVIC</t>
  </si>
  <si>
    <t>334035</t>
  </si>
  <si>
    <t>DESARR , CHAPI , SN. 320 NE Est. 845-2 NE , EXTRAC</t>
  </si>
  <si>
    <t>334036</t>
  </si>
  <si>
    <t xml:space="preserve">DESARR , CHAPI , SN. 320 NE Est. 845-2 NE , split </t>
  </si>
  <si>
    <t>334037</t>
  </si>
  <si>
    <t>334038</t>
  </si>
  <si>
    <t>DESARR ,CHAPI,SN.320 NE Est.845-2 NE,IZAJE Y DESCE</t>
  </si>
  <si>
    <t>334039</t>
  </si>
  <si>
    <t>DESARR , CHAPI , SN. 320 NE Est. 845-2 NE , PERFOR</t>
  </si>
  <si>
    <t>334041</t>
  </si>
  <si>
    <t>DESARR , CHAPI , SN. 320 SW Est. 845-2 NE , DESQUI</t>
  </si>
  <si>
    <t>334042</t>
  </si>
  <si>
    <t>DESARR , CHAPI , SN. 320 SW Est. 845-2 NE , ENMADE</t>
  </si>
  <si>
    <t>334043</t>
  </si>
  <si>
    <t>DESARR , CHAPI , SN. 320 SW Est. 845-2 NE , LIMPIE</t>
  </si>
  <si>
    <t>334044</t>
  </si>
  <si>
    <t>DESARR , CHAPI , SN. 320 SW Est. 845-2 NE , SERVIC</t>
  </si>
  <si>
    <t>334045</t>
  </si>
  <si>
    <t>DESARR , CHAPI , SN. 320 SW Est. 845-2 NE , EXTRAC</t>
  </si>
  <si>
    <t>334046</t>
  </si>
  <si>
    <t xml:space="preserve">DESARR , CHAPI , SN. 320 SW Est. 845-2 NE , split </t>
  </si>
  <si>
    <t>334047</t>
  </si>
  <si>
    <t>334048</t>
  </si>
  <si>
    <t>DESARR ,CHAPI,SN.320 SW Est.845-2 NE,IZAJE Y DESCE</t>
  </si>
  <si>
    <t>334049</t>
  </si>
  <si>
    <t>DESARR , CHAPI , SN. 320 SW Est. 845-2 NE , PERFOR</t>
  </si>
  <si>
    <t>345041</t>
  </si>
  <si>
    <t xml:space="preserve">OPER , CHAPI , EST.845-2 NE PQ. 845 , DESQUINCHE  </t>
  </si>
  <si>
    <t>345042</t>
  </si>
  <si>
    <t xml:space="preserve">OPER , CHAPI , EST.845-2 NE PQ. 845 , ENMADERADO  </t>
  </si>
  <si>
    <t>345043</t>
  </si>
  <si>
    <t xml:space="preserve">OPER , CHAPI , EST.845-2 NE PQ. 845 , LIMPIEZA    </t>
  </si>
  <si>
    <t>345044</t>
  </si>
  <si>
    <t xml:space="preserve">OPER , CHAPI , EST.845-2 NE PQ. 845 , SERVICIOS   </t>
  </si>
  <si>
    <t>345045</t>
  </si>
  <si>
    <t xml:space="preserve">OPER , CHAPI , EST.845-2 NE PQ. 845 , EXTRACCION  </t>
  </si>
  <si>
    <t>345046</t>
  </si>
  <si>
    <t xml:space="preserve">OPER , CHAPI , EST.845-2 NE PQ. 845 , SPLIT SET   </t>
  </si>
  <si>
    <t>345047</t>
  </si>
  <si>
    <t>OPER , CHAPI , EST.845-2 NE PQ. 845 , SPLIT CON MA</t>
  </si>
  <si>
    <t>345048</t>
  </si>
  <si>
    <t>OPER , CHAPI , EST.845-2 NE PQ. 845 , IZAJE Y DESC</t>
  </si>
  <si>
    <t>345049</t>
  </si>
  <si>
    <t xml:space="preserve">OPER , CHAPI , EST.845-2 NE PQ. 845 , PERFORACION </t>
  </si>
  <si>
    <t>346021</t>
  </si>
  <si>
    <t xml:space="preserve">OPER , CHAPI , PQ. 845_SN. 318 NE , DESQUINCHE    </t>
  </si>
  <si>
    <t>346022</t>
  </si>
  <si>
    <t xml:space="preserve">OPER , CHAPI , PQ. 845_SN. 318 NE , ENMADERADO    </t>
  </si>
  <si>
    <t>346023</t>
  </si>
  <si>
    <t xml:space="preserve">OPER , CHAPI , PQ. 845_SN. 318 NE , LIMPIEZA      </t>
  </si>
  <si>
    <t>346024</t>
  </si>
  <si>
    <t xml:space="preserve">OPER , CHAPI , PQ. 845_SN. 318 NE , SERVICIOS     </t>
  </si>
  <si>
    <t>346025</t>
  </si>
  <si>
    <t xml:space="preserve">OPER , CHAPI , PQ. 845_SN. 318 NE , EXTRACCION    </t>
  </si>
  <si>
    <t>346026</t>
  </si>
  <si>
    <t xml:space="preserve">OPER , CHAPI , PQ. 845_SN. 318 NE , SPLIT SET     </t>
  </si>
  <si>
    <t>346027</t>
  </si>
  <si>
    <t>OPER , CHAPI , PQ. 845_SN. 318 NE , SPLIT CON MALL</t>
  </si>
  <si>
    <t>346028</t>
  </si>
  <si>
    <t>OPER , CHAPI , PQ. 845_SN. 318 NE , IZAJE Y DESCEN</t>
  </si>
  <si>
    <t>346029</t>
  </si>
  <si>
    <t xml:space="preserve">OPER , CHAPI , PQ. 845_SN. 318 NE , PERFORACION   </t>
  </si>
  <si>
    <t>410011</t>
  </si>
  <si>
    <t xml:space="preserve">EXPLOR,CACHORRO,GA 170 SW Cx. 128 NE,DESQUINCHE   </t>
  </si>
  <si>
    <t>410012</t>
  </si>
  <si>
    <t xml:space="preserve">EXPLOR,CACHORRO,GA 170 SW Cx. 128 NE,ENMADERADO   </t>
  </si>
  <si>
    <t>410013</t>
  </si>
  <si>
    <t xml:space="preserve">EXPLOR,CACHORRO,GA 170 SW Cx. 128 NE,LIMPIEZA     </t>
  </si>
  <si>
    <t>410014</t>
  </si>
  <si>
    <t xml:space="preserve">EXPLOR,CACHORRO,GA 170 SW Cx. 128 NE,SERVICIOS    </t>
  </si>
  <si>
    <t>410015</t>
  </si>
  <si>
    <t xml:space="preserve">EXPLOR,CACHORRO,GA 170 SW Cx. 128 NE,EXTRACCION   </t>
  </si>
  <si>
    <t>410016</t>
  </si>
  <si>
    <t xml:space="preserve">EXPLOR,CACHORRO,GA 170 SW Cx. 128 NE,SPLIT SET    </t>
  </si>
  <si>
    <t>410017</t>
  </si>
  <si>
    <t>EXPLOR,CACHORRO,GA 170 SW Cx. 128 NE,SPLIT CON MAL</t>
  </si>
  <si>
    <t>410018</t>
  </si>
  <si>
    <t>EXPLOR,CACHORRO,GA 170 SW Cx. 128 NE,IZAJE Y DESCE</t>
  </si>
  <si>
    <t>410019</t>
  </si>
  <si>
    <t xml:space="preserve">EXPLOR,CACHORRO,GA 170 SW Cx. 128 NE,PERFORACION  </t>
  </si>
  <si>
    <t>410021</t>
  </si>
  <si>
    <t xml:space="preserve">Explor,Cachorro,Gal_170,Desquinche                </t>
  </si>
  <si>
    <t>410022</t>
  </si>
  <si>
    <t xml:space="preserve">Explor,Cachorro,Gal_170,Enmaderado                </t>
  </si>
  <si>
    <t>410023</t>
  </si>
  <si>
    <t xml:space="preserve">Explor,Cachorro,Gal_170,Limpieza                  </t>
  </si>
  <si>
    <t>410024</t>
  </si>
  <si>
    <t xml:space="preserve">Explor,Cachorro,Gal_170,Servicios                 </t>
  </si>
  <si>
    <t>410025</t>
  </si>
  <si>
    <t xml:space="preserve">Explor,Cachorro,Gal_170,Extraccion                </t>
  </si>
  <si>
    <t>410026</t>
  </si>
  <si>
    <t xml:space="preserve">Explor,Cachorro,Gal_170,Split set                 </t>
  </si>
  <si>
    <t>410027</t>
  </si>
  <si>
    <t xml:space="preserve">Explor,Cachorro,Gal_170,Split con Malla           </t>
  </si>
  <si>
    <t>410028</t>
  </si>
  <si>
    <t xml:space="preserve">Explor,Cachorro,Gal_170,Izaje y Descenso W        </t>
  </si>
  <si>
    <t>410029</t>
  </si>
  <si>
    <t xml:space="preserve">Explor,Cachorro,Gal_170,Perforacion               </t>
  </si>
  <si>
    <t>411021</t>
  </si>
  <si>
    <t xml:space="preserve">EXPLOR,CACHORRO,CX 128-1 NE GAL 028 NE,DESQUINCHE </t>
  </si>
  <si>
    <t>411022</t>
  </si>
  <si>
    <t xml:space="preserve">EXPLOR,CACHORRO,CX 128-1 NE GAL 028 NE,ENMADERADO </t>
  </si>
  <si>
    <t>411023</t>
  </si>
  <si>
    <t xml:space="preserve">EXPLOR,CACHORRO,CX 128-1 NE GAL 028 NE,LIMPIEZA   </t>
  </si>
  <si>
    <t>411024</t>
  </si>
  <si>
    <t xml:space="preserve">EXPLOR,CACHORRO,CX 128-1 NE GAL 028 NE,SERVICIOS  </t>
  </si>
  <si>
    <t>411025</t>
  </si>
  <si>
    <t xml:space="preserve">EXPLOR,CACHORRO,CX 128-1 NE GAL 028 NE,EXTRACCION </t>
  </si>
  <si>
    <t>411026</t>
  </si>
  <si>
    <t xml:space="preserve">EXPLOR,CACHORRO,CX 128-1 NE GAL 028 NE,SPLIT SET  </t>
  </si>
  <si>
    <t>411027</t>
  </si>
  <si>
    <t>EXPLOR,CACHORRO,CX 128-1 NE GAL 028 NE,SPLIT CON M</t>
  </si>
  <si>
    <t>411028</t>
  </si>
  <si>
    <t>EXPLOR,CACHORRO,CX 128-1 NE GAL 028 NE,IZAJE Y DES</t>
  </si>
  <si>
    <t>411029</t>
  </si>
  <si>
    <t>EXPLOR,CACHORRO,CX 128-1 NE GAL 028 NE,PERFORACION</t>
  </si>
  <si>
    <t>411041</t>
  </si>
  <si>
    <t xml:space="preserve">EXPLO,CACHORRO,CX 020 SW (GAL 170 SW),DESQUINCHE  </t>
  </si>
  <si>
    <t>411042</t>
  </si>
  <si>
    <t xml:space="preserve">EXPLO,CACHORRO,CX 020 SW (GAL 170 SW),ENMADERADO  </t>
  </si>
  <si>
    <t>411043</t>
  </si>
  <si>
    <t xml:space="preserve">EXPLO,CACHORRO,CX 020 SW (GAL 170 SW),LIMPIEZA    </t>
  </si>
  <si>
    <t>411044</t>
  </si>
  <si>
    <t xml:space="preserve">EXPLO,CACHORRO,CX 020 SW (GAL 170 SW),SERVICIOS   </t>
  </si>
  <si>
    <t>411045</t>
  </si>
  <si>
    <t xml:space="preserve">EXPLO,CACHORRO,CX 020 SW (GAL 170 SW),EXTRACCION  </t>
  </si>
  <si>
    <t>411046</t>
  </si>
  <si>
    <t xml:space="preserve">EXPLO,CACHORRO,CX 020 SW (GAL 170 SW),SPLIT SET   </t>
  </si>
  <si>
    <t>411047</t>
  </si>
  <si>
    <t>EXPLO,CACHORRO,CX 020 SW (GAL 170 SW),SPLIT CON MA</t>
  </si>
  <si>
    <t>411048</t>
  </si>
  <si>
    <t>EXPLO,CACHORRO,CX 020 SW (GAL 170 SW),IZAJE Y DESC</t>
  </si>
  <si>
    <t>411049</t>
  </si>
  <si>
    <t xml:space="preserve">EXPLO,CACHORRO,CX 020 SW (GAL 170 SW),PERFORACION </t>
  </si>
  <si>
    <t>412211</t>
  </si>
  <si>
    <t xml:space="preserve">EXPLO,CACHORRO,CH 044 (GAL 170 SW),DESQUINCHE     </t>
  </si>
  <si>
    <t>412212</t>
  </si>
  <si>
    <t xml:space="preserve">EXPLO,CACHORRO,CH 044 (GAL 170 SW),ENMADERADO     </t>
  </si>
  <si>
    <t>412213</t>
  </si>
  <si>
    <t xml:space="preserve">EXPLO,CACHORRO,CH 044 (GAL 170 SW),LIMPIEZA       </t>
  </si>
  <si>
    <t>412214</t>
  </si>
  <si>
    <t xml:space="preserve">EXPLO,CACHORRO,CH 044 (GAL 170 SW),SERVICIOS      </t>
  </si>
  <si>
    <t>412215</t>
  </si>
  <si>
    <t xml:space="preserve">EXPLO,CACHORRO,CH 044 (GAL 170 SW),EXTRACCION     </t>
  </si>
  <si>
    <t>412216</t>
  </si>
  <si>
    <t xml:space="preserve">EXPLO,CACHORRO,CH 044 (GAL 170 SW),SPLIT SET      </t>
  </si>
  <si>
    <t>412217</t>
  </si>
  <si>
    <t>EXPLO,CACHORRO,CH 044 (GAL 170 SW),SPLIT CON MALLA</t>
  </si>
  <si>
    <t>412218</t>
  </si>
  <si>
    <t>EXPLO,CACHORRO,CH 044 (GAL 170 SW),IZAJE Y DESCENS</t>
  </si>
  <si>
    <t>412219</t>
  </si>
  <si>
    <t xml:space="preserve">EXPLO,CACHORRO,CH 044 (GAL 170 SW),PERFORACION    </t>
  </si>
  <si>
    <t>414171</t>
  </si>
  <si>
    <t xml:space="preserve">EXPLOR,CACHORRO,SNV 100-SW CH 100,DESQUINCHE      </t>
  </si>
  <si>
    <t>414172</t>
  </si>
  <si>
    <t xml:space="preserve">EXPLOR,CACHORRO,SNV 100-SW CH 100,ENMADERADO      </t>
  </si>
  <si>
    <t>414173</t>
  </si>
  <si>
    <t xml:space="preserve">EXPLOR,CACHORRO,SNV 100-SW CH 100,LIMPIEZA        </t>
  </si>
  <si>
    <t>414174</t>
  </si>
  <si>
    <t xml:space="preserve">EXPLOR,CACHORRO,SNV 100-SW CH 100,SERVICIOS       </t>
  </si>
  <si>
    <t>414175</t>
  </si>
  <si>
    <t xml:space="preserve">EXPLOR,CACHORRO,SNV 100-SW CH 100,EXTRACCION      </t>
  </si>
  <si>
    <t>414176</t>
  </si>
  <si>
    <t xml:space="preserve">EXPLOR,CACHORRO,SNV 100-SW CH 100,SPLIT SET       </t>
  </si>
  <si>
    <t>414177</t>
  </si>
  <si>
    <t xml:space="preserve">EXPLOR,CACHORRO,SNV 100-SW CH 100,SPLIT CON MALLA </t>
  </si>
  <si>
    <t>414178</t>
  </si>
  <si>
    <t>EXPLOR,CACHORRO,SNV 100-SW CH 100,IZAJE Y DESCENSO</t>
  </si>
  <si>
    <t>414179</t>
  </si>
  <si>
    <t xml:space="preserve">EXPLOR,CACHORRO,SNV 100-SW CH 100,PERFORACION     </t>
  </si>
  <si>
    <t>414181</t>
  </si>
  <si>
    <t xml:space="preserve">EXPLOR,CACHORRO,SNV 100-NE CH 100,DESQUINCHE      </t>
  </si>
  <si>
    <t>414182</t>
  </si>
  <si>
    <t xml:space="preserve">EXPLOR,CACHORRO,SNV 100-NE CH 100,ENMADERADO      </t>
  </si>
  <si>
    <t>414183</t>
  </si>
  <si>
    <t xml:space="preserve">EXPLOR,CACHORRO,SNV 100-NE CH 100,LIMPIEZA        </t>
  </si>
  <si>
    <t>414184</t>
  </si>
  <si>
    <t xml:space="preserve">EXPLOR,CACHORRO,SNV 100-NE CH 100,SERVICIOS       </t>
  </si>
  <si>
    <t>414185</t>
  </si>
  <si>
    <t xml:space="preserve">EXPLOR,CACHORRO,SNV 100-NE CH 100,EXTRACCION      </t>
  </si>
  <si>
    <t>414186</t>
  </si>
  <si>
    <t xml:space="preserve">EXPLOR,CACHORRO,SNV 100-NE CH 100,SPLIT SET       </t>
  </si>
  <si>
    <t>414187</t>
  </si>
  <si>
    <t xml:space="preserve">EXPLOR,CACHORRO,SNV 100-NE CH 100,SPLIT CON MALLA </t>
  </si>
  <si>
    <t>414188</t>
  </si>
  <si>
    <t>EXPLOR,CACHORRO,SNV 100-NE CH 100,IZAJE Y DESCENSO</t>
  </si>
  <si>
    <t>414189</t>
  </si>
  <si>
    <t xml:space="preserve">EXPLOR,CACHORRO,SNV 100-NE CH 100,PERFORACION     </t>
  </si>
  <si>
    <t>414191</t>
  </si>
  <si>
    <t xml:space="preserve">EXPLOR,CACHORRO,SNV 150-SW CH 150,DESQUINCHE      </t>
  </si>
  <si>
    <t>414192</t>
  </si>
  <si>
    <t xml:space="preserve">EXPLOR,CACHORRO,SNV 150-SW CH 150,ENMADERADO      </t>
  </si>
  <si>
    <t>414193</t>
  </si>
  <si>
    <t xml:space="preserve">EXPLOR,CACHORRO,SNV 150-SW CH 150,LIMPIEZA        </t>
  </si>
  <si>
    <t>414194</t>
  </si>
  <si>
    <t xml:space="preserve">EXPLOR,CACHORRO,SNV 150-SW CH 150,SERVICIOS       </t>
  </si>
  <si>
    <t>414195</t>
  </si>
  <si>
    <t xml:space="preserve">EXPLOR,CACHORRO,SNV 150-SW CH 150,EXTRACCION      </t>
  </si>
  <si>
    <t>414196</t>
  </si>
  <si>
    <t xml:space="preserve">EXPLOR,CACHORRO,SNV 150-SW CH 150,SPLIT SET       </t>
  </si>
  <si>
    <t>414197</t>
  </si>
  <si>
    <t xml:space="preserve">EXPLOR,CACHORRO,SNV 150-SW CH 150,SPLIT CON MALLA </t>
  </si>
  <si>
    <t>414198</t>
  </si>
  <si>
    <t>EXPLOR,CACHORRO,SNV 150-SW CH 150,IZAJE Y DESCENSO</t>
  </si>
  <si>
    <t>414199</t>
  </si>
  <si>
    <t xml:space="preserve">EXPLOR,CACHORRO,SNV 150-SW CH 150,PERFORACION     </t>
  </si>
  <si>
    <t>414201</t>
  </si>
  <si>
    <t xml:space="preserve">EXPLOR,CACHORRO,SNV 150-NE CH 150,DESQUINCHE      </t>
  </si>
  <si>
    <t>414202</t>
  </si>
  <si>
    <t xml:space="preserve">EXPLOR,CACHORRO,SNV 150-NE CH 150,ENMADERADO      </t>
  </si>
  <si>
    <t>414203</t>
  </si>
  <si>
    <t xml:space="preserve">EXPLOR,CACHORRO,SNV 150-NE CH 150,LIMPIEZA        </t>
  </si>
  <si>
    <t>414204</t>
  </si>
  <si>
    <t xml:space="preserve">EXPLOR,CACHORRO,SNV 150-NE CH 150,SERVICIOS       </t>
  </si>
  <si>
    <t>414205</t>
  </si>
  <si>
    <t xml:space="preserve">EXPLOR,CACHORRO,SNV 150-NE CH 150,EXTRACCION      </t>
  </si>
  <si>
    <t>414206</t>
  </si>
  <si>
    <t xml:space="preserve">EXPLOR,CACHORRO,SNV 150-NE CH 150,SPLIT SET       </t>
  </si>
  <si>
    <t>414207</t>
  </si>
  <si>
    <t xml:space="preserve">EXPLOR,CACHORRO,SNV 150-NE CH 150,SPLIT CON MALLA </t>
  </si>
  <si>
    <t>414208</t>
  </si>
  <si>
    <t>EXPLOR,CACHORRO,SNV 150-NE CH 150,IZAJE Y DESCENSO</t>
  </si>
  <si>
    <t>414209</t>
  </si>
  <si>
    <t xml:space="preserve">EXPLOR,CACHORRO,SNV 150-NE CH 150,PERFORACION     </t>
  </si>
  <si>
    <t>414211</t>
  </si>
  <si>
    <t xml:space="preserve">EXPLOR,CACHORRO,SNv 170 NE CX 128 NE,DESQUINCHE   </t>
  </si>
  <si>
    <t>414212</t>
  </si>
  <si>
    <t xml:space="preserve">EXPLOR,CACHORRO,SNv 170 NE CX 128 NE,ENMADERADO   </t>
  </si>
  <si>
    <t>414213</t>
  </si>
  <si>
    <t xml:space="preserve">EXPLOR,CACHORRO,SNv 170 NE CX 128 NE,LIMPIEZA     </t>
  </si>
  <si>
    <t>414214</t>
  </si>
  <si>
    <t xml:space="preserve">EXPLOR,CACHORRO,SNv 170 NE CX 128 NE,SERVICIOS    </t>
  </si>
  <si>
    <t>414215</t>
  </si>
  <si>
    <t xml:space="preserve">EXPLOR,CACHORRO,SNv 170 NE CX 128 NE,EXTRACCION   </t>
  </si>
  <si>
    <t>414216</t>
  </si>
  <si>
    <t xml:space="preserve">EXPLOR,CACHORRO,SNv 170 NE CX 128 NE,SPLIT SET    </t>
  </si>
  <si>
    <t>414217</t>
  </si>
  <si>
    <t>EXPLOR,CACHORRO,SNv 170 NE CX 128 NE,SPLIT CON MAL</t>
  </si>
  <si>
    <t>414218</t>
  </si>
  <si>
    <t>EXPLOR,CACHORRO,SNv 170 NE CX 128 NE,IZAJE Y DESCE</t>
  </si>
  <si>
    <t>414219</t>
  </si>
  <si>
    <t xml:space="preserve">EXPLOR,CACHORRO,SNv 170 NE CX 128 NE,PERFORACION  </t>
  </si>
  <si>
    <t>415141</t>
  </si>
  <si>
    <t xml:space="preserve">EXPLOR,CACHORRO,Est. 170 SE Gal 170 SW,DESQUINCHE </t>
  </si>
  <si>
    <t>415142</t>
  </si>
  <si>
    <t xml:space="preserve">EXPLOR,CACHORRO,Est. 170 SE Gal 170 SW,ENMADERADO </t>
  </si>
  <si>
    <t>415143</t>
  </si>
  <si>
    <t xml:space="preserve">EXPLOR,CACHORRO,Est. 170 SE Gal 170 SW,LIMPIEZA   </t>
  </si>
  <si>
    <t>415144</t>
  </si>
  <si>
    <t xml:space="preserve">EXPLOR,CACHORRO,Est. 170 SE Gal 170 SW,SERVICIOS  </t>
  </si>
  <si>
    <t>415145</t>
  </si>
  <si>
    <t xml:space="preserve">EXPLOR,CACHORRO,Est. 170 SE Gal 170 SW,EXTRACCION </t>
  </si>
  <si>
    <t>415146</t>
  </si>
  <si>
    <t xml:space="preserve">EXPLOR,CACHORRO,Est. 170 SE Gal 170 SW,SPLIT SET  </t>
  </si>
  <si>
    <t>415147</t>
  </si>
  <si>
    <t>EXPLOR,CACHORRO,Est. 170 SE Gal 170 SW,SPLIT CON M</t>
  </si>
  <si>
    <t>415148</t>
  </si>
  <si>
    <t>EXPLOR,CACHORRO,Est.170 SE Gal 170 SW,IZAJE Y DESC</t>
  </si>
  <si>
    <t>415149</t>
  </si>
  <si>
    <t>EXPLOR,CACHORRO,Est. 170 SE Gal 170 SW,PERFORACION</t>
  </si>
  <si>
    <t>415151</t>
  </si>
  <si>
    <t xml:space="preserve">EXPLOR,CACHORRO,Est. 074 SE Gal 170 SW,DESQUINCHE </t>
  </si>
  <si>
    <t>415152</t>
  </si>
  <si>
    <t xml:space="preserve">EXPLOR,CACHORRO,Est. 074 SE Gal 170 SW,ENMADERADO </t>
  </si>
  <si>
    <t>415153</t>
  </si>
  <si>
    <t xml:space="preserve">EXPLOR,CACHORRO,Est. 074 SE Gal 170 SW,LIMPIEZA   </t>
  </si>
  <si>
    <t>415154</t>
  </si>
  <si>
    <t xml:space="preserve">EXPLOR,CACHORRO,Est. 074 SE Gal 170 SW,SERVICIOS  </t>
  </si>
  <si>
    <t>415155</t>
  </si>
  <si>
    <t xml:space="preserve">EXPLOR,CACHORRO,Est. 074 SE Gal 170 SW,EXTRACCION </t>
  </si>
  <si>
    <t>415156</t>
  </si>
  <si>
    <t xml:space="preserve">EXPLOR,CACHORRO,Est. 074 SE Gal 170 SW,SPLIT SET  </t>
  </si>
  <si>
    <t>415157</t>
  </si>
  <si>
    <t>EXPLOR,CACHORRO,Est. 074 SE Gal 170 SW,SPLIT CON M</t>
  </si>
  <si>
    <t>415158</t>
  </si>
  <si>
    <t>EXPLOR,CACHORRO,Est. 074 SE Gal 170 SW,IZAJE Y DES</t>
  </si>
  <si>
    <t>415159</t>
  </si>
  <si>
    <t>EXPLOR,CACHORRO,Est. 074 SE Gal 170 SW,PERFORACION</t>
  </si>
  <si>
    <t>415161</t>
  </si>
  <si>
    <t xml:space="preserve">EXPLOR,CACHORRO,Est 125 N Gal 170 sw,DESQUINCHE   </t>
  </si>
  <si>
    <t>415162</t>
  </si>
  <si>
    <t xml:space="preserve">EXPLOR,CACHORRO,Est 125 N Gal 170 sw,ENMADERADO   </t>
  </si>
  <si>
    <t>415163</t>
  </si>
  <si>
    <t xml:space="preserve">EXPLOR,CACHORRO,Est 125 N Gal 170 sw,LIMPIEZA     </t>
  </si>
  <si>
    <t>415164</t>
  </si>
  <si>
    <t xml:space="preserve">EXPLOR,CACHORRO,Est 125 N Gal 170 sw,SERVICIOS    </t>
  </si>
  <si>
    <t>415165</t>
  </si>
  <si>
    <t xml:space="preserve">EXPLOR,CACHORRO,Est 125 N Gal 170 sw,EXTRACCION   </t>
  </si>
  <si>
    <t>415166</t>
  </si>
  <si>
    <t xml:space="preserve">EXPLOR,CACHORRO,Est 125 N Gal 170 sw,SPLIT SET    </t>
  </si>
  <si>
    <t>415167</t>
  </si>
  <si>
    <t>EXPLOR,CACHORRO,Est 125 N Gal 170 sw,SPLIT CON MAL</t>
  </si>
  <si>
    <t>415168</t>
  </si>
  <si>
    <t xml:space="preserve">EXPLOR,CACHORRO,Est 125 N Gal 170 sw,IZAJE Y DESC </t>
  </si>
  <si>
    <t>415169</t>
  </si>
  <si>
    <t xml:space="preserve">EXPLOR,CACHORRO,Est 125 N Gal 170 sw,PERFORACION  </t>
  </si>
  <si>
    <t>422081</t>
  </si>
  <si>
    <t xml:space="preserve">PREPAR,CACHORRO,CH 100 GAL 170,DESQUINCHE         </t>
  </si>
  <si>
    <t>422082</t>
  </si>
  <si>
    <t xml:space="preserve">PREPAR,CACHORRO,CH 100 GAL 170,ENMADERADO         </t>
  </si>
  <si>
    <t>422083</t>
  </si>
  <si>
    <t xml:space="preserve">PREPAR,CACHORRO,CH 100 GAL 170,LIMPIEZA           </t>
  </si>
  <si>
    <t>422084</t>
  </si>
  <si>
    <t xml:space="preserve">PREPAR,CACHORRO,CH 100 GAL 170,SERVICIOS          </t>
  </si>
  <si>
    <t>422085</t>
  </si>
  <si>
    <t xml:space="preserve">PREPAR,CACHORRO,CH 100 GAL 170,EXTRACCION         </t>
  </si>
  <si>
    <t>422086</t>
  </si>
  <si>
    <t xml:space="preserve">PREPAR,CACHORRO,CH 100 GAL 170,SPLIT SET          </t>
  </si>
  <si>
    <t>422087</t>
  </si>
  <si>
    <t xml:space="preserve">PREPAR,CACHORRO,CH 100 GAL 170,SPLIT CON MALLA    </t>
  </si>
  <si>
    <t>422088</t>
  </si>
  <si>
    <t xml:space="preserve">PREPAR,CACHORRO,CH 100 GAL 170,IZAJE Y DESCENSO W </t>
  </si>
  <si>
    <t>422089</t>
  </si>
  <si>
    <t xml:space="preserve">PREPAR,CACHORRO,CH 100 GAL 170,PERFORACION        </t>
  </si>
  <si>
    <t>422151</t>
  </si>
  <si>
    <t xml:space="preserve">PREPAR,CACHORRO,CH 120 SNV 120 SW,DESQUINCHE      </t>
  </si>
  <si>
    <t>422152</t>
  </si>
  <si>
    <t xml:space="preserve">PREPAR,CACHORRO,CH 120 SNV 120 SW,ENMADERADO      </t>
  </si>
  <si>
    <t>422153</t>
  </si>
  <si>
    <t xml:space="preserve">PREPAR,CACHORRO,CH 120 SNV 120 SW,LIMPIEZA        </t>
  </si>
  <si>
    <t>422154</t>
  </si>
  <si>
    <t xml:space="preserve">PREPAR,CACHORRO,CH 120 SNV 120 SW,SERVICIOS       </t>
  </si>
  <si>
    <t>422155</t>
  </si>
  <si>
    <t xml:space="preserve">PREPAR,CACHORRO,CH 120 SNV 120 SW,EXTRACCION      </t>
  </si>
  <si>
    <t>422156</t>
  </si>
  <si>
    <t xml:space="preserve">PREPAR,CACHORRO,CH 120 SNV 120 SW,SPLIT SET       </t>
  </si>
  <si>
    <t>422157</t>
  </si>
  <si>
    <t xml:space="preserve">PREPAR,CACHORRO,CH 120 SNV 120 SW,SPLIT CON MALLA </t>
  </si>
  <si>
    <t>422158</t>
  </si>
  <si>
    <t>PREPAR,CACHORRO,CH 120 SNV 120 SW,IZAJE Y DESCENSO</t>
  </si>
  <si>
    <t>422159</t>
  </si>
  <si>
    <t xml:space="preserve">PREPAR,CACHORRO,CH 120 SNV 120 SW,PERFORACION     </t>
  </si>
  <si>
    <t>422161</t>
  </si>
  <si>
    <t xml:space="preserve">PREPAR,CACHORRO,CH 120 SNV 120 NE,DESQUINCHE      </t>
  </si>
  <si>
    <t>422162</t>
  </si>
  <si>
    <t xml:space="preserve">PREPAR,CACHORRO,CH 120 SNV 120 NE,ENMADERADO      </t>
  </si>
  <si>
    <t>422163</t>
  </si>
  <si>
    <t xml:space="preserve">PREPAR,CACHORRO,CH 120 SNV 120 NE,LIMPIEZA        </t>
  </si>
  <si>
    <t>422164</t>
  </si>
  <si>
    <t xml:space="preserve">PREPAR,CACHORRO,CH 120 SNV 120 NE,SERVICIOS       </t>
  </si>
  <si>
    <t>422165</t>
  </si>
  <si>
    <t xml:space="preserve">PREPAR,CACHORRO,CH 120 SNV 120 NE,EXTRACCION      </t>
  </si>
  <si>
    <t>422166</t>
  </si>
  <si>
    <t xml:space="preserve">PREPAR,CACHORRO,CH 120 SNV 120 NE,SPLIT SET       </t>
  </si>
  <si>
    <t>422167</t>
  </si>
  <si>
    <t xml:space="preserve">PREPAR,CACHORRO,CH 120 SNV 120 NE,SPLIT CON MALLA </t>
  </si>
  <si>
    <t>422168</t>
  </si>
  <si>
    <t>PREPAR,CACHORRO,CH 120 SNV 120 NE,IZAJE Y DESCENSO</t>
  </si>
  <si>
    <t>422169</t>
  </si>
  <si>
    <t xml:space="preserve">PREPAR,CACHORRO,CH 120 SNV 120 NE,PERFORACION     </t>
  </si>
  <si>
    <t>424081</t>
  </si>
  <si>
    <t>PREPAR , CACHORRO , SNV 165 SW CH 100 , DESQUINCHE</t>
  </si>
  <si>
    <t>424082</t>
  </si>
  <si>
    <t>PREPAR , CACHORRO , SNV 165 SW CH 100 , ENMADERADO</t>
  </si>
  <si>
    <t>424083</t>
  </si>
  <si>
    <t xml:space="preserve">PREPAR , CACHORRO , SNV 165 SW CH 100 , LIMPIEZA  </t>
  </si>
  <si>
    <t>424084</t>
  </si>
  <si>
    <t xml:space="preserve">PREPAR , CACHORRO , SNV 165 SW CH 100 , SERVICIOS </t>
  </si>
  <si>
    <t>424085</t>
  </si>
  <si>
    <t>PREPAR , CACHORRO , SNV 165 SW CH 100 , EXTRACCION</t>
  </si>
  <si>
    <t>424086</t>
  </si>
  <si>
    <t xml:space="preserve">PREPAR , CACHORRO , SNV 165 SW CH 100 , split set </t>
  </si>
  <si>
    <t>424087</t>
  </si>
  <si>
    <t xml:space="preserve">PREPAR , CACHORRO , SNV 165 SW CH 100 , split con </t>
  </si>
  <si>
    <t>424088</t>
  </si>
  <si>
    <t>PREPAR , CACHORRO , SNV 165 SW CH 100 , IZAJE Y DE</t>
  </si>
  <si>
    <t>424089</t>
  </si>
  <si>
    <t>PREPAR , CACHORRO , SNV 165 SW CH 100 , PERFORACIO</t>
  </si>
  <si>
    <t>424091</t>
  </si>
  <si>
    <t>PREPAR , CACHORRO , SNV 165 NE CH 100 , DESQUINCHE</t>
  </si>
  <si>
    <t>424092</t>
  </si>
  <si>
    <t>PREPAR , CACHORRO , SNV 165 NE CH 100 , ENMADERADO</t>
  </si>
  <si>
    <t>424093</t>
  </si>
  <si>
    <t xml:space="preserve">PREPAR , CACHORRO , SNV 165 NE CH 100 , LIMPIEZA  </t>
  </si>
  <si>
    <t>424094</t>
  </si>
  <si>
    <t xml:space="preserve">PREPAR , CACHORRO , SNV 165 NE CH 100 , SERVICIOS </t>
  </si>
  <si>
    <t>424095</t>
  </si>
  <si>
    <t>PREPAR , CACHORRO , SNV 165 NE CH 100 , EXTRACCION</t>
  </si>
  <si>
    <t>424096</t>
  </si>
  <si>
    <t xml:space="preserve">PREPAR , CACHORRO , SNV 165 NE CH 100 , split set </t>
  </si>
  <si>
    <t>424097</t>
  </si>
  <si>
    <t xml:space="preserve">PREPAR , CACHORRO , SNV 165 NE CH 100 , split con </t>
  </si>
  <si>
    <t>424098</t>
  </si>
  <si>
    <t>PREPAR , CACHORRO , SNV 165 NE CH 100 , IZAJE Y DE</t>
  </si>
  <si>
    <t>424099</t>
  </si>
  <si>
    <t>PREPAR , CACHORRO , SNV 165 NE CH 100 , PERFORACIO</t>
  </si>
  <si>
    <t>424231</t>
  </si>
  <si>
    <t xml:space="preserve">PREPAR, CACHORRO, SNV 100_1 NE CH 100, DESQUINCHE </t>
  </si>
  <si>
    <t>424232</t>
  </si>
  <si>
    <t xml:space="preserve">PREPAR, CACHORRO, SNV 100_1 NE CH 100, ENMADERADO </t>
  </si>
  <si>
    <t>424233</t>
  </si>
  <si>
    <t xml:space="preserve">PREPAR, CACHORRO, SNV 100_1 NE CH 100, LIMPIEZA   </t>
  </si>
  <si>
    <t>424234</t>
  </si>
  <si>
    <t xml:space="preserve">PREPAR, CACHORRO, SNV 100_1 NE CH 100, SERVICIOS  </t>
  </si>
  <si>
    <t>424235</t>
  </si>
  <si>
    <t xml:space="preserve">PREPAR, CACHORRO, SNV 100_1 NE CH 100, EXTRACCION </t>
  </si>
  <si>
    <t>424236</t>
  </si>
  <si>
    <t xml:space="preserve">PREPAR, CACHORRO, SNV 100_1 NE CH 100, SPLIT SET  </t>
  </si>
  <si>
    <t>424237</t>
  </si>
  <si>
    <t>PREPAR, CACHORRO, SNV 100_1 NE CH 100, SPLIT CON M</t>
  </si>
  <si>
    <t>424238</t>
  </si>
  <si>
    <t>PREPAR, CACHORRO, SNV 100_1 NE CH 100, IZAJE Y DES</t>
  </si>
  <si>
    <t>424239</t>
  </si>
  <si>
    <t>PREPAR, CACHORRO, SNV 100_1 NE CH 100, PERFORACION</t>
  </si>
  <si>
    <t>424241</t>
  </si>
  <si>
    <t xml:space="preserve">PREPAR, CACHORRO, SNV 100_1 SW CH 100, DESQUINCHE </t>
  </si>
  <si>
    <t>424242</t>
  </si>
  <si>
    <t xml:space="preserve">PREPAR, CACHORRO, SNV 100_1 SW CH 100, ENMADERADO </t>
  </si>
  <si>
    <t>424243</t>
  </si>
  <si>
    <t xml:space="preserve">PREPAR, CACHORRO, SNV 100_1 SW CH 100, LIMPIEZA   </t>
  </si>
  <si>
    <t>424244</t>
  </si>
  <si>
    <t xml:space="preserve">PREPAR, CACHORRO, SNV 100_1 SW CH 100, SERVICIOS  </t>
  </si>
  <si>
    <t>424245</t>
  </si>
  <si>
    <t xml:space="preserve">PREPAR, CACHORRO, SNV 100_1 SW CH 100, EXTRACCION </t>
  </si>
  <si>
    <t>424246</t>
  </si>
  <si>
    <t xml:space="preserve">PREPAR, CACHORRO, SNV 100_1 SW CH 100, SPLIT SET  </t>
  </si>
  <si>
    <t>424247</t>
  </si>
  <si>
    <t>PREPAR, CACHORRO, SNV 100_1 SW CH 100, SPLIT CON M</t>
  </si>
  <si>
    <t>424248</t>
  </si>
  <si>
    <t>PREPAR, CACHORRO, SNV 100_1 SW CH 100, IZAJE Y DES</t>
  </si>
  <si>
    <t>424249</t>
  </si>
  <si>
    <t>PREPAR, CACHORRO, SNV 100_1 SW CH 100, PERFORACION</t>
  </si>
  <si>
    <t>432101</t>
  </si>
  <si>
    <t xml:space="preserve">DESARR,CACHORRO,CH 150 GAL 170 SW,DESQUINCHE      </t>
  </si>
  <si>
    <t>432102</t>
  </si>
  <si>
    <t xml:space="preserve">DESARR,CACHORRO,CH 150 GAL 170 SW,ENMADERADO      </t>
  </si>
  <si>
    <t>432103</t>
  </si>
  <si>
    <t xml:space="preserve">DESARR,CACHORRO,CH 150 GAL 170 SW,LIMPIEZA        </t>
  </si>
  <si>
    <t>432104</t>
  </si>
  <si>
    <t xml:space="preserve">DESARR,CACHORRO,CH 150 GAL 170 SW,SERVICIOS       </t>
  </si>
  <si>
    <t>432105</t>
  </si>
  <si>
    <t xml:space="preserve">DESARR,CACHORRO,CH 150 GAL 170 SW,EXTRACCION      </t>
  </si>
  <si>
    <t>432106</t>
  </si>
  <si>
    <t xml:space="preserve">DESARR,CACHORRO,CH 150 GAL 170 SW,SPLIT SET       </t>
  </si>
  <si>
    <t>432107</t>
  </si>
  <si>
    <t xml:space="preserve">DESARR,CACHORRO,CH 150 GAL 170 SW,SPLIT CON MALLA </t>
  </si>
  <si>
    <t>432108</t>
  </si>
  <si>
    <t>DESARR,CACHORRO,CH 150 GAL 170 SW,IZAJE Y DESCENSO</t>
  </si>
  <si>
    <t>432109</t>
  </si>
  <si>
    <t xml:space="preserve">DESARR,CACHORRO,CH 150 GAL 170 SW,PERFORACION     </t>
  </si>
  <si>
    <t>432131</t>
  </si>
  <si>
    <t xml:space="preserve">DESARR,CACHORRO,CH 056 GAL 170 SW,DESQUINCHE      </t>
  </si>
  <si>
    <t>432132</t>
  </si>
  <si>
    <t xml:space="preserve">DESARR,CACHORRO,CH 056 GAL 170 SW,ENMADERADO      </t>
  </si>
  <si>
    <t>432133</t>
  </si>
  <si>
    <t xml:space="preserve">DESARR,CACHORRO,CH 056 GAL 170 SW,LIMPIEZA        </t>
  </si>
  <si>
    <t>432134</t>
  </si>
  <si>
    <t xml:space="preserve">DESARR,CACHORRO,CH 056 GAL 170 SW,SERVICIOS       </t>
  </si>
  <si>
    <t>432135</t>
  </si>
  <si>
    <t xml:space="preserve">DESARR,CACHORRO,CH 056 GAL 170 SW,EXTRACCION      </t>
  </si>
  <si>
    <t>432136</t>
  </si>
  <si>
    <t xml:space="preserve">DESARR,CACHORRO,CH 056 GAL 170 SW,SPLIT SET       </t>
  </si>
  <si>
    <t>432137</t>
  </si>
  <si>
    <t xml:space="preserve">DESARR,CACHORRO,CH 056 GAL 170 SW,SPLIT CON MALLA </t>
  </si>
  <si>
    <t>432138</t>
  </si>
  <si>
    <t>DESARR,CACHORRO,CH 056 GAL 170 SW,IZAJE Y DESCENSO</t>
  </si>
  <si>
    <t>432139</t>
  </si>
  <si>
    <t xml:space="preserve">DESARR,CACHORRO,CH 056 GAL 170 SW,PERFORACION     </t>
  </si>
  <si>
    <t>432141</t>
  </si>
  <si>
    <t xml:space="preserve">DESARR,CACHORRO,CH 120 GAL 170 SW,DESQUINCHE      </t>
  </si>
  <si>
    <t>432142</t>
  </si>
  <si>
    <t xml:space="preserve">DESARR,CACHORRO,CH 120 GAL 170 SW,ENMADERADO      </t>
  </si>
  <si>
    <t>432143</t>
  </si>
  <si>
    <t xml:space="preserve">DESARR,CACHORRO,CH 120 GAL 170 SW,LIMPIEZA        </t>
  </si>
  <si>
    <t>432144</t>
  </si>
  <si>
    <t xml:space="preserve">DESARR,CACHORRO,CH 120 GAL 170 SW,SERVICIOS       </t>
  </si>
  <si>
    <t>432145</t>
  </si>
  <si>
    <t xml:space="preserve">DESARR,CACHORRO,CH 120 GAL 170 SW,EXTRACCION      </t>
  </si>
  <si>
    <t>432146</t>
  </si>
  <si>
    <t xml:space="preserve">DESARR,CACHORRO,CH 120 GAL 170 SW,SPLIT SET       </t>
  </si>
  <si>
    <t>432147</t>
  </si>
  <si>
    <t xml:space="preserve">DESARR,CACHORRO,CH 120 GAL 170 SW,SPLIT CON MALLA </t>
  </si>
  <si>
    <t>432148</t>
  </si>
  <si>
    <t>DESARR,CACHORRO,CH 120 GAL 170 SW,IZAJE Y DESCENSO</t>
  </si>
  <si>
    <t>432149</t>
  </si>
  <si>
    <t xml:space="preserve">DESARR,CACHORRO,CH 120 GAL 170 SW,PERFORACION     </t>
  </si>
  <si>
    <t>434251</t>
  </si>
  <si>
    <t xml:space="preserve">DESARR,CACHORRO, SNV 109, CH 056, DESQUINCHE      </t>
  </si>
  <si>
    <t>434252</t>
  </si>
  <si>
    <t xml:space="preserve">DESARR,CACHORRO, SNV 109, CH 056, ENMADERADO      </t>
  </si>
  <si>
    <t>434253</t>
  </si>
  <si>
    <t xml:space="preserve">DESARR,CACHORRO, SNV 109, CH 056, LIMPIEZA        </t>
  </si>
  <si>
    <t>434254</t>
  </si>
  <si>
    <t xml:space="preserve">DESARR,CACHORRO, SNV 109, CH 056, SERVICIOS       </t>
  </si>
  <si>
    <t>434255</t>
  </si>
  <si>
    <t xml:space="preserve">DESARR,CACHORRO, SNV 109, CH 056, EXTRACCION      </t>
  </si>
  <si>
    <t>434256</t>
  </si>
  <si>
    <t xml:space="preserve">DESARR,CACHORRO, SNV 109, CH 056, SPLIT SET       </t>
  </si>
  <si>
    <t>434257</t>
  </si>
  <si>
    <t xml:space="preserve">DESARR,CACHORRO, SNV 109, CH 056, SPLIT CON MALLA </t>
  </si>
  <si>
    <t>434258</t>
  </si>
  <si>
    <t>DESARR,CACHORRO, SNV 109, CH 056, IZAJE Y DESCENSO</t>
  </si>
  <si>
    <t>434259</t>
  </si>
  <si>
    <t xml:space="preserve">DESARR,CACHORRO, SNV 109, CH 056, PERFORACION     </t>
  </si>
  <si>
    <t>434261</t>
  </si>
  <si>
    <t xml:space="preserve">DESAR,CACHORRO,SNV 109 NE, CH 100,DESQUINCHE      </t>
  </si>
  <si>
    <t>434262</t>
  </si>
  <si>
    <t xml:space="preserve">DESAR,CACHORRO,SNV 109 NE, CH 100,ENMADERADO      </t>
  </si>
  <si>
    <t>434263</t>
  </si>
  <si>
    <t xml:space="preserve">DESAR,CACHORRO,SNV 109 NE, CH 100,LIMPIEZA        </t>
  </si>
  <si>
    <t>434264</t>
  </si>
  <si>
    <t xml:space="preserve">DESAR,CACHORRO,SNV 109 NE, CH 100,SERVICIOS       </t>
  </si>
  <si>
    <t>434265</t>
  </si>
  <si>
    <t xml:space="preserve">DESAR,CACHORRO,SNV 109 NE, CH 100,EXTRACCION      </t>
  </si>
  <si>
    <t>434266</t>
  </si>
  <si>
    <t xml:space="preserve">DESAR,CACHORRO,SNV 109 NE, CH 100,SPLIT SET       </t>
  </si>
  <si>
    <t>434267</t>
  </si>
  <si>
    <t xml:space="preserve">DESAR,CACHORRO,SNV 109 NE, CH 100,SPLIT CON MALLA </t>
  </si>
  <si>
    <t>434268</t>
  </si>
  <si>
    <t>DESAR,CACHORRO,SNV 109 NE, CH 100,IZAJE Y DESCENSO</t>
  </si>
  <si>
    <t>434269</t>
  </si>
  <si>
    <t xml:space="preserve">DESAR,CACHORRO,SNV 109 NE, CH 100,PERFORACION     </t>
  </si>
  <si>
    <t>434271</t>
  </si>
  <si>
    <t xml:space="preserve">DESAR,CACHORRO,SNV 109 SW, CH 056, DESQUINCHE     </t>
  </si>
  <si>
    <t>434272</t>
  </si>
  <si>
    <t xml:space="preserve">DESAR,CACHORRO,SNV 109 SW, CH 056, ENMADERADO     </t>
  </si>
  <si>
    <t>434273</t>
  </si>
  <si>
    <t xml:space="preserve">DESAR,CACHORRO,SNV 109 SW, CH 056, LIMPIEZA       </t>
  </si>
  <si>
    <t>434274</t>
  </si>
  <si>
    <t xml:space="preserve">DESAR,CACHORRO,SNV 109 SW, CH 056, SERVICIOS      </t>
  </si>
  <si>
    <t>434275</t>
  </si>
  <si>
    <t xml:space="preserve">DESAR,CACHORRO,SNV 109 SW, CH 056, EXTRACCION     </t>
  </si>
  <si>
    <t>434276</t>
  </si>
  <si>
    <t xml:space="preserve">DESAR,CACHORRO,SNV 109 SW, CH 056, SPLIT SET      </t>
  </si>
  <si>
    <t>434277</t>
  </si>
  <si>
    <t>DESAR,CACHORRO,SNV 109 SW, CH 056, SPLIT CON MALLA</t>
  </si>
  <si>
    <t>434278</t>
  </si>
  <si>
    <t>DESAR,CACHORRO,SNV 109 SW, CH 056, IZAJE Y DESCENS</t>
  </si>
  <si>
    <t>434279</t>
  </si>
  <si>
    <t xml:space="preserve">DESAR,CACHORRO,SNV 109 SW, CH 056, PERFORACION    </t>
  </si>
  <si>
    <t>434281</t>
  </si>
  <si>
    <t xml:space="preserve">DESAR,CACHORRO,SNV 117 NE, CH 056DESQUINCHE       </t>
  </si>
  <si>
    <t>434282</t>
  </si>
  <si>
    <t xml:space="preserve">DESAR,CACHORRO,SNV 117 NE, CH 056ENMADERADO       </t>
  </si>
  <si>
    <t>434283</t>
  </si>
  <si>
    <t xml:space="preserve">DESAR,CACHORRO,SNV 117 NE, CH 056LIMPIEZA         </t>
  </si>
  <si>
    <t>434284</t>
  </si>
  <si>
    <t xml:space="preserve">DESAR,CACHORRO,SNV 117 NE, CH 056SERVICIOS        </t>
  </si>
  <si>
    <t>434285</t>
  </si>
  <si>
    <t xml:space="preserve">DESAR,CACHORRO,SNV 117 NE, CH 056EXTRACCION       </t>
  </si>
  <si>
    <t>434286</t>
  </si>
  <si>
    <t xml:space="preserve">DESAR,CACHORRO,SNV 117 NE, CH 056SPLIT SET        </t>
  </si>
  <si>
    <t>434287</t>
  </si>
  <si>
    <t xml:space="preserve">DESAR,CACHORRO,SNV 117 NE, CH 056SPLIT CON MALLA  </t>
  </si>
  <si>
    <t>434288</t>
  </si>
  <si>
    <t xml:space="preserve">DESAR,CACHORRO,SNV 117 NE, CH 056IZAJE Y DESCENSO </t>
  </si>
  <si>
    <t>434289</t>
  </si>
  <si>
    <t xml:space="preserve">DESAR,CACHORRO,SNV 117 NE, CH 056PERFORACION      </t>
  </si>
  <si>
    <t>434291</t>
  </si>
  <si>
    <t xml:space="preserve">DESAR,CACHORRO,SNV 117 SW, CH 056DESQUINCHE       </t>
  </si>
  <si>
    <t>434292</t>
  </si>
  <si>
    <t xml:space="preserve">DESAR,CACHORRO,SNV 117 SW, CH 056ENMADERADO       </t>
  </si>
  <si>
    <t>434293</t>
  </si>
  <si>
    <t xml:space="preserve">DESAR,CACHORRO,SNV 117 SW, CH 056,LIMPIEZA        </t>
  </si>
  <si>
    <t>434294</t>
  </si>
  <si>
    <t xml:space="preserve">DESAR,CACHORRO,SNV 117 SW, CH 056,SERVICIOS       </t>
  </si>
  <si>
    <t>434295</t>
  </si>
  <si>
    <t xml:space="preserve">DESAR,CACHORRO,SNV 117 SW, CH 056,EXTRACCION      </t>
  </si>
  <si>
    <t>434296</t>
  </si>
  <si>
    <t xml:space="preserve">DESAR,CACHORRO,SNV 117 SW, CH 056,SPLIT SET       </t>
  </si>
  <si>
    <t>434297</t>
  </si>
  <si>
    <t xml:space="preserve">DESAR,CACHORRO,SNV 117 SW, CH 056,SPLIT CON MALLA </t>
  </si>
  <si>
    <t>434298</t>
  </si>
  <si>
    <t>DESAR,CACHORRO,SNV 117 SW, CH 056,IZAJE Y DESCENSO</t>
  </si>
  <si>
    <t>434299</t>
  </si>
  <si>
    <t xml:space="preserve">DESAR,CACHORRO,SNV 117 SW, CH 056,PERFORACION     </t>
  </si>
  <si>
    <t>445191</t>
  </si>
  <si>
    <t xml:space="preserve">OPERA,CACHORRO,EST 132 SE CH 100,DESQUINCHE       </t>
  </si>
  <si>
    <t>445192</t>
  </si>
  <si>
    <t xml:space="preserve">OPERA,CACHORRO,EST 132 SE CH 100,ENMADERADO       </t>
  </si>
  <si>
    <t>445193</t>
  </si>
  <si>
    <t xml:space="preserve">OPERA,CACHORRO,EST 132 SE CH 100,LIMPIEZA         </t>
  </si>
  <si>
    <t>445194</t>
  </si>
  <si>
    <t xml:space="preserve">OPERA,CACHORRO,EST 132 SE CH 100,SERVICIOS        </t>
  </si>
  <si>
    <t>445195</t>
  </si>
  <si>
    <t xml:space="preserve">OPERA,CACHORRO,EST 132 SE CH 100,EXTRACCION       </t>
  </si>
  <si>
    <t>445196</t>
  </si>
  <si>
    <t xml:space="preserve">OPERA,CACHORRO,EST 132 SE CH 100,SPLIT SET        </t>
  </si>
  <si>
    <t>445197</t>
  </si>
  <si>
    <t xml:space="preserve">OPERA,CACHORRO,EST 132 SE CH 100,SPLIT CON MALLA  </t>
  </si>
  <si>
    <t>445198</t>
  </si>
  <si>
    <t xml:space="preserve">OPERA,CACHORRO,EST 132 SE CH 100,IZAJE Y DESCENSO </t>
  </si>
  <si>
    <t>445199</t>
  </si>
  <si>
    <t xml:space="preserve">OPERA,CACHORRO,EST 132 SE CH 100,PERFORACION      </t>
  </si>
  <si>
    <t>445231</t>
  </si>
  <si>
    <t xml:space="preserve">OPERA,CACHORRO,EST. 150 NW (CH 150),DESQUINCHE    </t>
  </si>
  <si>
    <t>445232</t>
  </si>
  <si>
    <t xml:space="preserve">OPERA,CACHORRO,EST. 150 NW (CH 150),ENMADERADO    </t>
  </si>
  <si>
    <t>445233</t>
  </si>
  <si>
    <t xml:space="preserve">OPERA,CACHORRO,EST. 150 NW (CH 150),LIMPIEZA      </t>
  </si>
  <si>
    <t>445234</t>
  </si>
  <si>
    <t xml:space="preserve">OPERA,CACHORRO,EST. 150 NW (CH 150),SERVICIOS     </t>
  </si>
  <si>
    <t>445235</t>
  </si>
  <si>
    <t xml:space="preserve">OPERA,CACHORRO,EST. 150 NW (CH 150),EXTRACCION    </t>
  </si>
  <si>
    <t>445236</t>
  </si>
  <si>
    <t xml:space="preserve">OPERA,CACHORRO,EST. 150 NW (CH 150),SPLIT SET     </t>
  </si>
  <si>
    <t>445237</t>
  </si>
  <si>
    <t>OPERA,CACHORRO,EST. 150 NW (CH 150),SPLIT CON MALL</t>
  </si>
  <si>
    <t>445238</t>
  </si>
  <si>
    <t>OPERA,CACHORRO,EST. 150 NW (CH 150),IZAJE Y DESCEN</t>
  </si>
  <si>
    <t>445239</t>
  </si>
  <si>
    <t xml:space="preserve">OPERA,CACHORRO,EST. 150 NW (CH 150),PERFORACION   </t>
  </si>
  <si>
    <t>453131</t>
  </si>
  <si>
    <t xml:space="preserve">PRODU,CACHORRO,TJ 100 CH 120,DESQUINCHE           </t>
  </si>
  <si>
    <t>453132</t>
  </si>
  <si>
    <t xml:space="preserve">PRODU,CACHORRO,TJ 100 CH 120,ENMADERADO           </t>
  </si>
  <si>
    <t>453133</t>
  </si>
  <si>
    <t xml:space="preserve">PRODU,CACHORRO,TJ 100 CH 120,LIMPIEZA             </t>
  </si>
  <si>
    <t>453134</t>
  </si>
  <si>
    <t xml:space="preserve">PRODU,CACHORRO,TJ 100 CH 120,SERVICIOS            </t>
  </si>
  <si>
    <t>453135</t>
  </si>
  <si>
    <t xml:space="preserve">PRODU,CACHORRO,TJ 100 CH 120,EXTRACCION           </t>
  </si>
  <si>
    <t>453136</t>
  </si>
  <si>
    <t xml:space="preserve">PRODU,CACHORRO,TJ 100 CH 120,SPLIT SET            </t>
  </si>
  <si>
    <t>453137</t>
  </si>
  <si>
    <t xml:space="preserve">PRODU,CACHORRO,TJ 100 CH 120,SPLIT CON MALLA      </t>
  </si>
  <si>
    <t>453138</t>
  </si>
  <si>
    <t xml:space="preserve">PRODU,CACHORRO,TJ 100 CH 120,IZAJE Y DESCENSO W   </t>
  </si>
  <si>
    <t>453139</t>
  </si>
  <si>
    <t xml:space="preserve">PRODU,CACHORRO,TJ 100 CH 120,PERFORACION          </t>
  </si>
  <si>
    <t>453151</t>
  </si>
  <si>
    <t xml:space="preserve">PRODU,CACHORRO,TJ 056 CH 100,DESQUINCHE           </t>
  </si>
  <si>
    <t>453152</t>
  </si>
  <si>
    <t xml:space="preserve">PRODU,CACHORRO,TJ 056 CH 100,ENMADERADO           </t>
  </si>
  <si>
    <t>453153</t>
  </si>
  <si>
    <t xml:space="preserve">PRODU,CACHORRO,TJ 056 CH 100,LIMPIEZA             </t>
  </si>
  <si>
    <t>453154</t>
  </si>
  <si>
    <t xml:space="preserve">PRODU,CACHORRO,TJ 056 CH 100,SERVICIOS            </t>
  </si>
  <si>
    <t>453155</t>
  </si>
  <si>
    <t xml:space="preserve">PRODU,CACHORRO,TJ 056 CH 100,EXTRACCION           </t>
  </si>
  <si>
    <t>453156</t>
  </si>
  <si>
    <t xml:space="preserve">PRODU,CACHORRO,TJ 056 CH 100,SPLIT SET            </t>
  </si>
  <si>
    <t>453157</t>
  </si>
  <si>
    <t xml:space="preserve">PRODU,CACHORRO,TJ 056 CH 100,SPLIT CON MALLA      </t>
  </si>
  <si>
    <t>453158</t>
  </si>
  <si>
    <t xml:space="preserve">PRODU,CACHORRO,TJ 056 CH 100,IZAJE Y DESCENSO W   </t>
  </si>
  <si>
    <t>453159</t>
  </si>
  <si>
    <t xml:space="preserve">PRODU,CACHORRO,TJ 056 CH 100,PERFORACION          </t>
  </si>
  <si>
    <t>530031</t>
  </si>
  <si>
    <t xml:space="preserve">EXPLOR, MANUEL, GAL 168 SW, EST. 168, DESQUINCHE  </t>
  </si>
  <si>
    <t>530032</t>
  </si>
  <si>
    <t xml:space="preserve">EXPLOR, MANUEL, GAL 168 SW, EST. 168, ENMADERADO  </t>
  </si>
  <si>
    <t>530033</t>
  </si>
  <si>
    <t xml:space="preserve">EXPLOR, MANUEL, GAL 168 SW, EST. 168, LIMPIEZA    </t>
  </si>
  <si>
    <t>530034</t>
  </si>
  <si>
    <t xml:space="preserve">EXPLOR, MANUEL, GAL 168 SW, EST. 168, SERVICIOS   </t>
  </si>
  <si>
    <t>530035</t>
  </si>
  <si>
    <t xml:space="preserve">EXPLOR, MANUEL, GAL 168 SW, EST. 168, EXTRACCION  </t>
  </si>
  <si>
    <t>530036</t>
  </si>
  <si>
    <t xml:space="preserve">EXPLOR, MANUEL, GAL 168 SW, EST. 168, SPLIT SET   </t>
  </si>
  <si>
    <t>530037</t>
  </si>
  <si>
    <t>EXPLOR, MANUEL, GAL 168 SW, EST. 168, SPLIT CON MA</t>
  </si>
  <si>
    <t>530038</t>
  </si>
  <si>
    <t>EXPLOR, MANUEL, GAL 168 SW, EST. 168, IZAJE Y DESC</t>
  </si>
  <si>
    <t>530039</t>
  </si>
  <si>
    <t xml:space="preserve">EXPLOR, MANUEL, GAL 168 SW, EST. 168, PERFORACION </t>
  </si>
  <si>
    <t>532181</t>
  </si>
  <si>
    <t xml:space="preserve">DESAR,MANUEL,CH 152, GAL 168 SW,DESQUINCHE        </t>
  </si>
  <si>
    <t>532182</t>
  </si>
  <si>
    <t xml:space="preserve">DESAR,MANUEL,CH 152, GAL 168 SW,ENMADERADO        </t>
  </si>
  <si>
    <t>532183</t>
  </si>
  <si>
    <t xml:space="preserve">DESAR,MANUEL,CH 152, GAL 168 SW,LIMPIEZA          </t>
  </si>
  <si>
    <t>532184</t>
  </si>
  <si>
    <t xml:space="preserve">DESAR,MANUEL,CH 152, GAL 168 SW,SERVICIOS         </t>
  </si>
  <si>
    <t>532185</t>
  </si>
  <si>
    <t xml:space="preserve">DESAR,MANUEL,CH 152, GAL 168 SW,EXTRACCION        </t>
  </si>
  <si>
    <t>532186</t>
  </si>
  <si>
    <t xml:space="preserve">DESAR,MANUEL,CH 152, GAL 168 SW,SPLIT SET         </t>
  </si>
  <si>
    <t>532187</t>
  </si>
  <si>
    <t xml:space="preserve">DESAR,MANUEL,CH 152, GAL 168 SW,SPLIT CON MALLA   </t>
  </si>
  <si>
    <t>532188</t>
  </si>
  <si>
    <t>DESAR,MANUEL,CH 152, GAL 168 SW,IZAJE Y DESCENSO W</t>
  </si>
  <si>
    <t>532189</t>
  </si>
  <si>
    <t xml:space="preserve">DESAR,MANUEL,CH 152, GAL 168 SW,PERFORACION       </t>
  </si>
  <si>
    <t>610031</t>
  </si>
  <si>
    <t xml:space="preserve">EXPLO,VANESSA,GAL 150 SW (CX 150 NW),DESQUINCHE   </t>
  </si>
  <si>
    <t>610032</t>
  </si>
  <si>
    <t xml:space="preserve">EXPLO,VANESSA,GAL 150 SW (CX 150 NW),ENMADERADO   </t>
  </si>
  <si>
    <t>610033</t>
  </si>
  <si>
    <t xml:space="preserve">EXPLO,VANESSA,GAL 150 SW (CX 150 NW),LIMPIEZA     </t>
  </si>
  <si>
    <t>610034</t>
  </si>
  <si>
    <t xml:space="preserve">EXPLO,VANESSA,GAL 150 SW (CX 150 NW),SERVICIOS    </t>
  </si>
  <si>
    <t>610035</t>
  </si>
  <si>
    <t xml:space="preserve">EXPLO,VANESSA,GAL 150 SW (CX 150 NW),EXTRACCION   </t>
  </si>
  <si>
    <t>610036</t>
  </si>
  <si>
    <t xml:space="preserve">EXPLO,VANESSA,GAL 150 SW (CX 150 NW),SPLIT SET    </t>
  </si>
  <si>
    <t>610037</t>
  </si>
  <si>
    <t>EXPLO,VANESSA,GAL 150 SW (CX 150 NW),SPLIT CON MAL</t>
  </si>
  <si>
    <t>610038</t>
  </si>
  <si>
    <t>EXPLO,VANESSA,GAL 150 SW (CX 150 NW),IZAJE Y DESCE</t>
  </si>
  <si>
    <t>610039</t>
  </si>
  <si>
    <t xml:space="preserve">EXPLO,VANESSA,GAL 150 SW (CX 150 NW),PERFORACION  </t>
  </si>
  <si>
    <t>610041</t>
  </si>
  <si>
    <t xml:space="preserve">EXPLO,VANESSA,GAL 150 NE (CX 150 NW),DESQUINCHE   </t>
  </si>
  <si>
    <t>610042</t>
  </si>
  <si>
    <t xml:space="preserve">EXPLO,VANESSA,GAL 150 NE (CX 150 NW),ENMADERADO   </t>
  </si>
  <si>
    <t>610043</t>
  </si>
  <si>
    <t xml:space="preserve">EXPLO,VANESSA,GAL 150 NE (CX 150 NW),LIMPIEZA     </t>
  </si>
  <si>
    <t>610044</t>
  </si>
  <si>
    <t xml:space="preserve">EXPLO,VANESSA,GAL 150 NE (CX 150 NW),SERVICIOS    </t>
  </si>
  <si>
    <t>610045</t>
  </si>
  <si>
    <t xml:space="preserve">EXPLO,VANESSA,GAL 150 NE (CX 150 NW),EXTRACCION   </t>
  </si>
  <si>
    <t>610046</t>
  </si>
  <si>
    <t xml:space="preserve">EXPLO,VANESSA,GAL 150 NE (CX 150 NW),SPLIT SET    </t>
  </si>
  <si>
    <t>610047</t>
  </si>
  <si>
    <t>EXPLO,VANESSA,GAL 150 NE (CX 150 NW),SPLIT CON MAL</t>
  </si>
  <si>
    <t>610048</t>
  </si>
  <si>
    <t>EXPLO,VANESSA,GAL 150 NE (CX 150 NW),IZAJE Y DESCE</t>
  </si>
  <si>
    <t>610049</t>
  </si>
  <si>
    <t xml:space="preserve">EXPLO,VANESSA,GAL 150 NE (CX 150 NW),PERFORACION  </t>
  </si>
  <si>
    <t>611031</t>
  </si>
  <si>
    <t xml:space="preserve">EXPLO,VANESSA,CX 150 NW (GAL 170 SW),DESQUINCHE   </t>
  </si>
  <si>
    <t>611032</t>
  </si>
  <si>
    <t xml:space="preserve">EXPLO,VANESSA,CX 150 NW (GAL 170 SW),ENMADERADO   </t>
  </si>
  <si>
    <t>611033</t>
  </si>
  <si>
    <t xml:space="preserve">EXPLO,VANESSA,CX 150 NW (GAL 170 SW),LIMPIEZA     </t>
  </si>
  <si>
    <t>611034</t>
  </si>
  <si>
    <t xml:space="preserve">EXPLO,VANESSA,CX 150 NW (GAL 170 SW),SERVICIOS    </t>
  </si>
  <si>
    <t>611035</t>
  </si>
  <si>
    <t xml:space="preserve">EXPLO,VANESSA,CX 150 NW (GAL 170 SW),EXTRACCION   </t>
  </si>
  <si>
    <t>611036</t>
  </si>
  <si>
    <t xml:space="preserve">EXPLO,VANESSA,CX 150 NW (GAL 170 SW),SPLIT SET    </t>
  </si>
  <si>
    <t>611037</t>
  </si>
  <si>
    <t>EXPLO,VANESSA,CX 150 NW (GAL 170 SW),SPLIT CON MAL</t>
  </si>
  <si>
    <t>611038</t>
  </si>
  <si>
    <t>EXPLO,VANESSA,CX 150 NW (GAL 170 SW),IZAJE Y DESCE</t>
  </si>
  <si>
    <t>611039</t>
  </si>
  <si>
    <t xml:space="preserve">EXPLO,VANESSA,CX 150 NW (GAL 170 SW),PERFORACION  </t>
  </si>
  <si>
    <t>611071</t>
  </si>
  <si>
    <t xml:space="preserve">EXPLO,VANESSA,CX 074 SW (CX 150 NW ),DESQUINCHE   </t>
  </si>
  <si>
    <t>611072</t>
  </si>
  <si>
    <t xml:space="preserve">EXPLO,VANESSA,CX 074 SW (CX 150 NW ),ENMADERADO   </t>
  </si>
  <si>
    <t>611073</t>
  </si>
  <si>
    <t xml:space="preserve">EXPLO,VANESSA,CX 074 SW (CX 150 NW ),LIMPIEZA     </t>
  </si>
  <si>
    <t>611074</t>
  </si>
  <si>
    <t xml:space="preserve">EXPLO,VANESSA,CX 074 SW (CX 150 NW ),SERVICIOS    </t>
  </si>
  <si>
    <t>611075</t>
  </si>
  <si>
    <t xml:space="preserve">EXPLO,VANESSA,CX 074 SW (CX 150 NW ),EXTRACCION   </t>
  </si>
  <si>
    <t>611076</t>
  </si>
  <si>
    <t xml:space="preserve">EXPLO,VANESSA,CX 074 SW (CX 150 NW ),SPLIT SET    </t>
  </si>
  <si>
    <t>611077</t>
  </si>
  <si>
    <t>EXPLO,VANESSA,CX 074 SW (CX 150 NW ),SPLIT CON MAL</t>
  </si>
  <si>
    <t>611078</t>
  </si>
  <si>
    <t>EXPLO,VANESSA,CX 074 SW (CX 150 NW ),IZAJE Y DESCE</t>
  </si>
  <si>
    <t>611079</t>
  </si>
  <si>
    <t xml:space="preserve">EXPLO,VANESSA,CX 074 SW (CX 150 NW ),PERFORACION  </t>
  </si>
  <si>
    <t>612191</t>
  </si>
  <si>
    <t xml:space="preserve">EXPLO,VANESSA,CH 125 (CX 150 NW),DESQUINCHE       </t>
  </si>
  <si>
    <t>612192</t>
  </si>
  <si>
    <t xml:space="preserve">EXPLO,VANESSA,CH 125 (CX 150 NW),ENMADERADO       </t>
  </si>
  <si>
    <t>612193</t>
  </si>
  <si>
    <t xml:space="preserve">EXPLO,VANESSA,CH 125 (CX 150 NW),LIMPIEZA         </t>
  </si>
  <si>
    <t>612194</t>
  </si>
  <si>
    <t xml:space="preserve">EXPLO,VANESSA,CH 125 (CX 150 NW),SERVICIOS        </t>
  </si>
  <si>
    <t>612195</t>
  </si>
  <si>
    <t xml:space="preserve">EXPLO,VANESSA,CH 125 (CX 150 NW),EXTRACCION       </t>
  </si>
  <si>
    <t>612196</t>
  </si>
  <si>
    <t xml:space="preserve">EXPLO,VANESSA,CH 125 (CX 150 NW),SPLIT SET        </t>
  </si>
  <si>
    <t>612197</t>
  </si>
  <si>
    <t xml:space="preserve">EXPLO,VANESSA,CH 125 (CX 150 NW),SPLIT CON MALLA  </t>
  </si>
  <si>
    <t>612198</t>
  </si>
  <si>
    <t xml:space="preserve">EXPLO,VANESSA,CH 125 (CX 150 NW),IZAJE Y DESCENSO </t>
  </si>
  <si>
    <t>612199</t>
  </si>
  <si>
    <t xml:space="preserve">EXPLO,VANESSA,CH 125 (CX 150 NW),PERFORACION      </t>
  </si>
  <si>
    <t>612221</t>
  </si>
  <si>
    <t xml:space="preserve">EXPLO,VANESSA,CH 080 (GAL 150 SW),DESQUINCHE      </t>
  </si>
  <si>
    <t>612222</t>
  </si>
  <si>
    <t xml:space="preserve">EXPLO,VANESSA,CH 080 (GAL 150 SW),ENMADERADO      </t>
  </si>
  <si>
    <t>612223</t>
  </si>
  <si>
    <t xml:space="preserve">EXPLO,VANESSA,CH 080 (GAL 150 SW),LIMPIEZA        </t>
  </si>
  <si>
    <t>612224</t>
  </si>
  <si>
    <t xml:space="preserve">EXPLO,VANESSA,CH 080 (GAL 150 SW),SERVICIOS       </t>
  </si>
  <si>
    <t>612225</t>
  </si>
  <si>
    <t xml:space="preserve">EXPLO,VANESSA,CH 080 (GAL 150 SW),EXTRACCION      </t>
  </si>
  <si>
    <t>612226</t>
  </si>
  <si>
    <t xml:space="preserve">EXPLO,VANESSA,CH 080 (GAL 150 SW),SPLIT SET       </t>
  </si>
  <si>
    <t>612227</t>
  </si>
  <si>
    <t xml:space="preserve">EXPLO,VANESSA,CH 080 (GAL 150 SW),SPLIT CON MALLA </t>
  </si>
  <si>
    <t>612228</t>
  </si>
  <si>
    <t>EXPLO,VANESSA,CH 080 (GAL 150 SW),IZAJE Y DESCENSO</t>
  </si>
  <si>
    <t>612229</t>
  </si>
  <si>
    <t xml:space="preserve">EXPLO,VANESSA,CH 080 (GAL 150 SW),PERFORACION     </t>
  </si>
  <si>
    <t>614351</t>
  </si>
  <si>
    <t xml:space="preserve">EXPLO,VANESSA,SNV 125 NE (CX 150 NW),DESQUINCHE   </t>
  </si>
  <si>
    <t>614352</t>
  </si>
  <si>
    <t xml:space="preserve">EXPLO,VANESSA,SNV 125 NE (CX 150 NW),ENMADERADO   </t>
  </si>
  <si>
    <t>614353</t>
  </si>
  <si>
    <t xml:space="preserve">EXPLO,VANESSA,SNV 125 NE (CX 150 NW),LIMPIEZA     </t>
  </si>
  <si>
    <t>614354</t>
  </si>
  <si>
    <t xml:space="preserve">EXPLO,VANESSA,SNV 125 NE (CX 150 NW),SERVICIOS    </t>
  </si>
  <si>
    <t>614355</t>
  </si>
  <si>
    <t xml:space="preserve">EXPLO,VANESSA,SNV 125 NE (CX 150 NW),EXTRACCION   </t>
  </si>
  <si>
    <t>614356</t>
  </si>
  <si>
    <t xml:space="preserve">EXPLO,VANESSA,SNV 125 NE (CX 150 NW),SPLIT SET    </t>
  </si>
  <si>
    <t>614357</t>
  </si>
  <si>
    <t>EXPLO,VANESSA,SNV 125 NE (CX 150 NW),SPLIT CON MAL</t>
  </si>
  <si>
    <t>614358</t>
  </si>
  <si>
    <t>EXPLO,VANESSA,SNV 125 NE (CX 150 NW),IZAJE Y DESCE</t>
  </si>
  <si>
    <t>614359</t>
  </si>
  <si>
    <t xml:space="preserve">EXPLO,VANESSA,SNV 125 NE (CX 150 NW),PERFORACION  </t>
  </si>
  <si>
    <t>614361</t>
  </si>
  <si>
    <t xml:space="preserve">EXPLO,VANESSA,SNV 125 SW (CX 150 NW),DESQUINCHE   </t>
  </si>
  <si>
    <t>614362</t>
  </si>
  <si>
    <t xml:space="preserve">EXPLO,VANESSA,SNV 125 SW (CX 150 NW),ENMADERADO   </t>
  </si>
  <si>
    <t>614363</t>
  </si>
  <si>
    <t xml:space="preserve">EXPLO,VANESSA,SNV 125 SW (CX 150 NW),LIMPIEZA     </t>
  </si>
  <si>
    <t>614364</t>
  </si>
  <si>
    <t xml:space="preserve">EXPLO,VANESSA,SNV 125 SW (CX 150 NW),SERVICIOS    </t>
  </si>
  <si>
    <t>614365</t>
  </si>
  <si>
    <t xml:space="preserve">EXPLO,VANESSA,SNV 125 SW (CX 150 NW),EXTRACCION   </t>
  </si>
  <si>
    <t>614366</t>
  </si>
  <si>
    <t xml:space="preserve">EXPLO,VANESSA,SNV 125 SW (CX 150 NW),SPLIT SET    </t>
  </si>
  <si>
    <t>614367</t>
  </si>
  <si>
    <t>EXPLO,VANESSA,SNV 125 SW (CX 150 NW),SPLIT CON MAL</t>
  </si>
  <si>
    <t>614368</t>
  </si>
  <si>
    <t>EXPLO,VANESSA,SNV 125 SW (CX 150 NW),IZAJE Y DESCE</t>
  </si>
  <si>
    <t>614369</t>
  </si>
  <si>
    <t xml:space="preserve">EXPLO,VANESSA,SNV 125 SW (CX 150 NW),PERFORACION  </t>
  </si>
  <si>
    <t>614371</t>
  </si>
  <si>
    <t xml:space="preserve">EXPLO,VANESSA,SNV 103 SW (CX 150 NW),DESQUINCHE   </t>
  </si>
  <si>
    <t>614372</t>
  </si>
  <si>
    <t xml:space="preserve">EXPLO,VANESSA,SNV 103 SW (CX 150 NW),ENMADERADO   </t>
  </si>
  <si>
    <t>614373</t>
  </si>
  <si>
    <t xml:space="preserve">EXPLO,VANESSA,SNV 103 SW (CX 150 NW),LIMPIEZA     </t>
  </si>
  <si>
    <t>614374</t>
  </si>
  <si>
    <t xml:space="preserve">EXPLO,VANESSA,SNV 103 SW (CX 150 NW),SERVICIOS    </t>
  </si>
  <si>
    <t>614375</t>
  </si>
  <si>
    <t xml:space="preserve">EXPLO,VANESSA,SNV 103 SW (CX 150 NW),EXTRACCION   </t>
  </si>
  <si>
    <t>614376</t>
  </si>
  <si>
    <t xml:space="preserve">EXPLO,VANESSA,SNV 103 SW (CX 150 NW),SPLIT SET    </t>
  </si>
  <si>
    <t>614377</t>
  </si>
  <si>
    <t>EXPLO,VANESSA,SNV 103 SW (CX 150 NW),SPLIT CON MAL</t>
  </si>
  <si>
    <t>614378</t>
  </si>
  <si>
    <t>EXPLO,VANESSA,SNV 103 SW (CX 150 NW),IZAJE Y DESCE</t>
  </si>
  <si>
    <t>614379</t>
  </si>
  <si>
    <t xml:space="preserve">EXPLO,VANESSA,SNV 103 SW (CX 150 NW),PERFORACION  </t>
  </si>
  <si>
    <t>614381</t>
  </si>
  <si>
    <t xml:space="preserve">EXPLO,VANESSA,SNV 103 NE (CX 150 NW),DESQUINCHE   </t>
  </si>
  <si>
    <t>614382</t>
  </si>
  <si>
    <t xml:space="preserve">EXPLO,VANESSA,SNV 103 NE (CX 150 NW),ENMADERADO   </t>
  </si>
  <si>
    <t>614383</t>
  </si>
  <si>
    <t xml:space="preserve">EXPLO,VANESSA,SNV 103 NE (CX 150 NW),LIMPIEZA     </t>
  </si>
  <si>
    <t>614384</t>
  </si>
  <si>
    <t xml:space="preserve">EXPLO,VANESSA,SNV 103 NE (CX 150 NW),SERVICIOS    </t>
  </si>
  <si>
    <t>614385</t>
  </si>
  <si>
    <t xml:space="preserve">EXPLO,VANESSA,SNV 103 NE (CX 150 NW),EXTRACCION   </t>
  </si>
  <si>
    <t>614386</t>
  </si>
  <si>
    <t xml:space="preserve">EXPLO,VANESSA,SNV 103 NE (CX 150 NW),SPLIT SET    </t>
  </si>
  <si>
    <t>614387</t>
  </si>
  <si>
    <t>EXPLO,VANESSA,SNV 103 NE (CX 150 NW),SPLIT CON MAL</t>
  </si>
  <si>
    <t>614388</t>
  </si>
  <si>
    <t>EXPLO,VANESSA,SNV 103 NE (CX 150 NW),IZAJE Y DESCE</t>
  </si>
  <si>
    <t>614389</t>
  </si>
  <si>
    <t xml:space="preserve">EXPLO,VANESSA,SNV 103 NE (CX 150 NW),PERFORACION  </t>
  </si>
  <si>
    <t>614421</t>
  </si>
  <si>
    <t xml:space="preserve">EXPLO,VANESSA,SNV 103 SW (CH044),DESQUINCHE       </t>
  </si>
  <si>
    <t>614422</t>
  </si>
  <si>
    <t xml:space="preserve">EXPLO,VANESSA,SNV 103 SW (CH044),ENMADERADO       </t>
  </si>
  <si>
    <t>614423</t>
  </si>
  <si>
    <t xml:space="preserve">EXPLO,VANESSA,SNV 103 SW (CH044),LIMPIEZA         </t>
  </si>
  <si>
    <t>614424</t>
  </si>
  <si>
    <t xml:space="preserve">EXPLO,VANESSA,SNV 103 SW (CH044),SERVICIOS        </t>
  </si>
  <si>
    <t>614425</t>
  </si>
  <si>
    <t xml:space="preserve">EXPLO,VANESSA,SNV 103 SW (CH044),EXTRACCION       </t>
  </si>
  <si>
    <t>614426</t>
  </si>
  <si>
    <t xml:space="preserve">EXPLO,VANESSA,SNV 103 SW (CH044),SPLIT SET        </t>
  </si>
  <si>
    <t>614427</t>
  </si>
  <si>
    <t xml:space="preserve">EXPLO,VANESSA,SNV 103 SW (CH044),SPLIT CON MALLA  </t>
  </si>
  <si>
    <t>614428</t>
  </si>
  <si>
    <t xml:space="preserve">EXPLO,VANESSA,SNV 103 SW (CH044),IZAJE Y DESCENSO </t>
  </si>
  <si>
    <t>614429</t>
  </si>
  <si>
    <t xml:space="preserve">EXPLO,VANESSA,SNV 103 SW (CH044),PERFORACION      </t>
  </si>
  <si>
    <t>614431</t>
  </si>
  <si>
    <t>EXPLO,VANESSA,SNV 123-1 SW (SNV.123 SW),DESQUINCHE</t>
  </si>
  <si>
    <t>614432</t>
  </si>
  <si>
    <t>EXPLO,VANESSA,SNV 123-1 SW (SNV.123 SW),ENMADERADO</t>
  </si>
  <si>
    <t>614433</t>
  </si>
  <si>
    <t xml:space="preserve">EXPLO,VANESSA,SNV 123-1 SW (SNV.123 SW),LIMPIEZA  </t>
  </si>
  <si>
    <t>614434</t>
  </si>
  <si>
    <t xml:space="preserve">EXPLO,VANESSA,SNV 123-1 SW (SNV.123 SW),SERVICIOS </t>
  </si>
  <si>
    <t>614435</t>
  </si>
  <si>
    <t>EXPLO,VANESSA,SNV 123-1 SW (SNV.123 SW),EXTRACCION</t>
  </si>
  <si>
    <t>614436</t>
  </si>
  <si>
    <t xml:space="preserve">EXPLO,VANESSA,SNV 123-1 SW (SNV.123 SW),SPLIT SET </t>
  </si>
  <si>
    <t>614437</t>
  </si>
  <si>
    <t xml:space="preserve">EXPLO,VANESSA,SNV 123-1 SW (SNV.123 SW),SPLIT CON </t>
  </si>
  <si>
    <t>614438</t>
  </si>
  <si>
    <t>EXPLO,VANESSA,SNV 123-1 SW (SNV.123 SW),IZAJE Y DE</t>
  </si>
  <si>
    <t>614439</t>
  </si>
  <si>
    <t>EXPLO,VANESSA,SNV 123-1 SW (SNV.123 SW),PERFORACIO</t>
  </si>
  <si>
    <t>614441</t>
  </si>
  <si>
    <t xml:space="preserve">EXPLO,VANESSA,SNV 123 SW (CH 044),DESQUINCHE      </t>
  </si>
  <si>
    <t>614442</t>
  </si>
  <si>
    <t xml:space="preserve">EXPLO,VANESSA,SNV 123 SW (CH 044),ENMADERADO      </t>
  </si>
  <si>
    <t>614443</t>
  </si>
  <si>
    <t xml:space="preserve">EXPLO,VANESSA,SNV 123 SW (CH 044),LIMPIEZA        </t>
  </si>
  <si>
    <t>614444</t>
  </si>
  <si>
    <t xml:space="preserve">EXPLO,VANESSA,SNV 123 SW (CH 044),SERVICIOS       </t>
  </si>
  <si>
    <t>614445</t>
  </si>
  <si>
    <t xml:space="preserve">EXPLO,VANESSA,SNV 123 SW (CH 044),EXTRACCION      </t>
  </si>
  <si>
    <t>614446</t>
  </si>
  <si>
    <t xml:space="preserve">EXPLO,VANESSA,SNV 123 SW (CH 044),SPLIT SET       </t>
  </si>
  <si>
    <t>614447</t>
  </si>
  <si>
    <t xml:space="preserve">EXPLO,VANESSA,SNV 123 SW (CH 044),SPLIT CON MALLA </t>
  </si>
  <si>
    <t>614448</t>
  </si>
  <si>
    <t>EXPLO,VANESSA,SNV 123 SW (CH 044),IZAJE Y DESCENSO</t>
  </si>
  <si>
    <t>614449</t>
  </si>
  <si>
    <t xml:space="preserve">EXPLO,VANESSA,SNV 123 SW (CH 044),PERFORACION     </t>
  </si>
  <si>
    <t>614451</t>
  </si>
  <si>
    <t xml:space="preserve">EXPLO,VANESSA,SNV 123 NE (CH 044),DESQUINCHE      </t>
  </si>
  <si>
    <t>614452</t>
  </si>
  <si>
    <t xml:space="preserve">EXPLO,VANESSA,SNV 123 NE (CH 044),ENMADERADO      </t>
  </si>
  <si>
    <t>614453</t>
  </si>
  <si>
    <t xml:space="preserve">EXPLO,VANESSA,SNV 123 NE (CH 044),LIMPIEZA        </t>
  </si>
  <si>
    <t>614454</t>
  </si>
  <si>
    <t xml:space="preserve">EXPLO,VANESSA,SNV 123 NE (CH 044),SERVICIOS       </t>
  </si>
  <si>
    <t>614455</t>
  </si>
  <si>
    <t xml:space="preserve">EXPLO,VANESSA,SNV 123 NE (CH 044),EXTRACCION      </t>
  </si>
  <si>
    <t>614456</t>
  </si>
  <si>
    <t xml:space="preserve">EXPLO,VANESSA,SNV 123 NE (CH 044),SPLIT SET       </t>
  </si>
  <si>
    <t>614457</t>
  </si>
  <si>
    <t xml:space="preserve">EXPLO,VANESSA,SNV 123 NE (CH 044),SPLIT CON MALLA </t>
  </si>
  <si>
    <t>614458</t>
  </si>
  <si>
    <t>EXPLO,VANESSA,SNV 123 NE (CH 044),IZAJE Y DESCENSO</t>
  </si>
  <si>
    <t>614459</t>
  </si>
  <si>
    <t xml:space="preserve">EXPLO,VANESSA,SNV 123 NE (CH 044),PERFORACION     </t>
  </si>
  <si>
    <t>615201</t>
  </si>
  <si>
    <t xml:space="preserve">EXPLO,VANESSA,EST. 094 NW (GAL 150 SW),DESQUINCHE </t>
  </si>
  <si>
    <t>615202</t>
  </si>
  <si>
    <t xml:space="preserve">EXPLO,VANESSA,EST. 094 NW (GAL 150 SW),ENMADERADO </t>
  </si>
  <si>
    <t>615203</t>
  </si>
  <si>
    <t xml:space="preserve">EXPLO,VANESSA,EST. 094 NW (GAL 150 SW),LIMPIEZA   </t>
  </si>
  <si>
    <t>615204</t>
  </si>
  <si>
    <t xml:space="preserve">EXPLO,VANESSA,EST. 094 NW (GAL 150 SW),SERVICIOS  </t>
  </si>
  <si>
    <t>615205</t>
  </si>
  <si>
    <t xml:space="preserve">EXPLO,VANESSA,EST. 094 NW (GAL 150 SW),EXTRACCION </t>
  </si>
  <si>
    <t>615206</t>
  </si>
  <si>
    <t xml:space="preserve">EXPLO,VANESSA,EST. 094 NW (GAL 150 SW),SPLIT SET  </t>
  </si>
  <si>
    <t>615207</t>
  </si>
  <si>
    <t>EXPLO,VANESSA,EST. 094 NW (GAL 150 SW),SPLIT CON M</t>
  </si>
  <si>
    <t>615208</t>
  </si>
  <si>
    <t>EXPLO,VANESSA,EST. 094 NW (GAL 150 SW),IZAJE Y DES</t>
  </si>
  <si>
    <t>615209</t>
  </si>
  <si>
    <t>EXPLO,VANESSA,EST. 094 NW (GAL 150 SW),PERFORACION</t>
  </si>
  <si>
    <t>615211</t>
  </si>
  <si>
    <t xml:space="preserve">EXPLO,VANESSA,EST. 089NW (GAL 150 SW),DESQUINCHE  </t>
  </si>
  <si>
    <t>615212</t>
  </si>
  <si>
    <t xml:space="preserve">EXPLO,VANESSA,EST. 089NW (GAL 150 SW),ENMADERADO  </t>
  </si>
  <si>
    <t>615213</t>
  </si>
  <si>
    <t xml:space="preserve">EXPLO,VANESSA,EST. 089NW (GAL 150 SW),LIMPIEZA    </t>
  </si>
  <si>
    <t>615214</t>
  </si>
  <si>
    <t xml:space="preserve">EXPLO,VANESSA,EST. 089NW (GAL 150 SW),SERVICIOS   </t>
  </si>
  <si>
    <t>615215</t>
  </si>
  <si>
    <t xml:space="preserve">EXPLO,VANESSA,EST. 089NW (GAL 150 SW),EXTRACCION  </t>
  </si>
  <si>
    <t>615216</t>
  </si>
  <si>
    <t xml:space="preserve">EXPLO,VANESSA,EST. 089NW (GAL 150 SW),SPLIT SET   </t>
  </si>
  <si>
    <t>615217</t>
  </si>
  <si>
    <t>EXPLO,VANESSA,EST. 089NW (GAL 150 SW),SPLIT CON MA</t>
  </si>
  <si>
    <t>615218</t>
  </si>
  <si>
    <t>EXPLO,VANESSA,EST. 089NW (GAL 150 SW),IZAJE Y DESC</t>
  </si>
  <si>
    <t>615219</t>
  </si>
  <si>
    <t xml:space="preserve">EXPLO,VANESSA,EST. 089NW (GAL 150 SW),PERFORACION </t>
  </si>
  <si>
    <t>622201</t>
  </si>
  <si>
    <t xml:space="preserve">PREPA,VANESSA,CH 107 (GAL 150 NE),DESQUINCHE      </t>
  </si>
  <si>
    <t>622202</t>
  </si>
  <si>
    <t xml:space="preserve">PREPA,VANESSA,CH 107 (GAL 150 NE),ENMADERADO      </t>
  </si>
  <si>
    <t>622203</t>
  </si>
  <si>
    <t xml:space="preserve">PREPA,VANESSA,CH 107 (GAL 150 NE),LIMPIEZA        </t>
  </si>
  <si>
    <t>622204</t>
  </si>
  <si>
    <t xml:space="preserve">PREPA,VANESSA,CH 107 (GAL 150 NE),SERVICIOS       </t>
  </si>
  <si>
    <t>622205</t>
  </si>
  <si>
    <t xml:space="preserve">PREPA,VANESSA,CH 107 (GAL 150 NE),EXTRACCION      </t>
  </si>
  <si>
    <t>622206</t>
  </si>
  <si>
    <t xml:space="preserve">PREPA,VANESSA,CH 107 (GAL 150 NE),SPLIT SET       </t>
  </si>
  <si>
    <t>622207</t>
  </si>
  <si>
    <t xml:space="preserve">PREPA,VANESSA,CH 107 (GAL 150 NE),SPLIT CON MALLA </t>
  </si>
  <si>
    <t>622208</t>
  </si>
  <si>
    <t>PREPA,VANESSA,CH 107 (GAL 150 NE),IZAJE Y DESCENSO</t>
  </si>
  <si>
    <t>622209</t>
  </si>
  <si>
    <t xml:space="preserve">PREPA,VANESSA,CH 107 (GAL 150 NE),PERFORACION     </t>
  </si>
  <si>
    <t>634391</t>
  </si>
  <si>
    <t xml:space="preserve">DESAR,VANESSA,SNV 123 SW (CH 107),DESQUINCHE      </t>
  </si>
  <si>
    <t>634392</t>
  </si>
  <si>
    <t xml:space="preserve">DESAR,VANESSA,SNV 123 SW (CH 107),ENMADERADO      </t>
  </si>
  <si>
    <t>634393</t>
  </si>
  <si>
    <t xml:space="preserve">DESAR,VANESSA,SNV 123 SW (CH 107),LIMPIEZA        </t>
  </si>
  <si>
    <t>634394</t>
  </si>
  <si>
    <t xml:space="preserve">DESAR,VANESSA,SNV 123 SW (CH 107),SERVICIOS       </t>
  </si>
  <si>
    <t>634395</t>
  </si>
  <si>
    <t xml:space="preserve">DESAR,VANESSA,SNV 123 SW (CH 107),EXTRACCION      </t>
  </si>
  <si>
    <t>634396</t>
  </si>
  <si>
    <t xml:space="preserve">DESAR,VANESSA,SNV 123 SW (CH 107),SPLIT SET       </t>
  </si>
  <si>
    <t>634397</t>
  </si>
  <si>
    <t xml:space="preserve">DESAR,VANESSA,SNV 123 SW (CH 107),SPLIT CON MALLA </t>
  </si>
  <si>
    <t>634398</t>
  </si>
  <si>
    <t>DESAR,VANESSA,SNV 123 SW (CH 107),IZAJE Y DESCENSO</t>
  </si>
  <si>
    <t>634399</t>
  </si>
  <si>
    <t xml:space="preserve">DESAR,VANESSA,SNV 123 SW (CH 107),PERFORACION     </t>
  </si>
  <si>
    <t>634401</t>
  </si>
  <si>
    <t xml:space="preserve">DESAR,VANESSA,SNV 123 NE (CH 107),DESQUINCHE      </t>
  </si>
  <si>
    <t>634402</t>
  </si>
  <si>
    <t xml:space="preserve">DESAR,VANESSA,SNV 123 NE (CH 107),ENMADERADO      </t>
  </si>
  <si>
    <t>634403</t>
  </si>
  <si>
    <t xml:space="preserve">DESAR,VANESSA,SNV 123 NE (CH 107),LIMPIEZA        </t>
  </si>
  <si>
    <t>634404</t>
  </si>
  <si>
    <t xml:space="preserve">DESAR,VANESSA,SNV 123 NE (CH 107),SERVICIOS       </t>
  </si>
  <si>
    <t>634405</t>
  </si>
  <si>
    <t xml:space="preserve">DESAR,VANESSA,SNV 123 NE (CH 107),EXTRACCION      </t>
  </si>
  <si>
    <t>634406</t>
  </si>
  <si>
    <t xml:space="preserve">DESAR,VANESSA,SNV 123 NE (CH 107),SPLIT SET       </t>
  </si>
  <si>
    <t>634407</t>
  </si>
  <si>
    <t xml:space="preserve">DESAR,VANESSA,SNV 123 NE (CH 107),SPLIT CON MALLA </t>
  </si>
  <si>
    <t>634408</t>
  </si>
  <si>
    <t>DESAR,VANESSA,SNV 123 NE (CH 107),IZAJE Y DESCENSO</t>
  </si>
  <si>
    <t>634409</t>
  </si>
  <si>
    <t xml:space="preserve">DESAR,VANESSA,SNV 123 NE (CH 107),PERFORACION     </t>
  </si>
  <si>
    <t>645221</t>
  </si>
  <si>
    <t xml:space="preserve">OPERA,VANESSA,EST. 088 SE (GAL 150 SW),DESQUINCHE </t>
  </si>
  <si>
    <t>645222</t>
  </si>
  <si>
    <t xml:space="preserve">OPERA,VANESSA,EST. 088 SE (GAL 150 SW),ENMADERADO </t>
  </si>
  <si>
    <t>645223</t>
  </si>
  <si>
    <t xml:space="preserve">OPERA,VANESSA,EST. 088 SE (GAL 150 SW),LIMPIEZA   </t>
  </si>
  <si>
    <t>645224</t>
  </si>
  <si>
    <t xml:space="preserve">OPERA,VANESSA,EST. 088 SE (GAL 150 SW),SERVICIOS  </t>
  </si>
  <si>
    <t>645225</t>
  </si>
  <si>
    <t xml:space="preserve">OPERA,VANESSA,EST. 088 SE (GAL 150 SW),EXTRACCION </t>
  </si>
  <si>
    <t>645226</t>
  </si>
  <si>
    <t xml:space="preserve">OPERA,VANESSA,EST. 088 SE (GAL 150 SW),SPLIT SET  </t>
  </si>
  <si>
    <t>645227</t>
  </si>
  <si>
    <t>OPERA,VANESSA,EST. 088 SE (GAL 150 SW),SPLIT CON M</t>
  </si>
  <si>
    <t>645228</t>
  </si>
  <si>
    <t>OPERA,VANESSA,EST. 088 SE (GAL 150 SW),IZAJE Y DES</t>
  </si>
  <si>
    <t>645229</t>
  </si>
  <si>
    <t>OPERA,VANESSA,EST. 088 SE (GAL 150 SW),PERFORACION</t>
  </si>
  <si>
    <t>653211</t>
  </si>
  <si>
    <t xml:space="preserve">PRODU,VANESSA,TJ 125 NE (CH 125),DESQUINCHE       </t>
  </si>
  <si>
    <t>653212</t>
  </si>
  <si>
    <t xml:space="preserve">PRODU,VANESSA,TJ 125 NE (CH 125),ENMADERADO       </t>
  </si>
  <si>
    <t>653213</t>
  </si>
  <si>
    <t xml:space="preserve">PRODU,VANESSA,TJ 125 NE (CH 125),LIMPIEZA         </t>
  </si>
  <si>
    <t>653214</t>
  </si>
  <si>
    <t xml:space="preserve">PRODU,VANESSA,TJ 125 NE (CH 125),SERVICIOS        </t>
  </si>
  <si>
    <t>653215</t>
  </si>
  <si>
    <t xml:space="preserve">PRODU,VANESSA,TJ 125 NE (CH 125),EXTRACCION       </t>
  </si>
  <si>
    <t>653216</t>
  </si>
  <si>
    <t xml:space="preserve">PRODU,VANESSA,TJ 125 NE (CH 125),SPLIT SET        </t>
  </si>
  <si>
    <t>653217</t>
  </si>
  <si>
    <t xml:space="preserve">PRODU,VANESSA,TJ 125 NE (CH 125),SPLIT CON MALLA  </t>
  </si>
  <si>
    <t>653218</t>
  </si>
  <si>
    <t xml:space="preserve">PRODU,VANESSA,TJ 125 NE (CH 125),IZAJE Y DESCENSO </t>
  </si>
  <si>
    <t>653219</t>
  </si>
  <si>
    <t xml:space="preserve">PRODU,VANESSA,TJ 125 NE (CH 125),PERFORACION      </t>
  </si>
  <si>
    <t>653221</t>
  </si>
  <si>
    <t xml:space="preserve">PRODU,VANESSA,TJ 125 SW (CH 125),DESQUINCHE       </t>
  </si>
  <si>
    <t>653222</t>
  </si>
  <si>
    <t xml:space="preserve">PRODU,VANESSA,TJ 125 SW (CH 125),ENMADERADO       </t>
  </si>
  <si>
    <t>653223</t>
  </si>
  <si>
    <t xml:space="preserve">PRODU,VANESSA,TJ 125 SW (CH 125),LIMPIEZA         </t>
  </si>
  <si>
    <t>653224</t>
  </si>
  <si>
    <t xml:space="preserve">PRODU,VANESSA,TJ 125 SW (CH 125),SERVICIOS        </t>
  </si>
  <si>
    <t>653225</t>
  </si>
  <si>
    <t xml:space="preserve">PRODU,VANESSA,TJ 125 SW (CH 125),EXTRACCION       </t>
  </si>
  <si>
    <t>653226</t>
  </si>
  <si>
    <t xml:space="preserve">PRODU,VANESSA,TJ 125 SW (CH 125),SPLIT SET        </t>
  </si>
  <si>
    <t>653227</t>
  </si>
  <si>
    <t xml:space="preserve">PRODU,VANESSA,TJ 125 SW (CH 125),SPLIT CON MALLA  </t>
  </si>
  <si>
    <t>653228</t>
  </si>
  <si>
    <t xml:space="preserve">PRODU,VANESSA,TJ 125 SW (CH 125),IZAJE Y DESCENSO </t>
  </si>
  <si>
    <t>653229</t>
  </si>
  <si>
    <t xml:space="preserve">PRODU,VANESSA,TJ 125 SW (CH 125),PERFORACION      </t>
  </si>
  <si>
    <t>653241</t>
  </si>
  <si>
    <t xml:space="preserve">PRODU,VANESSA,TJ 150 (GAL 150 NE),DESQUINCHE      </t>
  </si>
  <si>
    <t>653242</t>
  </si>
  <si>
    <t xml:space="preserve">PRODU,VANESSA,TJ 150 (GAL 150 NE),ENMADERADO      </t>
  </si>
  <si>
    <t>653243</t>
  </si>
  <si>
    <t xml:space="preserve">PRODU,VANESSA,TJ 150 (GAL 150 NE),LIMPIEZA        </t>
  </si>
  <si>
    <t>653244</t>
  </si>
  <si>
    <t xml:space="preserve">PRODU,VANESSA,TJ 150 (GAL 150 NE),SERVICIOS       </t>
  </si>
  <si>
    <t>653245</t>
  </si>
  <si>
    <t xml:space="preserve">PRODU,VANESSA,TJ 150 (GAL 150 NE),EXTRACCION      </t>
  </si>
  <si>
    <t>653246</t>
  </si>
  <si>
    <t xml:space="preserve">PRODU,VANESSA,TJ 150 (GAL 150 NE),SPLIT SET       </t>
  </si>
  <si>
    <t>653247</t>
  </si>
  <si>
    <t xml:space="preserve">PRODU,VANESSA,TJ 150 (GAL 150 NE),SPLIT CON MALLA </t>
  </si>
  <si>
    <t>653248</t>
  </si>
  <si>
    <t>PRODU,VANESSA,TJ 150 (GAL 150 NE),IZAJE Y DESCENSO</t>
  </si>
  <si>
    <t>653249</t>
  </si>
  <si>
    <t xml:space="preserve">PRODU,VANESSA,TJ 150 (GAL 150 NE),PERFORACION     </t>
  </si>
  <si>
    <t>11002A</t>
  </si>
  <si>
    <t xml:space="preserve">EXPLOR,ESPERANZA,GA 170 NE Cx.128 NE,VOLADURA     </t>
  </si>
  <si>
    <t>11002B</t>
  </si>
  <si>
    <t xml:space="preserve">EXPLOR,ESPERANZA,GA 170 NE Cx.128 NE,CAMINOS      </t>
  </si>
  <si>
    <t>11002C</t>
  </si>
  <si>
    <t>EXPLOR,ESPERANZA,GA 170 NE Cx.128 NE,INSTAL. RIELE</t>
  </si>
  <si>
    <t>11002D</t>
  </si>
  <si>
    <t xml:space="preserve">EXPLOR,ESPERANZA,GA 170 NE Cx.128 NE,REHABILIT DE </t>
  </si>
  <si>
    <t>11101A</t>
  </si>
  <si>
    <t xml:space="preserve">EXPL , ESPERANZA , Cx.128 NE_GL.028 NE , VOLADURA </t>
  </si>
  <si>
    <t>11101B</t>
  </si>
  <si>
    <t xml:space="preserve">EXPL , ESPERANZA , Cx.128 NE_GL.028 NE , CAMINOS  </t>
  </si>
  <si>
    <t>11101C</t>
  </si>
  <si>
    <t>EXPL , ESPERANZA , Cx.128 NE_GL.028 NE , INSTAL.RI</t>
  </si>
  <si>
    <t>11101D</t>
  </si>
  <si>
    <t>EXPL , ESPERANZA , Cx.128 NE_GL.028 NE , REHABILIT</t>
  </si>
  <si>
    <t>11201A</t>
  </si>
  <si>
    <t xml:space="preserve">EXPL , ESPERANZA , CH.045_SN 095-1 SW , VOLADURA  </t>
  </si>
  <si>
    <t>11201B</t>
  </si>
  <si>
    <t xml:space="preserve">EXPL , ESPERANZA , CH.045_SN 095-1 SW , CAMINOS   </t>
  </si>
  <si>
    <t>11201C</t>
  </si>
  <si>
    <t>EXPL , ESPERANZA , CH.045_SN 095-1 SW , INSTAL.RIE</t>
  </si>
  <si>
    <t>11201D</t>
  </si>
  <si>
    <t>EXPL , ESPERANZA , CH.045_SN 095-1 SW , REHABILIT.</t>
  </si>
  <si>
    <t>11205A</t>
  </si>
  <si>
    <t>EXPLOR , ESPERANZA , CH. 025  SNv.039-SW , VOLADUR</t>
  </si>
  <si>
    <t>11205B</t>
  </si>
  <si>
    <t>EXPLOR , ESPERANZA , CH. 025  SNv.039-SW , CAMINOS</t>
  </si>
  <si>
    <t>11205C</t>
  </si>
  <si>
    <t xml:space="preserve">EXPLOR , ESPERANZA,CH.025 SNv.039-SW, INSTALAC DE </t>
  </si>
  <si>
    <t>11205D</t>
  </si>
  <si>
    <t xml:space="preserve">EXPLOR, ESPERANZ,CH.025 SNv.039-SW , REHABILIT DE </t>
  </si>
  <si>
    <t>11209A</t>
  </si>
  <si>
    <t xml:space="preserve">EXPLOR,ESPERANZA,CH 580 -1 TJ 580 NE,VOLADURA     </t>
  </si>
  <si>
    <t>11209B</t>
  </si>
  <si>
    <t xml:space="preserve">EXPLOR,ESPERANZA,CH 580 -1 TJ 580 NE,CAMINOS      </t>
  </si>
  <si>
    <t>11209C</t>
  </si>
  <si>
    <t>EXPLOR,ESPERANZA,CH 580 -1 TJ 580 NE,INST DE RIELE</t>
  </si>
  <si>
    <t>11209D</t>
  </si>
  <si>
    <t>EXPLOR,ESPERANZA,CH 580 -1 TJ 580 NE,REHAB DE LABO</t>
  </si>
  <si>
    <t>11401A</t>
  </si>
  <si>
    <t>11401B</t>
  </si>
  <si>
    <t>11401C</t>
  </si>
  <si>
    <t>EXPLOR, ESPERANZ, Snv.095-1-SW_Est.095-1SW, INSTAL</t>
  </si>
  <si>
    <t>11401D</t>
  </si>
  <si>
    <t>EXPLOR ,ESPERANZ,Snv.095-1-SW_Est.095-1SW,REHABILI</t>
  </si>
  <si>
    <t>11402A</t>
  </si>
  <si>
    <t>EXPLOR , ESPERANZA , SN.039-SW Est. 039 SW , VOLAD</t>
  </si>
  <si>
    <t>11402B</t>
  </si>
  <si>
    <t>EXPLOR , ESPERANZA , SN.039-SW Est. 039 SW , CAMIN</t>
  </si>
  <si>
    <t>11402C</t>
  </si>
  <si>
    <t xml:space="preserve">EXPLOR , ESPERANZA , SN.039-SW Est. 039 SW , INST </t>
  </si>
  <si>
    <t>11402D</t>
  </si>
  <si>
    <t>EXPLOR ,ESPERANZ, SN.039-SW Est.039 SW , REHABILIT</t>
  </si>
  <si>
    <t>11410A</t>
  </si>
  <si>
    <t xml:space="preserve">EXPLOR,ESPERANZA,SNv.580-4SW CH 580,VOLADURA      </t>
  </si>
  <si>
    <t>11410B</t>
  </si>
  <si>
    <t xml:space="preserve">EXPLOR,ESPERANZA,SNv.580-4SW CH 580,CAMINOS       </t>
  </si>
  <si>
    <t>11410C</t>
  </si>
  <si>
    <t>EXPLOR,ESPERANZA,SNv.580-4SW CH 580,INST. DE RIELE</t>
  </si>
  <si>
    <t>11410D</t>
  </si>
  <si>
    <t>EXPLOR,ESPERANZA,SNv.580-4SW CH 580,REHAB DE LABOR</t>
  </si>
  <si>
    <t>11413A</t>
  </si>
  <si>
    <t xml:space="preserve">EXPLOR,ESPERANZA,SNV 095 NE EST 095 NE,VOLADURA   </t>
  </si>
  <si>
    <t>11413B</t>
  </si>
  <si>
    <t xml:space="preserve">EXPLOR,ESPERANZA,SNV 095 NE EST 095 NE,CAMINOS    </t>
  </si>
  <si>
    <t>11413C</t>
  </si>
  <si>
    <t>EXPLOR,ESPERANZA,SNV 095 NE EST 095 NE,INST. DE RI</t>
  </si>
  <si>
    <t>11413D</t>
  </si>
  <si>
    <t>EXPLOR,ESPERANZA,SNV 095 NE EST 095 NE,REHAB DE LA</t>
  </si>
  <si>
    <t>11417A</t>
  </si>
  <si>
    <t xml:space="preserve">EXPLOR,ESPERANZA,SNV 100-S CH 100,VOLADURA        </t>
  </si>
  <si>
    <t>11417B</t>
  </si>
  <si>
    <t xml:space="preserve">EXPLOR,ESPERANZA,SNV 100-S CH 100,CAMINOS         </t>
  </si>
  <si>
    <t>11417C</t>
  </si>
  <si>
    <t xml:space="preserve">EXPLOR,ESPERANZA,SNV 100-S CH 100,INST.DE RIELES  </t>
  </si>
  <si>
    <t>11417D</t>
  </si>
  <si>
    <t>EXPLOR,ESPERANZA,SNV 100-S CH 100,REHAB DE LABORES</t>
  </si>
  <si>
    <t>11417E</t>
  </si>
  <si>
    <t xml:space="preserve">EXPLOR,ESPERANZA,SNV 100-S CH 100,CICLO COMPLETO  </t>
  </si>
  <si>
    <t>11418A</t>
  </si>
  <si>
    <t xml:space="preserve">EXPLOR,ESPERANZA,SNV 100-N CH 100,VOLADURA        </t>
  </si>
  <si>
    <t>11418B</t>
  </si>
  <si>
    <t xml:space="preserve">EXPLOR,ESPERANZA,SNV 100-N CH 100,CAMINOS         </t>
  </si>
  <si>
    <t>11418C</t>
  </si>
  <si>
    <t xml:space="preserve">EXPLOR,ESPERANZA,SNV 100-N CH 100,INST.DE RIELES  </t>
  </si>
  <si>
    <t>11418D</t>
  </si>
  <si>
    <t>EXPLOR,ESPERANZA,SNV 100-N CH 100,REHAB DE LABORES</t>
  </si>
  <si>
    <t>11418E</t>
  </si>
  <si>
    <t xml:space="preserve">EXPLOR,ESPERANZA,SNV 100-N CH 100,CICLO COMPLETO  </t>
  </si>
  <si>
    <t>11419A</t>
  </si>
  <si>
    <t xml:space="preserve">EXPLOR,ESPERANZA,SNV 150-S CH 100,VOLADURA        </t>
  </si>
  <si>
    <t>11419B</t>
  </si>
  <si>
    <t xml:space="preserve">EXPLOR,ESPERANZA,SNV 150-S CH 100,CAMINOS         </t>
  </si>
  <si>
    <t>11419C</t>
  </si>
  <si>
    <t xml:space="preserve">EXPLOR,ESPERANZA,SNV 150-S CH 100,INST.DE RIELES  </t>
  </si>
  <si>
    <t>11419D</t>
  </si>
  <si>
    <t>EXPLOR,ESPERANZA,SNV 150-S CH 100,REHAB DE LABORES</t>
  </si>
  <si>
    <t>11419E</t>
  </si>
  <si>
    <t xml:space="preserve">EXPLOR,ESPERANZA,SNV 150-S CH 100,CICLO COMPLETO  </t>
  </si>
  <si>
    <t>11420A</t>
  </si>
  <si>
    <t xml:space="preserve">EXPLOR,ESPERANZA,SNV 150-N CH 100,VOLADURA        </t>
  </si>
  <si>
    <t>11420B</t>
  </si>
  <si>
    <t xml:space="preserve">EXPLOR,ESPERANZA,SNV 150-N CH 100,CAMINOS         </t>
  </si>
  <si>
    <t>11420C</t>
  </si>
  <si>
    <t xml:space="preserve">EXPLOR,ESPERANZA,SNV 150-N CH 100,INST.DE RIELES  </t>
  </si>
  <si>
    <t>11420D</t>
  </si>
  <si>
    <t>EXPLOR,ESPERANZA,SNV 150-N CH 100,REHAB DE LABORES</t>
  </si>
  <si>
    <t>11420E</t>
  </si>
  <si>
    <t xml:space="preserve">EXPLOR,ESPERANZA,SNV 150-N CH 100,CICLO COMPLETO  </t>
  </si>
  <si>
    <t>11422A</t>
  </si>
  <si>
    <t xml:space="preserve">EXPLOR,ESPERANZA,SNv 095 NE EST 077 NE,VOLADURA   </t>
  </si>
  <si>
    <t>11422B</t>
  </si>
  <si>
    <t xml:space="preserve">EXPLOR,ESPERANZA,SNv 095 NE EST 077 NE,CAMINOS    </t>
  </si>
  <si>
    <t>11422C</t>
  </si>
  <si>
    <t>EXPLOR,ESPERANZA,SNv 095 NE EST 077 NE,INST.DE RIE</t>
  </si>
  <si>
    <t>11422D</t>
  </si>
  <si>
    <t>EXPLOR,ESPERANZA,SNv 095 NE EST 077 NE,REHAB DE LA</t>
  </si>
  <si>
    <t>11422E</t>
  </si>
  <si>
    <t>EXPLOR,ESPERANZA,SNv 095 NE EST 077 NE,CICLO COMPL</t>
  </si>
  <si>
    <t>11502A</t>
  </si>
  <si>
    <t>EXPL , ESPERANZA , Est.039-SW_Snv.095-1-SW , VOLAD</t>
  </si>
  <si>
    <t>11502B</t>
  </si>
  <si>
    <t>EXPL , ESPERANZA , Est.039-SW_Snv.095-1-SW , CAMIN</t>
  </si>
  <si>
    <t>11502C</t>
  </si>
  <si>
    <t>EXPL , ESPERANZA , Est.039-SW_Snv.095-1-SW , INSTA</t>
  </si>
  <si>
    <t>11502D</t>
  </si>
  <si>
    <t>EXPL, ESPERANZA,Est.039-SW_Snv.095-1-SW,REHABILIT.</t>
  </si>
  <si>
    <t>12301A</t>
  </si>
  <si>
    <t xml:space="preserve">PRODUC , ESPERANZA , TJ 580 -3 NE , VOLADURA      </t>
  </si>
  <si>
    <t>12301B</t>
  </si>
  <si>
    <t xml:space="preserve">PRODUC , ESPERANZA , TJ 580 -3 NE , CAMINOS       </t>
  </si>
  <si>
    <t>12301C</t>
  </si>
  <si>
    <t>PRODUC , ESPERANZA , TJ 580 -3 NE , INSTALACION DE</t>
  </si>
  <si>
    <t>12301D</t>
  </si>
  <si>
    <t>PRODUC , ESPERANZA , TJ 580-3 NE , REHABILIT DE LA</t>
  </si>
  <si>
    <t>12303A</t>
  </si>
  <si>
    <t>PRODUC , ESPERANZA , TJ 605 NE    P-3,4 , VOLADURA</t>
  </si>
  <si>
    <t>12303B</t>
  </si>
  <si>
    <t xml:space="preserve">PRODUC , ESPERANZA , TJ 605 NE    P-3,4 , CAMINOS </t>
  </si>
  <si>
    <t>12303C</t>
  </si>
  <si>
    <t xml:space="preserve">PRODUC , ESPERANZA , TJ 605 NE    P-3,4 , INST DE </t>
  </si>
  <si>
    <t>12303D</t>
  </si>
  <si>
    <t>PRODUC , ESPERANZ, TJ 605 NE P-3,4, REHABILIT DE L</t>
  </si>
  <si>
    <t>12304A</t>
  </si>
  <si>
    <t xml:space="preserve">PRODUC , ESPERANZA , TJ 605 SW   P-3,4 , VOLADURA </t>
  </si>
  <si>
    <t>12304B</t>
  </si>
  <si>
    <t xml:space="preserve">PRODUC , ESPERANZA , TJ 605 SW   P-3,4 , CAMINOS  </t>
  </si>
  <si>
    <t>12304C</t>
  </si>
  <si>
    <t>PRODUC , ESPERANZA , TJ 605 SW P-3,4 , INSTAL DE R</t>
  </si>
  <si>
    <t>12304D</t>
  </si>
  <si>
    <t>PRODUC , ESPERANZA ,TJ 605 SW P-3,4 , REHABILIT DE</t>
  </si>
  <si>
    <t>12305A</t>
  </si>
  <si>
    <t xml:space="preserve">PRODUC , ESPERANZA , TJ 610 SW , VOLADURA         </t>
  </si>
  <si>
    <t>12305B</t>
  </si>
  <si>
    <t xml:space="preserve">PRODUC , ESPERANZA , TJ 610 SW , CAMINOS          </t>
  </si>
  <si>
    <t>12305C</t>
  </si>
  <si>
    <t>PRODUC , ESPERANZA , TJ 610 SW , INSTALACION DE RI</t>
  </si>
  <si>
    <t>12305D</t>
  </si>
  <si>
    <t>PRODUC , ESPERANZA , TJ 610 SW , REHABILIT DE LABO</t>
  </si>
  <si>
    <t>12306A</t>
  </si>
  <si>
    <t xml:space="preserve">PRODUC , ESPERANZA , TJ 616 SW , VOLADURA         </t>
  </si>
  <si>
    <t>12306B</t>
  </si>
  <si>
    <t xml:space="preserve">PRODUC , ESPERANZA , TJ 616 SW , CAMINOS          </t>
  </si>
  <si>
    <t>12306C</t>
  </si>
  <si>
    <t>PRODUC , ESPERANZA , TJ 616 SW , INSTALACION DE RI</t>
  </si>
  <si>
    <t>12306D</t>
  </si>
  <si>
    <t>PRODUC , ESPERANZA , TJ 616 SW , REHABILIT DE LABO</t>
  </si>
  <si>
    <t>12307A</t>
  </si>
  <si>
    <t xml:space="preserve">PRODUC , ESPERANZA , TJ 299 -3 NE , VOLADURA      </t>
  </si>
  <si>
    <t>12307B</t>
  </si>
  <si>
    <t xml:space="preserve">PRODUC , ESPERANZA , TJ 299 -3 NE , CAMINOS       </t>
  </si>
  <si>
    <t>12307C</t>
  </si>
  <si>
    <t>PRODUC , ESPERANZA , TJ 299 -3 NE , INSTALACION DE</t>
  </si>
  <si>
    <t>12307D</t>
  </si>
  <si>
    <t>PRODUC , ESPERANZA , TJ 299 -3NE,REHABILIT DE LABO</t>
  </si>
  <si>
    <t>12434A</t>
  </si>
  <si>
    <t xml:space="preserve">PREPA,ESPERANZA,SNV 070 NE  CH 078,VOLADURA       </t>
  </si>
  <si>
    <t>12434B</t>
  </si>
  <si>
    <t xml:space="preserve">PREPA,ESPERANZA,SNV 070 NE  CH 078,CAMINOS        </t>
  </si>
  <si>
    <t>12434C</t>
  </si>
  <si>
    <t xml:space="preserve">PREPA,ESPERANZA,SNV 070 NE  CH 078,INST.DE RIELES </t>
  </si>
  <si>
    <t>12434D</t>
  </si>
  <si>
    <t>PREPA,ESPERANZA,SNV 070 NE  CH 078,REHAB DE LABORE</t>
  </si>
  <si>
    <t>12434E</t>
  </si>
  <si>
    <t xml:space="preserve">PREPA,ESPERANZA,SNV 070 NE  CH 078,CICLO COMPLETO </t>
  </si>
  <si>
    <t>13209A</t>
  </si>
  <si>
    <t xml:space="preserve">DESARR,ESPERANZA,CH 580 -1 TJ 580 NE,VOLADURA     </t>
  </si>
  <si>
    <t>13209B</t>
  </si>
  <si>
    <t xml:space="preserve">DESARR,ESPERANZA,CH 580 -1 TJ 580 NE,CAMINOS      </t>
  </si>
  <si>
    <t>13209C</t>
  </si>
  <si>
    <t>DESARR,ESPERANZA,CH 580 -1 TJ 580 NE,INST. DE RIEL</t>
  </si>
  <si>
    <t>13209D</t>
  </si>
  <si>
    <t>DESARR,ESPERANZA,CH 580 -1 TJ 580 NE,REHAB DE LABO</t>
  </si>
  <si>
    <t>13211A</t>
  </si>
  <si>
    <t xml:space="preserve">DESARR,ESPERANZA,CH 105 SNV 095 NE,VOLADURA       </t>
  </si>
  <si>
    <t>13211B</t>
  </si>
  <si>
    <t xml:space="preserve">DESARR,ESPERANZA,CH 105 SNV 095 NE,CAMINOS        </t>
  </si>
  <si>
    <t>13211C</t>
  </si>
  <si>
    <t xml:space="preserve">DESARR,ESPERANZA,CH 105 SNV 095 NE,INSTALACION DE </t>
  </si>
  <si>
    <t>13211D</t>
  </si>
  <si>
    <t>DESARR,ESPERANZA,CH 105 SNV 095 NE,REHAB DE LABORE</t>
  </si>
  <si>
    <t>13401A</t>
  </si>
  <si>
    <t>DESA , ESPERANZA , Snv. 095-1-SW_Est. 095-1 SW , V</t>
  </si>
  <si>
    <t>13401B</t>
  </si>
  <si>
    <t>DESA , ESPERANZA , Snv. 095-1-SW_Est. 095-1 SW , C</t>
  </si>
  <si>
    <t>13401C</t>
  </si>
  <si>
    <t>DESA , ESPERANZA, Snv. 095-1-SW_Est. 095-1 SW, INS</t>
  </si>
  <si>
    <t>13401D</t>
  </si>
  <si>
    <t>DESA , ESPERANZ, Snv. 095-1-SW_Est. 095-1 SW , REH</t>
  </si>
  <si>
    <t>13402A</t>
  </si>
  <si>
    <t>DESARR , ESPERANZA , SN.039-SW Est. 039 SW , VOLAD</t>
  </si>
  <si>
    <t>13402B</t>
  </si>
  <si>
    <t>DESARR , ESPERANZA , SN.039-SW Est. 039 SW , CAMIN</t>
  </si>
  <si>
    <t>13402C</t>
  </si>
  <si>
    <t xml:space="preserve">DESARR , ESPERANZA , SN.039-SW Est. 039 SW , INST </t>
  </si>
  <si>
    <t>13402D</t>
  </si>
  <si>
    <t>DESARR , ESPERANZA ,SN.039-SW Est.039 SW, REHAB DE</t>
  </si>
  <si>
    <t>13412A</t>
  </si>
  <si>
    <t xml:space="preserve">DESARR,ESPERANZA,SNV 590 N CH 616,VOLADURA        </t>
  </si>
  <si>
    <t>13412B</t>
  </si>
  <si>
    <t xml:space="preserve">DESARR,ESPERANZA,SNV 590 N CH 616,CAMINOS         </t>
  </si>
  <si>
    <t>13412C</t>
  </si>
  <si>
    <t xml:space="preserve">DESARR,ESPERANZA,SNV 590 N CH 616,INST. DE RIELES </t>
  </si>
  <si>
    <t>13412D</t>
  </si>
  <si>
    <t>DESARR,ESPERANZA,SNV 590 N CH 616,REHAB DE LABORES</t>
  </si>
  <si>
    <t>13423A</t>
  </si>
  <si>
    <t xml:space="preserve">DESAR,ESPERANZA,SNv.616-3-SW_CH.616 ,VOLADURA     </t>
  </si>
  <si>
    <t>13423B</t>
  </si>
  <si>
    <t xml:space="preserve">DESAR,ESPERANZA,SNv.616-3-SW_CH.616 ,CAMINOS      </t>
  </si>
  <si>
    <t>13423C</t>
  </si>
  <si>
    <t>DESAR,ESPERANZA,SNv.616-3-SW_CH.616 ,INST.DE RIELE</t>
  </si>
  <si>
    <t>13423D</t>
  </si>
  <si>
    <t>DESAR,ESPERANZA,SNv.616-3-SW_CH.616 ,REHAB DE LABO</t>
  </si>
  <si>
    <t>13423E</t>
  </si>
  <si>
    <t>DESAR,ESPERANZA,SNv.616-3-SW_CH.616 ,CICLO COMPLET</t>
  </si>
  <si>
    <t>13424A</t>
  </si>
  <si>
    <t xml:space="preserve">DESAR,ESPERANZA,SNv.616-3-NE_CH.616,VOLADURA      </t>
  </si>
  <si>
    <t>13424B</t>
  </si>
  <si>
    <t xml:space="preserve">DESAR,ESPERANZA,SNv.616-3-NE_CH.616,CAMINOS       </t>
  </si>
  <si>
    <t>13424C</t>
  </si>
  <si>
    <t>DESAR,ESPERANZA,SNv.616-3-NE_CH.616,INST.DE RIELES</t>
  </si>
  <si>
    <t>13424D</t>
  </si>
  <si>
    <t>DESAR,ESPERANZA,SNv.616-3-NE_CH.616,REHAB DE LABOR</t>
  </si>
  <si>
    <t>13424E</t>
  </si>
  <si>
    <t>DESAR,ESPERANZA,SNv.616-3-NE_CH.616,CICLO COMPLETO</t>
  </si>
  <si>
    <t>13430A</t>
  </si>
  <si>
    <t xml:space="preserve">DESAR,ESPERANZA,SNV 076 SW  CH 078,VOLADURA       </t>
  </si>
  <si>
    <t>13430B</t>
  </si>
  <si>
    <t xml:space="preserve">DESAR,ESPERANZA,SNV 076 SW  CH 078,CAMINOS        </t>
  </si>
  <si>
    <t>13430C</t>
  </si>
  <si>
    <t xml:space="preserve">DESAR,ESPERANZA,SNV 076 SW  CH 078,INST.DE RIELES </t>
  </si>
  <si>
    <t>13430D</t>
  </si>
  <si>
    <t>DESAR,ESPERANZA,SNV 076 SW  CH 078,REHAB DE LABORE</t>
  </si>
  <si>
    <t>13430E</t>
  </si>
  <si>
    <t xml:space="preserve">DESAR,ESPERANZA,SNV 076 SW  CH 078,CICLO COMPLETO </t>
  </si>
  <si>
    <t>13431A</t>
  </si>
  <si>
    <t xml:space="preserve">DESAR,ESPERANZA,SNV 076 NE  CH 078,VOLADURA       </t>
  </si>
  <si>
    <t>13431B</t>
  </si>
  <si>
    <t xml:space="preserve">DESAR,ESPERANZA,SNV 076 NE  CH 078,CAMINOS        </t>
  </si>
  <si>
    <t>13431C</t>
  </si>
  <si>
    <t xml:space="preserve">DESAR,ESPERANZA,SNV 076 NE  CH 078,INST.DE RIELES </t>
  </si>
  <si>
    <t>13431D</t>
  </si>
  <si>
    <t>DESAR,ESPERANZA,SNV 076 NE  CH 078,REHAB DE LABORE</t>
  </si>
  <si>
    <t>13431E</t>
  </si>
  <si>
    <t xml:space="preserve">DESAR,ESPERANZA,SNV 076 NE  CH 078,CICLO COMPLETO </t>
  </si>
  <si>
    <t>13512A</t>
  </si>
  <si>
    <t xml:space="preserve">DESARR,ESPERANZA,EST 164 NW CX 128 NE,VOLADURA    </t>
  </si>
  <si>
    <t>13512B</t>
  </si>
  <si>
    <t xml:space="preserve">DESARR,ESPERANZA,EST 164 NW CX 128 NE,CAMINOS     </t>
  </si>
  <si>
    <t>13512C</t>
  </si>
  <si>
    <t xml:space="preserve">DESARR,ESPERANZA,EST 164 NW CX 128 NE,INSTALACION </t>
  </si>
  <si>
    <t>13512D</t>
  </si>
  <si>
    <t>DESARR,ESPERANZA,EST 164 NW CX 128 NE,REHAB DE LAB</t>
  </si>
  <si>
    <t>14101A</t>
  </si>
  <si>
    <t xml:space="preserve">OPER , ESPERANZA , Cx.128 NE_GL.028 NE , VOLADURA </t>
  </si>
  <si>
    <t>14101B</t>
  </si>
  <si>
    <t xml:space="preserve">OPER , ESPERANZA , Cx.128 NE_GL.028 NE , CAMINOS  </t>
  </si>
  <si>
    <t>14101C</t>
  </si>
  <si>
    <t>OPER , ESPERANZA , Cx.128 NE_GL.028 NE , INSTAL.RI</t>
  </si>
  <si>
    <t>14101D</t>
  </si>
  <si>
    <t>OPER , ESPERANZA , Cx.128 NE_GL.028 NE , REHABILIT</t>
  </si>
  <si>
    <t>14441A</t>
  </si>
  <si>
    <t xml:space="preserve">OPERA,ESPERANZA,SNV 590 SW (CH 610),VOLADURA      </t>
  </si>
  <si>
    <t>14441B</t>
  </si>
  <si>
    <t xml:space="preserve">OPERA,ESPERANZA,SNV 590 SW (CH 610),CAMINOS       </t>
  </si>
  <si>
    <t>14441C</t>
  </si>
  <si>
    <t>OPERA,ESPERANZA,SNV 590 SW (CH 610),INST.DE RIELES</t>
  </si>
  <si>
    <t>14441D</t>
  </si>
  <si>
    <t>OPERA,ESPERANZA,SNV 590 SW (CH 610),REHAB DE LABOR</t>
  </si>
  <si>
    <t>14441E</t>
  </si>
  <si>
    <t>OPERA,ESPERANZA,SNV 590 SW (CH 610),CICLO COMPLETO</t>
  </si>
  <si>
    <t>14501A</t>
  </si>
  <si>
    <t>OPERAC , ESPERANZA , Est. 140-NW_Cx. 128-NE , VOLA</t>
  </si>
  <si>
    <t>14501B</t>
  </si>
  <si>
    <t>OPERAC , ESPERANZA , Est. 140-NW_Cx. 128-NE , CAMI</t>
  </si>
  <si>
    <t>14501C</t>
  </si>
  <si>
    <t>OPERAC,ESPERANZA,Est.140-NW_Cx. 128-NE,INST DE RIE</t>
  </si>
  <si>
    <t>14501D</t>
  </si>
  <si>
    <t xml:space="preserve">OPERAC , ESPERANZ,Est.140-NW_Cx.128-NE, REHABILIT </t>
  </si>
  <si>
    <t>14505A</t>
  </si>
  <si>
    <t>OPERAC , ESPERANZA , Est. 095-1 SW SN. 095 SW , VO</t>
  </si>
  <si>
    <t>14505B</t>
  </si>
  <si>
    <t>OPERAC , ESPERANZA , Est. 095-1 SW SN. 095 SW , CA</t>
  </si>
  <si>
    <t>14505C</t>
  </si>
  <si>
    <t>OPERAC , ESPERANZA , Est.095-1SW SN.095 SW,INST DE</t>
  </si>
  <si>
    <t>14505D</t>
  </si>
  <si>
    <t>OPERAC,ESPERANZ,Est.095-1 SW SN.095 SW,REHABILIT D</t>
  </si>
  <si>
    <t>14A011</t>
  </si>
  <si>
    <t>OPERAC , ESPERANZA , VT. 128-1  Cx. 128 NE , DESQU</t>
  </si>
  <si>
    <t>14A012</t>
  </si>
  <si>
    <t>OPERAC , ESPERANZA , VT. 128-1  Cx. 128 NE , ENMAD</t>
  </si>
  <si>
    <t>14A013</t>
  </si>
  <si>
    <t>OPERAC , ESPERANZA , VT. 128-1  Cx. 128 NE , LIMPI</t>
  </si>
  <si>
    <t>14A014</t>
  </si>
  <si>
    <t>OPERAC , ESPERANZA , VT. 128-1  Cx. 128 NE , SERVI</t>
  </si>
  <si>
    <t>14A015</t>
  </si>
  <si>
    <t>OPERAC , ESPERANZA , VT. 128-1  Cx. 128 NE , EXTRA</t>
  </si>
  <si>
    <t>14A016</t>
  </si>
  <si>
    <t>OPERAC , ESPERANZA , VT. 128-1  Cx. 128 NE , split</t>
  </si>
  <si>
    <t>14A017</t>
  </si>
  <si>
    <t>14A018</t>
  </si>
  <si>
    <t>OPERAC , ESPERANZ,VT.128-1  Cx.128 NE,IZAJE Y DESC</t>
  </si>
  <si>
    <t>14A019</t>
  </si>
  <si>
    <t>OPERAC , ESPERANZA , VT. 128-1  Cx. 128 NE , PERFO</t>
  </si>
  <si>
    <t>14A01A</t>
  </si>
  <si>
    <t>OPERAC , ESPERANZA , VT. 128-1  Cx. 128 NE , VOLAD</t>
  </si>
  <si>
    <t>14A01B</t>
  </si>
  <si>
    <t>OPERAC , ESPERANZA , VT. 128-1  Cx. 128 NE , CAMIN</t>
  </si>
  <si>
    <t>14A01C</t>
  </si>
  <si>
    <t>OPERAC,ESPERANZA, VT.128-1  Cx.128 NE, INSTAL DE R</t>
  </si>
  <si>
    <t>14A01D</t>
  </si>
  <si>
    <t>OPERAC,ESPERANZ, VT.128-1 Cx.128 NE,REHABILIT DE L</t>
  </si>
  <si>
    <t>15310A</t>
  </si>
  <si>
    <t xml:space="preserve">PRODUC,ESPERANZA,TJ 616 - 1 NE,VOLADURA           </t>
  </si>
  <si>
    <t>15310B</t>
  </si>
  <si>
    <t xml:space="preserve">PRODUC,ESPERANZA,TJ 616 - 1 NE,CAMINOS            </t>
  </si>
  <si>
    <t>15310C</t>
  </si>
  <si>
    <t>PRODUC,ESPERANZA,TJ 616 - 1 NE,INSTALACION DE RIEL</t>
  </si>
  <si>
    <t>15310D</t>
  </si>
  <si>
    <t xml:space="preserve">PRODUC,ESPERANZA,TJ 616 - 1 NE,REHAB DE LABORES   </t>
  </si>
  <si>
    <t>15311A</t>
  </si>
  <si>
    <t>15311B</t>
  </si>
  <si>
    <t>15311C</t>
  </si>
  <si>
    <t>15311D</t>
  </si>
  <si>
    <t>15311E</t>
  </si>
  <si>
    <t>15314A</t>
  </si>
  <si>
    <t xml:space="preserve">PRODU,ESPERANZA,TJ 620 CH 592,VOLADURA            </t>
  </si>
  <si>
    <t>15314B</t>
  </si>
  <si>
    <t xml:space="preserve">PRODU,ESPERANZA,TJ 620 CH 592,CAMINOS             </t>
  </si>
  <si>
    <t>15314C</t>
  </si>
  <si>
    <t xml:space="preserve">PRODU,ESPERANZA,TJ 620 CH 592,INST.DE RIELES      </t>
  </si>
  <si>
    <t>15314D</t>
  </si>
  <si>
    <t xml:space="preserve">PRODU,ESPERANZA,TJ 620 CH 592,REHAB DE LABORES    </t>
  </si>
  <si>
    <t>15314E</t>
  </si>
  <si>
    <t xml:space="preserve">PRODU,ESPERANZA,TJ 620 CH 592,CICLO COMPLETO      </t>
  </si>
  <si>
    <t>15316A</t>
  </si>
  <si>
    <t xml:space="preserve">PRODU,ESPERANZA,TJ 620 CH 610,VOLADURA            </t>
  </si>
  <si>
    <t>15316B</t>
  </si>
  <si>
    <t xml:space="preserve">PRODU,ESPERANZA,TJ 620 CH 610,CAMINOS             </t>
  </si>
  <si>
    <t>15316C</t>
  </si>
  <si>
    <t xml:space="preserve">PRODU,ESPERANZA,TJ 620 CH 610,INST.DE RIELES      </t>
  </si>
  <si>
    <t>15316D</t>
  </si>
  <si>
    <t xml:space="preserve">PRODU,ESPERANZA,TJ 620 CH 610,REHAB DE LABORES    </t>
  </si>
  <si>
    <t>15316E</t>
  </si>
  <si>
    <t xml:space="preserve">PRODU,ESPERANZA,TJ 620 CH 610,CICLO COMPLETO      </t>
  </si>
  <si>
    <t>15319A</t>
  </si>
  <si>
    <t>15319B</t>
  </si>
  <si>
    <t>15319C</t>
  </si>
  <si>
    <t>15319D</t>
  </si>
  <si>
    <t>15319E</t>
  </si>
  <si>
    <t>15323A</t>
  </si>
  <si>
    <t xml:space="preserve">PRODU,ESPERANZA,TJ 580-SW (CH 580),VOLADURA       </t>
  </si>
  <si>
    <t>15323B</t>
  </si>
  <si>
    <t xml:space="preserve">PRODU,ESPERANZA,TJ 580-SW (CH 580),CAMINOS        </t>
  </si>
  <si>
    <t>15323C</t>
  </si>
  <si>
    <t xml:space="preserve">PRODU,ESPERANZA,TJ 580-SW (CH 580),INST.DE RIELES </t>
  </si>
  <si>
    <t>15323D</t>
  </si>
  <si>
    <t>PRODU,ESPERANZA,TJ 580-SW (CH 580),REHAB DE LABORE</t>
  </si>
  <si>
    <t>15323E</t>
  </si>
  <si>
    <t xml:space="preserve">PRODU,ESPERANZA,TJ 580-SW (CH 580),CICLO COMPLETO </t>
  </si>
  <si>
    <t>16L012</t>
  </si>
  <si>
    <t xml:space="preserve">REHABI , ESPERANZA , LAB ANT , ENMADERADO         </t>
  </si>
  <si>
    <t>1A819L</t>
  </si>
  <si>
    <t>EXPLOR,ESPERANZA,Cam 19 (Cx 011 SE),LIMPIEZA</t>
  </si>
  <si>
    <t>1A819O</t>
  </si>
  <si>
    <t>EXPLOR,ESPERANZA,Cam 19 (Cx 011 SE),SERVICIO</t>
  </si>
  <si>
    <t>1A819P</t>
  </si>
  <si>
    <t>EXPLOR,ESPERANZA,Cam 19 (Cx 011 SE),PERFORACION</t>
  </si>
  <si>
    <t>1A819S</t>
  </si>
  <si>
    <t>EXPLOR,ESPERANZA,Cam 19 (Cx 011 SE),SOSTENIMIENTO</t>
  </si>
  <si>
    <t>1A819V</t>
  </si>
  <si>
    <t>EXPLOR,ESPERANZA,Cam 19 (Cx 011 SE),VOLADURA</t>
  </si>
  <si>
    <t>1AR01L</t>
  </si>
  <si>
    <t>EXPLOR,ESPERANZA,Cam 111 NE (Gal 028 NE),LIMPIEZA</t>
  </si>
  <si>
    <t>1AR01O</t>
  </si>
  <si>
    <t>EXPLOR,ESPERANZA,Cam 111 NE (Gal 028 NE),SERVICIO</t>
  </si>
  <si>
    <t>1AR01P</t>
  </si>
  <si>
    <t>EXPLOR,ESPERANZA,Cam 111 NE (Gal 028 NE),PERFORACION</t>
  </si>
  <si>
    <t>1AR01S</t>
  </si>
  <si>
    <t>EXPLOR,ESPERANZA,Cam 111 NE (Gal 028 NE),SOSTENIMIENTO</t>
  </si>
  <si>
    <t>1AR01V</t>
  </si>
  <si>
    <t>EXPLOR,ESPERANZA,Cam 111 NE (Gal 028 NE),VOLADURA</t>
  </si>
  <si>
    <t>1B132L</t>
  </si>
  <si>
    <t>EXPLOR,INKA,Cx 558 NE (Cx 990 NE),LIMPIEZA</t>
  </si>
  <si>
    <t>1B132O</t>
  </si>
  <si>
    <t>EXPLOR,INKA,Cx 558 NE (Cx 990 NE),SERVICIO</t>
  </si>
  <si>
    <t>1B132P</t>
  </si>
  <si>
    <t>EXPLOR,INKA,Cx 558 NE (Cx 990 NE),PERFORACION</t>
  </si>
  <si>
    <t>1B132S</t>
  </si>
  <si>
    <t>EXPLOR,INKA,Cx 558 NE (Cx 990 NE),SOSTENIMIENTO</t>
  </si>
  <si>
    <t>1B132V</t>
  </si>
  <si>
    <t>EXPLOR,INKA,Cx 558 NE (Cx 990 NE),VOLADURA</t>
  </si>
  <si>
    <t>1B2061</t>
  </si>
  <si>
    <t>EXPLO,INKA,COR 990,SUMINISTROS</t>
  </si>
  <si>
    <t>1B2062</t>
  </si>
  <si>
    <t>EXPLO,INKA,COR 990,SOSTENIMIENTO</t>
  </si>
  <si>
    <t>1B2063</t>
  </si>
  <si>
    <t>EXPLO,INKA,COR 990,SERVICIO</t>
  </si>
  <si>
    <t>1B2064</t>
  </si>
  <si>
    <t>EXPLO,INKA,COR 990,REHABILITACION</t>
  </si>
  <si>
    <t>1B820L</t>
  </si>
  <si>
    <t>EXPLOR,INKA,Cam 18 (Cx 558 NE),LIMPIEZA</t>
  </si>
  <si>
    <t>1B820O</t>
  </si>
  <si>
    <t>EXPLOR,INKA,Cam 18 (Cx 558 NE),SERVICIO</t>
  </si>
  <si>
    <t>1B820P</t>
  </si>
  <si>
    <t>EXPLOR,INKA,Cam 18 (Cx 558 NE),PERFORACION</t>
  </si>
  <si>
    <t>1B820S</t>
  </si>
  <si>
    <t>EXPLOR,INKA,Cam 18 (Cx 558 NE),SOSTENIMIENTO</t>
  </si>
  <si>
    <t>1B820V</t>
  </si>
  <si>
    <t>EXPLOR,INKA,Cam 18 (Cx 558 NE),VOLADURA</t>
  </si>
  <si>
    <t>1C1271</t>
  </si>
  <si>
    <t>EXPLO,CHAPI,Cx 712 SW,SUMINISTROS</t>
  </si>
  <si>
    <t>1C1272</t>
  </si>
  <si>
    <t>EXPLO,CHAPI,Cx 712 SW,SOSTENIMIENTO</t>
  </si>
  <si>
    <t>1C1273</t>
  </si>
  <si>
    <t>EXPLO,CHAPI,Cx 712 SW,SERVICIO</t>
  </si>
  <si>
    <t>1C1274</t>
  </si>
  <si>
    <t>EXPLO,CHAPI,Cx 712 SW,REHABILITACION</t>
  </si>
  <si>
    <t>1C5781</t>
  </si>
  <si>
    <t>EXPLO,CHAPI,Snv 864 NE (TJ 862 NE),SUMINISTROS</t>
  </si>
  <si>
    <t>1C5782</t>
  </si>
  <si>
    <t>EXPLO,CHAPI,Snv 864 NE (TJ 862 NE),SOSTENIMIENTO</t>
  </si>
  <si>
    <t>1C5783</t>
  </si>
  <si>
    <t>EXPLO,CHAPI,Snv 864 NE (TJ 862 NE),SERVICIO</t>
  </si>
  <si>
    <t>1C5784</t>
  </si>
  <si>
    <t>EXPLO,CHAPI,Snv 864 NE (TJ 862 NE),REHABILITACION</t>
  </si>
  <si>
    <t>1C8081</t>
  </si>
  <si>
    <t>EXPLO,CHAPI,CAM 11,SUMINISTROS</t>
  </si>
  <si>
    <t>1C8082</t>
  </si>
  <si>
    <t>EXPLO,CHAPI,CAM 11,SOSTENIMIENTO</t>
  </si>
  <si>
    <t>1C8083</t>
  </si>
  <si>
    <t>EXPLO,CHAPI,CAM 11,SERVICIO</t>
  </si>
  <si>
    <t>1C8084</t>
  </si>
  <si>
    <t>EXPLO,CHAPI,CAM 11,REHABILITACION</t>
  </si>
  <si>
    <t>1D134L</t>
  </si>
  <si>
    <t>EXPLOR,CACHORRO,Cx 924 NE (Cx 128 NE),LIMPIEZA</t>
  </si>
  <si>
    <t>1D134O</t>
  </si>
  <si>
    <t>EXPLOR,CACHORRO,Cx 924 NE (Cx 128 NE),SERVICIO</t>
  </si>
  <si>
    <t>1D134P</t>
  </si>
  <si>
    <t>EXPLOR,CACHORRO,Cx 924 NE (Cx 128 NE),PERFORACION</t>
  </si>
  <si>
    <t>1D134S</t>
  </si>
  <si>
    <t>EXPLOR,CACHORRO,Cx 924 NE (Cx 128 NE),SOSTENIMIENTO</t>
  </si>
  <si>
    <t>1D134V</t>
  </si>
  <si>
    <t>EXPLOR,CACHORRO,Cx 924 NE (Cx 128 NE),VOLADURA</t>
  </si>
  <si>
    <t>1D3361</t>
  </si>
  <si>
    <t>EXPLO,CACHORRO,CH 994 (CX 010  SW),SUMINISTROS</t>
  </si>
  <si>
    <t>1D3362</t>
  </si>
  <si>
    <t>EXPLO,CACHORRO,CH 994 (CX 010  SW),SOSTENIMIENTO</t>
  </si>
  <si>
    <t>1D3363</t>
  </si>
  <si>
    <t>EXPLO,CACHORRO,CH 994 (CX 010  SW),SERVICIO</t>
  </si>
  <si>
    <t>1D3364</t>
  </si>
  <si>
    <t>EXPLO,CACHORRO,CH 994 (CX 010  SW),REHABILITACION</t>
  </si>
  <si>
    <t>1D53LL</t>
  </si>
  <si>
    <t>EXPLOR,CACHORRO,Snv 069 NE (Est 069 SE),LIMPIEZA</t>
  </si>
  <si>
    <t>1D53LO</t>
  </si>
  <si>
    <t>EXPLOR,CACHORRO,Snv 069 NE (Est 069 SE),SERVICIO</t>
  </si>
  <si>
    <t>1D53LP</t>
  </si>
  <si>
    <t>EXPLOR,CACHORRO,Snv 069 NE (Est 069 SE),PERFORACION</t>
  </si>
  <si>
    <t>1D53LS</t>
  </si>
  <si>
    <t>EXPLOR,CACHORRO,Snv 069 NE (Est 069 SE),SOSTENIMIENTO</t>
  </si>
  <si>
    <t>1D53LV</t>
  </si>
  <si>
    <t>EXPLOR,CACHORRO,Snv 069 NE (Est 069 SE),VOLADURA</t>
  </si>
  <si>
    <t>1D54CL</t>
  </si>
  <si>
    <t>EXPLOR,CACHORRO,Snv 909 SW (Est 905 SE),LIMPIEZA</t>
  </si>
  <si>
    <t>1D54CO</t>
  </si>
  <si>
    <t>EXPLOR,CACHORRO,Snv 909 SW (Est 905 SE),SERVICIO</t>
  </si>
  <si>
    <t>1D54CP</t>
  </si>
  <si>
    <t>EXPLOR,CACHORRO,Snv 909 SW (Est 905 SE),PERFORACION</t>
  </si>
  <si>
    <t>1D54CS</t>
  </si>
  <si>
    <t>EXPLOR,CACHORRO,Snv 909 SW (Est 905 SE),SOSTENIMIENTO</t>
  </si>
  <si>
    <t>1D54CV</t>
  </si>
  <si>
    <t>EXPLOR,CACHORRO,Snv 909 SW (Est 905 SE),VOLADURA</t>
  </si>
  <si>
    <t>1D54GL</t>
  </si>
  <si>
    <t>EXPLOR,CACHORRO,Snv 090 SW (Ch 936),LIMPIEZA</t>
  </si>
  <si>
    <t>1D54GO</t>
  </si>
  <si>
    <t>EXPLOR,CACHORRO,Snv 090 SW (Ch 936),SERVICIO</t>
  </si>
  <si>
    <t>1D54GP</t>
  </si>
  <si>
    <t>EXPLOR,CACHORRO,Snv 090 SW (Ch 936),PERFORACION</t>
  </si>
  <si>
    <t>1D54GS</t>
  </si>
  <si>
    <t>EXPLOR,CACHORRO,Snv 090 SW (Ch 936),SOSTENIMIENTO</t>
  </si>
  <si>
    <t>1D54GV</t>
  </si>
  <si>
    <t>EXPLOR,CACHORRO,Snv 090 SW (Ch 936),VOLADURA</t>
  </si>
  <si>
    <t>1D54HL</t>
  </si>
  <si>
    <t>EXPLOR,CACHORRO,Snv 090 NE (Ch 936),LIMPIEZA</t>
  </si>
  <si>
    <t>1D54HO</t>
  </si>
  <si>
    <t>EXPLOR,CACHORRO,Snv 090 NE (Ch 936),SERVICIO</t>
  </si>
  <si>
    <t>1D54HP</t>
  </si>
  <si>
    <t>EXPLOR,CACHORRO,Snv 090 NE (Ch 936),PERFORACION</t>
  </si>
  <si>
    <t>1D54HS</t>
  </si>
  <si>
    <t>EXPLOR,CACHORRO,Snv 090 NE (Ch 936),SOSTENIMIENTO</t>
  </si>
  <si>
    <t>1D54HV</t>
  </si>
  <si>
    <t>EXPLOR,CACHORRO,Snv 090 NE (Ch 936),VOLADURA</t>
  </si>
  <si>
    <t>1D56EL</t>
  </si>
  <si>
    <t>EXPLOR,CACHORRO,Snv 929 SW (Bp 940 NW)
,LIMPIEZA</t>
  </si>
  <si>
    <t>1D56EO</t>
  </si>
  <si>
    <t>EXPLOR,CACHORRO,Snv 929 SW (Bp 940 NW)
,SERVICIO</t>
  </si>
  <si>
    <t>1D56EP</t>
  </si>
  <si>
    <t>EXPLOR,CACHORRO,Snv 929 SW (Bp 940 NW)
,PERFORACION</t>
  </si>
  <si>
    <t>1D56ES</t>
  </si>
  <si>
    <t>EXPLOR,CACHORRO,Snv 929 SW (Bp 940 NW)
,SOSTENIMIENTO</t>
  </si>
  <si>
    <t>1D56EV</t>
  </si>
  <si>
    <t>EXPLOR,CACHORRO,Snv 929 SW (Bp 940 NW)
,VOLADURA</t>
  </si>
  <si>
    <t>1D668L</t>
  </si>
  <si>
    <t>EXPLOR,CACHORRO,Est 905 SE (Snv 069 NE),LIMPIEZA</t>
  </si>
  <si>
    <t>1D668O</t>
  </si>
  <si>
    <t>EXPLOR,CACHORRO,Est 905 SE (Snv 069 NE),SERVICIO</t>
  </si>
  <si>
    <t>1D668P</t>
  </si>
  <si>
    <t>EXPLOR,CACHORRO,Est 905 SE (Snv 069 NE),PERFORACION</t>
  </si>
  <si>
    <t>1D668S</t>
  </si>
  <si>
    <t>EXPLOR,CACHORRO,Est 905 SE (Snv 069 NE),SOSTENIMIENTO</t>
  </si>
  <si>
    <t>1D668V</t>
  </si>
  <si>
    <t>EXPLOR,CACHORRO,Est 905 SE (Snv 069 NE),VOLADURA</t>
  </si>
  <si>
    <t>1D669L</t>
  </si>
  <si>
    <t>EXPLOR,CACHORRO,Est 912 SE (Snv 069 NE),LIMPIEZA</t>
  </si>
  <si>
    <t>1D669O</t>
  </si>
  <si>
    <t>EXPLOR,CACHORRO,Est 912 SE (Snv 069 NE),SERVICIO</t>
  </si>
  <si>
    <t>1D669P</t>
  </si>
  <si>
    <t>EXPLOR,CACHORRO,Est 912 SE (Snv 069 NE),PERFORACION</t>
  </si>
  <si>
    <t>1D669S</t>
  </si>
  <si>
    <t>EXPLOR,CACHORRO,Est 912 SE (Snv 069 NE),SOSTENIMIENTO</t>
  </si>
  <si>
    <t>1D669V</t>
  </si>
  <si>
    <t>EXPLOR,CACHORRO,Est 912 SE (Snv 069 NE),VOLADURA</t>
  </si>
  <si>
    <t>1D685L</t>
  </si>
  <si>
    <t>EXPLOR,CACHORRO,Est 927 SE (Inc 822 NE),LIMPIEZA</t>
  </si>
  <si>
    <t>1D685O</t>
  </si>
  <si>
    <t>EXPLOR,CACHORRO,Est 927 SE (Inc 822 NE),SERVICIO</t>
  </si>
  <si>
    <t>1D685P</t>
  </si>
  <si>
    <t>EXPLOR,CACHORRO,Est 927 SE (Inc 822 NE),PERFORACION</t>
  </si>
  <si>
    <t>1D685S</t>
  </si>
  <si>
    <t>EXPLOR,CACHORRO,Est 927 SE (Inc 822 NE),SOSTENIMIENTO</t>
  </si>
  <si>
    <t>1D685V</t>
  </si>
  <si>
    <t>EXPLOR,CACHORRO,Est 927 SE (Inc 822 NE),VOLADURA</t>
  </si>
  <si>
    <t>1D689L</t>
  </si>
  <si>
    <t>EXPLOR,CACHORRO,Est 943 SE (Inc 822 NE),LIMPIEZA</t>
  </si>
  <si>
    <t>1D689O</t>
  </si>
  <si>
    <t>EXPLOR,CACHORRO,Est 943 SE (Inc 822 NE),SERVICIO</t>
  </si>
  <si>
    <t>1D689P</t>
  </si>
  <si>
    <t>EXPLOR,CACHORRO,Est 943 SE (Inc 822 NE),PERFORACION</t>
  </si>
  <si>
    <t>1D689S</t>
  </si>
  <si>
    <t>EXPLOR,CACHORRO,Est 943 SE (Inc 822 NE),SOSTENIMIENTO</t>
  </si>
  <si>
    <t>1D689V</t>
  </si>
  <si>
    <t>EXPLOR,CACHORRO,Est 943 SE (Inc 822 NE),VOLADURA</t>
  </si>
  <si>
    <t>1D690L</t>
  </si>
  <si>
    <t>EXPLOR,CACHORRO,Est 945 SE (Inc 822 NE),LIMPIEZA</t>
  </si>
  <si>
    <t>1D690O</t>
  </si>
  <si>
    <t>EXPLOR,CACHORRO,Est 945 SE (Inc 822 NE),SERVICIO</t>
  </si>
  <si>
    <t>1D690P</t>
  </si>
  <si>
    <t>EXPLOR,CACHORRO,Est 945 SE (Inc 822 NE),PERFORACION</t>
  </si>
  <si>
    <t>1D690S</t>
  </si>
  <si>
    <t>EXPLOR,CACHORRO,Est 945 SE (Inc 822 NE),SOSTENIMIENTO</t>
  </si>
  <si>
    <t>1D690V</t>
  </si>
  <si>
    <t>EXPLOR,CACHORRO,Est 945 SE (Inc 822 NE),VOLADURA</t>
  </si>
  <si>
    <t>1D822L</t>
  </si>
  <si>
    <t>EXPLOR,CACHORRO,Cam 20 (Cx 924 NE),LIMPIEZA</t>
  </si>
  <si>
    <t>1D822O</t>
  </si>
  <si>
    <t>EXPLOR,CACHORRO,Cam 20 (Cx 924 NE),SERVICIO</t>
  </si>
  <si>
    <t>1D822P</t>
  </si>
  <si>
    <t>EXPLOR,CACHORRO,Cam 20 (Cx 924 NE),PERFORACION</t>
  </si>
  <si>
    <t>1D822S</t>
  </si>
  <si>
    <t>EXPLOR,CACHORRO,Cam 20 (Cx 924 NE),SOSTENIMIENTO</t>
  </si>
  <si>
    <t>1D822V</t>
  </si>
  <si>
    <t>EXPLOR,CACHORRO,Cam 20 (Cx 924 NE),VOLADURA</t>
  </si>
  <si>
    <t>1DD05L</t>
  </si>
  <si>
    <t>EXPLOR,CACHORRO,Inc 822 NE (Est 912 SE),LIMPIEZA</t>
  </si>
  <si>
    <t>1DD05O</t>
  </si>
  <si>
    <t>EXPLOR,CACHORRO,Inc 822 NE (Est 912 SE),SERVICIO</t>
  </si>
  <si>
    <t>1DD05P</t>
  </si>
  <si>
    <t>EXPLOR,CACHORRO,Inc 822 NE (Est 912 SE),PERFORACION</t>
  </si>
  <si>
    <t>1DD05S</t>
  </si>
  <si>
    <t>EXPLOR,CACHORRO,Inc 822 NE (Est 912 SE),SOSTENIMIENTO</t>
  </si>
  <si>
    <t>1DD05V</t>
  </si>
  <si>
    <t>EXPLOR,CACHORRO,Inc 822 NE (Est 912 SE),VOLADURA</t>
  </si>
  <si>
    <t>1E31OL</t>
  </si>
  <si>
    <t>EXPLOR,VANESSA,Ch 835 (Snv 042 SW),LIMPIEZA</t>
  </si>
  <si>
    <t>1E31OO</t>
  </si>
  <si>
    <t>EXPLOR,VANESSA,Ch 835 (Snv 042 SW),SERVICIO</t>
  </si>
  <si>
    <t>1E31OP</t>
  </si>
  <si>
    <t>EXPLOR,VANESSA,Ch 835 (Snv 042 SW),PERFORACION</t>
  </si>
  <si>
    <t>1E31OS</t>
  </si>
  <si>
    <t>EXPLOR,VANESSA,Ch 835 (Snv 042 SW),SOSTENIMIENTO</t>
  </si>
  <si>
    <t>1E31OV</t>
  </si>
  <si>
    <t>EXPLOR,VANESSA,Ch 835 (Snv 042 SW),VOLADURA</t>
  </si>
  <si>
    <t>1E31TL</t>
  </si>
  <si>
    <t>EXPLOR,VANESSA,Ch  091 (Snv 010 NE),LIMPIEZA</t>
  </si>
  <si>
    <t>1E31TO</t>
  </si>
  <si>
    <t>EXPLOR,VANESSA,Ch  091 (Snv 010 NE),SERVICIO</t>
  </si>
  <si>
    <t>1E31TP</t>
  </si>
  <si>
    <t>EXPLOR,VANESSA,Ch  091 (Snv 010 NE),PERFORACION</t>
  </si>
  <si>
    <t>1E31TS</t>
  </si>
  <si>
    <t>EXPLOR,VANESSA,Ch  091 (Snv 010 NE),SOSTENIMIENTO</t>
  </si>
  <si>
    <t>1E31TV</t>
  </si>
  <si>
    <t>EXPLOR,VANESSA,Ch  091 (Snv 010 NE),VOLADURA</t>
  </si>
  <si>
    <t>1E5041</t>
  </si>
  <si>
    <t xml:space="preserve">EXPLO,VANESSA,SNV 083 SW (SNV 103 SW),SUMINISTROS </t>
  </si>
  <si>
    <t>1E5042</t>
  </si>
  <si>
    <t>EXPLO,VANESSA,SNV 083 SW (SNV 103 SW),SOSTENIMIENT</t>
  </si>
  <si>
    <t>1E5043</t>
  </si>
  <si>
    <t xml:space="preserve">EXPLO,VANESSA,SNV 083 SW (SNV 103 SW),SERVICIO    </t>
  </si>
  <si>
    <t>1E5044</t>
  </si>
  <si>
    <t>EXPLO,VANESSA,SNV 083 SW (SNV 103 SW),REHABILITACI</t>
  </si>
  <si>
    <t>1E5051</t>
  </si>
  <si>
    <t xml:space="preserve">EXPLO,VANESSA,SNV 163 SW (CH 107),SUMINISTROS     </t>
  </si>
  <si>
    <t>1E5052</t>
  </si>
  <si>
    <t xml:space="preserve">EXPLO,VANESSA,SNV 163 SW (CH 107),SOSTENIMIENTO   </t>
  </si>
  <si>
    <t>1E5053</t>
  </si>
  <si>
    <t xml:space="preserve">EXPLO,VANESSA,SNV 163 SW (CH 107),SERVICIO        </t>
  </si>
  <si>
    <t>1E5054</t>
  </si>
  <si>
    <t xml:space="preserve">EXPLO,VANESSA,SNV 163 SW (CH 107),REHABILITACION  </t>
  </si>
  <si>
    <t>1E5061</t>
  </si>
  <si>
    <t xml:space="preserve">EXPLO,VANESSA,SNV 163 NE (CH 107),SUMINISTROS     </t>
  </si>
  <si>
    <t>1E5062</t>
  </si>
  <si>
    <t xml:space="preserve">EXPLO,VANESSA,SNV 163 NE (CH 107),SOSTENIMIENTO   </t>
  </si>
  <si>
    <t>1E5063</t>
  </si>
  <si>
    <t xml:space="preserve">EXPLO,VANESSA,SNV 163 NE (CH 107),SERVICIO        </t>
  </si>
  <si>
    <t>1E5064</t>
  </si>
  <si>
    <t xml:space="preserve">EXPLO,VANESSA,SNV 163 NE (CH 107),REHABILITACION  </t>
  </si>
  <si>
    <t>1E5271</t>
  </si>
  <si>
    <t>EXPLO,VANESSA,Snv 158 SW (Ch 044),SUMINISTROS</t>
  </si>
  <si>
    <t>1E5272</t>
  </si>
  <si>
    <t>EXPLO,VANESSA,Snv 158 SW (Ch 044),SOSTENIMIENTO</t>
  </si>
  <si>
    <t>1E5273</t>
  </si>
  <si>
    <t>EXPLO,VANESSA,Snv 158 SW (Ch 044),SERVICIO</t>
  </si>
  <si>
    <t>1E5274</t>
  </si>
  <si>
    <t>EXPLO,VANESSA,Snv 158 SW (Ch 044),REHABILITACION</t>
  </si>
  <si>
    <t>1E5471</t>
  </si>
  <si>
    <t>EXPLO,VANESSA,Snv 043 SE (Snv 129 SE),SUMINISTROS</t>
  </si>
  <si>
    <t>1E5472</t>
  </si>
  <si>
    <t>EXPLO,VANESSA,Snv 043 SE (Snv 129 SE),SOSTENIMIENTO</t>
  </si>
  <si>
    <t>1E5473</t>
  </si>
  <si>
    <t>EXPLO,VANESSA,Snv 043 SE (Snv 129 SE),SERVICIO</t>
  </si>
  <si>
    <t>1E5474</t>
  </si>
  <si>
    <t>EXPLO,VANESSA,Snv 043 SE (Snv 129 SE),REHABILITACION</t>
  </si>
  <si>
    <t>1E55PL</t>
  </si>
  <si>
    <t>EXPLOR,VANESSA,Snv 829 SW (Est 830 SW),LIMPIEZA</t>
  </si>
  <si>
    <t>1E55PO</t>
  </si>
  <si>
    <t>EXPLOR,VANESSA,Snv 829 SW (Est 830 SW),SERVICIO</t>
  </si>
  <si>
    <t>1E55PP</t>
  </si>
  <si>
    <t>EXPLOR,VANESSA,Snv 829 SW (Est 830 SW),PERFORACION</t>
  </si>
  <si>
    <t>1E55PS</t>
  </si>
  <si>
    <t>EXPLOR,VANESSA,Snv 829 SW (Est 830 SW),SOSTENIMIENTO</t>
  </si>
  <si>
    <t>1E55PV</t>
  </si>
  <si>
    <t>EXPLOR,VANESSA,Snv 829 SW (Est 830 SW),VOLADURA</t>
  </si>
  <si>
    <t>1E55SL</t>
  </si>
  <si>
    <t>EXPLOR,VANESSA,Snv 088 NE (Tj 077 NE),LIMPIEZA</t>
  </si>
  <si>
    <t>1E55SO</t>
  </si>
  <si>
    <t>EXPLOR,VANESSA,Snv 088 NE (Tj 077 NE),SERVICIO</t>
  </si>
  <si>
    <t>1E55SP</t>
  </si>
  <si>
    <t>EXPLOR,VANESSA,Snv 088 NE (Tj 077 NE),PERFORACION</t>
  </si>
  <si>
    <t>1E55SS</t>
  </si>
  <si>
    <t>EXPLOR,VANESSA,Snv 088 NE (Tj 077 NE),SOSTENIMIENTO</t>
  </si>
  <si>
    <t>1E55SV</t>
  </si>
  <si>
    <t>EXPLOR,VANESSA,Snv 088 NE (Tj 077 NE),VOLADURA</t>
  </si>
  <si>
    <t>1E55TL</t>
  </si>
  <si>
    <t>EXPLOR,VANESSA,Snv 860 SW (Snv 020 NE),LIMPIEZA</t>
  </si>
  <si>
    <t>1E55TO</t>
  </si>
  <si>
    <t>EXPLOR,VANESSA,Snv 860 SW (Snv 020 NE),SERVICIO</t>
  </si>
  <si>
    <t>1E55TP</t>
  </si>
  <si>
    <t>EXPLOR,VANESSA,Snv 860 SW (Snv 020 NE),PERFORACION</t>
  </si>
  <si>
    <t>1E55TS</t>
  </si>
  <si>
    <t>EXPLOR,VANESSA,Snv 860 SW (Snv 020 NE),SOSTENIMIENTO</t>
  </si>
  <si>
    <t>1E55TV</t>
  </si>
  <si>
    <t>EXPLOR,VANESSA,Snv 860 SW (Snv 020 NE),VOLADURA</t>
  </si>
  <si>
    <t>1E56CL</t>
  </si>
  <si>
    <t>EXPLOR,VANESSA,Snv  015 SW (Ch 835),LIMPIEZA</t>
  </si>
  <si>
    <t>1E56CO</t>
  </si>
  <si>
    <t>EXPLOR,VANESSA,Snv  015 SW (Ch 835),SERVICIO</t>
  </si>
  <si>
    <t>1E56CP</t>
  </si>
  <si>
    <t>EXPLOR,VANESSA,Snv  015 SW (Ch 835),PERFORACION</t>
  </si>
  <si>
    <t>1E56CS</t>
  </si>
  <si>
    <t>EXPLOR,VANESSA,Snv  015 SW (Ch 835),SOSTENIMIENTO</t>
  </si>
  <si>
    <t>1E56CV</t>
  </si>
  <si>
    <t>EXPLOR,VANESSA,Snv  015 SW (Ch 835),VOLADURA</t>
  </si>
  <si>
    <t>1E56DL</t>
  </si>
  <si>
    <t>EXPLOR,VANESSA,Snv 834 SW (Tj 829 SW),LIMPIEZA</t>
  </si>
  <si>
    <t>1E56DO</t>
  </si>
  <si>
    <t>EXPLOR,VANESSA,Snv 834 SW (Tj 829 SW),SERVICIO</t>
  </si>
  <si>
    <t>1E56DP</t>
  </si>
  <si>
    <t>EXPLOR,VANESSA,Snv 834 SW (Tj 829 SW),PERFORACION</t>
  </si>
  <si>
    <t>1E56DS</t>
  </si>
  <si>
    <t>EXPLOR,VANESSA,Snv 834 SW (Tj 829 SW),SOSTENIMIENTO</t>
  </si>
  <si>
    <t>1E56DV</t>
  </si>
  <si>
    <t>EXPLOR,VANESSA,Snv 834 SW (Tj 829 SW),VOLADURA</t>
  </si>
  <si>
    <t>1E6311</t>
  </si>
  <si>
    <t>EXPLO,VANESSA,EST 085 SE (SNV 090 NE),SUMINISTROS</t>
  </si>
  <si>
    <t>1E6312</t>
  </si>
  <si>
    <t>EXPLO,VANESSA,EST 085 SE (SNV 090 NE),SOSTENIMIENTO</t>
  </si>
  <si>
    <t>1E6313</t>
  </si>
  <si>
    <t>EXPLO,VANESSA,EST 085 SE (SNV 090 NE),SERVICIO</t>
  </si>
  <si>
    <t>1E6314</t>
  </si>
  <si>
    <t>EXPLO,VANESSA,EST 085 SE (SNV 090 NE),REHABILITACION</t>
  </si>
  <si>
    <t>1E6341</t>
  </si>
  <si>
    <t>EXPLO,VANESSA,EST 108 SE (SNV 090 NE),SUMINISTROS</t>
  </si>
  <si>
    <t>1E6342</t>
  </si>
  <si>
    <t>EXPLO,VANESSA,EST 108 SE (SNV 090 NE),SOSTENIMIENTO</t>
  </si>
  <si>
    <t>1E6343</t>
  </si>
  <si>
    <t>EXPLO,VANESSA,EST 108 SE (SNV 090 NE),SERVICIO</t>
  </si>
  <si>
    <t>1E6344</t>
  </si>
  <si>
    <t>EXPLO,VANESSA,EST 108 SE (SNV 090 NE),REHABILITACION</t>
  </si>
  <si>
    <t>1E6361</t>
  </si>
  <si>
    <t>EXPLO,VANESSA,Est 080 SE (Snv 092 SW),SUMINISTROS</t>
  </si>
  <si>
    <t>1E6362</t>
  </si>
  <si>
    <t>EXPLO,VANESSA,Est 080 SE (Snv 092 SW),SOSTENIMIENTO</t>
  </si>
  <si>
    <t>1E6363</t>
  </si>
  <si>
    <t>EXPLO,VANESSA,Est 080 SE (Snv 092 SW),SERVICIO</t>
  </si>
  <si>
    <t>1E6364</t>
  </si>
  <si>
    <t>EXPLO,VANESSA,Est 080 SE (Snv 092 SW),REHABILITACION</t>
  </si>
  <si>
    <t>1E6371</t>
  </si>
  <si>
    <t>EXPLO,VANESSA,Est 109 NE (Est 108 SE),SUMINISTROS</t>
  </si>
  <si>
    <t>1E6372</t>
  </si>
  <si>
    <t>EXPLO,VANESSA,Est 109 NE (Est 108 SE),SOSTENIMIENTO</t>
  </si>
  <si>
    <t>1E6373</t>
  </si>
  <si>
    <t>EXPLO,VANESSA,Est 109 NE (Est 108 SE),SERVICIO</t>
  </si>
  <si>
    <t>1E6374</t>
  </si>
  <si>
    <t>EXPLO,VANESSA,Est 109 NE (Est 108 SE),REHABILITACION</t>
  </si>
  <si>
    <t>1E6391</t>
  </si>
  <si>
    <t>EXPLO,VANESSA,Est 115 S (Tj 117 NE),SUMINISTROS</t>
  </si>
  <si>
    <t>1E6392</t>
  </si>
  <si>
    <t>EXPLO,VANESSA,Est 115 S (Tj 117 NE),SOSTENIMIENTO</t>
  </si>
  <si>
    <t>1E6393</t>
  </si>
  <si>
    <t>EXPLO,VANESSA,Est 115 S (Tj 117 NE),SERVICIO</t>
  </si>
  <si>
    <t>1E6394</t>
  </si>
  <si>
    <t>EXPLO,VANESSA,Est 115 S (Tj 117 NE),REHABILITACION</t>
  </si>
  <si>
    <t>1E682L</t>
  </si>
  <si>
    <t>EXPLOR,VANESSA,Est 810 SW (Snv 868 SW),LIMPIEZA</t>
  </si>
  <si>
    <t>1E682O</t>
  </si>
  <si>
    <t>EXPLOR,VANESSA,Est 810 SW (Snv 868 SW),SERVICIO</t>
  </si>
  <si>
    <t>1E682P</t>
  </si>
  <si>
    <t>EXPLOR,VANESSA,Est 810 SW (Snv 868 SW),PERFORACION</t>
  </si>
  <si>
    <t>1E682S</t>
  </si>
  <si>
    <t>EXPLOR,VANESSA,Est 810 SW (Snv 868 SW),SOSTENIMIENTO</t>
  </si>
  <si>
    <t>1E682V</t>
  </si>
  <si>
    <t>EXPLOR,VANESSA,Est 810 SW (Snv 868 SW),VOLADURA</t>
  </si>
  <si>
    <t>1E683L</t>
  </si>
  <si>
    <t>EXPLOR,VANESSA,Est 831 SW (Snv 842 SW),LIMPIEZA</t>
  </si>
  <si>
    <t>1E683O</t>
  </si>
  <si>
    <t>EXPLOR,VANESSA,Est 831 SW (Snv 842 SW),SERVICIO</t>
  </si>
  <si>
    <t>1E683P</t>
  </si>
  <si>
    <t>EXPLOR,VANESSA,Est 831 SW (Snv 842 SW),PERFORACION</t>
  </si>
  <si>
    <t>1E683S</t>
  </si>
  <si>
    <t>EXPLOR,VANESSA,Est 831 SW (Snv 842 SW),SOSTENIMIENTO</t>
  </si>
  <si>
    <t>1E683V</t>
  </si>
  <si>
    <t>EXPLOR,VANESSA,Est 831 SW (Snv 842 SW),VOLADURA</t>
  </si>
  <si>
    <t>1E684L</t>
  </si>
  <si>
    <t>EXPLOR,VANESSA,Est 850 NW (Snv 010 NE),LIMPIEZA</t>
  </si>
  <si>
    <t>1E684O</t>
  </si>
  <si>
    <t>EXPLOR,VANESSA,Est 850 NW (Snv 010 NE),SERVICIO</t>
  </si>
  <si>
    <t>1E684P</t>
  </si>
  <si>
    <t>EXPLOR,VANESSA,Est 850 NW (Snv 010 NE),PERFORACION</t>
  </si>
  <si>
    <t>1E684S</t>
  </si>
  <si>
    <t>EXPLOR,VANESSA,Est 850 NW (Snv 010 NE),SOSTENIMIENTO</t>
  </si>
  <si>
    <t>1E684V</t>
  </si>
  <si>
    <t>EXPLOR,VANESSA,Est 850 NW (Snv 010 NE),VOLADURA</t>
  </si>
  <si>
    <t>1E686L</t>
  </si>
  <si>
    <t>EXPLOR,VANESSA,Est 830 SW (Snv 842 SW),LIMPIEZA</t>
  </si>
  <si>
    <t>1E686O</t>
  </si>
  <si>
    <t>EXPLOR,VANESSA,Est 830 SW (Snv 842 SW),SERVICIO</t>
  </si>
  <si>
    <t>1E686P</t>
  </si>
  <si>
    <t>EXPLOR,VANESSA,Est 830 SW (Snv 842 SW),PERFORACION</t>
  </si>
  <si>
    <t>1E686S</t>
  </si>
  <si>
    <t>EXPLOR,VANESSA,Est 830 SW (Snv 842 SW),SOSTENIMIENTO</t>
  </si>
  <si>
    <t>1E686V</t>
  </si>
  <si>
    <t>EXPLOR,VANESSA,Est 830 SW (Snv 842 SW),VOLADURA</t>
  </si>
  <si>
    <t>1E687L</t>
  </si>
  <si>
    <t>EXPLOR,VANESSA,Est 820 NW (Tj 036 SW),LIMPIEZA</t>
  </si>
  <si>
    <t>1E687O</t>
  </si>
  <si>
    <t>EXPLOR,VANESSA,Est 820 NW (Tj 036 SW),SERVICIO</t>
  </si>
  <si>
    <t>1E687P</t>
  </si>
  <si>
    <t>EXPLOR,VANESSA,Est 820 NW (Tj 036 SW),PERFORACION</t>
  </si>
  <si>
    <t>1E687S</t>
  </si>
  <si>
    <t>EXPLOR,VANESSA,Est 820 NW (Tj 036 SW),SOSTENIMIENTO</t>
  </si>
  <si>
    <t>1E687V</t>
  </si>
  <si>
    <t>EXPLOR,VANESSA,Est 820 NW (Tj 036 SW),VOLADURA</t>
  </si>
  <si>
    <t>1E688L</t>
  </si>
  <si>
    <t>EXPLOR,VANESSA,Est 820 NW (Ch 044),LIMPIEZA</t>
  </si>
  <si>
    <t>1E688O</t>
  </si>
  <si>
    <t>EXPLOR,VANESSA,Est 820 NW (Ch 044),SERVICIO</t>
  </si>
  <si>
    <t>1E688P</t>
  </si>
  <si>
    <t>EXPLOR,VANESSA,Est 820 NW (Ch 044),PERFORACION</t>
  </si>
  <si>
    <t>1E688S</t>
  </si>
  <si>
    <t>EXPLOR,VANESSA,Est 820 NW (Ch 044),SOSTENIMIENTO</t>
  </si>
  <si>
    <t>1E688V</t>
  </si>
  <si>
    <t>EXPLOR,VANESSA,Est 820 NW (Ch 044),VOLADURA</t>
  </si>
  <si>
    <t>1E8121</t>
  </si>
  <si>
    <t>EXPLO,VANESSA,Cam 073 SE  (Snv 092 SW),SUMINISTROS</t>
  </si>
  <si>
    <t>1E8122</t>
  </si>
  <si>
    <t>EXPLO,VANESSA,Cam 073 SE  (Snv 092 SW),SOSTENIMIENTO</t>
  </si>
  <si>
    <t>1E8123</t>
  </si>
  <si>
    <t>EXPLO,VANESSA,Cam 073 SE  (Snv 092 SW),SERVICIO</t>
  </si>
  <si>
    <t>1E8124</t>
  </si>
  <si>
    <t>EXPLO,VANESSA,Cam 073 SE  (Snv 092 SW),REHABILITACION</t>
  </si>
  <si>
    <t>1F8131</t>
  </si>
  <si>
    <t>EXPLO,ALONDRA,Cam 10 (Gal 127 NE),SUMINISTROS</t>
  </si>
  <si>
    <t>1F8132</t>
  </si>
  <si>
    <t>EXPLO,ALONDRA,Cam 10 (Gal 127 NE),SOSTENIMIENTO</t>
  </si>
  <si>
    <t>1F8133</t>
  </si>
  <si>
    <t>EXPLO,ALONDRA,Cam 10 (Gal 127 NE),SERVICIO</t>
  </si>
  <si>
    <t>1F8134</t>
  </si>
  <si>
    <t>EXPLO,ALONDRA,Cam 10 (Gal 127 NE),REHABILITACION</t>
  </si>
  <si>
    <t>1F8161</t>
  </si>
  <si>
    <t>EXPLO,ALONDRA,Cam 15 (Snv 3850 SW),SUMINISTROS</t>
  </si>
  <si>
    <t>1F8162</t>
  </si>
  <si>
    <t>EXPLO,ALONDRA,Cam 15 (Snv 3850 SW),SOSTENIMIENTO</t>
  </si>
  <si>
    <t>1F8163</t>
  </si>
  <si>
    <t>EXPLO,ALONDRA,Cam 15 (Snv 3850 SW),SERVICIO</t>
  </si>
  <si>
    <t>1F8164</t>
  </si>
  <si>
    <t>EXPLO,ALONDRA,Cam 15 (Snv 3850 SW),REHABILITACION</t>
  </si>
  <si>
    <t>1F8171</t>
  </si>
  <si>
    <t>EXPLO,ALONDRA,Cam 16 (Cx 171 NW),SUMINISTROS</t>
  </si>
  <si>
    <t>1F8172</t>
  </si>
  <si>
    <t>EXPLO,ALONDRA,Cam 16 (Cx 171 NW),SOSTENIMIENTO</t>
  </si>
  <si>
    <t>1F8173</t>
  </si>
  <si>
    <t>EXPLO,ALONDRA,Cam 16 (Cx 171 NW),SERVICIO</t>
  </si>
  <si>
    <t>1F8174</t>
  </si>
  <si>
    <t>EXPLO,ALONDRA,Cam 16 (Cx 171 NW),REHABILITACION</t>
  </si>
  <si>
    <t>1G31NL</t>
  </si>
  <si>
    <t>EXPLOR,MANUEL,Ch 907 (Snv 898 NE),LIMPIEZA</t>
  </si>
  <si>
    <t>1G31NO</t>
  </si>
  <si>
    <t>EXPLOR,MANUEL,Ch 907 (Snv 898 NE),SERVICIO</t>
  </si>
  <si>
    <t>1G31NP</t>
  </si>
  <si>
    <t>EXPLOR,MANUEL,Ch 907 (Snv 898 NE),PERFORACION</t>
  </si>
  <si>
    <t>1G31NS</t>
  </si>
  <si>
    <t>EXPLOR,MANUEL,Ch 907 (Snv 898 NE),SOSTENIMIENTO</t>
  </si>
  <si>
    <t>1G31NV</t>
  </si>
  <si>
    <t>EXPLOR,MANUEL,Ch 907 (Snv 898 NE),VOLADURA</t>
  </si>
  <si>
    <t>1G3621</t>
  </si>
  <si>
    <t>EXPLO,MANUEL,Ch 159 (Tj 152 NE),SUMINISTROS</t>
  </si>
  <si>
    <t>1G3622</t>
  </si>
  <si>
    <t>EXPLO,MANUEL,Ch 159 (Tj 152 NE),SOSTENIMIENTO</t>
  </si>
  <si>
    <t>1G3623</t>
  </si>
  <si>
    <t>EXPLO,MANUEL,Ch 159 (Tj 152 NE),SERVICIO</t>
  </si>
  <si>
    <t>1G3624</t>
  </si>
  <si>
    <t>EXPLO,MANUEL,Ch 159 (Tj 152 NE),REHABILITACION</t>
  </si>
  <si>
    <t>1G396L</t>
  </si>
  <si>
    <t>EXPLOR,MANUEL,Ch 907 (Snv 878 NE),LIMPIEZA</t>
  </si>
  <si>
    <t>1G396O</t>
  </si>
  <si>
    <t>EXPLOR,MANUEL,Ch 907 (Snv 878 NE),SERVICIO</t>
  </si>
  <si>
    <t>1G396P</t>
  </si>
  <si>
    <t>EXPLOR,MANUEL,Ch 907 (Snv 878 NE),PERFORACION</t>
  </si>
  <si>
    <t>1G396S</t>
  </si>
  <si>
    <t>EXPLOR,MANUEL,Ch 907 (Snv 878 NE),SOSTENIMIENTO</t>
  </si>
  <si>
    <t>1G396V</t>
  </si>
  <si>
    <t>EXPLOR,MANUEL,Ch 907 (Snv 878 NE),VOLADURA</t>
  </si>
  <si>
    <t>1G413L</t>
  </si>
  <si>
    <t>EXPLOR,MANUEL,Pq 907 (Snv 019 NE),LIMPIEZA</t>
  </si>
  <si>
    <t>1G413O</t>
  </si>
  <si>
    <t>EXPLOR,MANUEL,Pq 907 (Snv 019 NE),SERVICIO</t>
  </si>
  <si>
    <t>1G413P</t>
  </si>
  <si>
    <t>EXPLOR,MANUEL,Pq 907 (Snv 019 NE),PERFORACION</t>
  </si>
  <si>
    <t>1G413S</t>
  </si>
  <si>
    <t>EXPLOR,MANUEL,Pq 907 (Snv 019 NE),SOSTENIMIENTO</t>
  </si>
  <si>
    <t>1G413V</t>
  </si>
  <si>
    <t>EXPLOR,MANUEL,Pq 907 (Snv 019 NE),VOLADURA</t>
  </si>
  <si>
    <t>1G56BL</t>
  </si>
  <si>
    <t>EXPLOR,MANUEL,Snv  025 NE (Tj 019 NE),LIMPIEZA</t>
  </si>
  <si>
    <t>1G56BO</t>
  </si>
  <si>
    <t>EXPLOR,MANUEL,Snv  025 NE (Tj 019 NE),SERVICIO</t>
  </si>
  <si>
    <t>1G56BP</t>
  </si>
  <si>
    <t>EXPLOR,MANUEL,Snv  025 NE (Tj 019 NE),PERFORACION</t>
  </si>
  <si>
    <t>1G56BS</t>
  </si>
  <si>
    <t>EXPLOR,MANUEL,Snv  025 NE (Tj 019 NE),SOSTENIMIENTO</t>
  </si>
  <si>
    <t>1G56BV</t>
  </si>
  <si>
    <t>EXPLOR,MANUEL,Snv  025 NE (Tj 019 NE),VOLADURA</t>
  </si>
  <si>
    <t>1G5801</t>
  </si>
  <si>
    <t>EXPLO,MANUEL,Snv 104 SE (Snv 070 NE),SUMINISTROS</t>
  </si>
  <si>
    <t>1G5802</t>
  </si>
  <si>
    <t>EXPLO,MANUEL,Snv 104 SE (Snv 070 NE),SOSTENIMIENTO</t>
  </si>
  <si>
    <t>1G5803</t>
  </si>
  <si>
    <t>EXPLO,MANUEL,Snv 104 SE (Snv 070 NE),SERVICIO</t>
  </si>
  <si>
    <t>1G5804</t>
  </si>
  <si>
    <t>EXPLO,MANUEL,Snv 104 SE (Snv 070 NE),REHABILITACION</t>
  </si>
  <si>
    <t>1G5851</t>
  </si>
  <si>
    <t>EXPLO,MANUEL,Snv 162 NE (Tj 152 NE),SUMINISTROS</t>
  </si>
  <si>
    <t>1G5852</t>
  </si>
  <si>
    <t>EXPLO,MANUEL,Snv 162 NE (Tj 152 NE),SOSTENIMIENTO</t>
  </si>
  <si>
    <t>1G5853</t>
  </si>
  <si>
    <t>EXPLO,MANUEL,Snv 162 NE (Tj 152 NE),SERVICIO</t>
  </si>
  <si>
    <t>1G5854</t>
  </si>
  <si>
    <t>EXPLO,MANUEL,Snv 162 NE (Tj 152 NE),REHABILITACION</t>
  </si>
  <si>
    <t>1H1121</t>
  </si>
  <si>
    <t>EXPLO,SHOJO,CX 010 SW (GAL 170 SW),SUMINISTROS</t>
  </si>
  <si>
    <t>1H1122</t>
  </si>
  <si>
    <t>EXPLO,SHOJO,CX 010 SW (GAL 170 SW),SOSTENIMIENTO</t>
  </si>
  <si>
    <t>1H1123</t>
  </si>
  <si>
    <t>EXPLO,SHOJO,CX 010 SW (GAL 170 SW),SERVICIO</t>
  </si>
  <si>
    <t>1H1124</t>
  </si>
  <si>
    <t>EXPLO,SHOJO,CX 010 SW (GAL 170 SW),REHABILITACION</t>
  </si>
  <si>
    <t>1H1126</t>
  </si>
  <si>
    <t>EXPLO,SHOJO,CX 010 SW (GAL 170 SW),REFUGIO</t>
  </si>
  <si>
    <t>1H128L</t>
  </si>
  <si>
    <t>EXPLOR,SHOJO,Cx 712 SW (Gal 980 SW),LIMPIEZA</t>
  </si>
  <si>
    <t>1H128O</t>
  </si>
  <si>
    <t>EXPLOR,SHOJO,Cx 712 SW (Gal 980 SW),SERVICIO</t>
  </si>
  <si>
    <t>1H128P</t>
  </si>
  <si>
    <t>EXPLOR,SHOJO,Cx 712 SW (Gal 980 SW),PERFORACION</t>
  </si>
  <si>
    <t>1H128S</t>
  </si>
  <si>
    <t>EXPLOR,SHOJO,Cx 712 SW (Gal 980 SW),SOSTENIMIENTO</t>
  </si>
  <si>
    <t>1H128V</t>
  </si>
  <si>
    <t>EXPLOR,SHOJO,Cx 712 SW (Gal 980 SW),VOLADURA</t>
  </si>
  <si>
    <t>1H131L</t>
  </si>
  <si>
    <t>EXPLOR,SHOJO,Cx 683 NW (Gal 980 SW),LIMPIEZA</t>
  </si>
  <si>
    <t>1H131O</t>
  </si>
  <si>
    <t>EXPLOR,SHOJO,Cx 683 NW (Gal 980 SW),SERVICIO</t>
  </si>
  <si>
    <t>1H131P</t>
  </si>
  <si>
    <t>EXPLOR,SHOJO,Cx 683 NW (Gal 980 SW),PERFORACION</t>
  </si>
  <si>
    <t>1H131S</t>
  </si>
  <si>
    <t>EXPLOR,SHOJO,Cx 683 NW (Gal 980 SW),SOSTENIMIENTO</t>
  </si>
  <si>
    <t>1H131V</t>
  </si>
  <si>
    <t>EXPLOR,SHOJO,Cx 683 NW (Gal 980 SW),VOLADURA</t>
  </si>
  <si>
    <t>1H214L</t>
  </si>
  <si>
    <t>EXPLOR,SHOJO,Gal 648 SW (Cx 712 SW),LIMPIEZA</t>
  </si>
  <si>
    <t>1H214O</t>
  </si>
  <si>
    <t>EXPLOR,SHOJO,Gal 648 SW (Cx 712 SW),SERVICIO</t>
  </si>
  <si>
    <t>1H214P</t>
  </si>
  <si>
    <t>EXPLOR,SHOJO,Gal 648 SW (Cx 712 SW),PERFORACION</t>
  </si>
  <si>
    <t>1H214S</t>
  </si>
  <si>
    <t>EXPLOR,SHOJO,Gal 648 SW (Cx 712 SW),SOSTENIMIENTO</t>
  </si>
  <si>
    <t>1H214V</t>
  </si>
  <si>
    <t>EXPLOR,SHOJO,Gal 648 SW (Cx 712 SW),VOLADURA</t>
  </si>
  <si>
    <t>1H215L</t>
  </si>
  <si>
    <t>EXPLOR,SHOJO,Gal 648 NE (Cx 712 SW),LIMPIEZA</t>
  </si>
  <si>
    <t>1H215O</t>
  </si>
  <si>
    <t>EXPLOR,SHOJO,Gal 648 NE (Cx 712 SW),SERVICIO</t>
  </si>
  <si>
    <t>1H215P</t>
  </si>
  <si>
    <t>EXPLOR,SHOJO,Gal 648 NE (Cx 712 SW),PERFORACION</t>
  </si>
  <si>
    <t>1H215S</t>
  </si>
  <si>
    <t>EXPLOR,SHOJO,Gal 648 NE (Cx 712 SW),SOSTENIMIENTO</t>
  </si>
  <si>
    <t>1H215V</t>
  </si>
  <si>
    <t>EXPLOR,SHOJO,Gal 648 NE (Cx 712 SW),VOLADURA</t>
  </si>
  <si>
    <t>1J1131</t>
  </si>
  <si>
    <t>EXPLO,PAMELA,CX 941 NW (GAL 980 SW),SUMINISTROS</t>
  </si>
  <si>
    <t>1J1132</t>
  </si>
  <si>
    <t>EXPLO,PAMELA,CX 941 NW (GAL 980 SW),SOSTENIMIENTO</t>
  </si>
  <si>
    <t>1J1133</t>
  </si>
  <si>
    <t>EXPLO,PAMELA,CX 941 NW (GAL 980 SW),SERVICIO</t>
  </si>
  <si>
    <t>1J1134</t>
  </si>
  <si>
    <t>EXPLO,PAMELA,CX 941 NW (GAL 980 SW),REHABILITACION</t>
  </si>
  <si>
    <t>1J3481</t>
  </si>
  <si>
    <t>EXPLO,PAMELA,Ch 981 (Tj 800),SUMINISTROS</t>
  </si>
  <si>
    <t>1J3482</t>
  </si>
  <si>
    <t>EXPLO,PAMELA,Ch 981 (Tj 800),SOSTENIMIENTO</t>
  </si>
  <si>
    <t>1J3483</t>
  </si>
  <si>
    <t>EXPLO,PAMELA,Ch 981 (Tj 800),SERVICIO</t>
  </si>
  <si>
    <t>1J3484</t>
  </si>
  <si>
    <t>EXPLO,PAMELA,Ch 981 (Tj 800),REHABILITACION</t>
  </si>
  <si>
    <t>1J3485</t>
  </si>
  <si>
    <t>EXPLO,PAMELA,Ch 981 (Tj 800),TOLVA</t>
  </si>
  <si>
    <t>1J5271</t>
  </si>
  <si>
    <t>EXPLO,PAMELA,SNV 994 SW (CH 994),SUMINISTROS</t>
  </si>
  <si>
    <t>1J5272</t>
  </si>
  <si>
    <t>EXPLO,PAMELA,SNV 994 SW (CH 994),SOSTENIMIENTO</t>
  </si>
  <si>
    <t>1J5273</t>
  </si>
  <si>
    <t>EXPLO,PAMELA,SNV 994 SW (CH 994),SERVICIO</t>
  </si>
  <si>
    <t>1J5274</t>
  </si>
  <si>
    <t>EXPLO,PAMELA,SNV 994 SW (CH 994),REHABILITACION</t>
  </si>
  <si>
    <t>1J5281</t>
  </si>
  <si>
    <t>EXPLO,PAMELA,SNV 994 NE (CH 994),SUMINISTROS</t>
  </si>
  <si>
    <t>1J5282</t>
  </si>
  <si>
    <t>EXPLO,PAMELA,SNV 994 NE (CH 994),SOSTENIMIENTO</t>
  </si>
  <si>
    <t>1J5283</t>
  </si>
  <si>
    <t>EXPLO,PAMELA,SNV 994 NE (CH 994),SERVICIO</t>
  </si>
  <si>
    <t>1J5284</t>
  </si>
  <si>
    <t>EXPLO,PAMELA,SNV 994 NE (CH 994),REHABILITACION</t>
  </si>
  <si>
    <t>1J8101</t>
  </si>
  <si>
    <t>EXPLO,PAMELA,CAM 08,SUMINISTROS</t>
  </si>
  <si>
    <t>1J8102</t>
  </si>
  <si>
    <t>EXPLO,PAMELA,CAM 08,SOSTENIMIENTO</t>
  </si>
  <si>
    <t>1J8103</t>
  </si>
  <si>
    <t>EXPLO,PAMELA,CAM 08,SERVICIO</t>
  </si>
  <si>
    <t>1J8104</t>
  </si>
  <si>
    <t>EXPLO,PAMELA,CAM 08,REHABILITACION</t>
  </si>
  <si>
    <t>1L1211</t>
  </si>
  <si>
    <t>EXPLO,ANDREA,Cx 219 SE (Cx 199 NE),SUMINISTROS</t>
  </si>
  <si>
    <t>1L1212</t>
  </si>
  <si>
    <t>EXPLO,ANDREA,Cx 219 SE (Cx 199 NE),SOSTENIMIENTO</t>
  </si>
  <si>
    <t>1L1213</t>
  </si>
  <si>
    <t>EXPLO,ANDREA,Cx 219 SE (Cx 199 NE),SERVICIO</t>
  </si>
  <si>
    <t>1L1214</t>
  </si>
  <si>
    <t>EXPLO,ANDREA,Cx 219 SE (Cx 199 NE),REHABILITACION</t>
  </si>
  <si>
    <t>1L1216</t>
  </si>
  <si>
    <t>EXPLO,ANDREA,Cx 219 SE (Cx 199 NE),REFUGIO</t>
  </si>
  <si>
    <t>1L133L</t>
  </si>
  <si>
    <t>EXPLOR,ANDREA,Cx 082 SE (Cx 199 NE),LIMPIEZA</t>
  </si>
  <si>
    <t>1L133O</t>
  </si>
  <si>
    <t>EXPLOR,ANDREA,Cx 082 SE (Cx 199 NE),SERVICIO</t>
  </si>
  <si>
    <t>1L133P</t>
  </si>
  <si>
    <t>EXPLOR,ANDREA,Cx 082 SE (Cx 199 NE),PERFORACION</t>
  </si>
  <si>
    <t>1L133S</t>
  </si>
  <si>
    <t>EXPLOR,ANDREA,Cx 082 SE (Cx 199 NE),SOSTENIMIENTO</t>
  </si>
  <si>
    <t>1L133V</t>
  </si>
  <si>
    <t>EXPLOR,ANDREA,Cx 082 SE (Cx 199 NE),VOLADURA</t>
  </si>
  <si>
    <t>1L392L</t>
  </si>
  <si>
    <t>EXPLOR,ANDREA,Ch 921 (Snv 145 NE),LIMPIEZA</t>
  </si>
  <si>
    <t>1L392O</t>
  </si>
  <si>
    <t>EXPLOR,ANDREA,Ch 921 (Snv 145 NE),SERVICIO</t>
  </si>
  <si>
    <t>1L392P</t>
  </si>
  <si>
    <t>EXPLOR,ANDREA,Ch 921 (Snv 145 NE),PERFORACION</t>
  </si>
  <si>
    <t>1L392S</t>
  </si>
  <si>
    <t>EXPLOR,ANDREA,Ch 921 (Snv 145 NE),SOSTENIMIENTO</t>
  </si>
  <si>
    <t>1L392V</t>
  </si>
  <si>
    <t>EXPLOR,ANDREA,Ch 921 (Snv 145 NE),VOLADURA</t>
  </si>
  <si>
    <t>1L5921</t>
  </si>
  <si>
    <t>EXPLO,ANDREA,Snv 251 NE (Cx 199 NE),SUMINISTROS</t>
  </si>
  <si>
    <t>1L5922</t>
  </si>
  <si>
    <t>EXPLO,ANDREA,Snv 251 NE (Cx 199 NE),SOSTENIMIENTO</t>
  </si>
  <si>
    <t>1L5923</t>
  </si>
  <si>
    <t>EXPLO,ANDREA,Snv 251 NE (Cx 199 NE),SERVICIO</t>
  </si>
  <si>
    <t>1L5924</t>
  </si>
  <si>
    <t>EXPLO,ANDREA,Snv 251 NE (Cx 199 NE),REHABILITACION</t>
  </si>
  <si>
    <t>1L5931</t>
  </si>
  <si>
    <t>EXPLO,ANDREA,Snv 251 SW (Cx 199 NE),SUMINISTROS</t>
  </si>
  <si>
    <t>1L5932</t>
  </si>
  <si>
    <t>EXPLO,ANDREA,Snv 251 SW (Cx 199 NE),SOSTENIMIENTO</t>
  </si>
  <si>
    <t>1L5933</t>
  </si>
  <si>
    <t>EXPLO,ANDREA,Snv 251 SW (Cx 199 NE),SERVICIO</t>
  </si>
  <si>
    <t>1L5934</t>
  </si>
  <si>
    <t>EXPLO,ANDREA,Snv 251 SW (Cx 199 NE),REHABILITACION</t>
  </si>
  <si>
    <t>1L664L</t>
  </si>
  <si>
    <t>EXPLOR,ANDREA,Est 022 NW (Nv 8),LIMPIEZA</t>
  </si>
  <si>
    <t>1L664O</t>
  </si>
  <si>
    <t>EXPLOR,ANDREA,Est 022 NW (Nv 8),SERVICIO</t>
  </si>
  <si>
    <t>1L664P</t>
  </si>
  <si>
    <t>EXPLOR,ANDREA,Est 022 NW (Nv 8),PERFORACION</t>
  </si>
  <si>
    <t>1L664S</t>
  </si>
  <si>
    <t>EXPLOR,ANDREA,Est 022 NW (Nv 8),SOSTENIMIENTO</t>
  </si>
  <si>
    <t>1L664V</t>
  </si>
  <si>
    <t>EXPLOR,ANDREA,Est 022 NW (Nv 8),VOLADURA</t>
  </si>
  <si>
    <t>1L71OL</t>
  </si>
  <si>
    <t>EXPLOR,ANDREA,Tj 004 SW (Snv 002 SW),LIMPIEZA</t>
  </si>
  <si>
    <t>1L71OO</t>
  </si>
  <si>
    <t>EXPLOR,ANDREA,Tj 004 SW (Snv 002 SW),SERVICIO</t>
  </si>
  <si>
    <t>1L71OP</t>
  </si>
  <si>
    <t>EXPLOR,ANDREA,Tj 004 SW (Snv 002 SW),PERFORACION</t>
  </si>
  <si>
    <t>1L71OR</t>
  </si>
  <si>
    <t>EXPLOR,ANDREA,Tj 004 SW (Snv 002 SW),RELLENO</t>
  </si>
  <si>
    <t>1L71OS</t>
  </si>
  <si>
    <t>EXPLOR,ANDREA,Tj 004 SW (Snv 002 SW),SOSTENIMIENTO</t>
  </si>
  <si>
    <t>1L71OV</t>
  </si>
  <si>
    <t>EXPLOR,ANDREA,Tj 004 SW (Snv 002 SW),VOLADURA</t>
  </si>
  <si>
    <t>1L8151</t>
  </si>
  <si>
    <t>EXPLO,ANDREA,Cam 14 (Cx 225 SE),SUMINISTROS</t>
  </si>
  <si>
    <t>1L8152</t>
  </si>
  <si>
    <t>EXPLO,ANDREA,Cam 14 (Cx 225 SE),SOSTENIMIENTO</t>
  </si>
  <si>
    <t>1L8153</t>
  </si>
  <si>
    <t>EXPLO,ANDREA,Cam 14 (Cx 225 SE),SERVICIO</t>
  </si>
  <si>
    <t>1L8154</t>
  </si>
  <si>
    <t>EXPLO,ANDREA,Cam 14 (Cx 225 SE),REHABILITACION</t>
  </si>
  <si>
    <t>1L821L</t>
  </si>
  <si>
    <t>EXPLOR,ANDREA,Cam 21 (Cx 082 SE),LIMPIEZA</t>
  </si>
  <si>
    <t>1L821O</t>
  </si>
  <si>
    <t>EXPLOR,ANDREA,Cam 21 (Cx 082 SE),SERVICIO</t>
  </si>
  <si>
    <t>1L821P</t>
  </si>
  <si>
    <t>EXPLOR,ANDREA,Cam 21 (Cx 082 SE),PERFORACION</t>
  </si>
  <si>
    <t>1L821S</t>
  </si>
  <si>
    <t>EXPLOR,ANDREA,Cam 21 (Cx 082 SE),SOSTENIMIENTO</t>
  </si>
  <si>
    <t>1L821V</t>
  </si>
  <si>
    <t>EXPLOR,ANDREA,Cam 21 (Cx 082 SE),VOLADURA</t>
  </si>
  <si>
    <t>21411A</t>
  </si>
  <si>
    <t xml:space="preserve">EXPLOR,INKA,SNv. 612 SE CH 626,VOLADURA           </t>
  </si>
  <si>
    <t>21411B</t>
  </si>
  <si>
    <t xml:space="preserve">EXPLOR,INKA,SNv. 612 SE CH 626,CAMINOS            </t>
  </si>
  <si>
    <t>21411C</t>
  </si>
  <si>
    <t xml:space="preserve">EXPLOR,INKA,SNv. 612 SE CH 626,INST DE RIELES     </t>
  </si>
  <si>
    <t>21411D</t>
  </si>
  <si>
    <t xml:space="preserve">EXPLOR,INKA,SNv. 612 SE CH 626,REHAB DE LABORES   </t>
  </si>
  <si>
    <t>21415A</t>
  </si>
  <si>
    <t xml:space="preserve">EXPLOR,INKA,SNv. 613 NW  SNv. 617 NW ,VOLADURA    </t>
  </si>
  <si>
    <t>21415B</t>
  </si>
  <si>
    <t xml:space="preserve">EXPLOR,INKA,SNv. 613 NW  SNv. 617 NW ,CAMINOS     </t>
  </si>
  <si>
    <t>21415C</t>
  </si>
  <si>
    <t>EXPLOR,INKA,SNv. 613 NW  SNv. 617 NW ,INST.de riel</t>
  </si>
  <si>
    <t>21415D</t>
  </si>
  <si>
    <t>EXPLOR,INKA,SNv. 613 NW  SNv. 617 NW ,REHAB DE LAB</t>
  </si>
  <si>
    <t>21517A</t>
  </si>
  <si>
    <t xml:space="preserve">EXPLOR,INKA,Est 568 SE SNV 585-9 SE,VOLADURA      </t>
  </si>
  <si>
    <t>21517B</t>
  </si>
  <si>
    <t xml:space="preserve">EXPLOR,INKA,Est 568 SE SNV 585-9 SE,CAMINOS       </t>
  </si>
  <si>
    <t>21517C</t>
  </si>
  <si>
    <t>EXPLOR,INKA,Est 568 SE SNV 585-9 SE,INST.DE RIELES</t>
  </si>
  <si>
    <t>21517D</t>
  </si>
  <si>
    <t>EXPLOR,INKA,Est 568 SE SNV 585-9 SE,REHAB DE LABOR</t>
  </si>
  <si>
    <t>21517E</t>
  </si>
  <si>
    <t>EXPLOR,INKA,Est 568 SE SNV 585-9 SE,CICLO COMPLETO</t>
  </si>
  <si>
    <t>21518A</t>
  </si>
  <si>
    <t xml:space="preserve">EXPLOR,INKA,Est 585 -2 SE SNv 585-9 SE,VOLADURA   </t>
  </si>
  <si>
    <t>21518B</t>
  </si>
  <si>
    <t xml:space="preserve">EXPLOR,INKA,Est 585 -2 SE SNv 585-9 SE,CAMINOS    </t>
  </si>
  <si>
    <t>21518C</t>
  </si>
  <si>
    <t>EXPLOR,INKA,Est 585 -2 SE SNv 585-9 SE,INST.DE RIE</t>
  </si>
  <si>
    <t>21518D</t>
  </si>
  <si>
    <t>EXPLOR,INKA,Est 585 -2 SE SNv 585-9 SE,REHAB DE LA</t>
  </si>
  <si>
    <t>21518E</t>
  </si>
  <si>
    <t>EXPLOR,INKA,Est 585 -2 SE SNv 585-9 SE,CICLO COMPL</t>
  </si>
  <si>
    <t>21B051</t>
  </si>
  <si>
    <t xml:space="preserve">EXPLOR,INKA,CAM 613 SNV 613,DESQUINCHE            </t>
  </si>
  <si>
    <t>21B052</t>
  </si>
  <si>
    <t xml:space="preserve">EXPLOR,INKA,CAM 613 SNV 613,ENMADERADO            </t>
  </si>
  <si>
    <t>21B053</t>
  </si>
  <si>
    <t xml:space="preserve">EXPLOR,INKA,CAM 613 SNV 613,LIMPIEZA              </t>
  </si>
  <si>
    <t>21B054</t>
  </si>
  <si>
    <t xml:space="preserve">EXPLOR,INKA,CAM 613 SNV 613,SERVICIOS             </t>
  </si>
  <si>
    <t>21B055</t>
  </si>
  <si>
    <t xml:space="preserve">EXPLOR,INKA,CAM 613 SNV 613,EXTRACCION            </t>
  </si>
  <si>
    <t>21B056</t>
  </si>
  <si>
    <t xml:space="preserve">EXPLOR,INKA,CAM 613 SNV 613,SPLIT SET             </t>
  </si>
  <si>
    <t>21B057</t>
  </si>
  <si>
    <t xml:space="preserve">EXPLOR,INKA,CAM 613 SNV 613,SPLIT CON MALLA       </t>
  </si>
  <si>
    <t>21B058</t>
  </si>
  <si>
    <t xml:space="preserve">EXPLOR,INKA,CAM 613 SNV 613,IZAJE Y DESCENSO W    </t>
  </si>
  <si>
    <t>21B059</t>
  </si>
  <si>
    <t xml:space="preserve">EXPLOR,INKA,CAM 613 SNV 613,PERFORACION           </t>
  </si>
  <si>
    <t>21B05A</t>
  </si>
  <si>
    <t xml:space="preserve">EXPLOR,INKA,CAM 613 SNV 613,VOLADURA              </t>
  </si>
  <si>
    <t>21B05B</t>
  </si>
  <si>
    <t xml:space="preserve">EXPLOR,INKA,CAM 613 SNV 613,CAMINOS               </t>
  </si>
  <si>
    <t>21B05C</t>
  </si>
  <si>
    <t xml:space="preserve">EXPLOR,INKA,CAM 613 SNV 613,INSTALACION DE RIELES </t>
  </si>
  <si>
    <t>21B05D</t>
  </si>
  <si>
    <t xml:space="preserve">EXPLOR,INKA,CAM 613 SNV 613,REHAB DE LABORES      </t>
  </si>
  <si>
    <t>22302A</t>
  </si>
  <si>
    <t xml:space="preserve">PRODUC , INKA , TJ 585 -6 NW , VOLADURA           </t>
  </si>
  <si>
    <t>22302B</t>
  </si>
  <si>
    <t xml:space="preserve">PRODUC , INKA , TJ 585 -6 NW , CAMINOS            </t>
  </si>
  <si>
    <t>22302C</t>
  </si>
  <si>
    <t>PRODUC , INKA , TJ 585 -6 NW , INSTALACION DE RIEL</t>
  </si>
  <si>
    <t>22302D</t>
  </si>
  <si>
    <t>PRODUC,INKA,TJ 585 -6 NW,REHABILITACION DE LABORES</t>
  </si>
  <si>
    <t>22308A</t>
  </si>
  <si>
    <t xml:space="preserve">PRODUC , INKA , TJ 600 NW , VOLADURA              </t>
  </si>
  <si>
    <t>22308B</t>
  </si>
  <si>
    <t xml:space="preserve">PRODUC , INKA , TJ 600 NW , CAMINOS               </t>
  </si>
  <si>
    <t>22308C</t>
  </si>
  <si>
    <t xml:space="preserve">PRODUC , INKA , TJ 600 NW , INSTALACION DE RIELES </t>
  </si>
  <si>
    <t>22308D</t>
  </si>
  <si>
    <t>PRODUC , INKA , TJ 600 NW , REHABILITACION DE LABO</t>
  </si>
  <si>
    <t>22309A</t>
  </si>
  <si>
    <t xml:space="preserve">PRODUC , INKA , TJ 600 SE , VOLADURA              </t>
  </si>
  <si>
    <t>22309B</t>
  </si>
  <si>
    <t xml:space="preserve">PRODUC , INKA , TJ 600 SE , CAMINOS               </t>
  </si>
  <si>
    <t>22309C</t>
  </si>
  <si>
    <t xml:space="preserve">PRODUC , INKA , TJ 600 SE , INSTALACION DE RIELES </t>
  </si>
  <si>
    <t>22309D</t>
  </si>
  <si>
    <t>PRODUC , INKA , TJ 600 SE , REHABILITACION DE LABO</t>
  </si>
  <si>
    <t>23204A</t>
  </si>
  <si>
    <t xml:space="preserve">DESARR , INKA , CH. 626  SN. 615 SE , VOLADURA    </t>
  </si>
  <si>
    <t>23204B</t>
  </si>
  <si>
    <t xml:space="preserve">DESARR , INKA , CH. 626  SN. 615 SE , CAMINOS     </t>
  </si>
  <si>
    <t>23204C</t>
  </si>
  <si>
    <t>DESARR , INKA , CH. 626  SN. 615 SE , INST DE RIEL</t>
  </si>
  <si>
    <t>23204D</t>
  </si>
  <si>
    <t>DESARR , INKA, CH. 626  SN. 615 SE,REHAB DE LABORE</t>
  </si>
  <si>
    <t>23212A</t>
  </si>
  <si>
    <t xml:space="preserve">DESARR,INKA,CH 585 SNV 617 NW,VOLADURA            </t>
  </si>
  <si>
    <t>23212B</t>
  </si>
  <si>
    <t xml:space="preserve">DESARR,INKA,CH 585 SNV 617 NW,CAMINOS             </t>
  </si>
  <si>
    <t>23212C</t>
  </si>
  <si>
    <t>DESARR,INKA,CH 585 SNV 617 NW,INSTALACION DE RIELE</t>
  </si>
  <si>
    <t>23212D</t>
  </si>
  <si>
    <t xml:space="preserve">DESARR,INKA,CH 585 SNV 617 NW,REHAB DE LABORES    </t>
  </si>
  <si>
    <t>23405A</t>
  </si>
  <si>
    <t xml:space="preserve">DESARR,INKA,SNv. 613 NW CH.626,VOLADURA           </t>
  </si>
  <si>
    <t>23405B</t>
  </si>
  <si>
    <t xml:space="preserve">DESARR,INKA,SNv. 613 NW CH.626,CAMINOS            </t>
  </si>
  <si>
    <t>23405C</t>
  </si>
  <si>
    <t xml:space="preserve">DESARR,INKA,SNv. 613 NW CH.626,INST DE RIELES     </t>
  </si>
  <si>
    <t>23405D</t>
  </si>
  <si>
    <t xml:space="preserve">DESARR,INKA,SNv. 613 NW CH.626,REHAB DE LABORES   </t>
  </si>
  <si>
    <t>23414A</t>
  </si>
  <si>
    <t xml:space="preserve">DESARR,INKA,SNV 617 NW EST 630-1,VOLADURA         </t>
  </si>
  <si>
    <t>23414B</t>
  </si>
  <si>
    <t xml:space="preserve">DESARR,INKA,SNV 617 NW EST 630-1,CAMINOS          </t>
  </si>
  <si>
    <t>23414C</t>
  </si>
  <si>
    <t xml:space="preserve">DESARR,INKA,SNV 617 NW EST 630-1,INST. DE RIELES  </t>
  </si>
  <si>
    <t>23414D</t>
  </si>
  <si>
    <t xml:space="preserve">DESARR,INKA,SNV 617 NW EST 630-1,REHAB DE LABORES </t>
  </si>
  <si>
    <t>23416A</t>
  </si>
  <si>
    <t xml:space="preserve">DESARR,INKA,SNV 585 SE EST 585-1 SW,VOLADURA      </t>
  </si>
  <si>
    <t>23416B</t>
  </si>
  <si>
    <t xml:space="preserve">DESARR,INKA,SNV 585 SE EST 585-1 SW,CAMINOS       </t>
  </si>
  <si>
    <t>23416C</t>
  </si>
  <si>
    <t>DESARR,INKA,SNV 585 SE EST 585-1 SW,INST.DE RIELES</t>
  </si>
  <si>
    <t>23416D</t>
  </si>
  <si>
    <t>DESARR,INKA,SNV 585 SE EST 585-1 SW,REHAB DE LABOR</t>
  </si>
  <si>
    <t>23416E</t>
  </si>
  <si>
    <t>DESARR,INKA,SNV 585 SE EST 585-1 SW,CICLO COMPLETO</t>
  </si>
  <si>
    <t>23432A</t>
  </si>
  <si>
    <t xml:space="preserve">DESARR,INKA,SNV 626 NW CH 626,VOLADURA            </t>
  </si>
  <si>
    <t>23432B</t>
  </si>
  <si>
    <t xml:space="preserve">DESARR,INKA,SNV 626 NW CH 626,CAMINOS             </t>
  </si>
  <si>
    <t>23432C</t>
  </si>
  <si>
    <t xml:space="preserve">DESARR,INKA,SNV 626 NW CH 626,INST.DE RIELES      </t>
  </si>
  <si>
    <t>23432D</t>
  </si>
  <si>
    <t xml:space="preserve">DESARR,INKA,SNV 626 NW CH 626,REHAB DE LABORES    </t>
  </si>
  <si>
    <t>23432E</t>
  </si>
  <si>
    <t xml:space="preserve">DESARR,INKA,SNV 626 NW CH 626,CICLO COMPLETO      </t>
  </si>
  <si>
    <t>23433A</t>
  </si>
  <si>
    <t xml:space="preserve">DESARR,INKA,SNV 626 SE CH 626,VOLADURA            </t>
  </si>
  <si>
    <t>23433B</t>
  </si>
  <si>
    <t xml:space="preserve">DESARR,INKA,SNV 626 SE CH 626,CAMINOS             </t>
  </si>
  <si>
    <t>23433C</t>
  </si>
  <si>
    <t xml:space="preserve">DESARR,INKA,SNV 626 SE CH 626,INST.DE RIELES      </t>
  </si>
  <si>
    <t>23433D</t>
  </si>
  <si>
    <t xml:space="preserve">DESARR,INKA,SNV 626 SE CH 626,REHAB DE LABORES    </t>
  </si>
  <si>
    <t>23433E</t>
  </si>
  <si>
    <t xml:space="preserve">DESARR,INKA,SNV 626 SE CH 626,CICLO COMPLETO      </t>
  </si>
  <si>
    <t>23434A</t>
  </si>
  <si>
    <t xml:space="preserve">DESARR,INKA,SNV 590 NW  CH 585,VOLADURA           </t>
  </si>
  <si>
    <t>23434B</t>
  </si>
  <si>
    <t xml:space="preserve">DESARR,INKA,SNV 590 NW  CH 585,CAMINOS            </t>
  </si>
  <si>
    <t>23434C</t>
  </si>
  <si>
    <t xml:space="preserve">DESARR,INKA,SNV 590 NW  CH 585,INST.DE RIELES     </t>
  </si>
  <si>
    <t>23434D</t>
  </si>
  <si>
    <t xml:space="preserve">DESARR,INKA,SNV 590 NW  CH 585,REHAB DE LABORES   </t>
  </si>
  <si>
    <t>23434E</t>
  </si>
  <si>
    <t xml:space="preserve">DESARR,INKA,SNV 590 NW  CH 585,CICLO COMPLETO     </t>
  </si>
  <si>
    <t>23513A</t>
  </si>
  <si>
    <t xml:space="preserve">DESARR,INKA,EST. 585-1 NW TJ.585 SW,VOLADURA      </t>
  </si>
  <si>
    <t>23513B</t>
  </si>
  <si>
    <t xml:space="preserve">DESARR,INKA,EST. 585-1 NW TJ.585 SW,CAMINOS       </t>
  </si>
  <si>
    <t>23513C</t>
  </si>
  <si>
    <t>DESARR,INKA,EST. 585-1 NW TJ.585 SW,INST.DE RIELES</t>
  </si>
  <si>
    <t>23513D</t>
  </si>
  <si>
    <t>DESARR,INKA,EST. 585-1 NW TJ.585 SW,REHAB DE LABOR</t>
  </si>
  <si>
    <t>24202A</t>
  </si>
  <si>
    <t xml:space="preserve">OPER , INKA , CH. 630-1 , VOLADURA                </t>
  </si>
  <si>
    <t>24202B</t>
  </si>
  <si>
    <t xml:space="preserve">OPER , INKA , CH. 630-1 , CAMINOS                 </t>
  </si>
  <si>
    <t>24202C</t>
  </si>
  <si>
    <t xml:space="preserve">OPER , INKA , CH. 630-1 , INSTAL.RIELES           </t>
  </si>
  <si>
    <t>24202D</t>
  </si>
  <si>
    <t xml:space="preserve">OPER , INKA , CH. 630-1 , REHABILIT.LABORES       </t>
  </si>
  <si>
    <t>24203A</t>
  </si>
  <si>
    <t>OPERAC , INKA , CH. 630-1  Est. 630-6 SW , VOLADUR</t>
  </si>
  <si>
    <t>24203B</t>
  </si>
  <si>
    <t>OPERAC , INKA , CH. 630-1  Est. 630-6 SW , CAMINOS</t>
  </si>
  <si>
    <t>24203C</t>
  </si>
  <si>
    <t>OPERAC , INKA , CH. 630-1  Est. 630-6 SW , INST DE</t>
  </si>
  <si>
    <t>24203D</t>
  </si>
  <si>
    <t xml:space="preserve">OPERAC , INKA,CH.630-1  Est.630-6 SW,REHABILIT DE </t>
  </si>
  <si>
    <t>24217A</t>
  </si>
  <si>
    <t xml:space="preserve">OPERA,INKA,CH 597 TJ 626 NW,VOLADURA              </t>
  </si>
  <si>
    <t>24217B</t>
  </si>
  <si>
    <t xml:space="preserve">OPERA,INKA,CH 597 TJ 626 NW,CAMINOS               </t>
  </si>
  <si>
    <t>24217C</t>
  </si>
  <si>
    <t xml:space="preserve">OPERA,INKA,CH 597 TJ 626 NW,INST.DE RIELES        </t>
  </si>
  <si>
    <t>24217D</t>
  </si>
  <si>
    <t xml:space="preserve">OPERA,INKA,CH 597 TJ 626 NW,REHAB DE LABORES      </t>
  </si>
  <si>
    <t>24217E</t>
  </si>
  <si>
    <t xml:space="preserve">OPERA,INKA,CH 597 TJ 626 NW,CICLO COMPLETO        </t>
  </si>
  <si>
    <t>24503A</t>
  </si>
  <si>
    <t xml:space="preserve">OPER , INKA , ES. 630-6 SW_PQ. 630 , VOLADURA     </t>
  </si>
  <si>
    <t>24503B</t>
  </si>
  <si>
    <t xml:space="preserve">OPER , INKA , ES. 630-6 SW_PQ. 630 , CAMINOS      </t>
  </si>
  <si>
    <t>24503C</t>
  </si>
  <si>
    <t>OPER , INKA , ES. 630-6 SW_PQ. 630 , INSTAL.RIELES</t>
  </si>
  <si>
    <t>24503D</t>
  </si>
  <si>
    <t>OPER , INKA , ES. 630-6 SW_PQ. 630 , REHABILIT.LAB</t>
  </si>
  <si>
    <t>24506A</t>
  </si>
  <si>
    <t xml:space="preserve">OPERAC , INKA , Est. 626-1 CH. 626 , VOLADURA     </t>
  </si>
  <si>
    <t>24506B</t>
  </si>
  <si>
    <t xml:space="preserve">OPERAC , INKA , Est. 626-1 CH. 626 , CAMINOS      </t>
  </si>
  <si>
    <t>24506C</t>
  </si>
  <si>
    <t>OPERAC , INKA , Est. 626-1 CH. 626 , INST DE RIELE</t>
  </si>
  <si>
    <t>24506D</t>
  </si>
  <si>
    <t>OPERAC , INKA , Est. 626-1 CH. 626 , REHAB DE LABO</t>
  </si>
  <si>
    <t>24601A</t>
  </si>
  <si>
    <t xml:space="preserve">OPER , INKA , PQ 630_CX. 616 SW , VOLADURA        </t>
  </si>
  <si>
    <t>24601B</t>
  </si>
  <si>
    <t xml:space="preserve">OPER , INKA , PQ 630_CX. 616 SW , CAMINOS         </t>
  </si>
  <si>
    <t>24601C</t>
  </si>
  <si>
    <t xml:space="preserve">OPER , INKA , PQ 630_CX. 616 SW , INSTAL.RIELES   </t>
  </si>
  <si>
    <t>24601D</t>
  </si>
  <si>
    <t>OPER , INKA , PQ 630_CX. 616 SW , REHABILIT.LABORE</t>
  </si>
  <si>
    <t>24603A</t>
  </si>
  <si>
    <t xml:space="preserve">OPERAC , INKA , PQ. 630  Cam. 623 , VOLADURA      </t>
  </si>
  <si>
    <t>24603B</t>
  </si>
  <si>
    <t xml:space="preserve">OPERAC , INKA , PQ. 630  Cam. 623 , CAMINOS       </t>
  </si>
  <si>
    <t>24603C</t>
  </si>
  <si>
    <t>OPERAC , INKA , PQ. 630  Cam. 623 , INST DE RIELES</t>
  </si>
  <si>
    <t>24603D</t>
  </si>
  <si>
    <t>OPERAC , INKA , PQ. 630  Cam. 623 ,REHABILIT DE LA</t>
  </si>
  <si>
    <t>25312A</t>
  </si>
  <si>
    <t xml:space="preserve">PRODU,INKA,TJ 626,CH 626,VOLADURA                 </t>
  </si>
  <si>
    <t>25312B</t>
  </si>
  <si>
    <t xml:space="preserve">PRODU,INKA,TJ 626,CH 626,CAMINOS                  </t>
  </si>
  <si>
    <t>25312C</t>
  </si>
  <si>
    <t xml:space="preserve">PRODU,INKA,TJ 626,CH 626,INST.DE RIELES           </t>
  </si>
  <si>
    <t>25312D</t>
  </si>
  <si>
    <t xml:space="preserve">PRODU,INKA,TJ 626,CH 626,REHAB DE LABORES         </t>
  </si>
  <si>
    <t>25312E</t>
  </si>
  <si>
    <t xml:space="preserve">PRODU,INKA,TJ 626,CH 626,CICLO COMPLETO           </t>
  </si>
  <si>
    <t>25317A</t>
  </si>
  <si>
    <t xml:space="preserve">PRODU,INKA,TJ 626,SNV 626 NW,VOLADURA             </t>
  </si>
  <si>
    <t>25317B</t>
  </si>
  <si>
    <t xml:space="preserve">PRODU,INKA,TJ 626,SNV 626 NW,CAMINOS              </t>
  </si>
  <si>
    <t>25317C</t>
  </si>
  <si>
    <t xml:space="preserve">PRODU,INKA,TJ 626,SNV 626 NW,INST.DE RIELES       </t>
  </si>
  <si>
    <t>25317D</t>
  </si>
  <si>
    <t xml:space="preserve">PRODU,INKA,TJ 626,SNV 626 NW,REHAB DE LABORES     </t>
  </si>
  <si>
    <t>25317E</t>
  </si>
  <si>
    <t xml:space="preserve">PRODU,INKA,TJ 626,SNV 626 NW,CICLO COMPLETO       </t>
  </si>
  <si>
    <t>25318A</t>
  </si>
  <si>
    <t xml:space="preserve">PRODU,INKA,TJ 626,SNV 626 SE,VOLADURA             </t>
  </si>
  <si>
    <t>25318B</t>
  </si>
  <si>
    <t xml:space="preserve">PRODU,INKA,TJ 626,SNV 626 SE,CAMINOS              </t>
  </si>
  <si>
    <t>25318C</t>
  </si>
  <si>
    <t xml:space="preserve">PRODU,INKA,TJ 626,SNV 626 SE,INST.DE RIELES       </t>
  </si>
  <si>
    <t>25318D</t>
  </si>
  <si>
    <t xml:space="preserve">PRODU,INKA,TJ 626,SNV 626 SE,REHAB DE LABORES     </t>
  </si>
  <si>
    <t>25318E</t>
  </si>
  <si>
    <t xml:space="preserve">PRODU,INKA,TJ 626,SNV 626 SE,CICLO COMPLETO       </t>
  </si>
  <si>
    <t>25320A</t>
  </si>
  <si>
    <t xml:space="preserve">PRODU,INKA,TJ 590 (CH 585),VOLADURA               </t>
  </si>
  <si>
    <t>25320B</t>
  </si>
  <si>
    <t xml:space="preserve">PRODU,INKA,TJ 590 (CH 585),CAMINOS                </t>
  </si>
  <si>
    <t>25320C</t>
  </si>
  <si>
    <t xml:space="preserve">PRODU,INKA,TJ 590 (CH 585),INST.DE RIELES         </t>
  </si>
  <si>
    <t>25320D</t>
  </si>
  <si>
    <t xml:space="preserve">PRODU,INKA,TJ 590 (CH 585),REHAB DE LABORES       </t>
  </si>
  <si>
    <t>25320E</t>
  </si>
  <si>
    <t xml:space="preserve">PRODU,INKA,TJ 590 (CH 585),CICLO COMPLETO         </t>
  </si>
  <si>
    <t>26L012</t>
  </si>
  <si>
    <t xml:space="preserve">REHABILITACION,INKA,LAB ANT,ENMADERADO            </t>
  </si>
  <si>
    <t>2A2124</t>
  </si>
  <si>
    <t>DESAR,ESPERANZA,Gal 028 NE (Cx 990 NE),REHABILITACION</t>
  </si>
  <si>
    <t>2AA024</t>
  </si>
  <si>
    <t>DESAR,ESPERANZA,Bp 068 NE (Gal 028 NE),REHABILITACION</t>
  </si>
  <si>
    <t>2B1264</t>
  </si>
  <si>
    <t>DESAR,INKA,Cx 990 NE (Cor 990),REHABILITACION</t>
  </si>
  <si>
    <t>2B3401</t>
  </si>
  <si>
    <t>DESAR,INKA,CH 638 (SNV 634 SE),SUMINISTROS</t>
  </si>
  <si>
    <t>2B3402</t>
  </si>
  <si>
    <t>DESAR,INKA,CH 638 (SNV 634 SE),SOSTENIMIENTO</t>
  </si>
  <si>
    <t>2B3403</t>
  </si>
  <si>
    <t>DESAR,INKA,CH 638 (SNV 634 SE),SERVICIO</t>
  </si>
  <si>
    <t>2B3404</t>
  </si>
  <si>
    <t>DESAR,INKA,CH 638 (SNV 634 SE),REHABILITACION</t>
  </si>
  <si>
    <t>2B5341</t>
  </si>
  <si>
    <t>DESAR,INKA,SNV 634 SE (H.P),SUMINISTROS</t>
  </si>
  <si>
    <t>2B5342</t>
  </si>
  <si>
    <t>DESAR,INKA,SNV 634 SE (H.P),SOSTENIMIENTO</t>
  </si>
  <si>
    <t>2B5343</t>
  </si>
  <si>
    <t>DESAR,INKA,SNV 634 SE (H.P),SERVICIO</t>
  </si>
  <si>
    <t>2B5344</t>
  </si>
  <si>
    <t>DESAR,INKA,SNV 634 SE (H.P),REHABILITACION</t>
  </si>
  <si>
    <t>2B5351</t>
  </si>
  <si>
    <t>DESAR,INKA,SNV 634 NW (H.P),SUMINISTROS</t>
  </si>
  <si>
    <t>2B5352</t>
  </si>
  <si>
    <t>DESAR,INKA,SNV 634 NW (H.P),SOSTENIMIENTO</t>
  </si>
  <si>
    <t>2B5353</t>
  </si>
  <si>
    <t>DESAR,INKA,SNV 634 NW (H.P),SERVICIO</t>
  </si>
  <si>
    <t>2B5354</t>
  </si>
  <si>
    <t>DESAR,INKA,SNV 634 NW (H.P),REHABILITACION</t>
  </si>
  <si>
    <t>2C388L</t>
  </si>
  <si>
    <t>DESARR,CHAPI,Ch 247 (Snv 317 S),LIMPIEZA</t>
  </si>
  <si>
    <t>2C388O</t>
  </si>
  <si>
    <t>DESARR,CHAPI,Ch 247 (Snv 317 S),SERVICIO</t>
  </si>
  <si>
    <t>2C388P</t>
  </si>
  <si>
    <t>DESARR,CHAPI,Ch 247 (Snv 317 S),PERFORACION</t>
  </si>
  <si>
    <t>2C388S</t>
  </si>
  <si>
    <t>DESARR,CHAPI,Ch 247 (Snv 317 S),SOSTENIMIENTO</t>
  </si>
  <si>
    <t>2C388V</t>
  </si>
  <si>
    <t>DESARR,CHAPI,Ch 247 (Snv 317 S),VOLADURA</t>
  </si>
  <si>
    <t>2C4051</t>
  </si>
  <si>
    <t>DESAR,CHAPI,Inc 875 SE (Snv 320 NE),SUMINISTROS</t>
  </si>
  <si>
    <t>2C4052</t>
  </si>
  <si>
    <t>DESAR,CHAPI,Inc 875 SE (Snv 320 NE),SOSTENIMIENTO</t>
  </si>
  <si>
    <t>2C4053</t>
  </si>
  <si>
    <t>DESAR,CHAPI,Inc 875 SE (Snv 320 NE),SERVICIO</t>
  </si>
  <si>
    <t>2C4054</t>
  </si>
  <si>
    <t>DESAR,CHAPI,Inc 875 SE (Snv 320 NE),REHABILITACION</t>
  </si>
  <si>
    <t>2C4055</t>
  </si>
  <si>
    <t>DESAR,CHAPI,Inc 875 SE (Snv 320 NE),TOLVA</t>
  </si>
  <si>
    <t>2C5551</t>
  </si>
  <si>
    <t>DESAR,CHAPI,Snv 317 NE (Est 270-1 SE),SUMINISTROS</t>
  </si>
  <si>
    <t>2C5552</t>
  </si>
  <si>
    <t>DESAR,CHAPI,Snv 317 NE (Est 270-1 SE),SOSTENIMIENTO</t>
  </si>
  <si>
    <t>2C5553</t>
  </si>
  <si>
    <t>DESAR,CHAPI,Snv 317 NE (Est 270-1 SE),SERVICIO</t>
  </si>
  <si>
    <t>2C5554</t>
  </si>
  <si>
    <t>DESAR,CHAPI,Snv 317 NE (Est 270-1 SE),REHABILITACION</t>
  </si>
  <si>
    <t>2C5961</t>
  </si>
  <si>
    <t>DESAR,CHAPI,Snv 319 NE (Est 845-2 SE),SUMINISTROS</t>
  </si>
  <si>
    <t>2C5962</t>
  </si>
  <si>
    <t>DESAR,CHAPI,Snv 319 NE (Est 845-2 SE),SOSTENIMIENTO</t>
  </si>
  <si>
    <t>2C5963</t>
  </si>
  <si>
    <t>DESAR,CHAPI,Snv 319 NE (Est 845-2 SE),SERVICIO</t>
  </si>
  <si>
    <t>2C5964</t>
  </si>
  <si>
    <t>DESAR,CHAPI,Snv 319 NE (Est 845-2 SE),REHABILITACION</t>
  </si>
  <si>
    <t>2C5971</t>
  </si>
  <si>
    <t>DESAR,CHAPI,Snv 319 SW (Est 845-2 SE),SUMINISTROS</t>
  </si>
  <si>
    <t>2C5972</t>
  </si>
  <si>
    <t>DESAR,CHAPI,Snv 319 SW (Est 845-2 SE),SOSTENIMIENTO</t>
  </si>
  <si>
    <t>2C5973</t>
  </si>
  <si>
    <t>DESAR,CHAPI,Snv 319 SW (Est 845-2 SE),SERVICIO</t>
  </si>
  <si>
    <t>2C5974</t>
  </si>
  <si>
    <t>DESAR,CHAPI,Snv 319 SW (Est 845-2 SE),REHABILITACION</t>
  </si>
  <si>
    <t>2C655L</t>
  </si>
  <si>
    <t>DESARR,CHAPI,Est 644 NW (Inc 875 SE),LIMPIEZA</t>
  </si>
  <si>
    <t>2C655O</t>
  </si>
  <si>
    <t>DESARR,CHAPI,Est 644 NW (Inc 875 SE),SERVICIO</t>
  </si>
  <si>
    <t>2C655P</t>
  </si>
  <si>
    <t>DESARR,CHAPI,Est 644 NW (Inc 875 SE),PERFORACION</t>
  </si>
  <si>
    <t>2C655S</t>
  </si>
  <si>
    <t>DESARR,CHAPI,Est 644 NW (Inc 875 SE),SOSTENIMIENTO</t>
  </si>
  <si>
    <t>2C655V</t>
  </si>
  <si>
    <t>DESARR,CHAPI,Est 644 NW (Inc 875 SE),VOLADURA</t>
  </si>
  <si>
    <t>2D1151</t>
  </si>
  <si>
    <t>DESAR,CACHORRO,Cx 155 NW (Cam 155),SUMINISTROS</t>
  </si>
  <si>
    <t>2D1152</t>
  </si>
  <si>
    <t>DESAR,CACHORRO,Cx 155 NW (Cam 155),SOSTENIMIENTO</t>
  </si>
  <si>
    <t>2D1153</t>
  </si>
  <si>
    <t>DESAR,CACHORRO,Cx 155 NW (Cam 155),SERVICIO</t>
  </si>
  <si>
    <t>2D1154</t>
  </si>
  <si>
    <t>DESAR,CACHORRO,Cx 155 NW (Cam 155),REHABILITACION</t>
  </si>
  <si>
    <t>2D1156</t>
  </si>
  <si>
    <t>DESAR,CACHORRO,Cx 155 NW (Cam 155),REFUGIO</t>
  </si>
  <si>
    <t>2D31ML</t>
  </si>
  <si>
    <t>DESARR,CACHORRO,Ch 916 (Snv 916 SW),LIMPIEZA</t>
  </si>
  <si>
    <t>2D31MO</t>
  </si>
  <si>
    <t>DESARR,CACHORRO,Ch 916 (Snv 916 SW),SERVICIO</t>
  </si>
  <si>
    <t>2D31MP</t>
  </si>
  <si>
    <t>DESARR,CACHORRO,Ch 916 (Snv 916 SW),PERFORACION</t>
  </si>
  <si>
    <t>2D31MS</t>
  </si>
  <si>
    <t>DESARR,CACHORRO,Ch 916 (Snv 916 SW),SOSTENIMIENTO</t>
  </si>
  <si>
    <t>2D31MV</t>
  </si>
  <si>
    <t>DESARR,CACHORRO,Ch 916 (Snv 916 SW),VOLADURA</t>
  </si>
  <si>
    <t>2D3411</t>
  </si>
  <si>
    <t>DESAR,CACHORRO,CH 035 (SNV 125 NE),SUMINISTROS</t>
  </si>
  <si>
    <t>2D3412</t>
  </si>
  <si>
    <t>DESAR,CACHORRO,CH 035 (SNV 125 NE),SOSTENIMIENTO</t>
  </si>
  <si>
    <t>2D3413</t>
  </si>
  <si>
    <t>DESAR,CACHORRO,CH 035 (SNV 125 NE),SERVICIO</t>
  </si>
  <si>
    <t>2D3414</t>
  </si>
  <si>
    <t>DESAR,CACHORRO,CH 035 (SNV 125 NE),REHABILITACION</t>
  </si>
  <si>
    <t>2D4101</t>
  </si>
  <si>
    <t>DESAR,CACHORRO,Pq 122 (Snv 102 SW),SUMINISTROS</t>
  </si>
  <si>
    <t>2D4102</t>
  </si>
  <si>
    <t>DESAR,CACHORRO,Pq 122 (Snv 102 SW),SOSTENIMIENTO</t>
  </si>
  <si>
    <t>2D4103</t>
  </si>
  <si>
    <t>DESAR,CACHORRO,Pq 122 (Snv 102 SW),SERVICIO</t>
  </si>
  <si>
    <t>2D4104</t>
  </si>
  <si>
    <t>DESAR,CACHORRO,Pq 122 (Snv 102 SW),REHABILITACION</t>
  </si>
  <si>
    <t>2D5181</t>
  </si>
  <si>
    <t>DESAR,CACHORRO,SNV 112 SW (TJ 100),SUMINISTROS</t>
  </si>
  <si>
    <t>2D5182</t>
  </si>
  <si>
    <t>DESAR,CACHORRO,SNV 112 SW (TJ 100),SOSTENIMIENTO</t>
  </si>
  <si>
    <t>2D5183</t>
  </si>
  <si>
    <t>DESAR,CACHORRO,SNV 112 SW (TJ 100),SERVICIO</t>
  </si>
  <si>
    <t>2D5184</t>
  </si>
  <si>
    <t>DESAR,CACHORRO,SNV 112 SW (TJ 100),REHABILITACION</t>
  </si>
  <si>
    <t>2D5491</t>
  </si>
  <si>
    <t>DESAR,CACHORRO,Snv 102 NE (Est 075-1 SE),SUMINISTROS</t>
  </si>
  <si>
    <t>2D5492</t>
  </si>
  <si>
    <t>DESAR,CACHORRO,Snv 102 NE (Est 075-1 SE),SOSTENIMIENTO</t>
  </si>
  <si>
    <t>2D5493</t>
  </si>
  <si>
    <t>DESAR,CACHORRO,Snv 102 NE (Est 075-1 SE),SERVICIO</t>
  </si>
  <si>
    <t>2D5494</t>
  </si>
  <si>
    <t>DESAR,CACHORRO,Snv 102 NE (Est 075-1 SE),REHABILITACION</t>
  </si>
  <si>
    <t>2D5501</t>
  </si>
  <si>
    <t>DESAR,CACHORRO,Snv 102 SW (Est 075-1 SE),SUMINISTROS</t>
  </si>
  <si>
    <t>2D5502</t>
  </si>
  <si>
    <t>DESAR,CACHORRO,Snv 102 SW (Est 075-1 SE),SOSTENIMIENTO</t>
  </si>
  <si>
    <t>2D5503</t>
  </si>
  <si>
    <t>DESAR,CACHORRO,Snv 102 SW (Est 075-1 SE),SERVICIO</t>
  </si>
  <si>
    <t>2D5504</t>
  </si>
  <si>
    <t>DESAR,CACHORRO,Snv 102 SW (Est 075-1 SE),REHABILITACION</t>
  </si>
  <si>
    <t>2D6331</t>
  </si>
  <si>
    <t>DESAR,CACHORRO,EST 092 SW (GAL 170 SW),SUMINISTROS</t>
  </si>
  <si>
    <t>2D6332</t>
  </si>
  <si>
    <t>DESAR,CACHORRO,EST 092 SW (GAL 170 SW),SOSTENIMIENTO</t>
  </si>
  <si>
    <t>2D6333</t>
  </si>
  <si>
    <t>DESAR,CACHORRO,EST 092 SW (GAL 170 SW),SERVICIO</t>
  </si>
  <si>
    <t>2D6334</t>
  </si>
  <si>
    <t>DESAR,CACHORRO,EST 092 SW (GAL 170 SW),REHABILITACION</t>
  </si>
  <si>
    <t>2D661L</t>
  </si>
  <si>
    <t>DESARR,CACHORRO,Est 818 NW (Ch 044),LIMPIEZA</t>
  </si>
  <si>
    <t>2D661O</t>
  </si>
  <si>
    <t>DESARR,CACHORRO,Est 818 NW (Ch 044),SERVICIO</t>
  </si>
  <si>
    <t>2D661P</t>
  </si>
  <si>
    <t>DESARR,CACHORRO,Est 818 NW (Ch 044),PERFORACION</t>
  </si>
  <si>
    <t>2D661S</t>
  </si>
  <si>
    <t>DESARR,CACHORRO,Est 818 NW (Ch 044),SOSTENIMIENTO</t>
  </si>
  <si>
    <t>2D661V</t>
  </si>
  <si>
    <t>DESARR,CACHORRO,Est 818 NW (Ch 044),VOLADURA</t>
  </si>
  <si>
    <t>2D667L</t>
  </si>
  <si>
    <t>DESARR,CACHORRO,Est 069 SE (Pq 122),LIMPIEZA</t>
  </si>
  <si>
    <t>2D667O</t>
  </si>
  <si>
    <t>DESARR,CACHORRO,Est 069 SE (Pq 122),SERVICIO</t>
  </si>
  <si>
    <t>2D667P</t>
  </si>
  <si>
    <t>DESARR,CACHORRO,Est 069 SE (Pq 122),PERFORACION</t>
  </si>
  <si>
    <t>2D667S</t>
  </si>
  <si>
    <t>DESARR,CACHORRO,Est 069 SE (Pq 122),SOSTENIMIENTO</t>
  </si>
  <si>
    <t>2D667V</t>
  </si>
  <si>
    <t>DESARR,CACHORRO,Est 069 SE (Pq 122),VOLADURA</t>
  </si>
  <si>
    <t>2D670L</t>
  </si>
  <si>
    <t>DESARR,CACHORRO,Est 132 SE (Gal 170 SW),LIMPIEZA</t>
  </si>
  <si>
    <t>2D670O</t>
  </si>
  <si>
    <t>DESARR,CACHORRO,Est 132 SE (Gal 170 SW),SERVICIO</t>
  </si>
  <si>
    <t>2D670P</t>
  </si>
  <si>
    <t>DESARR,CACHORRO,Est 132 SE (Gal 170 SW),PERFORACION</t>
  </si>
  <si>
    <t>2D670S</t>
  </si>
  <si>
    <t>DESARR,CACHORRO,Est 132 SE (Gal 170 SW),SOSTENIMIENTO</t>
  </si>
  <si>
    <t>2D670V</t>
  </si>
  <si>
    <t>DESARR,CACHORRO,Est 132 SE (Gal 170 SW),VOLADURA</t>
  </si>
  <si>
    <t>2D818L</t>
  </si>
  <si>
    <t>DESARR,CACHORRO,Cam 17 (Est 132 SE),LIMPIEZA</t>
  </si>
  <si>
    <t>2D818O</t>
  </si>
  <si>
    <t>DESARR,CACHORRO,Cam 17 (Est 132 SE),SERVICIO</t>
  </si>
  <si>
    <t>2D818P</t>
  </si>
  <si>
    <t>DESARR,CACHORRO,Cam 17 (Est 132 SE),PERFORACION</t>
  </si>
  <si>
    <t>2D818S</t>
  </si>
  <si>
    <t>DESARR,CACHORRO,Cam 17 (Est 132 SE),SOSTENIMIENTO</t>
  </si>
  <si>
    <t>2D818V</t>
  </si>
  <si>
    <t>DESARR,CACHORRO,Cam 17 (Est 132 SE),VOLADURA</t>
  </si>
  <si>
    <t>2D936L</t>
  </si>
  <si>
    <t>DESARR,CACHORRO,Ven 031 (Tj 026 NE),LIMPIEZA</t>
  </si>
  <si>
    <t>2D936O</t>
  </si>
  <si>
    <t>DESARR,CACHORRO,Ven 031 (Tj 026 NE),SERVICIO</t>
  </si>
  <si>
    <t>2D936P</t>
  </si>
  <si>
    <t>DESARR,CACHORRO,Ven 031 (Tj 026 NE),PERFORACION</t>
  </si>
  <si>
    <t>2D936S</t>
  </si>
  <si>
    <t>DESARR,CACHORRO,Ven 031 (Tj 026 NE),SOSTENIMIENTO</t>
  </si>
  <si>
    <t>2D936V</t>
  </si>
  <si>
    <t>DESARR,CACHORRO,Ven 031 (Tj 026 NE),VOLADURA</t>
  </si>
  <si>
    <t>2DD01L</t>
  </si>
  <si>
    <t>DESARR,CACHORRO,Inc 122 SE (Pq 122),LIMPIEZA</t>
  </si>
  <si>
    <t>2DD01O</t>
  </si>
  <si>
    <t>DESARR,CACHORRO,Inc 122 SE (Pq 122),SERVICIO</t>
  </si>
  <si>
    <t>2DD01P</t>
  </si>
  <si>
    <t>DESARR,CACHORRO,Inc 122 SE (Pq 122),PERFORACION</t>
  </si>
  <si>
    <t>2DD01S</t>
  </si>
  <si>
    <t>DESARR,CACHORRO,Inc 122 SE (Pq 122),SOSTENIMIENTO</t>
  </si>
  <si>
    <t>2DD01V</t>
  </si>
  <si>
    <t>DESARR,CACHORRO,Inc 122 SE (Pq 122),VOLADURA</t>
  </si>
  <si>
    <t>2E1081</t>
  </si>
  <si>
    <t xml:space="preserve">DESAR,VANESSA,CX 075 NW (CX 170 SW ),SUMINISTROS  </t>
  </si>
  <si>
    <t>2E1082</t>
  </si>
  <si>
    <t>DESAR,VANESSA,CX 075 NW (CX 170 SW ),SOSTENIMIENTO</t>
  </si>
  <si>
    <t>2E1083</t>
  </si>
  <si>
    <t xml:space="preserve">DESAR,VANESSA,CX 075 NW (CX 170 SW ),SERVICIO     </t>
  </si>
  <si>
    <t>2E1084</t>
  </si>
  <si>
    <t>DESAR,VANESSA,CX 075 NW (CX 170 SW ),REHABILITACIO</t>
  </si>
  <si>
    <t>2E1111</t>
  </si>
  <si>
    <t>DESAR,VANESSA,CX 075 NW (CX 074 SW),SUMINISTROS</t>
  </si>
  <si>
    <t>2E1112</t>
  </si>
  <si>
    <t>DESAR,VANESSA,CX 075 NW (CX 074 SW),SOSTENIMIENTO</t>
  </si>
  <si>
    <t>2E1113</t>
  </si>
  <si>
    <t>DESAR,VANESSA,CX 075 NW (CX 074 SW),SERVICIO</t>
  </si>
  <si>
    <t>2E1114</t>
  </si>
  <si>
    <t>DESAR,VANESSA,CX 075 NW (CX 074 SW),REHABILITACION</t>
  </si>
  <si>
    <t>2E1116</t>
  </si>
  <si>
    <t>DESAR,VANESSA,CX 075 NW (CX 074 SW),REFUGIO</t>
  </si>
  <si>
    <t>2E31DL</t>
  </si>
  <si>
    <t>DESARR,VANESSA,Ch 055 (Tj 057 SW),LIMPIEZA</t>
  </si>
  <si>
    <t>2E31DO</t>
  </si>
  <si>
    <t>DESARR,VANESSA,Ch 055 (Tj 057 SW),SERVICIO</t>
  </si>
  <si>
    <t>2E31DP</t>
  </si>
  <si>
    <t>DESARR,VANESSA,Ch 055 (Tj 057 SW),PERFORACION</t>
  </si>
  <si>
    <t>2E31DS</t>
  </si>
  <si>
    <t>DESARR,VANESSA,Ch 055 (Tj 057 SW),SOSTENIMIENTO</t>
  </si>
  <si>
    <t>2E31DV</t>
  </si>
  <si>
    <t>DESARR,VANESSA,Ch 055 (Tj 057 SW),VOLADURA</t>
  </si>
  <si>
    <t>2E31KL</t>
  </si>
  <si>
    <t>DESARR,VANESSA,Ch 040 (Tj 037 SW),LIMPIEZA</t>
  </si>
  <si>
    <t>2E31KO</t>
  </si>
  <si>
    <t>DESARR,VANESSA,Ch 040 (Tj 037 SW),SERVICIO</t>
  </si>
  <si>
    <t>2E31KP</t>
  </si>
  <si>
    <t>DESARR,VANESSA,Ch 040 (Tj 037 SW),PERFORACION</t>
  </si>
  <si>
    <t>2E31KS</t>
  </si>
  <si>
    <t>DESARR,VANESSA,Ch 040 (Tj 037 SW),SOSTENIMIENTO</t>
  </si>
  <si>
    <t>2E31KV</t>
  </si>
  <si>
    <t>DESARR,VANESSA,Ch 040 (Tj 037 SW),VOLADURA</t>
  </si>
  <si>
    <t>2E31SL</t>
  </si>
  <si>
    <t>DESARR,VANESSA,Ch 065 (Tj 036 SW ),LIMPIEZA</t>
  </si>
  <si>
    <t>2E31SO</t>
  </si>
  <si>
    <t>DESARR,VANESSA,Ch 065 (Tj 036 SW ),SERVICIO</t>
  </si>
  <si>
    <t>2E31SP</t>
  </si>
  <si>
    <t>DESARR,VANESSA,Ch 065 (Tj 036 SW ),PERFORACION</t>
  </si>
  <si>
    <t>2E31SS</t>
  </si>
  <si>
    <t>DESARR,VANESSA,Ch 065 (Tj 036 SW ),SOSTENIMIENTO</t>
  </si>
  <si>
    <t>2E31SV</t>
  </si>
  <si>
    <t>DESARR,VANESSA,Ch 065 (Tj 036 SW ),VOLADURA</t>
  </si>
  <si>
    <t>2E3251</t>
  </si>
  <si>
    <t xml:space="preserve">DESAR,VANESSA,CH 091 (SNV 123 SW),SUMINISTROS     </t>
  </si>
  <si>
    <t>2E3252</t>
  </si>
  <si>
    <t xml:space="preserve">DESAR,VANESSA,CH 091 (SNV 123 SW),SOSTENIMIENTO   </t>
  </si>
  <si>
    <t>2E3253</t>
  </si>
  <si>
    <t xml:space="preserve">DESAR,VANESSA,CH 091 (SNV 123 SW),SERVICIO        </t>
  </si>
  <si>
    <t>2E3254</t>
  </si>
  <si>
    <t xml:space="preserve">DESAR,VANESSA,CH 091 (SNV 123 SW),REHABILITACION  </t>
  </si>
  <si>
    <t>2E3261</t>
  </si>
  <si>
    <t xml:space="preserve">DESAR,VANESSA,CH 066 (CX 075 NW),SUMINISTROS      </t>
  </si>
  <si>
    <t>2E3262</t>
  </si>
  <si>
    <t xml:space="preserve">DESAR,VANESSA,CH 066 (CX 075 NW),SOSTENIMIENTO    </t>
  </si>
  <si>
    <t>2E3263</t>
  </si>
  <si>
    <t xml:space="preserve">DESAR,VANESSA,CH 066 (CX 075 NW),SERVICIO         </t>
  </si>
  <si>
    <t>2E3264</t>
  </si>
  <si>
    <t xml:space="preserve">DESAR,VANESSA,CH 066 (CX 075 NW),REHABILITACION   </t>
  </si>
  <si>
    <t>2E3291</t>
  </si>
  <si>
    <t xml:space="preserve">DESAR,VANESSA,CH 091 (SNV 143 SW),SUMINISTROS     </t>
  </si>
  <si>
    <t>2E3292</t>
  </si>
  <si>
    <t xml:space="preserve">DESAR,VANESSA,CH 091 (SNV 143 SW),SOSTENIMIENTO   </t>
  </si>
  <si>
    <t>2E3293</t>
  </si>
  <si>
    <t xml:space="preserve">DESAR,VANESSA,CH 091 (SNV 143 SW),SERVICIO        </t>
  </si>
  <si>
    <t>2E3294</t>
  </si>
  <si>
    <t xml:space="preserve">DESAR,VANESSA,CH 091 (SNV 143 SW),REHABILITACION  </t>
  </si>
  <si>
    <t>2E3331</t>
  </si>
  <si>
    <t>DESAR,VANESSA,CH 084 (SNV 163  SW),SUMINISTROS</t>
  </si>
  <si>
    <t>2E3332</t>
  </si>
  <si>
    <t>DESAR,VANESSA,CH 084 (SNV 163  SW),SOSTENIMIENTO</t>
  </si>
  <si>
    <t>2E3333</t>
  </si>
  <si>
    <t>DESAR,VANESSA,CH 084 (SNV 163  SW),SERVICIO</t>
  </si>
  <si>
    <t>2E3334</t>
  </si>
  <si>
    <t>DESAR,VANESSA,CH 084 (SNV 163  SW),REHABILITACION</t>
  </si>
  <si>
    <t>2E3471</t>
  </si>
  <si>
    <t>DESAR,VANESSA,Ch 066 (Snv 092 SW),SUMINISTROS</t>
  </si>
  <si>
    <t>2E3472</t>
  </si>
  <si>
    <t>DESAR,VANESSA,Ch 066 (Snv 092 SW),SOSTENIMIENTO</t>
  </si>
  <si>
    <t>2E3473</t>
  </si>
  <si>
    <t>DESAR,VANESSA,Ch 066 (Snv 092 SW),SERVICIO</t>
  </si>
  <si>
    <t>2E3474</t>
  </si>
  <si>
    <t>DESAR,VANESSA,Ch 066 (Snv 092 SW),REHABILITACION</t>
  </si>
  <si>
    <t>2E3475</t>
  </si>
  <si>
    <t>DESAR,VANESSA,Ch 066 (Snv 092 SW),TOLVA</t>
  </si>
  <si>
    <t>2E372L</t>
  </si>
  <si>
    <t>DESARR,VANESSA,Ch 098 (Tj 097 NE),LIMPIEZA</t>
  </si>
  <si>
    <t>2E372O</t>
  </si>
  <si>
    <t>DESARR,VANESSA,Ch 098 (Tj 097 NE),SERVICIO</t>
  </si>
  <si>
    <t>2E372P</t>
  </si>
  <si>
    <t>DESARR,VANESSA,Ch 098 (Tj 097 NE),PERFORACION</t>
  </si>
  <si>
    <t>2E372S</t>
  </si>
  <si>
    <t>DESARR,VANESSA,Ch 098 (Tj 097 NE),SOSTENIMIENTO</t>
  </si>
  <si>
    <t>2E372V</t>
  </si>
  <si>
    <t>DESARR,VANESSA,Ch 098 (Tj 097 NE),VOLADURA</t>
  </si>
  <si>
    <t>2E4021</t>
  </si>
  <si>
    <t>DESAR,VANESSA,PQ 075 (CX 074 SW),SUMINISTROS</t>
  </si>
  <si>
    <t>2E4022</t>
  </si>
  <si>
    <t>DESAR,VANESSA,PQ 075 (CX 074 SW),SOSTENIMIENTO</t>
  </si>
  <si>
    <t>2E4023</t>
  </si>
  <si>
    <t>DESAR,VANESSA,PQ 075 (CX 074 SW),SERVICIO</t>
  </si>
  <si>
    <t>2E4024</t>
  </si>
  <si>
    <t>DESAR,VANESSA,PQ 075 (CX 074 SW),REHABILITACION</t>
  </si>
  <si>
    <t>2E4025</t>
  </si>
  <si>
    <t>DESAR,VANESSA,PQ 075 (CX 074 SW),TOLVA</t>
  </si>
  <si>
    <t>2E5021</t>
  </si>
  <si>
    <t xml:space="preserve">DESAR,VANESSA,SNV 143 SW (CH 107),SUMINISTROS     </t>
  </si>
  <si>
    <t>2E5022</t>
  </si>
  <si>
    <t xml:space="preserve">DESAR,VANESSA,SNV 143 SW (CH 107),SOSTENIMIENTO   </t>
  </si>
  <si>
    <t>2E5023</t>
  </si>
  <si>
    <t xml:space="preserve">DESAR,VANESSA,SNV 143 SW (CH 107),SERVICIO        </t>
  </si>
  <si>
    <t>2E5024</t>
  </si>
  <si>
    <t xml:space="preserve">DESAR,VANESSA,SNV 143 SW (CH 107),REHABILITACION  </t>
  </si>
  <si>
    <t>2E5031</t>
  </si>
  <si>
    <t xml:space="preserve">DESAR,VANESSA,SNV 143 NE (CH 107),SUMINISTROS     </t>
  </si>
  <si>
    <t>2E5032</t>
  </si>
  <si>
    <t xml:space="preserve">DESAR,VANESSA,SNV 143 NE (CH 107),SOSTENIMIENTO   </t>
  </si>
  <si>
    <t>2E5033</t>
  </si>
  <si>
    <t xml:space="preserve">DESAR,VANESSA,SNV 143 NE (CH 107),SERVICIO        </t>
  </si>
  <si>
    <t>2E5034</t>
  </si>
  <si>
    <t xml:space="preserve">DESAR,VANESSA,SNV 143 NE (CH 107),REHABILITACION  </t>
  </si>
  <si>
    <t>2E5101</t>
  </si>
  <si>
    <t>DESAR,VANESSA,SNV 123-1 NW (CH 044 ),SUMINISTROS</t>
  </si>
  <si>
    <t>2E5102</t>
  </si>
  <si>
    <t>DESAR,VANESSA,SNV 123-1 NW (CH 044 ),SOSTENIMIENTO</t>
  </si>
  <si>
    <t>2E5103</t>
  </si>
  <si>
    <t>DESAR,VANESSA,SNV 123-1 NW (CH 044 ),SERVICIO</t>
  </si>
  <si>
    <t>2E5104</t>
  </si>
  <si>
    <t>DESAR,VANESSA,SNV 123-1 NW (CH 044 ),REHABILITACION</t>
  </si>
  <si>
    <t>2E5111</t>
  </si>
  <si>
    <t>DESAR,VANESSA,SNV 140-NE (CH 053),SUMINISTROS</t>
  </si>
  <si>
    <t>2E5112</t>
  </si>
  <si>
    <t>DESAR,VANESSA,SNV 140-NE (CH 053),SOSTENIMIENTO</t>
  </si>
  <si>
    <t>2E5113</t>
  </si>
  <si>
    <t>DESAR,VANESSA,SNV 140-NE (CH 053),SERVICIO</t>
  </si>
  <si>
    <t>2E5114</t>
  </si>
  <si>
    <t>DESAR,VANESSA,SNV 140-NE (CH 053),REHABILITACION</t>
  </si>
  <si>
    <t>2E5121</t>
  </si>
  <si>
    <t>DESAR,VANESSA,SNV 140-SW (CH 053),SUMINISTROS</t>
  </si>
  <si>
    <t>2E5122</t>
  </si>
  <si>
    <t>DESAR,VANESSA,SNV 140-SW (CH 053),SOSTENIMIENTO</t>
  </si>
  <si>
    <t>2E5123</t>
  </si>
  <si>
    <t>DESAR,VANESSA,SNV 140-SW (CH 053),SERVICIO</t>
  </si>
  <si>
    <t>2E5124</t>
  </si>
  <si>
    <t>DESAR,VANESSA,SNV 140-SW (CH 053),REHABILITACION</t>
  </si>
  <si>
    <t>2E5131</t>
  </si>
  <si>
    <t>DESAR,VANESSA,SNV 123-1-NW (CH 044),SUMINISTROS</t>
  </si>
  <si>
    <t>2E5132</t>
  </si>
  <si>
    <t>DESAR,VANESSA,SNV 123-1-NW (CH 044),SOSTENIMIENTO</t>
  </si>
  <si>
    <t>2E5133</t>
  </si>
  <si>
    <t>DESAR,VANESSA,SNV 123-1-NW (CH 044),SERVICIO</t>
  </si>
  <si>
    <t>2E5134</t>
  </si>
  <si>
    <t>DESAR,VANESSA,SNV 123-1-NW (CH 044),REHABILITACION</t>
  </si>
  <si>
    <t>2E5151</t>
  </si>
  <si>
    <t>DESAR,VANESSA,SNV 183 SW (CH 084),SUMINISTROS</t>
  </si>
  <si>
    <t>2E5152</t>
  </si>
  <si>
    <t>DESAR,VANESSA,SNV 183 SW (CH 084),SOSTENIMIENTO</t>
  </si>
  <si>
    <t>2E5153</t>
  </si>
  <si>
    <t>DESAR,VANESSA,SNV 183 SW (CH 084),SERVICIO</t>
  </si>
  <si>
    <t>2E5154</t>
  </si>
  <si>
    <t>DESAR,VANESSA,SNV 183 SW (CH 084),REHABILITACION</t>
  </si>
  <si>
    <t>2E5161</t>
  </si>
  <si>
    <t>DESAR,VANESSA,SNV 183 NE (CH 084),SUMINISTROS</t>
  </si>
  <si>
    <t>2E5162</t>
  </si>
  <si>
    <t>DESAR,VANESSA,SNV 183 NE (CH 084),SOSTENIMIENTO</t>
  </si>
  <si>
    <t>2E5163</t>
  </si>
  <si>
    <t>DESAR,VANESSA,SNV 183 NE (CH 084),SERVICIO</t>
  </si>
  <si>
    <t>2E5164</t>
  </si>
  <si>
    <t>DESAR,VANESSA,SNV 183 NE (CH 084),REHABILITACION</t>
  </si>
  <si>
    <t>2E5171</t>
  </si>
  <si>
    <t>DESAR,VANESSA,SNV 123-2 NE (SNV 123-1 SW),SUMINISTROS</t>
  </si>
  <si>
    <t>2E5172</t>
  </si>
  <si>
    <t>DESAR,VANESSA,SNV 123-2 NE (SNV 123-1 SW),SOSTENIMIENTO</t>
  </si>
  <si>
    <t>2E5173</t>
  </si>
  <si>
    <t>DESAR,VANESSA,SNV 123-2 NE (SNV 123-1 SW),SERVICIO</t>
  </si>
  <si>
    <t>2E5174</t>
  </si>
  <si>
    <t>DESAR,VANESSA,SNV 123-2 NE (SNV 123-1 SW),REHABILITACION</t>
  </si>
  <si>
    <t>2E5211</t>
  </si>
  <si>
    <t>DESAR,VANESSA,SNV 107 NE (CH 107),SUMINISTROS</t>
  </si>
  <si>
    <t>2E5212</t>
  </si>
  <si>
    <t>DESAR,VANESSA,SNV 107 NE (CH 107),SOSTENIMIENTO</t>
  </si>
  <si>
    <t>2E5213</t>
  </si>
  <si>
    <t>DESAR,VANESSA,SNV 107 NE (CH 107),SERVICIO</t>
  </si>
  <si>
    <t>2E5214</t>
  </si>
  <si>
    <t>DESAR,VANESSA,SNV 107 NE (CH 107),REHABILITACION</t>
  </si>
  <si>
    <t>2E5231</t>
  </si>
  <si>
    <t>DESAR,VANESSA,SNV 107 SW (CH 107),SUMINISTROS</t>
  </si>
  <si>
    <t>2E5232</t>
  </si>
  <si>
    <t>DESAR,VANESSA,SNV 107 SW (CH 107),SOSTENIMIENTO</t>
  </si>
  <si>
    <t>2E5233</t>
  </si>
  <si>
    <t>DESAR,VANESSA,SNV 107 SW (CH 107),SERVICIO</t>
  </si>
  <si>
    <t>2E5234</t>
  </si>
  <si>
    <t>DESAR,VANESSA,SNV 107 SW (CH 107),REHABILITACION</t>
  </si>
  <si>
    <t>2E5361</t>
  </si>
  <si>
    <t>DESAR,VANESSA,SNV 128 NE (TJ 117 NE),SUMINISTROS</t>
  </si>
  <si>
    <t>2E5362</t>
  </si>
  <si>
    <t>DESAR,VANESSA,SNV 128 NE (TJ 117 NE),SOSTENIMIENTO</t>
  </si>
  <si>
    <t>2E5363</t>
  </si>
  <si>
    <t>DESAR,VANESSA,SNV 128 NE (TJ 117 NE),SERVICIO</t>
  </si>
  <si>
    <t>2E5364</t>
  </si>
  <si>
    <t>DESAR,VANESSA,SNV 128 NE (TJ 117 NE),REHABILITACION</t>
  </si>
  <si>
    <t>2E5401</t>
  </si>
  <si>
    <t>DESAR,VANESSA,SNV 092 NE (EST 075-1 SE),SUMINISTROS</t>
  </si>
  <si>
    <t>2E5402</t>
  </si>
  <si>
    <t>DESAR,VANESSA,SNV 092 NE (EST 075-1 SE),SOSTENIMIENTO</t>
  </si>
  <si>
    <t>2E5403</t>
  </si>
  <si>
    <t>DESAR,VANESSA,SNV 092 NE (EST 075-1 SE),SERVICIO</t>
  </si>
  <si>
    <t>2E5404</t>
  </si>
  <si>
    <t>DESAR,VANESSA,SNV 092 NE (EST 075-1 SE),REHABILITACION</t>
  </si>
  <si>
    <t>2E5411</t>
  </si>
  <si>
    <t>DESAR,VANESSA,SNV 092 SW (EST 075-1 SE),SUMINISTROS</t>
  </si>
  <si>
    <t>2E5412</t>
  </si>
  <si>
    <t>DESAR,VANESSA,SNV 092 SW (EST 075-1 SE),SOSTENIMIENTO</t>
  </si>
  <si>
    <t>2E5413</t>
  </si>
  <si>
    <t>DESAR,VANESSA,SNV 092 SW (EST 075-1 SE),SERVICIO</t>
  </si>
  <si>
    <t>2E5414</t>
  </si>
  <si>
    <t>DESAR,VANESSA,SNV 092 SW (EST 075-1 SE),REHABILITACION</t>
  </si>
  <si>
    <t>2E5451</t>
  </si>
  <si>
    <t>DESAR,VANESSA,SNV 155 SW (TJ 111 SW),SUMINISTROS</t>
  </si>
  <si>
    <t>2E5452</t>
  </si>
  <si>
    <t>DESAR,VANESSA,SNV 155 SW (TJ 111 SW),SOSTENIMIENTO</t>
  </si>
  <si>
    <t>2E5453</t>
  </si>
  <si>
    <t>DESAR,VANESSA,SNV 155 SW (TJ 111 SW),SERVICIO</t>
  </si>
  <si>
    <t>2E5454</t>
  </si>
  <si>
    <t>DESAR,VANESSA,SNV 155 SW (TJ 111 SW),REHABILITACION</t>
  </si>
  <si>
    <t>2E5521</t>
  </si>
  <si>
    <t>DESAR,VANESSA,Snv 160 SW (Ch 044),SUMINISTROS</t>
  </si>
  <si>
    <t>2E5522</t>
  </si>
  <si>
    <t>DESAR,VANESSA,Snv 160 SW (Ch 044),SOSTENIMIENTO</t>
  </si>
  <si>
    <t>2E5523</t>
  </si>
  <si>
    <t>DESAR,VANESSA,Snv 160 SW (Ch 044),SERVICIO</t>
  </si>
  <si>
    <t>2E5524</t>
  </si>
  <si>
    <t>DESAR,VANESSA,Snv 160 SW (Ch 044),REHABILITACION</t>
  </si>
  <si>
    <t>2E5531</t>
  </si>
  <si>
    <t>DESAR,VANESSA,Snv 160 NE (Ch 044),SUMINISTROS</t>
  </si>
  <si>
    <t>2E5532</t>
  </si>
  <si>
    <t>DESAR,VANESSA,Snv 160 NE (Ch 044),SOSTENIMIENTO</t>
  </si>
  <si>
    <t>2E5533</t>
  </si>
  <si>
    <t>DESAR,VANESSA,Snv 160 NE (Ch 044),SERVICIO</t>
  </si>
  <si>
    <t>2E5534</t>
  </si>
  <si>
    <t>DESAR,VANESSA,Snv 160 NE (Ch 044),REHABILITACION</t>
  </si>
  <si>
    <t>2E5601</t>
  </si>
  <si>
    <t>DESAR,VANESSA,Snv 139 SW (Tj 101),SUMINISTROS</t>
  </si>
  <si>
    <t>2E5602</t>
  </si>
  <si>
    <t>DESAR,VANESSA,Snv 139 SW (Tj 101),SOSTENIMIENTO</t>
  </si>
  <si>
    <t>2E5603</t>
  </si>
  <si>
    <t>DESAR,VANESSA,Snv 139 SW (Tj 101),SERVICIO</t>
  </si>
  <si>
    <t>2E5604</t>
  </si>
  <si>
    <t>DESAR,VANESSA,Snv 139 SW (Tj 101),REHABILITACION</t>
  </si>
  <si>
    <t>2E5611</t>
  </si>
  <si>
    <t>DESAR,VANESSA,Snv 115 SW (Est 115 S),SUMINISTROS</t>
  </si>
  <si>
    <t>2E5612</t>
  </si>
  <si>
    <t>DESAR,VANESSA,Snv 115 SW (Est 115 S),SOSTENIMIENTO</t>
  </si>
  <si>
    <t>2E5613</t>
  </si>
  <si>
    <t>DESAR,VANESSA,Snv 115 SW (Est 115 S),SERVICIO</t>
  </si>
  <si>
    <t>2E5614</t>
  </si>
  <si>
    <t>DESAR,VANESSA,Snv 115 SW (Est 115 S),REHABILITACION</t>
  </si>
  <si>
    <t>2E5621</t>
  </si>
  <si>
    <t>DESAR,VANESSA,Snv 115 NE (Est 115 S),SUMINISTROS</t>
  </si>
  <si>
    <t>2E5622</t>
  </si>
  <si>
    <t>DESAR,VANESSA,Snv 115 NE (Est 115 S),SOSTENIMIENTO</t>
  </si>
  <si>
    <t>2E5623</t>
  </si>
  <si>
    <t>DESAR,VANESSA,Snv 115 NE (Est 115 S),SERVICIO</t>
  </si>
  <si>
    <t>2E5624</t>
  </si>
  <si>
    <t>DESAR,VANESSA,Snv 115 NE (Est 115 S),REHABILITACION</t>
  </si>
  <si>
    <t>2E5631</t>
  </si>
  <si>
    <t>DESAR,VANESSA,Snv 116 SW (Tj 066 NE),SUMINISTROS</t>
  </si>
  <si>
    <t>2E5632</t>
  </si>
  <si>
    <t>DESAR,VANESSA,Snv 116 SW (Tj 066 NE),SOSTENIMIENTO</t>
  </si>
  <si>
    <t>2E5633</t>
  </si>
  <si>
    <t>DESAR,VANESSA,Snv 116 SW (Tj 066 NE),SERVICIO</t>
  </si>
  <si>
    <t>2E5634</t>
  </si>
  <si>
    <t>DESAR,VANESSA,Snv 116 SW (Tj 066 NE),REHABILITACION</t>
  </si>
  <si>
    <t>2E5671</t>
  </si>
  <si>
    <t>DESAR,VANESSA,Snv 114 NE (Ven 011),SUMINISTROS</t>
  </si>
  <si>
    <t>2E5672</t>
  </si>
  <si>
    <t>DESAR,VANESSA,Snv 114 NE (Ven 011),SOSTENIMIENTO</t>
  </si>
  <si>
    <t>2E5673</t>
  </si>
  <si>
    <t>DESAR,VANESSA,Snv 114 NE (Ven 011),SERVICIO</t>
  </si>
  <si>
    <t>2E5674</t>
  </si>
  <si>
    <t>DESAR,VANESSA,Snv 114 NE (Ven 011),REHABILITACION</t>
  </si>
  <si>
    <t>2E5711</t>
  </si>
  <si>
    <t>DESAR,VANESSA,Snv 070 NE (Est 075-2 SE),SUMINISTROS</t>
  </si>
  <si>
    <t>2E5712</t>
  </si>
  <si>
    <t>DESAR,VANESSA,Snv 070 NE (Est 075-2 SE),SOSTENIMIENTO</t>
  </si>
  <si>
    <t>2E5713</t>
  </si>
  <si>
    <t>DESAR,VANESSA,Snv 070 NE (Est 075-2 SE),SERVICIO</t>
  </si>
  <si>
    <t>2E5714</t>
  </si>
  <si>
    <t>DESAR,VANESSA,Snv 070 NE (Est 075-2 SE),REHABILITACION</t>
  </si>
  <si>
    <t>2E5721</t>
  </si>
  <si>
    <t>DESAR,VANESSA,Snv 070 SW (Est 075-2 SE),SUMINISTROS</t>
  </si>
  <si>
    <t>2E5722</t>
  </si>
  <si>
    <t>DESAR,VANESSA,Snv 070 SW (Est 075-2 SE),SOSTENIMIENTO</t>
  </si>
  <si>
    <t>2E5723</t>
  </si>
  <si>
    <t>DESAR,VANESSA,Snv 070 SW (Est 075-2 SE),SERVICIO</t>
  </si>
  <si>
    <t>2E5724</t>
  </si>
  <si>
    <t>DESAR,VANESSA,Snv 070 SW (Est 075-2 SE),REHABILITACION</t>
  </si>
  <si>
    <t>2E5861</t>
  </si>
  <si>
    <t>DESAR,VANESSA,Snv 073 SW (Tj 081 SW),SUMINISTROS</t>
  </si>
  <si>
    <t>2E5862</t>
  </si>
  <si>
    <t>DESAR,VANESSA,Snv 073 SW (Tj 081 SW),SOSTENIMIENTO</t>
  </si>
  <si>
    <t>2E5863</t>
  </si>
  <si>
    <t>DESAR,VANESSA,Snv 073 SW (Tj 081 SW),SERVICIO</t>
  </si>
  <si>
    <t>2E5864</t>
  </si>
  <si>
    <t>DESAR,VANESSA,Snv 073 SW (Tj 081 SW),REHABILITACION</t>
  </si>
  <si>
    <t>2E5871</t>
  </si>
  <si>
    <t>DESAR,VANESSA,Snv 108 NE (Tj 097 NE),SUMINISTROS</t>
  </si>
  <si>
    <t>2E5872</t>
  </si>
  <si>
    <t>DESAR,VANESSA,Snv 108 NE (Tj 097 NE),SOSTENIMIENTO</t>
  </si>
  <si>
    <t>2E5873</t>
  </si>
  <si>
    <t>DESAR,VANESSA,Snv 108 NE (Tj 097 NE),SERVICIO</t>
  </si>
  <si>
    <t>2E5874</t>
  </si>
  <si>
    <t>DESAR,VANESSA,Snv 108 NE (Tj 097 NE),REHABILITACION</t>
  </si>
  <si>
    <t>2E6301</t>
  </si>
  <si>
    <t>DESAR,VANESSA,EST 075-1  SE (PQ  075),SUMINISTROS</t>
  </si>
  <si>
    <t>2E6302</t>
  </si>
  <si>
    <t>DESAR,VANESSA,EST 075-1  SE (PQ  075),SOSTENIMIENTO</t>
  </si>
  <si>
    <t>2E6303</t>
  </si>
  <si>
    <t>DESAR,VANESSA,EST 075-1  SE (PQ  075),SERVICIO</t>
  </si>
  <si>
    <t>2E6304</t>
  </si>
  <si>
    <t>DESAR,VANESSA,EST 075-1  SE (PQ  075),REHABILITACION</t>
  </si>
  <si>
    <t>2E6411</t>
  </si>
  <si>
    <t>DESAR,VANESSA,Est 075-2 SE (Pq 075),SUMINISTROS</t>
  </si>
  <si>
    <t>2E6412</t>
  </si>
  <si>
    <t>DESAR,VANESSA,Est 075-2 SE (Pq 075),SOSTENIMIENTO</t>
  </si>
  <si>
    <t>2E6413</t>
  </si>
  <si>
    <t>DESAR,VANESSA,Est 075-2 SE (Pq 075),SERVICIO</t>
  </si>
  <si>
    <t>2E6414</t>
  </si>
  <si>
    <t>DESAR,VANESSA,Est 075-2 SE (Pq 075),REHABILITACION</t>
  </si>
  <si>
    <t>2E654L</t>
  </si>
  <si>
    <t>DESARR,VANESSA,Est 075-3 SE (Pq 075),LIMPIEZA</t>
  </si>
  <si>
    <t>2E654O</t>
  </si>
  <si>
    <t>DESARR,VANESSA,Est 075-3 SE (Pq 075),SERVICIO</t>
  </si>
  <si>
    <t>2E654P</t>
  </si>
  <si>
    <t>DESARR,VANESSA,Est 075-3 SE (Pq 075),PERFORACION</t>
  </si>
  <si>
    <t>2E654S</t>
  </si>
  <si>
    <t>DESARR,VANESSA,Est 075-3 SE (Pq 075),SOSTENIMIENTO</t>
  </si>
  <si>
    <t>2E654V</t>
  </si>
  <si>
    <t>DESARR,VANESSA,Est 075-3 SE (Pq 075),VOLADURA</t>
  </si>
  <si>
    <t>2E656L</t>
  </si>
  <si>
    <t>DESARR,VANESSA,Est 092 NW (Ch 091),LIMPIEZA</t>
  </si>
  <si>
    <t>2E656O</t>
  </si>
  <si>
    <t>DESARR,VANESSA,Est 092 NW (Ch 091),SERVICIO</t>
  </si>
  <si>
    <t>2E656P</t>
  </si>
  <si>
    <t>DESARR,VANESSA,Est 092 NW (Ch 091),PERFORACION</t>
  </si>
  <si>
    <t>2E656S</t>
  </si>
  <si>
    <t>DESARR,VANESSA,Est 092 NW (Ch 091),SOSTENIMIENTO</t>
  </si>
  <si>
    <t>2E656V</t>
  </si>
  <si>
    <t>DESARR,VANESSA,Est 092 NW (Ch 091),VOLADURA</t>
  </si>
  <si>
    <t>2E657L</t>
  </si>
  <si>
    <t>DESARR,VANESSA,Est 092 SW (Snv 092 SW),LIMPIEZA</t>
  </si>
  <si>
    <t>2E657O</t>
  </si>
  <si>
    <t>DESARR,VANESSA,Est 092 SW (Snv 092 SW),SERVICIO</t>
  </si>
  <si>
    <t>2E657P</t>
  </si>
  <si>
    <t>DESARR,VANESSA,Est 092 SW (Snv 092 SW),PERFORACION</t>
  </si>
  <si>
    <t>2E657S</t>
  </si>
  <si>
    <t>DESARR,VANESSA,Est 092 SW (Snv 092 SW),SOSTENIMIENTO</t>
  </si>
  <si>
    <t>2E657V</t>
  </si>
  <si>
    <t>DESARR,VANESSA,Est 092 SW (Snv 092 SW),VOLADURA</t>
  </si>
  <si>
    <t>2E658L</t>
  </si>
  <si>
    <t>DESARR,VANESSA,Est 074 SW (Est 075-3 SE),LIMPIEZA</t>
  </si>
  <si>
    <t>2E658O</t>
  </si>
  <si>
    <t>DESARR,VANESSA,Est 074 SW (Est 075-3 SE),SERVICIO</t>
  </si>
  <si>
    <t>2E658P</t>
  </si>
  <si>
    <t>DESARR,VANESSA,Est 074 SW (Est 075-3 SE),PERFORACION</t>
  </si>
  <si>
    <t>2E658S</t>
  </si>
  <si>
    <t>DESARR,VANESSA,Est 074 SW (Est 075-3 SE),SOSTENIMIENTO</t>
  </si>
  <si>
    <t>2E658V</t>
  </si>
  <si>
    <t>DESARR,VANESSA,Est 074 SW (Est 075-3 SE),VOLADURA</t>
  </si>
  <si>
    <t>2E663L</t>
  </si>
  <si>
    <t>DESARR,VANESSA,Est 072 NW (Tj 077 NE),LIMPIEZA</t>
  </si>
  <si>
    <t>2E663O</t>
  </si>
  <si>
    <t>DESARR,VANESSA,Est 072 NW (Tj 077 NE),SERVICIO</t>
  </si>
  <si>
    <t>2E663P</t>
  </si>
  <si>
    <t>DESARR,VANESSA,Est 072 NW (Tj 077 NE),PERFORACION</t>
  </si>
  <si>
    <t>2E663S</t>
  </si>
  <si>
    <t>DESARR,VANESSA,Est 072 NW (Tj 077 NE),SOSTENIMIENTO</t>
  </si>
  <si>
    <t>2E663V</t>
  </si>
  <si>
    <t>DESARR,VANESSA,Est 072 NW (Tj 077 NE),VOLADURA</t>
  </si>
  <si>
    <t>2E665L</t>
  </si>
  <si>
    <t>DESARR,VANESSA,Est 847 SW (Snv 070 SW),LIMPIEZA</t>
  </si>
  <si>
    <t>2E665O</t>
  </si>
  <si>
    <t>DESARR,VANESSA,Est 847 SW (Snv 070 SW),SERVICIO</t>
  </si>
  <si>
    <t>2E665P</t>
  </si>
  <si>
    <t>DESARR,VANESSA,Est 847 SW (Snv 070 SW),PERFORACION</t>
  </si>
  <si>
    <t>2E665S</t>
  </si>
  <si>
    <t>DESARR,VANESSA,Est 847 SW (Snv 070 SW),SOSTENIMIENTO</t>
  </si>
  <si>
    <t>2E665V</t>
  </si>
  <si>
    <t>DESARR,VANESSA,Est 847 SW (Snv 070 SW),VOLADURA</t>
  </si>
  <si>
    <t>2E666L</t>
  </si>
  <si>
    <t>DESARR,VANESSA,Est 075-4 SE (Pq 075),LIMPIEZA</t>
  </si>
  <si>
    <t>2E666O</t>
  </si>
  <si>
    <t>DESARR,VANESSA,Est 075-4 SE (Pq 075),SERVICIO</t>
  </si>
  <si>
    <t>2E666P</t>
  </si>
  <si>
    <t>DESARR,VANESSA,Est 075-4 SE (Pq 075),PERFORACION</t>
  </si>
  <si>
    <t>2E666S</t>
  </si>
  <si>
    <t>DESARR,VANESSA,Est 075-4 SE (Pq 075),SOSTENIMIENTO</t>
  </si>
  <si>
    <t>2E666V</t>
  </si>
  <si>
    <t>DESARR,VANESSA,Est 075-4 SE (Pq 075),VOLADURA</t>
  </si>
  <si>
    <t>2E677L</t>
  </si>
  <si>
    <t>DESARR,VANESSA,Est 840 SE (Inc 870 SW),LIMPIEZA</t>
  </si>
  <si>
    <t>2E677O</t>
  </si>
  <si>
    <t>DESARR,VANESSA,Est 840 SE (Inc 870 SW),SERVICIO</t>
  </si>
  <si>
    <t>2E677P</t>
  </si>
  <si>
    <t>DESARR,VANESSA,Est 840 SE (Inc 870 SW),PERFORACION</t>
  </si>
  <si>
    <t>2E677S</t>
  </si>
  <si>
    <t>DESARR,VANESSA,Est 840 SE (Inc 870 SW),SOSTENIMIENTO</t>
  </si>
  <si>
    <t>2E677V</t>
  </si>
  <si>
    <t>DESARR,VANESSA,Est 840 SE (Inc 870 SW),VOLADURA</t>
  </si>
  <si>
    <t>2E679L</t>
  </si>
  <si>
    <t>DESARR,VANESSA,Est 845 SE (Inc 870 SW),LIMPIEZA</t>
  </si>
  <si>
    <t>2E679O</t>
  </si>
  <si>
    <t>DESARR,VANESSA,Est 845 SE (Inc 870 SW),SERVICIO</t>
  </si>
  <si>
    <t>2E679P</t>
  </si>
  <si>
    <t>DESARR,VANESSA,Est 845 SE (Inc 870 SW),PERFORACION</t>
  </si>
  <si>
    <t>2E679S</t>
  </si>
  <si>
    <t>DESARR,VANESSA,Est 845 SE (Inc 870 SW),SOSTENIMIENTO</t>
  </si>
  <si>
    <t>2E679V</t>
  </si>
  <si>
    <t>DESARR,VANESSA,Est 845 SE (Inc 870 SW),VOLADURA</t>
  </si>
  <si>
    <t>2E680L</t>
  </si>
  <si>
    <t>DESARR,VANESSA, Est 819 SE (Snv 868 SW),LIMPIEZA</t>
  </si>
  <si>
    <t>2E680O</t>
  </si>
  <si>
    <t>DESARR,VANESSA, Est 819 SE (Snv 868 SW),SERVICIO</t>
  </si>
  <si>
    <t>2E680P</t>
  </si>
  <si>
    <t>DESARR,VANESSA, Est 819 SE (Snv 868 SW),PERFORACION</t>
  </si>
  <si>
    <t>2E680S</t>
  </si>
  <si>
    <t>DESARR,VANESSA, Est 819 SE (Snv 868 SW),SOSTENIMIENTO</t>
  </si>
  <si>
    <t>2E680V</t>
  </si>
  <si>
    <t>DESARR,VANESSA, Est 819 SE (Snv 868 SW),VOLADURA</t>
  </si>
  <si>
    <t>2E681L</t>
  </si>
  <si>
    <t>DESARR,VANESSA,Est 829 SE (Snv 868 SW),LIMPIEZA</t>
  </si>
  <si>
    <t>2E681O</t>
  </si>
  <si>
    <t>DESARR,VANESSA,Est 829 SE (Snv 868 SW),SERVICIO</t>
  </si>
  <si>
    <t>2E681P</t>
  </si>
  <si>
    <t>DESARR,VANESSA,Est 829 SE (Snv 868 SW),PERFORACION</t>
  </si>
  <si>
    <t>2E681S</t>
  </si>
  <si>
    <t>DESARR,VANESSA,Est 829 SE (Snv 868 SW),SOSTENIMIENTO</t>
  </si>
  <si>
    <t>2E681V</t>
  </si>
  <si>
    <t>DESARR,VANESSA,Est 829 SE (Snv 868 SW),VOLADURA</t>
  </si>
  <si>
    <t>2E938L</t>
  </si>
  <si>
    <t>DESARR,VANESSA,Ven 033 SW (Tj 037 NE),LIMPIEZA</t>
  </si>
  <si>
    <t>2E938O</t>
  </si>
  <si>
    <t>DESARR,VANESSA,Ven 033 SW (Tj 037 NE),SERVICIO</t>
  </si>
  <si>
    <t>2E938P</t>
  </si>
  <si>
    <t>DESARR,VANESSA,Ven 033 SW (Tj 037 NE),PERFORACION</t>
  </si>
  <si>
    <t>2E938S</t>
  </si>
  <si>
    <t>DESARR,VANESSA,Ven 033 SW (Tj 037 NE),SOSTENIMIENTO</t>
  </si>
  <si>
    <t>2E938V</t>
  </si>
  <si>
    <t>DESARR,VANESSA,Ven 033 SW (Tj 037 NE),VOLADURA</t>
  </si>
  <si>
    <t>2EA03L</t>
  </si>
  <si>
    <t>DESARR,VANESSA,Bp 852 NW (Snv 032 SW),LIMPIEZA</t>
  </si>
  <si>
    <t>2EA03O</t>
  </si>
  <si>
    <t>DESARR,VANESSA,Bp 852 NW (Snv 032 SW),SERVICIO</t>
  </si>
  <si>
    <t>2EA03P</t>
  </si>
  <si>
    <t>DESARR,VANESSA,Bp 852 NW (Snv 032 SW),PERFORACION</t>
  </si>
  <si>
    <t>2EA03S</t>
  </si>
  <si>
    <t>DESARR,VANESSA,Bp 852 NW (Snv 032 SW),SOSTENIMIENTO</t>
  </si>
  <si>
    <t>2EA03V</t>
  </si>
  <si>
    <t>DESARR,VANESSA,Bp 852 NW (Snv 032 SW),VOLADURA</t>
  </si>
  <si>
    <t>2EP02L</t>
  </si>
  <si>
    <t>DESARR,VANESSA,Pz 074 (Est 074 SW),LIMPIEZA</t>
  </si>
  <si>
    <t>2EP02O</t>
  </si>
  <si>
    <t>DESARR,VANESSA,Pz 074 (Est 074 SW),SERVICIO</t>
  </si>
  <si>
    <t>2EP02P</t>
  </si>
  <si>
    <t>DESARR,VANESSA,Pz 074 (Est 074 SW),PERFORACION</t>
  </si>
  <si>
    <t>2EP02S</t>
  </si>
  <si>
    <t>DESARR,VANESSA,Pz 074 (Est 074 SW),SOSTENIMIENTO</t>
  </si>
  <si>
    <t>2EP02V</t>
  </si>
  <si>
    <t>DESARR,VANESSA,Pz 074 (Est 074 SW),VOLADURA</t>
  </si>
  <si>
    <t>2EP03L</t>
  </si>
  <si>
    <t>DESARR,VANESSA,Pz 030 (Snv 030 NE),LIMPIEZA</t>
  </si>
  <si>
    <t>2EP03O</t>
  </si>
  <si>
    <t>DESARR,VANESSA,Pz 030 (Snv 030 NE),SERVICIO</t>
  </si>
  <si>
    <t>2EP03P</t>
  </si>
  <si>
    <t>DESARR,VANESSA,Pz 030 (Snv 030 NE),PERFORACION</t>
  </si>
  <si>
    <t>2EP03S</t>
  </si>
  <si>
    <t>DESARR,VANESSA,Pz 030 (Snv 030 NE),SOSTENIMIENTO</t>
  </si>
  <si>
    <t>2EP03V</t>
  </si>
  <si>
    <t>DESARR,VANESSA,Pz 030 (Snv 030 NE),VOLADURA</t>
  </si>
  <si>
    <t>2EP04L</t>
  </si>
  <si>
    <t>DESARR,VANESSA,Pz 026 (Snv 026 NE),LIMPIEZA</t>
  </si>
  <si>
    <t>2EP04O</t>
  </si>
  <si>
    <t>DESARR,VANESSA,Pz 026 (Snv 026 NE),SERVICIO</t>
  </si>
  <si>
    <t>2EP04P</t>
  </si>
  <si>
    <t>DESARR,VANESSA,Pz 026 (Snv 026 NE),PERFORACION</t>
  </si>
  <si>
    <t>2EP04S</t>
  </si>
  <si>
    <t>DESARR,VANESSA,Pz 026 (Snv 026 NE),SOSTENIMIENTO</t>
  </si>
  <si>
    <t>2EP04V</t>
  </si>
  <si>
    <t>DESARR,VANESSA,Pz 026 (Snv 026 NE),VOLADURA</t>
  </si>
  <si>
    <t>2F1091</t>
  </si>
  <si>
    <t xml:space="preserve">DESAR,ALONDRA,CX 171 NW (CX128 NE),SUMINISTROS    </t>
  </si>
  <si>
    <t>2F1092</t>
  </si>
  <si>
    <t xml:space="preserve">DESAR,ALONDRA,CX 171 NW (CX128 NE),SOSTENIMIENTO  </t>
  </si>
  <si>
    <t>2F1093</t>
  </si>
  <si>
    <t xml:space="preserve">DESAR,ALONDRA,CX 171 NW (CX128 NE),SERVICIO       </t>
  </si>
  <si>
    <t>2F1094</t>
  </si>
  <si>
    <t xml:space="preserve">DESAR,ALONDRA,CX 171 NW (CX128 NE),REHABILITACION </t>
  </si>
  <si>
    <t>2F1161</t>
  </si>
  <si>
    <t>DESAR,ALONDRA,Cx 169 NE (Gal 127 NE),SUMINISTROS</t>
  </si>
  <si>
    <t>2F1162</t>
  </si>
  <si>
    <t>DESAR,ALONDRA,Cx 169 NE (Gal 127 NE),SOSTENIMIENTO</t>
  </si>
  <si>
    <t>2F1163</t>
  </si>
  <si>
    <t>DESAR,ALONDRA,Cx 169 NE (Gal 127 NE),SERVICIO</t>
  </si>
  <si>
    <t>2F1164</t>
  </si>
  <si>
    <t>DESAR,ALONDRA,Cx 169 NE (Gal 127 NE),REHABILITACION</t>
  </si>
  <si>
    <t>2F1166</t>
  </si>
  <si>
    <t>DESAR,ALONDRA,Cx 169 NE (Gal 127 NE),REFUGIO</t>
  </si>
  <si>
    <t>2F2071</t>
  </si>
  <si>
    <t>DESAR,ALONDRA,Gal 127 NE (Cx 171 NW),SUMINISTROS</t>
  </si>
  <si>
    <t>2F2072</t>
  </si>
  <si>
    <t>DESAR,ALONDRA,Gal 127 NE (Cx 171 NW),SOSTENIMIENTO</t>
  </si>
  <si>
    <t>2F2073</t>
  </si>
  <si>
    <t>DESAR,ALONDRA,Gal 127 NE (Cx 171 NW),SERVICIO</t>
  </si>
  <si>
    <t>2F2074</t>
  </si>
  <si>
    <t>DESAR,ALONDRA,Gal 127 NE (Cx 171 NW),REHABILITACION</t>
  </si>
  <si>
    <t>2F2076</t>
  </si>
  <si>
    <t>DESAR,ALONDRA,Gal 127 NE (Cx 171 NW),REFUGIO</t>
  </si>
  <si>
    <t>2F2081</t>
  </si>
  <si>
    <t>DESAR,ALONDRA,Gal 127 SW (Cx 171 NW),SUMINISTROS</t>
  </si>
  <si>
    <t>2F2082</t>
  </si>
  <si>
    <t>DESAR,ALONDRA,Gal 127 SW (Cx 171 NW),SOSTENIMIENTO</t>
  </si>
  <si>
    <t>2F2083</t>
  </si>
  <si>
    <t>DESAR,ALONDRA,Gal 127 SW (Cx 171 NW),SERVICIO</t>
  </si>
  <si>
    <t>2F2084</t>
  </si>
  <si>
    <t>DESAR,ALONDRA,Gal 127 SW (Cx 171 NW),REHABILITACION</t>
  </si>
  <si>
    <t>2F2086</t>
  </si>
  <si>
    <t>DESAR,ALONDRA,Gal 127 SW (Cx 171 NW),REFUGIO</t>
  </si>
  <si>
    <t>2F2111</t>
  </si>
  <si>
    <t>DESAR,ALONDRA,Gal 192 NE (Cx 169 NE),SUMINISTROS</t>
  </si>
  <si>
    <t>2F2112</t>
  </si>
  <si>
    <t>DESAR,ALONDRA,Gal 192 NE (Cx 169 NE),SOSTENIMIENTO</t>
  </si>
  <si>
    <t>2F2113</t>
  </si>
  <si>
    <t>DESAR,ALONDRA,Gal 192 NE (Cx 169 NE),SERVICIO</t>
  </si>
  <si>
    <t>2F2114</t>
  </si>
  <si>
    <t>DESAR,ALONDRA,Gal 192 NE (Cx 169 NE),REHABILITACION</t>
  </si>
  <si>
    <t>2F5641</t>
  </si>
  <si>
    <t>DESAR,ALONDRA,Snv 3850 NE (Ch 133),SUMINISTROS</t>
  </si>
  <si>
    <t>2F5642</t>
  </si>
  <si>
    <t>DESAR,ALONDRA,Snv 3850 NE (Ch 133),SOSTENIMIENTO</t>
  </si>
  <si>
    <t>2F5643</t>
  </si>
  <si>
    <t>DESAR,ALONDRA,Snv 3850 NE (Ch 133),SERVICIO</t>
  </si>
  <si>
    <t>2F5644</t>
  </si>
  <si>
    <t>DESAR,ALONDRA,Snv 3850 NE (Ch 133),REHABILITACION</t>
  </si>
  <si>
    <t>2F5651</t>
  </si>
  <si>
    <t>DESAR,ALONDRA,Snv 3850 SW (Ch 133),SUMINISTROS</t>
  </si>
  <si>
    <t>2F5652</t>
  </si>
  <si>
    <t>DESAR,ALONDRA,Snv 3850 SW (Ch 133),SOSTENIMIENTO</t>
  </si>
  <si>
    <t>2F5653</t>
  </si>
  <si>
    <t>DESAR,ALONDRA,Snv 3850 SW (Ch 133),SERVICIO</t>
  </si>
  <si>
    <t>2F5654</t>
  </si>
  <si>
    <t>DESAR,ALONDRA,Snv 3850 SW (Ch 133),REHABILITACION</t>
  </si>
  <si>
    <t>2G31FL</t>
  </si>
  <si>
    <t>DESARR,MANUEL,Ch 907 (Snv 878 NE),LIMPIEZA</t>
  </si>
  <si>
    <t>2G31FO</t>
  </si>
  <si>
    <t>DESARR,MANUEL,Ch 907 (Snv 878 NE),SERVICIO</t>
  </si>
  <si>
    <t>2G31FP</t>
  </si>
  <si>
    <t>DESARR,MANUEL,Ch 907 (Snv 878 NE),PERFORACION</t>
  </si>
  <si>
    <t>2G31FS</t>
  </si>
  <si>
    <t>DESARR,MANUEL,Ch 907 (Snv 878 NE),SOSTENIMIENTO</t>
  </si>
  <si>
    <t>2G31FV</t>
  </si>
  <si>
    <t>DESARR,MANUEL,Ch 907 (Snv 878 NE),VOLADURA</t>
  </si>
  <si>
    <t>2G379L</t>
  </si>
  <si>
    <t>DESARR,MANUEL,Ch 931 (Snv 938 SW),LIMPIEZA</t>
  </si>
  <si>
    <t>2G379O</t>
  </si>
  <si>
    <t>DESARR,MANUEL,Ch 931 (Snv 938 SW),SERVICIO</t>
  </si>
  <si>
    <t>2G379P</t>
  </si>
  <si>
    <t>DESARR,MANUEL,Ch 931 (Snv 938 SW),PERFORACION</t>
  </si>
  <si>
    <t>2G379S</t>
  </si>
  <si>
    <t>DESARR,MANUEL,Ch 931 (Snv 938 SW),SOSTENIMIENTO</t>
  </si>
  <si>
    <t>2G379V</t>
  </si>
  <si>
    <t>DESARR,MANUEL,Ch 931 (Snv 938 SW),VOLADURA</t>
  </si>
  <si>
    <t>2G411L</t>
  </si>
  <si>
    <t>DESARR,MANUEL,Pq 938 (Est 935 NE),LIMPIEZA</t>
  </si>
  <si>
    <t>2G411O</t>
  </si>
  <si>
    <t>DESARR,MANUEL,Pq 938 (Est 935 NE),SERVICIO</t>
  </si>
  <si>
    <t>2G411P</t>
  </si>
  <si>
    <t>DESARR,MANUEL,Pq 938 (Est 935 NE),PERFORACION</t>
  </si>
  <si>
    <t>2G411S</t>
  </si>
  <si>
    <t>DESARR,MANUEL,Pq 938 (Est 935 NE),SOSTENIMIENTO</t>
  </si>
  <si>
    <t>2G411V</t>
  </si>
  <si>
    <t>DESARR,MANUEL,Pq 938 (Est 935 NE),VOLADURA</t>
  </si>
  <si>
    <t>2G5481</t>
  </si>
  <si>
    <t>DESAR,MANUEL,Snv 116 SE (Est 108 SE),SUMINISTROS</t>
  </si>
  <si>
    <t>2G5482</t>
  </si>
  <si>
    <t>DESAR,MANUEL,Snv 116 SE (Est 108 SE),SOSTENIMIENTO</t>
  </si>
  <si>
    <t>2G5483</t>
  </si>
  <si>
    <t>DESAR,MANUEL,Snv 116 SE (Est 108 SE),SERVICIO</t>
  </si>
  <si>
    <t>2G5484</t>
  </si>
  <si>
    <t>DESAR,MANUEL,Snv 116 SE (Est 108 SE),REHABILITACION</t>
  </si>
  <si>
    <t>2G676L</t>
  </si>
  <si>
    <t>DESARR,MANUEL,Est 901 NW (Snv 878 NE),LIMPIEZA</t>
  </si>
  <si>
    <t>2G676O</t>
  </si>
  <si>
    <t>DESARR,MANUEL,Est 901 NW (Snv 878 NE),SERVICIO</t>
  </si>
  <si>
    <t>2G676P</t>
  </si>
  <si>
    <t>DESARR,MANUEL,Est 901 NW (Snv 878 NE),PERFORACION</t>
  </si>
  <si>
    <t>2G676S</t>
  </si>
  <si>
    <t>DESARR,MANUEL,Est 901 NW (Snv 878 NE),SOSTENIMIENTO</t>
  </si>
  <si>
    <t>2G676V</t>
  </si>
  <si>
    <t>DESARR,MANUEL,Est 901 NW (Snv 878 NE),VOLADURA</t>
  </si>
  <si>
    <t>2G939L</t>
  </si>
  <si>
    <t>DESARR,MANUEL,Ven 034 NE (Tj 880 SW),LIMPIEZA</t>
  </si>
  <si>
    <t>2G939O</t>
  </si>
  <si>
    <t>DESARR,MANUEL,Ven 034 NE (Tj 880 SW),SERVICIO</t>
  </si>
  <si>
    <t>2G939P</t>
  </si>
  <si>
    <t>DESARR,MANUEL,Ven 034 NE (Tj 880 SW),PERFORACION</t>
  </si>
  <si>
    <t>2G939S</t>
  </si>
  <si>
    <t>DESARR,MANUEL,Ven 034 NE (Tj 880 SW),SOSTENIMIENTO</t>
  </si>
  <si>
    <t>2G939V</t>
  </si>
  <si>
    <t>DESARR,MANUEL,Ven 034 NE (Tj 880 SW),VOLADURA</t>
  </si>
  <si>
    <t>2H129L</t>
  </si>
  <si>
    <t>DESARR,SHOJO,Cx 648 SW (Cx 712 SW),LIMPIEZA</t>
  </si>
  <si>
    <t>2H129O</t>
  </si>
  <si>
    <t>DESARR,SHOJO,Cx 648 SW (Cx 712 SW),SERVICIO</t>
  </si>
  <si>
    <t>2H129P</t>
  </si>
  <si>
    <t>DESARR,SHOJO,Cx 648 SW (Cx 712 SW),PERFORACION</t>
  </si>
  <si>
    <t>2H129S</t>
  </si>
  <si>
    <t>DESARR,SHOJO,Cx 648 SW (Cx 712 SW),SOSTENIMIENTO</t>
  </si>
  <si>
    <t>2H129V</t>
  </si>
  <si>
    <t>DESARR,SHOJO,Cx 648 SW (Cx 712 SW),VOLADURA</t>
  </si>
  <si>
    <t>2H130L</t>
  </si>
  <si>
    <t>DESARR,SHOJO,Cx 648 NE (Cx 712 SW),LIMPIEZA</t>
  </si>
  <si>
    <t>2H130O</t>
  </si>
  <si>
    <t>DESARR,SHOJO,Cx 648 NE (Cx 712 SW),SERVICIO</t>
  </si>
  <si>
    <t>2H130P</t>
  </si>
  <si>
    <t>DESARR,SHOJO,Cx 648 NE (Cx 712 SW),PERFORACION</t>
  </si>
  <si>
    <t>2H130S</t>
  </si>
  <si>
    <t>DESARR,SHOJO,Cx 648 NE (Cx 712 SW),SOSTENIMIENTO</t>
  </si>
  <si>
    <t>2H130V</t>
  </si>
  <si>
    <t>DESARR,SHOJO,Cx 648 NE (Cx 712 SW),VOLADURA</t>
  </si>
  <si>
    <t>2H218L</t>
  </si>
  <si>
    <t>DESARR,SHOJO,Gal 708 SW (Cx683 NW),LIMPIEZA</t>
  </si>
  <si>
    <t>2H218O</t>
  </si>
  <si>
    <t>DESARR,SHOJO,Gal 708 SW (Cx683 NW),SERVICIO</t>
  </si>
  <si>
    <t>2H218P</t>
  </si>
  <si>
    <t>DESARR,SHOJO,Gal 708 SW (Cx683 NW),PERFORACION</t>
  </si>
  <si>
    <t>2H218S</t>
  </si>
  <si>
    <t>DESARR,SHOJO,Gal 708 SW (Cx683 NW),SOSTENIMIENTO</t>
  </si>
  <si>
    <t>2H218V</t>
  </si>
  <si>
    <t>DESARR,SHOJO,Gal 708 SW (Cx683 NW),VOLADURA</t>
  </si>
  <si>
    <t>2H219L</t>
  </si>
  <si>
    <t>DESARR,SHOJO,Gal 708 NE (Cx683 NW),LIMPIEZA</t>
  </si>
  <si>
    <t>2H219O</t>
  </si>
  <si>
    <t>DESARR,SHOJO,Gal 708 NE (Cx683 NW),SERVICIO</t>
  </si>
  <si>
    <t>2H219P</t>
  </si>
  <si>
    <t>DESARR,SHOJO,Gal 708 NE (Cx683 NW),PERFORACION</t>
  </si>
  <si>
    <t>2H219S</t>
  </si>
  <si>
    <t>DESARR,SHOJO,Gal 708 NE (Cx683 NW),SOSTENIMIENTO</t>
  </si>
  <si>
    <t>2H219V</t>
  </si>
  <si>
    <t>DESARR,SHOJO,Gal 708 NE (Cx683 NW),VOLADURA</t>
  </si>
  <si>
    <t>2H385L</t>
  </si>
  <si>
    <t>DESARR,SHOJO,Ch 669 (Gal 708 SW),LIMPIEZA</t>
  </si>
  <si>
    <t>2H385O</t>
  </si>
  <si>
    <t>DESARR,SHOJO,Ch 669 (Gal 708 SW),SERVICIO</t>
  </si>
  <si>
    <t>2H385P</t>
  </si>
  <si>
    <t>DESARR,SHOJO,Ch 669 (Gal 708 SW),PERFORACION</t>
  </si>
  <si>
    <t>2H385S</t>
  </si>
  <si>
    <t>DESARR,SHOJO,Ch 669 (Gal 708 SW),SOSTENIMIENTO</t>
  </si>
  <si>
    <t>2H385V</t>
  </si>
  <si>
    <t>DESARR,SHOJO,Ch 669 (Gal 708 SW),VOLADURA</t>
  </si>
  <si>
    <t>2J2051</t>
  </si>
  <si>
    <t>DESAR,PAMELA,GAL 980 SW (CX 010 SW),SUMINISTROS</t>
  </si>
  <si>
    <t>2J2052</t>
  </si>
  <si>
    <t>DESAR,PAMELA,GAL 980 SW (CX 010 SW),SOSTENIMIENTO</t>
  </si>
  <si>
    <t>2J2053</t>
  </si>
  <si>
    <t>DESAR,PAMELA,GAL 980 SW (CX 010 SW),SERVICIO</t>
  </si>
  <si>
    <t>2J2054</t>
  </si>
  <si>
    <t>DESAR,PAMELA,GAL 980 SW (CX 010 SW),REHABILITACION</t>
  </si>
  <si>
    <t>2J213L</t>
  </si>
  <si>
    <t>DESARR,PAMELA,Gal 980 SW (Cx 712 SW),LIMPIEZA</t>
  </si>
  <si>
    <t>2J213O</t>
  </si>
  <si>
    <t>DESARR,PAMELA,Gal 980 SW (Cx 712 SW),SERVICIO</t>
  </si>
  <si>
    <t>2J213P</t>
  </si>
  <si>
    <t>DESARR,PAMELA,Gal 980 SW (Cx 712 SW),PERFORACION</t>
  </si>
  <si>
    <t>2J213S</t>
  </si>
  <si>
    <t>DESARR,PAMELA,Gal 980 SW (Cx 712 SW),SOSTENIMIENTO</t>
  </si>
  <si>
    <t>2J213V</t>
  </si>
  <si>
    <t>DESARR,PAMELA,Gal 980 SW (Cx 712 SW),VOLADURA</t>
  </si>
  <si>
    <t>2J3421</t>
  </si>
  <si>
    <t>DESAR,PAMELA,CH 959 (GAL 980 SW),SUMINISTROS</t>
  </si>
  <si>
    <t>2J3422</t>
  </si>
  <si>
    <t>DESAR,PAMELA,CH 959 (GAL 980 SW),SOSTENIMIENTO</t>
  </si>
  <si>
    <t>2J3423</t>
  </si>
  <si>
    <t>DESAR,PAMELA,CH 959 (GAL 980 SW),SERVICIO</t>
  </si>
  <si>
    <t>2J3424</t>
  </si>
  <si>
    <t>DESAR,PAMELA,CH 959 (GAL 980 SW),REHABILITACION</t>
  </si>
  <si>
    <t>2K5421</t>
  </si>
  <si>
    <t>DESAR,ALEXANDRA,SNV 087 SW (EST 092 SW),SUMINISTROS</t>
  </si>
  <si>
    <t>2K5422</t>
  </si>
  <si>
    <t>DESAR,ALEXANDRA,SNV 087 SW (EST 092 SW),SOSTENIMIENTO</t>
  </si>
  <si>
    <t>2K5423</t>
  </si>
  <si>
    <t>DESAR,ALEXANDRA,SNV 087 SW (EST 092 SW),SERVICIO</t>
  </si>
  <si>
    <t>2K5424</t>
  </si>
  <si>
    <t>DESAR,ALEXANDRA,SNV 087 SW (EST 092 SW),REHABILITACION</t>
  </si>
  <si>
    <t>2L1181</t>
  </si>
  <si>
    <t>DESAR,ANDREA,Cx 199 NE (Cxl 169 NE),SUMINISTROS</t>
  </si>
  <si>
    <t>2L1182</t>
  </si>
  <si>
    <t>DESAR,ANDREA,Cx 199 NE (Cxl 169 NE),SOSTENIMIENTO</t>
  </si>
  <si>
    <t>2L1183</t>
  </si>
  <si>
    <t>DESAR,ANDREA,Cx 199 NE (Cxl 169 NE),SERVICIO</t>
  </si>
  <si>
    <t>2L1184</t>
  </si>
  <si>
    <t>DESAR,ANDREA,Cx 199 NE (Cxl 169 NE),REHABILITACION</t>
  </si>
  <si>
    <t>2L1186</t>
  </si>
  <si>
    <t>DESAR,ANDREA,Cx 199 NE (Cxl 169 NE),REFUGIO</t>
  </si>
  <si>
    <t>2L1191</t>
  </si>
  <si>
    <t>DESAR,ANDREA,Cx 199 NE (Cx 169 NE),SUMINISTROS</t>
  </si>
  <si>
    <t>2L1192</t>
  </si>
  <si>
    <t>DESAR,ANDREA,Cx 199 NE (Cx 169 NE),SOSTENIMIENTO</t>
  </si>
  <si>
    <t>2L1193</t>
  </si>
  <si>
    <t>DESAR,ANDREA,Cx 199 NE (Cx 169 NE),SERVICIO</t>
  </si>
  <si>
    <t>2L1194</t>
  </si>
  <si>
    <t>DESAR,ANDREA,Cx 199 NE (Cx 169 NE),REHABILITACION</t>
  </si>
  <si>
    <t>2L1196</t>
  </si>
  <si>
    <t>DESAR,ANDREA,Cx 199 NE (Cx 169 NE),REFUGIO</t>
  </si>
  <si>
    <t>2L1201</t>
  </si>
  <si>
    <t>DESAR,ANDREA,Cx 245 NW (Cx 199 NE),SUMINISTROS</t>
  </si>
  <si>
    <t>2L1202</t>
  </si>
  <si>
    <t>DESAR,ANDREA,Cx 245 NW (Cx 199 NE),SOSTENIMIENTO</t>
  </si>
  <si>
    <t>2L1203</t>
  </si>
  <si>
    <t>DESAR,ANDREA,Cx 245 NW (Cx 199 NE),SERVICIO</t>
  </si>
  <si>
    <t>2L1204</t>
  </si>
  <si>
    <t>DESAR,ANDREA,Cx 245 NW (Cx 199 NE),REHABILITACION</t>
  </si>
  <si>
    <t>2L1206</t>
  </si>
  <si>
    <t>DESAR,ANDREA,Cx 245 NW (Cx 199 NE),REFUGIO</t>
  </si>
  <si>
    <t>2L1221</t>
  </si>
  <si>
    <t>DESAR,ANDREA,Cx 225 SE (Cx 199 NE),SUMINISTROS</t>
  </si>
  <si>
    <t>2L1222</t>
  </si>
  <si>
    <t>DESAR,ANDREA,Cx 225 SE (Cx 199 NE),SOSTENIMIENTO</t>
  </si>
  <si>
    <t>2L1223</t>
  </si>
  <si>
    <t>DESAR,ANDREA,Cx 225 SE (Cx 199 NE),SERVICIO</t>
  </si>
  <si>
    <t>2L1224</t>
  </si>
  <si>
    <t>DESAR,ANDREA,Cx 225 SE (Cx 199 NE),REHABILITACION</t>
  </si>
  <si>
    <t>2L1241</t>
  </si>
  <si>
    <t>DESAR,ANDREA,Cx 236 SE (Pq 234),SUMINISTROS</t>
  </si>
  <si>
    <t>2L1242</t>
  </si>
  <si>
    <t>DESAR,ANDREA,Cx 236 SE (Pq 234),SOSTENIMIENTO</t>
  </si>
  <si>
    <t>2L1243</t>
  </si>
  <si>
    <t>DESAR,ANDREA,Cx 236 SE (Pq 234),SERVICIO</t>
  </si>
  <si>
    <t>2L1244</t>
  </si>
  <si>
    <t>DESAR,ANDREA,Cx 236 SE (Pq 234),REHABILITACION</t>
  </si>
  <si>
    <t>2L31EL</t>
  </si>
  <si>
    <t>DESARR,ANDREA,Ch 889 (Snv 152 SW),LIMPIEZA</t>
  </si>
  <si>
    <t>2L31EO</t>
  </si>
  <si>
    <t>DESARR,ANDREA,Ch 889 (Snv 152 SW),SERVICIO</t>
  </si>
  <si>
    <t>2L31EP</t>
  </si>
  <si>
    <t>DESARR,ANDREA,Ch 889 (Snv 152 SW),PERFORACION</t>
  </si>
  <si>
    <t>2L31ES</t>
  </si>
  <si>
    <t>DESARR,ANDREA,Ch 889 (Snv 152 SW),SOSTENIMIENTO</t>
  </si>
  <si>
    <t>2L31EV</t>
  </si>
  <si>
    <t>DESARR,ANDREA,Ch 889 (Snv 152 SW),VOLADURA</t>
  </si>
  <si>
    <t>2L31GL</t>
  </si>
  <si>
    <t>DESARR,ANDREA, Ch 944 (Snv 938 NE),LIMPIEZA</t>
  </si>
  <si>
    <t>2L31GO</t>
  </si>
  <si>
    <t>DESARR,ANDREA, Ch 944 (Snv 938 NE),SERVICIO</t>
  </si>
  <si>
    <t>2L31GP</t>
  </si>
  <si>
    <t>DESARR,ANDREA, Ch 944 (Snv 938 NE),PERFORACION</t>
  </si>
  <si>
    <t>2L31GS</t>
  </si>
  <si>
    <t>DESARR,ANDREA, Ch 944 (Snv 938 NE),SOSTENIMIENTO</t>
  </si>
  <si>
    <t>2L31GV</t>
  </si>
  <si>
    <t>DESARR,ANDREA, Ch 944 (Snv 938 NE),VOLADURA</t>
  </si>
  <si>
    <t>2L375L</t>
  </si>
  <si>
    <t>DESARR,ANDREA,Ch 030 (Snv 031 SW),LIMPIEZA</t>
  </si>
  <si>
    <t>2L375O</t>
  </si>
  <si>
    <t>DESARR,ANDREA,Ch 030 (Snv 031 SW),SERVICIO</t>
  </si>
  <si>
    <t>2L375P</t>
  </si>
  <si>
    <t>DESARR,ANDREA,Ch 030 (Snv 031 SW),PERFORACION</t>
  </si>
  <si>
    <t>2L375S</t>
  </si>
  <si>
    <t>DESARR,ANDREA,Ch 030 (Snv 031 SW),SOSTENIMIENTO</t>
  </si>
  <si>
    <t>2L375V</t>
  </si>
  <si>
    <t>DESARR,ANDREA,Ch 030 (Snv 031 SW),VOLADURA</t>
  </si>
  <si>
    <t>2L4061</t>
  </si>
  <si>
    <t>DESAR,ANDREA,Pq 235 (Superf),SUMINISTROS</t>
  </si>
  <si>
    <t>2L4062</t>
  </si>
  <si>
    <t>DESAR,ANDREA,Pq 235 (Superf),SOSTENIMIENTO</t>
  </si>
  <si>
    <t>2L4063</t>
  </si>
  <si>
    <t>DESAR,ANDREA,Pq 235 (Superf),SERVICIO</t>
  </si>
  <si>
    <t>2L4064</t>
  </si>
  <si>
    <t>DESAR,ANDREA,Pq 235 (Superf),REHABILITACION</t>
  </si>
  <si>
    <t>2L4065</t>
  </si>
  <si>
    <t>DESAR,ANDREA,Pq 235 (Superf),TOLVA</t>
  </si>
  <si>
    <t>2L4071</t>
  </si>
  <si>
    <t>DESAR,ANDREA,Pq 228 (Ven 226 NE),SUMINISTROS</t>
  </si>
  <si>
    <t>2L4072</t>
  </si>
  <si>
    <t>DESAR,ANDREA,Pq 228 (Ven 226 NE),SOSTENIMIENTO</t>
  </si>
  <si>
    <t>2L4073</t>
  </si>
  <si>
    <t>DESAR,ANDREA,Pq 228 (Ven 226 NE),SERVICIO</t>
  </si>
  <si>
    <t>2L4074</t>
  </si>
  <si>
    <t>DESAR,ANDREA,Pq 228 (Ven 226 NE),REHABILITACION</t>
  </si>
  <si>
    <t>2L4075</t>
  </si>
  <si>
    <t>DESAR,ANDREA,Pq 228 (Ven 226 NE),TOLVA</t>
  </si>
  <si>
    <t>2L4081</t>
  </si>
  <si>
    <t>DESAR,ANDREA,Pq 256 (Ven 254 SE),SUMINISTROS</t>
  </si>
  <si>
    <t>2L4082</t>
  </si>
  <si>
    <t>DESAR,ANDREA,Pq 256 (Ven 254 SE),SOSTENIMIENTO</t>
  </si>
  <si>
    <t>2L4083</t>
  </si>
  <si>
    <t>DESAR,ANDREA,Pq 256 (Ven 254 SE),SERVICIO</t>
  </si>
  <si>
    <t>2L4084</t>
  </si>
  <si>
    <t>DESAR,ANDREA,Pq 256 (Ven 254 SE),REHABILITACION</t>
  </si>
  <si>
    <t>2L4085</t>
  </si>
  <si>
    <t>DESAR,ANDREA,Pq 256 (Ven 254 SE),TOLVA</t>
  </si>
  <si>
    <t>2L4091</t>
  </si>
  <si>
    <t>DESAR,ANDREA,Pq 234 (Sup),SUMINISTROS</t>
  </si>
  <si>
    <t>2L4092</t>
  </si>
  <si>
    <t>DESAR,ANDREA,Pq 234 (Sup),SOSTENIMIENTO</t>
  </si>
  <si>
    <t>2L4093</t>
  </si>
  <si>
    <t>DESAR,ANDREA,Pq 234 (Sup),SERVICIO</t>
  </si>
  <si>
    <t>2L4094</t>
  </si>
  <si>
    <t>DESAR,ANDREA,Pq 234 (Sup),REHABILITACION</t>
  </si>
  <si>
    <t>2L51A1</t>
  </si>
  <si>
    <t>DESAR,ANDREA,Snv 256 SW (Est 255 SW),SUMINISTROS</t>
  </si>
  <si>
    <t>2L51A2</t>
  </si>
  <si>
    <t>DESAR,ANDREA,Snv 256 SW (Est 255 SW),SOSTENIMIENTO</t>
  </si>
  <si>
    <t>2L51A3</t>
  </si>
  <si>
    <t>DESAR,ANDREA,Snv 256 SW (Est 255 SW),SERVICIO</t>
  </si>
  <si>
    <t>2L51A4</t>
  </si>
  <si>
    <t>DESAR,ANDREA,Snv 256 SW (Est 255 SW),REHABILITACION</t>
  </si>
  <si>
    <t>2L5991</t>
  </si>
  <si>
    <t>DESAR,ANDREA,Snv 226 NE (Est 224 SW),SUMINISTROS</t>
  </si>
  <si>
    <t>2L5992</t>
  </si>
  <si>
    <t>DESAR,ANDREA,Snv 226 NE (Est 224 SW),SOSTENIMIENTO</t>
  </si>
  <si>
    <t>2L5993</t>
  </si>
  <si>
    <t>DESAR,ANDREA,Snv 226 NE (Est 224 SW),SERVICIO</t>
  </si>
  <si>
    <t>2L5994</t>
  </si>
  <si>
    <t>DESAR,ANDREA,Snv 226 NE (Est 224 SW),REHABILITACION</t>
  </si>
  <si>
    <t>2L6501</t>
  </si>
  <si>
    <t>DESAR,ANDREA,Est 008 SE (Nv 8),SUMINISTROS</t>
  </si>
  <si>
    <t>2L6502</t>
  </si>
  <si>
    <t>DESAR,ANDREA,Est 008 SE (Nv 8),SOSTENIMIENTO</t>
  </si>
  <si>
    <t>2L6503</t>
  </si>
  <si>
    <t>DESAR,ANDREA,Est 008 SE (Nv 8),SERVICIO</t>
  </si>
  <si>
    <t>2L6504</t>
  </si>
  <si>
    <t>DESAR,ANDREA,Est 008 SE (Nv 8),REHABILITACION</t>
  </si>
  <si>
    <t>2L653L</t>
  </si>
  <si>
    <t>DESARR,ANDREA,Est 018 NW (Cx 199 NE),LIMPIEZA</t>
  </si>
  <si>
    <t>2L653O</t>
  </si>
  <si>
    <t>DESARR,ANDREA,Est 018 NW (Cx 199 NE),SERVICIO</t>
  </si>
  <si>
    <t>2L653P</t>
  </si>
  <si>
    <t>DESARR,ANDREA,Est 018 NW (Cx 199 NE),PERFORACION</t>
  </si>
  <si>
    <t>2L653S</t>
  </si>
  <si>
    <t>DESARR,ANDREA,Est 018 NW (Cx 199 NE),SOSTENIMIENTO</t>
  </si>
  <si>
    <t>2L653V</t>
  </si>
  <si>
    <t>DESARR,ANDREA,Est 018 NW (Cx 199 NE),VOLADURA</t>
  </si>
  <si>
    <t>2L659L</t>
  </si>
  <si>
    <t>DESARR,ANDREA,Est 004 NW (Snv 015 SW),LIMPIEZA</t>
  </si>
  <si>
    <t>2L659O</t>
  </si>
  <si>
    <t>DESARR,ANDREA,Est 004 NW (Snv 015 SW),SERVICIO</t>
  </si>
  <si>
    <t>2L659P</t>
  </si>
  <si>
    <t>DESARR,ANDREA,Est 004 NW (Snv 015 SW),PERFORACION</t>
  </si>
  <si>
    <t>2L659S</t>
  </si>
  <si>
    <t>DESARR,ANDREA,Est 004 NW (Snv 015 SW),SOSTENIMIENTO</t>
  </si>
  <si>
    <t>2L659V</t>
  </si>
  <si>
    <t>DESARR,ANDREA,Est 004 NW (Snv 015 SW),VOLADURA</t>
  </si>
  <si>
    <t>2L662L</t>
  </si>
  <si>
    <t>DESARR,ANDREA,Est 991 NW (Snv 030 SW),LIMPIEZA</t>
  </si>
  <si>
    <t>2L662O</t>
  </si>
  <si>
    <t>DESARR,ANDREA,Est 991 NW (Snv 030 SW),SERVICIO</t>
  </si>
  <si>
    <t>2L662P</t>
  </si>
  <si>
    <t>DESARR,ANDREA,Est 991 NW (Snv 030 SW),PERFORACION</t>
  </si>
  <si>
    <t>2L662S</t>
  </si>
  <si>
    <t>DESARR,ANDREA,Est 991 NW (Snv 030 SW),SOSTENIMIENTO</t>
  </si>
  <si>
    <t>2L662V</t>
  </si>
  <si>
    <t>DESARR,ANDREA,Est 991 NW (Snv 030 SW),VOLADURA</t>
  </si>
  <si>
    <t>2L671L</t>
  </si>
  <si>
    <t>DESARR,ANDREA,Est 971 SW (Cx 169 NE),LIMPIEZA</t>
  </si>
  <si>
    <t>2L671O</t>
  </si>
  <si>
    <t>DESARR,ANDREA,Est 971 SW (Cx 169 NE),SERVICIO</t>
  </si>
  <si>
    <t>2L671P</t>
  </si>
  <si>
    <t>DESARR,ANDREA,Est 971 SW (Cx 169 NE),PERFORACION</t>
  </si>
  <si>
    <t>2L671S</t>
  </si>
  <si>
    <t>DESARR,ANDREA,Est 971 SW (Cx 169 NE),SOSTENIMIENTO</t>
  </si>
  <si>
    <t>2L671V</t>
  </si>
  <si>
    <t>DESARR,ANDREA,Est 971 SW (Cx 169 NE),VOLADURA</t>
  </si>
  <si>
    <t>2L9181</t>
  </si>
  <si>
    <t>DESAR,ANDREA,Ven 226 NE (Cx 219 SE),SUMINISTROS</t>
  </si>
  <si>
    <t>2L9182</t>
  </si>
  <si>
    <t>DESAR,ANDREA,Ven 226 NE (Cx 219 SE),SOSTENIMIENTO</t>
  </si>
  <si>
    <t>2L9191</t>
  </si>
  <si>
    <t>DESAR,ANDREA,Ven 254 SE (Cx 199 NE),SUMINISTROS</t>
  </si>
  <si>
    <t>2L9192</t>
  </si>
  <si>
    <t>DESAR,ANDREA,Ven 254 SE (Cx 199 NE),SOSTENIMIENTO</t>
  </si>
  <si>
    <t>2L941L</t>
  </si>
  <si>
    <t>DESARR,ANDREA,Ven 036 NE (Tj 157 SW),LIMPIEZA</t>
  </si>
  <si>
    <t>2L941O</t>
  </si>
  <si>
    <t>DESARR,ANDREA,Ven 036 NE (Tj 157 SW),SERVICIO</t>
  </si>
  <si>
    <t>2L941P</t>
  </si>
  <si>
    <t>DESARR,ANDREA,Ven 036 NE (Tj 157 SW),PERFORACION</t>
  </si>
  <si>
    <t>2L941S</t>
  </si>
  <si>
    <t>DESARR,ANDREA,Ven 036 NE (Tj 157 SW),SOSTENIMIENTO</t>
  </si>
  <si>
    <t>2L941V</t>
  </si>
  <si>
    <t>DESARR,ANDREA,Ven 036 NE (Tj 157 SW),VOLADURA</t>
  </si>
  <si>
    <t>2M216L</t>
  </si>
  <si>
    <t>DESARR,JACKY,Gal 639 SW (Cx 648 SW),LIMPIEZA</t>
  </si>
  <si>
    <t>2M216O</t>
  </si>
  <si>
    <t>DESARR,JACKY,Gal 639 SW (Cx 648 SW),SERVICIO</t>
  </si>
  <si>
    <t>2M216P</t>
  </si>
  <si>
    <t>DESARR,JACKY,Gal 639 SW (Cx 648 SW),PERFORACION</t>
  </si>
  <si>
    <t>2M216S</t>
  </si>
  <si>
    <t>DESARR,JACKY,Gal 639 SW (Cx 648 SW),SOSTENIMIENTO</t>
  </si>
  <si>
    <t>2M216V</t>
  </si>
  <si>
    <t>DESARR,JACKY,Gal 639 SW (Cx 648 SW),VOLADURA</t>
  </si>
  <si>
    <t>2M217L</t>
  </si>
  <si>
    <t>DESARR,JACKY,Gal 639 NE (Cx 648 SW),LIMPIEZA</t>
  </si>
  <si>
    <t>2M217O</t>
  </si>
  <si>
    <t>DESARR,JACKY,Gal 639 NE (Cx 648 SW),SERVICIO</t>
  </si>
  <si>
    <t>2M217P</t>
  </si>
  <si>
    <t>DESARR,JACKY,Gal 639 NE (Cx 648 SW),PERFORACION</t>
  </si>
  <si>
    <t>2M217S</t>
  </si>
  <si>
    <t>DESARR,JACKY,Gal 639 NE (Cx 648 SW),SOSTENIMIENTO</t>
  </si>
  <si>
    <t>2M217V</t>
  </si>
  <si>
    <t>DESARR,JACKY,Gal 639 NE (Cx 648 SW),VOLADURA</t>
  </si>
  <si>
    <t>2M674L</t>
  </si>
  <si>
    <t>DESARR,JACKY,Est 640 SE (Inc 642 SW),LIMPIEZA</t>
  </si>
  <si>
    <t>2M674O</t>
  </si>
  <si>
    <t>DESARR,JACKY,Est 640 SE (Inc 642 SW),SERVICIO</t>
  </si>
  <si>
    <t>2M674P</t>
  </si>
  <si>
    <t>DESARR,JACKY,Est 640 SE (Inc 642 SW),PERFORACION</t>
  </si>
  <si>
    <t>2M674S</t>
  </si>
  <si>
    <t>DESARR,JACKY,Est 640 SE (Inc 642 SW),SOSTENIMIENTO</t>
  </si>
  <si>
    <t>2M674V</t>
  </si>
  <si>
    <t>DESARR,JACKY,Est 640 SE (Inc 642 SW),VOLADURA</t>
  </si>
  <si>
    <t>2MD02L</t>
  </si>
  <si>
    <t>DESARR,JACKY,Inc 636 SW (Cx 648 SW),LIMPIEZA</t>
  </si>
  <si>
    <t>2MD02O</t>
  </si>
  <si>
    <t>DESARR,JACKY,Inc 636 SW (Cx 648 SW),SERVICIO</t>
  </si>
  <si>
    <t>2MD02P</t>
  </si>
  <si>
    <t>DESARR,JACKY,Inc 636 SW (Cx 648 SW),PERFORACION</t>
  </si>
  <si>
    <t>2MD02S</t>
  </si>
  <si>
    <t>DESARR,JACKY,Inc 636 SW (Cx 648 SW),SOSTENIMIENTO</t>
  </si>
  <si>
    <t>2MD02V</t>
  </si>
  <si>
    <t>DESARR,JACKY,Inc 636 SW (Cx 648 SW),VOLADURA</t>
  </si>
  <si>
    <t>2MD03L</t>
  </si>
  <si>
    <t>DESARR,JACKY,Inc 642 SW (Cx 648 SW),LIMPIEZA</t>
  </si>
  <si>
    <t>2MD03O</t>
  </si>
  <si>
    <t>DESARR,JACKY,Inc 642 SW (Cx 648 SW),SERVICIO</t>
  </si>
  <si>
    <t>2MD03P</t>
  </si>
  <si>
    <t>DESARR,JACKY,Inc 642 SW (Cx 648 SW),PERFORACION</t>
  </si>
  <si>
    <t>2MD03S</t>
  </si>
  <si>
    <t>DESARR,JACKY,Inc 642 SW (Cx 648 SW),SOSTENIMIENTO</t>
  </si>
  <si>
    <t>2MD03V</t>
  </si>
  <si>
    <t>DESARR,JACKY,Inc 642 SW (Cx 648 SW),VOLADURA</t>
  </si>
  <si>
    <t>31403A</t>
  </si>
  <si>
    <t>EXPLOR , CHAPI , SN. 320 NE Est. 845-2 NE , VOLADU</t>
  </si>
  <si>
    <t>31403B</t>
  </si>
  <si>
    <t>EXPLOR , CHAPI , SN. 320 NE Est. 845-2 NE , CAMINO</t>
  </si>
  <si>
    <t>31403C</t>
  </si>
  <si>
    <t>EXPLOR , CHAPI , SN. 320 NE Est. 845-2 NE , INST D</t>
  </si>
  <si>
    <t>31403D</t>
  </si>
  <si>
    <t xml:space="preserve">EXPLOR , CHAPI ,SN.320 NE Est.845-2 NE, REHABILIT </t>
  </si>
  <si>
    <t>31404A</t>
  </si>
  <si>
    <t>EXPLOR , CHAPI , SN. 320 SW Est. 845-2 NE , VOLADU</t>
  </si>
  <si>
    <t>31404B</t>
  </si>
  <si>
    <t>EXPLOR , CHAPI , SN. 320 SW Est. 845-2 NE , CAMINO</t>
  </si>
  <si>
    <t>31404C</t>
  </si>
  <si>
    <t>EXPLOR , CHAPI , SN. 320 SW Est. 845-2 NE , INST D</t>
  </si>
  <si>
    <t>31404D</t>
  </si>
  <si>
    <t xml:space="preserve">EXPLOR , CHAPI,SN.320 SW Est.845-2 NE , REHABILIT </t>
  </si>
  <si>
    <t>33206A</t>
  </si>
  <si>
    <t>DESARR , CHAPI , CH. 862-1  SNv. 320 NE , VOLADURA</t>
  </si>
  <si>
    <t>33206B</t>
  </si>
  <si>
    <t xml:space="preserve">DESARR , CHAPI , CH. 862-1  SNv. 320 NE , CAMINOS </t>
  </si>
  <si>
    <t>33206C</t>
  </si>
  <si>
    <t xml:space="preserve">DESARR , CHAPI , CH. 862-1  SNv. 320 NE , INST DE </t>
  </si>
  <si>
    <t>33206D</t>
  </si>
  <si>
    <t xml:space="preserve">DESARR , CHAPI ,CH.862-1  SNv.320 NE,REHABILIT DE </t>
  </si>
  <si>
    <t>33207A</t>
  </si>
  <si>
    <t xml:space="preserve">DESARR,CHAPI,CH 886-1 SNV 320 NE,VOLADURA         </t>
  </si>
  <si>
    <t>33207B</t>
  </si>
  <si>
    <t xml:space="preserve">DESARR,CHAPI,CH 886-1 SNV 320 NE,CAMINOS          </t>
  </si>
  <si>
    <t>33207C</t>
  </si>
  <si>
    <t xml:space="preserve">DESARR,CHAPI,CH 886-1 SNV 320 NE,INST DE RIELES   </t>
  </si>
  <si>
    <t>33207D</t>
  </si>
  <si>
    <t xml:space="preserve">DESARR,CHAPI,CH 886-1 SNV 320 NE,REHAB DE LABORES </t>
  </si>
  <si>
    <t>33403A</t>
  </si>
  <si>
    <t>DESARR , CHAPI , SN. 320 NE Est. 845-2 NE , VOLADU</t>
  </si>
  <si>
    <t>33403B</t>
  </si>
  <si>
    <t>DESARR , CHAPI , SN. 320 NE Est. 845-2 NE , CAMINO</t>
  </si>
  <si>
    <t>33403C</t>
  </si>
  <si>
    <t>DESARR , CHAPI , SN. 320 NE Est. 845-2 NE , INST D</t>
  </si>
  <si>
    <t>33403D</t>
  </si>
  <si>
    <t>DESARR , CHAPI,SN.320 NE Est.845-2 NE, REHABILIT D</t>
  </si>
  <si>
    <t>33404A</t>
  </si>
  <si>
    <t>DESARR , CHAPI , SN. 320 SW Est. 845-2 NE , VOLADU</t>
  </si>
  <si>
    <t>33404B</t>
  </si>
  <si>
    <t>DESARR , CHAPI , SN. 320 SW Est. 845-2 NE , CAMINO</t>
  </si>
  <si>
    <t>33404C</t>
  </si>
  <si>
    <t>DESARR , CHAPI , SN. 320 SW Est. 845-2 NE , INST D</t>
  </si>
  <si>
    <t>33404D</t>
  </si>
  <si>
    <t xml:space="preserve">DESARR , CHAPI ,SN.320 SW Est.845-2 NE, REHABILIT </t>
  </si>
  <si>
    <t>34504A</t>
  </si>
  <si>
    <t xml:space="preserve">OPER , CHAPI , EST.845-2 NE PQ. 845 , VOLADURA    </t>
  </si>
  <si>
    <t>34504B</t>
  </si>
  <si>
    <t xml:space="preserve">OPER , CHAPI , EST.845-2 NE PQ. 845 , CAMINOS     </t>
  </si>
  <si>
    <t>34504C</t>
  </si>
  <si>
    <t>OPER , CHAPI , EST.845-2 NE PQ. 845 , INSTAL.RIELE</t>
  </si>
  <si>
    <t>34504D</t>
  </si>
  <si>
    <t>OPER , CHAPI , EST.845-2 NE PQ. 845 , REHABILIT.LA</t>
  </si>
  <si>
    <t>34602A</t>
  </si>
  <si>
    <t xml:space="preserve">OPER , CHAPI , PQ. 845_SN. 318 NE , VOLADURA      </t>
  </si>
  <si>
    <t>34602B</t>
  </si>
  <si>
    <t xml:space="preserve">OPER , CHAPI , PQ. 845_SN. 318 NE , CAMINOS       </t>
  </si>
  <si>
    <t>34602C</t>
  </si>
  <si>
    <t xml:space="preserve">OPER , CHAPI , PQ. 845_SN. 318 NE , INSTAL.RIELES </t>
  </si>
  <si>
    <t>34602D</t>
  </si>
  <si>
    <t>OPER , CHAPI , PQ. 845_SN. 318 NE , REHABILIT.LABO</t>
  </si>
  <si>
    <t>3A5011</t>
  </si>
  <si>
    <t xml:space="preserve">PREPA,ESPERANZA,SNV 590-1 NE (CHA10),SUMINISTROS  </t>
  </si>
  <si>
    <t>3A5012</t>
  </si>
  <si>
    <t>PREPA,ESPERANZA,SNV 590-1 NE (CHA10),SOSTENIMIENTO</t>
  </si>
  <si>
    <t>3A5013</t>
  </si>
  <si>
    <t xml:space="preserve">PREPA,ESPERANZA,SNV 590-1 NE (CHA10),SERVICIO     </t>
  </si>
  <si>
    <t>3A5014</t>
  </si>
  <si>
    <t>PREPA,ESPERANZA,SNV 590-1 NE (CHA10),REHABILITACIO</t>
  </si>
  <si>
    <t>3A5071</t>
  </si>
  <si>
    <t xml:space="preserve">PREPA,ESPERANZA,SNV 080 SW (CH 078),SUMINISTROS   </t>
  </si>
  <si>
    <t>3A5072</t>
  </si>
  <si>
    <t xml:space="preserve">PREPA,ESPERANZA,SNV 080 SW (CH 078),SOSTENIMIENTO </t>
  </si>
  <si>
    <t>3A5073</t>
  </si>
  <si>
    <t xml:space="preserve">PREPA,ESPERANZA,SNV 080 SW (CH 078),SERVICIO      </t>
  </si>
  <si>
    <t>3A5074</t>
  </si>
  <si>
    <t>PREPA,ESPERANZA,SNV 080 SW (CH 078),REHABILITACION</t>
  </si>
  <si>
    <t>3A5081</t>
  </si>
  <si>
    <t>PREPA,ESPERANZA,SNV 076-1 SW (CH 078),SUMINISTROS</t>
  </si>
  <si>
    <t>3A5082</t>
  </si>
  <si>
    <t>PREPA,ESPERANZA,SNV 076-1 SW (CH 078),SOSTENIMIENTO</t>
  </si>
  <si>
    <t>3A5083</t>
  </si>
  <si>
    <t>PREPA,ESPERANZA,SNV 076-1 SW (CH 078),SERVICIO</t>
  </si>
  <si>
    <t>3A5084</t>
  </si>
  <si>
    <t>PREPA,ESPERANZA,SNV 076-1 SW (CH 078),REHABILITACION</t>
  </si>
  <si>
    <t>3A5091</t>
  </si>
  <si>
    <t>PREPA,ESPERANZA,SNV 616-4 SW (CH 610),SUMINISTROS</t>
  </si>
  <si>
    <t>3A5092</t>
  </si>
  <si>
    <t>PREPA,ESPERANZA,SNV 616-4 SW (CH 610),SOSTENIMIENTO</t>
  </si>
  <si>
    <t>3A5093</t>
  </si>
  <si>
    <t>PREPA,ESPERANZA,SNV 616-4 SW (CH 610),SERVICIO</t>
  </si>
  <si>
    <t>3A5094</t>
  </si>
  <si>
    <t>PREPA,ESPERANZA,SNV 616-4 SW (CH 610),REHABILITACION</t>
  </si>
  <si>
    <t>3A5141</t>
  </si>
  <si>
    <t>PREPA,ESPERANZA,SNV 039 (CH 025),SUMINISTROS</t>
  </si>
  <si>
    <t>3A5142</t>
  </si>
  <si>
    <t>PREPA,ESPERANZA,SNV 039 (CH 025),SOSTENIMIENTO</t>
  </si>
  <si>
    <t>3A5143</t>
  </si>
  <si>
    <t>PREPA,ESPERANZA,SNV 039 (CH 025),SERVICIO</t>
  </si>
  <si>
    <t>3A5144</t>
  </si>
  <si>
    <t>PREPA,ESPERANZA,SNV 039 (CH 025),REHABILITACION</t>
  </si>
  <si>
    <t>3A5291</t>
  </si>
  <si>
    <t>PREPA,ESPERANZA,SNV 595 NE (CH 580-1),SUMINISTROS</t>
  </si>
  <si>
    <t>3A5292</t>
  </si>
  <si>
    <t>PREPA,ESPERANZA,SNV 595 NE (CH 580-1),SOSTENIMIENTO</t>
  </si>
  <si>
    <t>3A5293</t>
  </si>
  <si>
    <t>PREPA,ESPERANZA,SNV 595 NE (CH 580-1),SERVICIO</t>
  </si>
  <si>
    <t>3A5294</t>
  </si>
  <si>
    <t>PREPA,ESPERANZA,SNV 595 NE (CH 580-1),REHABILITACION</t>
  </si>
  <si>
    <t>3B220L</t>
  </si>
  <si>
    <t>PREPAR,INKA,Gal 515 NW (Cor 990),LIMPIEZA</t>
  </si>
  <si>
    <t>3B220O</t>
  </si>
  <si>
    <t>PREPAR,INKA,Gal 515 NW (Cor 990),SERVICIO</t>
  </si>
  <si>
    <t>3B220P</t>
  </si>
  <si>
    <t>PREPAR,INKA,Gal 515 NW (Cor 990),PERFORACION</t>
  </si>
  <si>
    <t>3B220S</t>
  </si>
  <si>
    <t>PREPAR,INKA,Gal 515 NW (Cor 990),SOSTENIMIENTO</t>
  </si>
  <si>
    <t>3B220V</t>
  </si>
  <si>
    <t>PREPAR,INKA,Gal 515 NW (Cor 990),VOLADURA</t>
  </si>
  <si>
    <t>3B3381</t>
  </si>
  <si>
    <t>PREPA,INKA,CH 605 (SNV 612-1 NW),SUMINISTROS</t>
  </si>
  <si>
    <t>3B3382</t>
  </si>
  <si>
    <t>PREPA,INKA,CH 605 (SNV 612-1 NW),SOSTENIMIENTO</t>
  </si>
  <si>
    <t>3B3383</t>
  </si>
  <si>
    <t>PREPA,INKA,CH 605 (SNV 612-1 NW),SERVICIO</t>
  </si>
  <si>
    <t>3B3384</t>
  </si>
  <si>
    <t>PREPA,INKA,CH 605 (SNV 612-1 NW),REHABILITACION</t>
  </si>
  <si>
    <t>3B386L</t>
  </si>
  <si>
    <t>PREPAR,INKA,Ch 620 (Gal 515 NW),LIMPIEZA</t>
  </si>
  <si>
    <t>3B386O</t>
  </si>
  <si>
    <t>PREPAR,INKA,Ch 620 (Gal 515 NW),SERVICIO</t>
  </si>
  <si>
    <t>3B386P</t>
  </si>
  <si>
    <t>PREPAR,INKA,Ch 620 (Gal 515 NW),PERFORACION</t>
  </si>
  <si>
    <t>3B386S</t>
  </si>
  <si>
    <t>PREPAR,INKA,Ch 620 (Gal 515 NW),SOSTENIMIENTO</t>
  </si>
  <si>
    <t>3B386V</t>
  </si>
  <si>
    <t>PREPAR,INKA,Ch 620 (Gal 515 NW),VOLADURA</t>
  </si>
  <si>
    <t>3B387L</t>
  </si>
  <si>
    <t>PREPAR,INKA,Ch 640 (Gal 650 SE),LIMPIEZA</t>
  </si>
  <si>
    <t>3B387O</t>
  </si>
  <si>
    <t>PREPAR,INKA,Ch 640 (Gal 650 SE),SERVICIO</t>
  </si>
  <si>
    <t>3B387P</t>
  </si>
  <si>
    <t>PREPAR,INKA,Ch 640 (Gal 650 SE),PERFORACION</t>
  </si>
  <si>
    <t>3B387S</t>
  </si>
  <si>
    <t>PREPAR,INKA,Ch 640 (Gal 650 SE),SOSTENIMIENTO</t>
  </si>
  <si>
    <t>3B387V</t>
  </si>
  <si>
    <t>PREPAR,INKA,Ch 640 (Gal 650 SE),VOLADURA</t>
  </si>
  <si>
    <t>3B51B1</t>
  </si>
  <si>
    <t>PREPA,INKA,Snv 615 SE (Est 615 SE),SUMINISTROS</t>
  </si>
  <si>
    <t>3B51B2</t>
  </si>
  <si>
    <t>PREPA,INKA,Snv 615 SE (Est 615 SE),SOSTENIMIENTO</t>
  </si>
  <si>
    <t>3B51B3</t>
  </si>
  <si>
    <t>PREPA,INKA,Snv 615 SE (Est 615 SE),SERVICIO</t>
  </si>
  <si>
    <t>3B51B4</t>
  </si>
  <si>
    <t>PREPA,INKA,Snv 615 SE (Est 615 SE),REHABILITACION</t>
  </si>
  <si>
    <t>3B5241</t>
  </si>
  <si>
    <t>PREPA,INKA,SNV 618 NW (INC 618 SE),SUMINISTROS</t>
  </si>
  <si>
    <t>3B5242</t>
  </si>
  <si>
    <t>PREPA,INKA,SNV 618 NW (INC 618 SE),SOSTENIMIENTO</t>
  </si>
  <si>
    <t>3B5243</t>
  </si>
  <si>
    <t>PREPA,INKA,SNV 618 NW (INC 618 SE),SERVICIO</t>
  </si>
  <si>
    <t>3B5244</t>
  </si>
  <si>
    <t>PREPA,INKA,SNV 618 NW (INC 618 SE),REHABILITACION</t>
  </si>
  <si>
    <t>3B5251</t>
  </si>
  <si>
    <t>PREPA,INKA,SNV 618 SE (INC 618 SE),SUMINISTROS</t>
  </si>
  <si>
    <t>3B5252</t>
  </si>
  <si>
    <t>PREPA,INKA,SNV 618 SE (INC 618 SE),SOSTENIMIENTO</t>
  </si>
  <si>
    <t>3B5253</t>
  </si>
  <si>
    <t>PREPA,INKA,SNV 618 SE (INC 618 SE),SERVICIO</t>
  </si>
  <si>
    <t>3B5254</t>
  </si>
  <si>
    <t>PREPA,INKA,SNV 618 SE (INC 618 SE),REHABILITACION</t>
  </si>
  <si>
    <t>3C3611</t>
  </si>
  <si>
    <t>PREPA,CHAPI,Ch 843 (Snv 319 SW),SUMINISTROS</t>
  </si>
  <si>
    <t>3C3612</t>
  </si>
  <si>
    <t>PREPA,CHAPI,Ch 843 (Snv 319 SW),SOSTENIMIENTO</t>
  </si>
  <si>
    <t>3C3613</t>
  </si>
  <si>
    <t>PREPA,CHAPI,Ch 843 (Snv 319 SW),SERVICIO</t>
  </si>
  <si>
    <t>3C3614</t>
  </si>
  <si>
    <t>PREPA,CHAPI,Ch 843 (Snv 319 SW),REHABILITACION</t>
  </si>
  <si>
    <t>3C3631</t>
  </si>
  <si>
    <t>PREPA,CHAPI,Ch 862 (Snv 319 NE),SUMINISTROS</t>
  </si>
  <si>
    <t>3C3632</t>
  </si>
  <si>
    <t>PREPA,CHAPI,Ch 862 (Snv 319 NE),SOSTENIMIENTO</t>
  </si>
  <si>
    <t>3C3633</t>
  </si>
  <si>
    <t>PREPA,CHAPI,Ch 862 (Snv 319 NE),SERVICIO</t>
  </si>
  <si>
    <t>3C3634</t>
  </si>
  <si>
    <t>PREPA,CHAPI,Ch 862 (Snv 319 NE),REHABILITACION</t>
  </si>
  <si>
    <t>3C376L</t>
  </si>
  <si>
    <t>PREPAR,CHAPI,Ch 653 (Snv 327 NE),LIMPIEZA</t>
  </si>
  <si>
    <t>3C376O</t>
  </si>
  <si>
    <t>PREPAR,CHAPI,Ch 653 (Snv 327 NE),SERVICIO</t>
  </si>
  <si>
    <t>3C376P</t>
  </si>
  <si>
    <t>PREPAR,CHAPI,Ch 653 (Snv 327 NE),PERFORACION</t>
  </si>
  <si>
    <t>3C376S</t>
  </si>
  <si>
    <t>PREPAR,CHAPI,Ch 653 (Snv 327 NE),SOSTENIMIENTO</t>
  </si>
  <si>
    <t>3C376V</t>
  </si>
  <si>
    <t>PREPAR,CHAPI,Ch 653 (Snv 327 NE),VOLADURA</t>
  </si>
  <si>
    <t>3C51C1</t>
  </si>
  <si>
    <t>PREPA,CHAPI,Snv 846 SW (Ch 843),SUMINISTROS</t>
  </si>
  <si>
    <t>3C51C2</t>
  </si>
  <si>
    <t>PREPA,CHAPI,Snv 846 SW (Ch 843),SOSTENIMIENTO</t>
  </si>
  <si>
    <t>3C51C3</t>
  </si>
  <si>
    <t>PREPA,CHAPI,Snv 846 SW (Ch 843),SERVICIO</t>
  </si>
  <si>
    <t>3C51C4</t>
  </si>
  <si>
    <t>PREPA,CHAPI,Snv 846 SW (Ch 843),REHABILITACION</t>
  </si>
  <si>
    <t>3C51E1</t>
  </si>
  <si>
    <t>PREPA,CHAPI,Snv 840 SW (Ch 843),SUMINISTROS</t>
  </si>
  <si>
    <t>3C51E2</t>
  </si>
  <si>
    <t>PREPA,CHAPI,Snv 840 SW (Ch 843),SOSTENIMIENTO</t>
  </si>
  <si>
    <t>3C51E3</t>
  </si>
  <si>
    <t>PREPA,CHAPI,Snv 840 SW (Ch 843),SERVICIO</t>
  </si>
  <si>
    <t>3C51E4</t>
  </si>
  <si>
    <t>PREPA,CHAPI,Snv 840 SW (Ch 843),REHABILITACION</t>
  </si>
  <si>
    <t>3C51G1</t>
  </si>
  <si>
    <t>PREPA,CHAPI,Snv 644 NE (Ch 862-1),SUMINISTROS</t>
  </si>
  <si>
    <t>3C51G2</t>
  </si>
  <si>
    <t>PREPA,CHAPI,Snv 644 NE (Ch 862-1),SOSTENIMIENTO</t>
  </si>
  <si>
    <t>3C51G3</t>
  </si>
  <si>
    <t>PREPA,CHAPI,Snv 644 NE (Ch 862-1),SERVICIO</t>
  </si>
  <si>
    <t>3C51G4</t>
  </si>
  <si>
    <t>PREPA,CHAPI,Snv 644 NE (Ch 862-1),REHABILITACION</t>
  </si>
  <si>
    <t>3C51H1</t>
  </si>
  <si>
    <t>PREPA,CHAPI,Snv 644 SW (Ch 862-1),SUMINISTROS</t>
  </si>
  <si>
    <t>3C51H2</t>
  </si>
  <si>
    <t>PREPA,CHAPI,Snv 644 SW (Ch 862-1),SOSTENIMIENTO</t>
  </si>
  <si>
    <t>3C51H3</t>
  </si>
  <si>
    <t>PREPA,CHAPI,Snv 644 SW (Ch 862-1),SERVICIO</t>
  </si>
  <si>
    <t>3C51H4</t>
  </si>
  <si>
    <t>PREPA,CHAPI,Snv 644 SW (Ch 862-1),REHABILITACION</t>
  </si>
  <si>
    <t>3C51JL</t>
  </si>
  <si>
    <t>PREPAR,CHAPI,Snv 642 NE (Ch 862-1),LIMPIEZA</t>
  </si>
  <si>
    <t>3C51JO</t>
  </si>
  <si>
    <t>PREPAR,CHAPI,Snv 642 NE (Ch 862-1),SERVICIO</t>
  </si>
  <si>
    <t>3C51JP</t>
  </si>
  <si>
    <t>PREPAR,CHAPI,Snv 642 NE (Ch 862-1),PERFORACION</t>
  </si>
  <si>
    <t>3C51JS</t>
  </si>
  <si>
    <t>PREPAR,CHAPI,Snv 642 NE (Ch 862-1),SOSTENIMIENTO</t>
  </si>
  <si>
    <t>3C51JV</t>
  </si>
  <si>
    <t>PREPAR,CHAPI,Snv 642 NE (Ch 862-1),VOLADURA</t>
  </si>
  <si>
    <t>3C51KL</t>
  </si>
  <si>
    <t>PREPAR,CHAPI,Snv 642 SW (Ch 862-1),LIMPIEZA</t>
  </si>
  <si>
    <t>3C51KO</t>
  </si>
  <si>
    <t>PREPAR,CHAPI,Snv 642 SW (Ch 862-1),SERVICIO</t>
  </si>
  <si>
    <t>3C51KP</t>
  </si>
  <si>
    <t>PREPAR,CHAPI,Snv 642 SW (Ch 862-1),PERFORACION</t>
  </si>
  <si>
    <t>3C51KS</t>
  </si>
  <si>
    <t>PREPAR,CHAPI,Snv 642 SW (Ch 862-1),SOSTENIMIENTO</t>
  </si>
  <si>
    <t>3C51KV</t>
  </si>
  <si>
    <t>PREPAR,CHAPI,Snv 642 SW (Ch 862-1),VOLADURA</t>
  </si>
  <si>
    <t>3C51QL</t>
  </si>
  <si>
    <t>PREPAR,CHAPI,Snv 643 NE (Ch 862-1),LIMPIEZA</t>
  </si>
  <si>
    <t>3C51QO</t>
  </si>
  <si>
    <t>PREPAR,CHAPI,Snv 643 NE (Ch 862-1),SERVICIO</t>
  </si>
  <si>
    <t>3C51QP</t>
  </si>
  <si>
    <t>PREPAR,CHAPI,Snv 643 NE (Ch 862-1),PERFORACION</t>
  </si>
  <si>
    <t>3C51QS</t>
  </si>
  <si>
    <t>PREPAR,CHAPI,Snv 643 NE (Ch 862-1),SOSTENIMIENTO</t>
  </si>
  <si>
    <t>3C51QV</t>
  </si>
  <si>
    <t>PREPAR,CHAPI,Snv 643 NE (Ch 862-1),VOLADURA</t>
  </si>
  <si>
    <t>3C51RL</t>
  </si>
  <si>
    <t>PREPAR,CHAPI,Snv 327 NE (Inc 875 SE),LIMPIEZA</t>
  </si>
  <si>
    <t>3C51RO</t>
  </si>
  <si>
    <t>PREPAR,CHAPI,Snv 327 NE (Inc 875 SE),SERVICIO</t>
  </si>
  <si>
    <t>3C51RP</t>
  </si>
  <si>
    <t>PREPAR,CHAPI,Snv 327 NE (Inc 875 SE),PERFORACION</t>
  </si>
  <si>
    <t>3C51RS</t>
  </si>
  <si>
    <t>PREPAR,CHAPI,Snv 327 NE (Inc 875 SE),SOSTENIMIENTO</t>
  </si>
  <si>
    <t>3C51RV</t>
  </si>
  <si>
    <t>PREPAR,CHAPI,Snv 327 NE (Inc 875 SE),VOLADURA</t>
  </si>
  <si>
    <t>3C51SL</t>
  </si>
  <si>
    <t>PREPAR,CHAPI,Snv 327 SW (Inc 875 SE),LIMPIEZA</t>
  </si>
  <si>
    <t>3C51SO</t>
  </si>
  <si>
    <t>PREPAR,CHAPI,Snv 327 SW (Inc 875 SE),SERVICIO</t>
  </si>
  <si>
    <t>3C51SP</t>
  </si>
  <si>
    <t>PREPAR,CHAPI,Snv 327 SW (Inc 875 SE),PERFORACION</t>
  </si>
  <si>
    <t>3C51SS</t>
  </si>
  <si>
    <t>PREPAR,CHAPI,Snv 327 SW (Inc 875 SE),SOSTENIMIENTO</t>
  </si>
  <si>
    <t>3C51SV</t>
  </si>
  <si>
    <t>PREPAR,CHAPI,Snv 327 SW (Inc 875 SE),VOLADURA</t>
  </si>
  <si>
    <t>3C52SL</t>
  </si>
  <si>
    <t>PREPAR,CHAPI,Snv 650 NE (Tj 862-1 NE),LIMPIEZA</t>
  </si>
  <si>
    <t>3C52SO</t>
  </si>
  <si>
    <t>PREPAR,CHAPI,Snv 650 NE (Tj 862-1 NE),SERVICIO</t>
  </si>
  <si>
    <t>3C52SP</t>
  </si>
  <si>
    <t>PREPAR,CHAPI,Snv 650 NE (Tj 862-1 NE),PERFORACION</t>
  </si>
  <si>
    <t>3C52SS</t>
  </si>
  <si>
    <t>PREPAR,CHAPI,Snv 650 NE (Tj 862-1 NE),SOSTENIMIENTO</t>
  </si>
  <si>
    <t>3C52SV</t>
  </si>
  <si>
    <t>PREPAR,CHAPI,Snv 650 NE (Tj 862-1 NE),VOLADURA</t>
  </si>
  <si>
    <t>3C5891</t>
  </si>
  <si>
    <t>PREPA,CHAPI,Snv 862 SW (Tj 862 SW),SUMINISTROS</t>
  </si>
  <si>
    <t>3C5892</t>
  </si>
  <si>
    <t>PREPA,CHAPI,Snv 862 SW (Tj 862 SW),SOSTENIMIENTO</t>
  </si>
  <si>
    <t>3C5893</t>
  </si>
  <si>
    <t>PREPA,CHAPI,Snv 862 SW (Tj 862 SW),SERVICIO</t>
  </si>
  <si>
    <t>3C5894</t>
  </si>
  <si>
    <t>PREPA,CHAPI,Snv 862 SW (Tj 862 SW),REHABILITACION</t>
  </si>
  <si>
    <t>3C5901</t>
  </si>
  <si>
    <t>PREPA,CHAPI,Snv 290 NE (Inc 875 SE),SUMINISTROS</t>
  </si>
  <si>
    <t>3C5902</t>
  </si>
  <si>
    <t>PREPA,CHAPI,Snv 290 NE (Inc 875 SE),SOSTENIMIENTO</t>
  </si>
  <si>
    <t>3C5903</t>
  </si>
  <si>
    <t>PREPA,CHAPI,Snv 290 NE (Inc 875 SE),SERVICIO</t>
  </si>
  <si>
    <t>3C5904</t>
  </si>
  <si>
    <t>PREPA,CHAPI,Snv 290 NE (Inc 875 SE),REHABILITACION</t>
  </si>
  <si>
    <t>3C5981</t>
  </si>
  <si>
    <t>PREPA,CHAPI,Snv 290 SW (Inc 875 SE),SUMINISTROS</t>
  </si>
  <si>
    <t>3C5982</t>
  </si>
  <si>
    <t>PREPA,CHAPI,Snv 290 SW (Inc 875 SE),SOSTENIMIENTO</t>
  </si>
  <si>
    <t>3C5983</t>
  </si>
  <si>
    <t>PREPA,CHAPI,Snv 290 SW (Inc 875 SE),SERVICIO</t>
  </si>
  <si>
    <t>3C5984</t>
  </si>
  <si>
    <t>PREPA,CHAPI,Snv 290 SW (Inc 875 SE),REHABILITACION</t>
  </si>
  <si>
    <t>3D31VL</t>
  </si>
  <si>
    <t>PREPAR,CACHORRO,Ch 914 (Snv 885 SW),LIMPIEZA</t>
  </si>
  <si>
    <t>3D31VO</t>
  </si>
  <si>
    <t>PREPAR,CACHORRO,Ch 914 (Snv 885 SW),SERVICIO</t>
  </si>
  <si>
    <t>3D31VP</t>
  </si>
  <si>
    <t>PREPAR,CACHORRO,Ch 914 (Snv 885 SW),PERFORACION</t>
  </si>
  <si>
    <t>3D31VS</t>
  </si>
  <si>
    <t>PREPAR,CACHORRO,Ch 914 (Snv 885 SW),SOSTENIMIENTO</t>
  </si>
  <si>
    <t>3D31VV</t>
  </si>
  <si>
    <t>PREPAR,CACHORRO,Ch 914 (Snv 885 SW),VOLADURA</t>
  </si>
  <si>
    <t>3D3641</t>
  </si>
  <si>
    <t>PREPA,CACHORRO,Ch 122 (Snv 102 SW),SUMINISTROS</t>
  </si>
  <si>
    <t>3D3642</t>
  </si>
  <si>
    <t>PREPA,CACHORRO,Ch 122 (Snv 102 SW),SOSTENIMIENTO</t>
  </si>
  <si>
    <t>3D3643</t>
  </si>
  <si>
    <t>PREPA,CACHORRO,Ch 122 (Snv 102 SW),SERVICIO</t>
  </si>
  <si>
    <t>3D3644</t>
  </si>
  <si>
    <t>PREPA,CACHORRO,Ch 122 (Snv 102 SW),REHABILITACION</t>
  </si>
  <si>
    <t>3D3681</t>
  </si>
  <si>
    <t>PREPA,CACHORRO,Ch 056 (Snv 089 NE),SUMINISTROS</t>
  </si>
  <si>
    <t>3D3682</t>
  </si>
  <si>
    <t>PREPA,CACHORRO,Ch 056 (Snv 089 NE),SOSTENIMIENTO</t>
  </si>
  <si>
    <t>3D3683</t>
  </si>
  <si>
    <t>PREPA,CACHORRO,Ch 056 (Snv 089 NE),SERVICIO</t>
  </si>
  <si>
    <t>3D3684</t>
  </si>
  <si>
    <t>PREPA,CACHORRO,Ch 056 (Snv 089 NE),REHABILITACION</t>
  </si>
  <si>
    <t>3D373L</t>
  </si>
  <si>
    <t>PREPAR,CACHORRO,Ch 072 (Snv 089 NE),LIMPIEZA</t>
  </si>
  <si>
    <t>3D373O</t>
  </si>
  <si>
    <t>PREPAR,CACHORRO,Ch 072 (Snv 089 NE),SERVICIO</t>
  </si>
  <si>
    <t>3D373P</t>
  </si>
  <si>
    <t>PREPAR,CACHORRO,Ch 072 (Snv 089 NE),PERFORACION</t>
  </si>
  <si>
    <t>3D373S</t>
  </si>
  <si>
    <t>PREPAR,CACHORRO,Ch 072 (Snv 089 NE),SOSTENIMIENTO</t>
  </si>
  <si>
    <t>3D373V</t>
  </si>
  <si>
    <t>PREPAR,CACHORRO,Ch 072 (Snv 089 NE),VOLADURA</t>
  </si>
  <si>
    <t>3D384L</t>
  </si>
  <si>
    <t>PREPAR,CACHORRO,Ch 121 (Tj 080 SW),LIMPIEZA</t>
  </si>
  <si>
    <t>3D384O</t>
  </si>
  <si>
    <t>PREPAR,CACHORRO,Ch 121 (Tj 080 SW),SERVICIO</t>
  </si>
  <si>
    <t>3D384P</t>
  </si>
  <si>
    <t>PREPAR,CACHORRO,Ch 121 (Tj 080 SW),PERFORACION</t>
  </si>
  <si>
    <t>3D384S</t>
  </si>
  <si>
    <t>PREPAR,CACHORRO,Ch 121 (Tj 080 SW),SOSTENIMIENTO</t>
  </si>
  <si>
    <t>3D384V</t>
  </si>
  <si>
    <t>PREPAR,CACHORRO,Ch 121 (Tj 080 SW),VOLADURA</t>
  </si>
  <si>
    <t>3D394L</t>
  </si>
  <si>
    <t>PREPAR,CACHORRO,Ch 936 (Snv 915 NE),LIMPIEZA</t>
  </si>
  <si>
    <t>3D394O</t>
  </si>
  <si>
    <t>PREPAR,CACHORRO,Ch 936 (Snv 915 NE),SERVICIO</t>
  </si>
  <si>
    <t>3D394P</t>
  </si>
  <si>
    <t>PREPAR,CACHORRO,Ch 936 (Snv 915 NE),PERFORACION</t>
  </si>
  <si>
    <t>3D394S</t>
  </si>
  <si>
    <t>PREPAR,CACHORRO,Ch 936 (Snv 915 NE),SOSTENIMIENTO</t>
  </si>
  <si>
    <t>3D394V</t>
  </si>
  <si>
    <t>PREPAR,CACHORRO,Ch 936 (Snv 915 NE),VOLADURA</t>
  </si>
  <si>
    <t>3D51IL</t>
  </si>
  <si>
    <t>PREPAR,CACHORRO,Snv 094 NE (Tj 080 SW),LIMPIEZA</t>
  </si>
  <si>
    <t>3D51IO</t>
  </si>
  <si>
    <t>PREPAR,CACHORRO,Snv 094 NE (Tj 080 SW),SERVICIO</t>
  </si>
  <si>
    <t>3D51IP</t>
  </si>
  <si>
    <t>PREPAR,CACHORRO,Snv 094 NE (Tj 080 SW),PERFORACION</t>
  </si>
  <si>
    <t>3D51IS</t>
  </si>
  <si>
    <t>PREPAR,CACHORRO,Snv 094 NE (Tj 080 SW),SOSTENIMIENTO</t>
  </si>
  <si>
    <t>3D51IV</t>
  </si>
  <si>
    <t>PREPAR,CACHORRO,Snv 094 NE (Tj 080 SW),VOLADURA</t>
  </si>
  <si>
    <t>3D51LL</t>
  </si>
  <si>
    <t>PREPAR,CACHORRO,Snv 070 NE (Ch 056),LIMPIEZA</t>
  </si>
  <si>
    <t>3D51LO</t>
  </si>
  <si>
    <t>PREPAR,CACHORRO,Snv 070 NE (Ch 056),SERVICIO</t>
  </si>
  <si>
    <t>3D51LP</t>
  </si>
  <si>
    <t>PREPAR,CACHORRO,Snv 070 NE (Ch 056),PERFORACION</t>
  </si>
  <si>
    <t>3D51LS</t>
  </si>
  <si>
    <t>PREPAR,CACHORRO,Snv 070 NE (Ch 056),SOSTENIMIENTO</t>
  </si>
  <si>
    <t>3D51LV</t>
  </si>
  <si>
    <t>PREPAR,CACHORRO,Snv 070 NE (Ch 056),VOLADURA</t>
  </si>
  <si>
    <t>3D51ML</t>
  </si>
  <si>
    <t>PREPAR,CACHORRO,Snv 070 SW (Ch 056),LIMPIEZA</t>
  </si>
  <si>
    <t>3D51MO</t>
  </si>
  <si>
    <t>PREPAR,CACHORRO,Snv 070 SW (Ch 056),SERVICIO</t>
  </si>
  <si>
    <t>3D51MP</t>
  </si>
  <si>
    <t>PREPAR,CACHORRO,Snv 070 SW (Ch 056),PERFORACION</t>
  </si>
  <si>
    <t>3D51MS</t>
  </si>
  <si>
    <t>PREPAR,CACHORRO,Snv 070 SW (Ch 056),SOSTENIMIENTO</t>
  </si>
  <si>
    <t>3D51MV</t>
  </si>
  <si>
    <t>PREPAR,CACHORRO,Snv 070 SW (Ch 056),VOLADURA</t>
  </si>
  <si>
    <t>3D51NL</t>
  </si>
  <si>
    <t>PREPAR,CACHORRO,Snv 070 NE (Ch 072),LIMPIEZA</t>
  </si>
  <si>
    <t>3D51NO</t>
  </si>
  <si>
    <t>PREPAR,CACHORRO,Snv 070 NE (Ch 072),SERVICIO</t>
  </si>
  <si>
    <t>3D51NP</t>
  </si>
  <si>
    <t>PREPAR,CACHORRO,Snv 070 NE (Ch 072),PERFORACION</t>
  </si>
  <si>
    <t>3D51NS</t>
  </si>
  <si>
    <t>PREPAR,CACHORRO,Snv 070 NE (Ch 072),SOSTENIMIENTO</t>
  </si>
  <si>
    <t>3D51NV</t>
  </si>
  <si>
    <t>PREPAR,CACHORRO,Snv 070 NE (Ch 072),VOLADURA</t>
  </si>
  <si>
    <t>3D51OL</t>
  </si>
  <si>
    <t>PREPAR,CACHORRO,Snv 070 SW (Ch 072),LIMPIEZA</t>
  </si>
  <si>
    <t>3D51OO</t>
  </si>
  <si>
    <t>PREPAR,CACHORRO,Snv 070 SW (Ch 072),SERVICIO</t>
  </si>
  <si>
    <t>3D51OP</t>
  </si>
  <si>
    <t>PREPAR,CACHORRO,Snv 070 SW (Ch 072),PERFORACION</t>
  </si>
  <si>
    <t>3D51OS</t>
  </si>
  <si>
    <t>PREPAR,CACHORRO,Snv 070 SW (Ch 072),SOSTENIMIENTO</t>
  </si>
  <si>
    <t>3D51OV</t>
  </si>
  <si>
    <t>PREPAR,CACHORRO,Snv 070 SW (Ch 072),VOLADURA</t>
  </si>
  <si>
    <t>3D52NL</t>
  </si>
  <si>
    <t>PREPAR,CACHORRO,Snv 094 SW (Ch 121),LIMPIEZA</t>
  </si>
  <si>
    <t>3D52NO</t>
  </si>
  <si>
    <t>PREPAR,CACHORRO,Snv 094 SW (Ch 121),SERVICIO</t>
  </si>
  <si>
    <t>3D52NP</t>
  </si>
  <si>
    <t>PREPAR,CACHORRO,Snv 094 SW (Ch 121),PERFORACION</t>
  </si>
  <si>
    <t>3D52NS</t>
  </si>
  <si>
    <t>PREPAR,CACHORRO,Snv 094 SW (Ch 121),SOSTENIMIENTO</t>
  </si>
  <si>
    <t>3D52NV</t>
  </si>
  <si>
    <t>PREPAR,CACHORRO,Snv 094 SW (Ch 121),VOLADURA</t>
  </si>
  <si>
    <t>3D52PL</t>
  </si>
  <si>
    <t>PREPAR,CACHORRO,Snv 080 SW (Tj 080 SW),LIMPIEZA</t>
  </si>
  <si>
    <t>3D52PO</t>
  </si>
  <si>
    <t>PREPAR,CACHORRO,Snv 080 SW (Tj 080 SW),SERVICIO</t>
  </si>
  <si>
    <t>3D52PP</t>
  </si>
  <si>
    <t>PREPAR,CACHORRO,Snv 080 SW (Tj 080 SW),PERFORACION</t>
  </si>
  <si>
    <t>3D52PS</t>
  </si>
  <si>
    <t>PREPAR,CACHORRO,Snv 080 SW (Tj 080 SW),SOSTENIMIENTO</t>
  </si>
  <si>
    <t>3D52PV</t>
  </si>
  <si>
    <t>PREPAR,CACHORRO,Snv 080 SW (Tj 080 SW),VOLADURA</t>
  </si>
  <si>
    <t>3D52QL</t>
  </si>
  <si>
    <t>PREPAR,CACHORRO,Snv 081 SW (Tj 080 SW),LIMPIEZA</t>
  </si>
  <si>
    <t>3D52QO</t>
  </si>
  <si>
    <t>PREPAR,CACHORRO,Snv 081 SW (Tj 080 SW),SERVICIO</t>
  </si>
  <si>
    <t>3D52QP</t>
  </si>
  <si>
    <t>PREPAR,CACHORRO,Snv 081 SW (Tj 080 SW),PERFORACION</t>
  </si>
  <si>
    <t>3D52QS</t>
  </si>
  <si>
    <t>PREPAR,CACHORRO,Snv 081 SW (Tj 080 SW),SOSTENIMIENTO</t>
  </si>
  <si>
    <t>3D52QV</t>
  </si>
  <si>
    <t>PREPAR,CACHORRO,Snv 081 SW (Tj 080 SW),VOLADURA</t>
  </si>
  <si>
    <t>3D5301</t>
  </si>
  <si>
    <t>PREPA,CACHORRO,SNV 094 SW (TJ 100),SUMINISTROS</t>
  </si>
  <si>
    <t>3D5302</t>
  </si>
  <si>
    <t>PREPA,CACHORRO,SNV 094 SW (TJ 100),SOSTENIMIENTO</t>
  </si>
  <si>
    <t>3D5303</t>
  </si>
  <si>
    <t>PREPA,CACHORRO,SNV 094 SW (TJ 100),SERVICIO</t>
  </si>
  <si>
    <t>3D5304</t>
  </si>
  <si>
    <t>PREPA,CACHORRO,SNV 094 SW (TJ 100),REHABILITACION</t>
  </si>
  <si>
    <t>3D5311</t>
  </si>
  <si>
    <t>PREPA,CACHORRO,SNV 125 NE (TJ 056),SUMINISTROS</t>
  </si>
  <si>
    <t>3D5312</t>
  </si>
  <si>
    <t>PREPA,CACHORRO,SNV 125 NE (TJ 056),SOSTENIMIENTO</t>
  </si>
  <si>
    <t>3D5313</t>
  </si>
  <si>
    <t>PREPA,CACHORRO,SNV 125 NE (TJ 056),SERVICIO</t>
  </si>
  <si>
    <t>3D5314</t>
  </si>
  <si>
    <t>PREPA,CACHORRO,SNV 125 NE (TJ 056),REHABILITACION</t>
  </si>
  <si>
    <t>3D5371</t>
  </si>
  <si>
    <t>PREPA,CACHORRO,SNV 102 SW (TJ 100 SW),SUMINISTROS</t>
  </si>
  <si>
    <t>3D5372</t>
  </si>
  <si>
    <t>PREPA,CACHORRO,SNV 102 SW (TJ 100 SW),SOSTENIMIENTO</t>
  </si>
  <si>
    <t>3D5373</t>
  </si>
  <si>
    <t>PREPA,CACHORRO,SNV 102 SW (TJ 100 SW),SERVICIO</t>
  </si>
  <si>
    <t>3D5374</t>
  </si>
  <si>
    <t>PREPA,CACHORRO,SNV 102 SW (TJ 100 SW),REHABILITACION</t>
  </si>
  <si>
    <t>3D5391</t>
  </si>
  <si>
    <t>PREPA,CACHORRO,SNV 107 SW (TJ 120),SUMINISTROS</t>
  </si>
  <si>
    <t>3D5392</t>
  </si>
  <si>
    <t>PREPA,CACHORRO,SNV 107 SW (TJ 120),SOSTENIMIENTO</t>
  </si>
  <si>
    <t>3D5393</t>
  </si>
  <si>
    <t>PREPA,CACHORRO,SNV 107 SW (TJ 120),SERVICIO</t>
  </si>
  <si>
    <t>3D5394</t>
  </si>
  <si>
    <t>PREPA,CACHORRO,SNV 107 SW (TJ 120),REHABILITACION</t>
  </si>
  <si>
    <t>3D53LL</t>
  </si>
  <si>
    <t>PREPAR,CACHORRO,Snv 069 NE (Est 069 SE),LIMPIEZA</t>
  </si>
  <si>
    <t>3D53LO</t>
  </si>
  <si>
    <t>PREPAR,CACHORRO,Snv 069 NE (Est 069 SE),SERVICIO</t>
  </si>
  <si>
    <t>3D53LP</t>
  </si>
  <si>
    <t>PREPAR,CACHORRO,Snv 069 NE (Est 069 SE),PERFORACION</t>
  </si>
  <si>
    <t>3D53LS</t>
  </si>
  <si>
    <t>PREPAR,CACHORRO,Snv 069 NE (Est 069 SE),SOSTENIMIENTO</t>
  </si>
  <si>
    <t>3D53LV</t>
  </si>
  <si>
    <t>PREPAR,CACHORRO,Snv 069 NE (Est 069 SE),VOLADURA</t>
  </si>
  <si>
    <t>3D53ML</t>
  </si>
  <si>
    <t>PREPAR,CACHORRO,Snv 069 SW (Est 069 SE),LIMPIEZA</t>
  </si>
  <si>
    <t>3D53MO</t>
  </si>
  <si>
    <t>PREPAR,CACHORRO,Snv 069 SW (Est 069 SE),SERVICIO</t>
  </si>
  <si>
    <t>3D53MP</t>
  </si>
  <si>
    <t>PREPAR,CACHORRO,Snv 069 SW (Est 069 SE),PERFORACION</t>
  </si>
  <si>
    <t>3D53MS</t>
  </si>
  <si>
    <t>PREPAR,CACHORRO,Snv 069 SW (Est 069 SE),SOSTENIMIENTO</t>
  </si>
  <si>
    <t>3D53MV</t>
  </si>
  <si>
    <t>PREPAR,CACHORRO,Snv 069 SW (Est 069 SE),VOLADURA</t>
  </si>
  <si>
    <t>3D53PL</t>
  </si>
  <si>
    <t>PREPAR,CACHORRO,Snv 912 NE (Est 912 SE),LIMPIEZA</t>
  </si>
  <si>
    <t>3D53PO</t>
  </si>
  <si>
    <t>PREPAR,CACHORRO,Snv 912 NE (Est 912 SE),SERVICIO</t>
  </si>
  <si>
    <t>3D53PP</t>
  </si>
  <si>
    <t>PREPAR,CACHORRO,Snv 912 NE (Est 912 SE),PERFORACION</t>
  </si>
  <si>
    <t>3D53PS</t>
  </si>
  <si>
    <t>PREPAR,CACHORRO,Snv 912 NE (Est 912 SE),SOSTENIMIENTO</t>
  </si>
  <si>
    <t>3D53PV</t>
  </si>
  <si>
    <t>PREPAR,CACHORRO,Snv 912 NE (Est 912 SE),VOLADURA</t>
  </si>
  <si>
    <t>3D53QL</t>
  </si>
  <si>
    <t>PREPAR,CACHORRO,Snv 915 NE (Est 912 SE),LIMPIEZA</t>
  </si>
  <si>
    <t>3D53QO</t>
  </si>
  <si>
    <t>PREPAR,CACHORRO,Snv 915 NE (Est 912 SE),SERVICIO</t>
  </si>
  <si>
    <t>3D53QP</t>
  </si>
  <si>
    <t>PREPAR,CACHORRO,Snv 915 NE (Est 912 SE),PERFORACION</t>
  </si>
  <si>
    <t>3D53QS</t>
  </si>
  <si>
    <t>PREPAR,CACHORRO,Snv 915 NE (Est 912 SE),SOSTENIMIENTO</t>
  </si>
  <si>
    <t>3D53QV</t>
  </si>
  <si>
    <t>PREPAR,CACHORRO,Snv 915 NE (Est 912 SE),VOLADURA</t>
  </si>
  <si>
    <t>3D53SL</t>
  </si>
  <si>
    <t>PREPAR,CACHORRO,Snv 915 SW (Est 912 SE),LIMPIEZA</t>
  </si>
  <si>
    <t>3D53SO</t>
  </si>
  <si>
    <t>PREPAR,CACHORRO,Snv 915 SW (Est 912 SE),SERVICIO</t>
  </si>
  <si>
    <t>3D53SP</t>
  </si>
  <si>
    <t>PREPAR,CACHORRO,Snv 915 SW (Est 912 SE),PERFORACION</t>
  </si>
  <si>
    <t>3D53SS</t>
  </si>
  <si>
    <t>PREPAR,CACHORRO,Snv 915 SW (Est 912 SE),SOSTENIMIENTO</t>
  </si>
  <si>
    <t>3D53SV</t>
  </si>
  <si>
    <t>PREPAR,CACHORRO,Snv 915 SW (Est 912 SE),VOLADURA</t>
  </si>
  <si>
    <t>3D54IL</t>
  </si>
  <si>
    <t>PREPAR,CACHORRO,Snv 918 NE (Ch 936),LIMPIEZA</t>
  </si>
  <si>
    <t>3D54IO</t>
  </si>
  <si>
    <t>PREPAR,CACHORRO,Snv 918 NE (Ch 936),SERVICIO</t>
  </si>
  <si>
    <t>3D54IP</t>
  </si>
  <si>
    <t>PREPAR,CACHORRO,Snv 918 NE (Ch 936),PERFORACION</t>
  </si>
  <si>
    <t>3D54IS</t>
  </si>
  <si>
    <t>PREPAR,CACHORRO,Snv 918 NE (Ch 936),SOSTENIMIENTO</t>
  </si>
  <si>
    <t>3D54IV</t>
  </si>
  <si>
    <t>PREPAR,CACHORRO,Snv 918 NE (Ch 936),VOLADURA</t>
  </si>
  <si>
    <t>3D54JL</t>
  </si>
  <si>
    <t>PREPAR,CACHORRO,Snv 920 NE (Ch 936),LIMPIEZA</t>
  </si>
  <si>
    <t>3D54JO</t>
  </si>
  <si>
    <t>PREPAR,CACHORRO,Snv 920 NE (Ch 936),SERVICIO</t>
  </si>
  <si>
    <t>3D54JP</t>
  </si>
  <si>
    <t>PREPAR,CACHORRO,Snv 920 NE (Ch 936),PERFORACION</t>
  </si>
  <si>
    <t>3D54JS</t>
  </si>
  <si>
    <t>PREPAR,CACHORRO,Snv 920 NE (Ch 936),SOSTENIMIENTO</t>
  </si>
  <si>
    <t>3D54JV</t>
  </si>
  <si>
    <t>PREPAR,CACHORRO,Snv 920 NE (Ch 936),VOLADURA</t>
  </si>
  <si>
    <t>3D54RL</t>
  </si>
  <si>
    <t>PREPAR,CACHORRO,Snv 917 SW (Tj 050 SW),LIMPIEZA</t>
  </si>
  <si>
    <t>3D54RO</t>
  </si>
  <si>
    <t>PREPAR,CACHORRO,Snv 917 SW (Tj 050 SW),SERVICIO</t>
  </si>
  <si>
    <t>3D54RP</t>
  </si>
  <si>
    <t>PREPAR,CACHORRO,Snv 917 SW (Tj 050 SW),PERFORACION</t>
  </si>
  <si>
    <t>3D54RS</t>
  </si>
  <si>
    <t>PREPAR,CACHORRO,Snv 917 SW (Tj 050 SW),SOSTENIMIENTO</t>
  </si>
  <si>
    <t>3D54RV</t>
  </si>
  <si>
    <t>PREPAR,CACHORRO,Snv 917 SW (Tj 050 SW),VOLADURA</t>
  </si>
  <si>
    <t>3D54UL</t>
  </si>
  <si>
    <t>PREPAR,CACHORRO,Snv 079 SW (Est 079 NW),LIMPIEZA</t>
  </si>
  <si>
    <t>3D54UO</t>
  </si>
  <si>
    <t>PREPAR,CACHORRO,Snv 079 SW (Est 079 NW),SERVICIO</t>
  </si>
  <si>
    <t>3D54UP</t>
  </si>
  <si>
    <t>PREPAR,CACHORRO,Snv 079 SW (Est 079 NW),PERFORACION</t>
  </si>
  <si>
    <t>3D54US</t>
  </si>
  <si>
    <t>PREPAR,CACHORRO,Snv 079 SW (Est 079 NW),SOSTENIMIENTO</t>
  </si>
  <si>
    <t>3D54UV</t>
  </si>
  <si>
    <t>PREPAR,CACHORRO,Snv 079 SW (Est 079 NW),VOLADURA</t>
  </si>
  <si>
    <t>3D54VL</t>
  </si>
  <si>
    <t>PREPAR,CACHORRO,Snv 079 NE (Est 079 NW),LIMPIEZA</t>
  </si>
  <si>
    <t>3D54VO</t>
  </si>
  <si>
    <t>PREPAR,CACHORRO,Snv 079 NE (Est 079 NW),SERVICIO</t>
  </si>
  <si>
    <t>3D54VP</t>
  </si>
  <si>
    <t>PREPAR,CACHORRO,Snv 079 NE (Est 079 NW),PERFORACION</t>
  </si>
  <si>
    <t>3D54VS</t>
  </si>
  <si>
    <t>PREPAR,CACHORRO,Snv 079 NE (Est 079 NW),SOSTENIMIENTO</t>
  </si>
  <si>
    <t>3D54VV</t>
  </si>
  <si>
    <t>PREPAR,CACHORRO,Snv 079 NE (Est 079 NW),VOLADURA</t>
  </si>
  <si>
    <t>3D55BL</t>
  </si>
  <si>
    <t>PREPAR,CACHORRO,Snv 082 NE (Est 079 NW),LIMPIEZA</t>
  </si>
  <si>
    <t>3D55BO</t>
  </si>
  <si>
    <t>PREPAR,CACHORRO,Snv 082 NE (Est 079 NW),SERVICIO</t>
  </si>
  <si>
    <t>3D55BP</t>
  </si>
  <si>
    <t>PREPAR,CACHORRO,Snv 082 NE (Est 079 NW),PERFORACION</t>
  </si>
  <si>
    <t>3D55BS</t>
  </si>
  <si>
    <t>PREPAR,CACHORRO,Snv 082 NE (Est 079 NW),SOSTENIMIENTO</t>
  </si>
  <si>
    <t>3D55BV</t>
  </si>
  <si>
    <t>PREPAR,CACHORRO,Snv 082 NE (Est 079 NW),VOLADURA</t>
  </si>
  <si>
    <t>3D55KL</t>
  </si>
  <si>
    <t>PREPAR,CACHORRO,Snv 916 SW (Snv 915 NE),LIMPIEZA</t>
  </si>
  <si>
    <t>3D55KO</t>
  </si>
  <si>
    <t>PREPAR,CACHORRO,Snv 916 SW (Snv 915 NE),SERVICIO</t>
  </si>
  <si>
    <t>3D55KP</t>
  </si>
  <si>
    <t>PREPAR,CACHORRO,Snv 916 SW (Snv 915 NE),PERFORACION</t>
  </si>
  <si>
    <t>3D55KS</t>
  </si>
  <si>
    <t>PREPAR,CACHORRO,Snv 916 SW (Snv 915 NE),SOSTENIMIENTO</t>
  </si>
  <si>
    <t>3D55KV</t>
  </si>
  <si>
    <t>PREPAR,CACHORRO,Snv 916 SW (Snv 915 NE),VOLADURA</t>
  </si>
  <si>
    <t>3D55LL</t>
  </si>
  <si>
    <t>PREPAR,CACHORRO,Snv 919 SW (Tj 050 SW),LIMPIEZA</t>
  </si>
  <si>
    <t>3D55LO</t>
  </si>
  <si>
    <t>PREPAR,CACHORRO,Snv 919 SW (Tj 050 SW),SERVICIO</t>
  </si>
  <si>
    <t>3D55LP</t>
  </si>
  <si>
    <t>PREPAR,CACHORRO,Snv 919 SW (Tj 050 SW),PERFORACION</t>
  </si>
  <si>
    <t>3D55LS</t>
  </si>
  <si>
    <t>PREPAR,CACHORRO,Snv 919 SW (Tj 050 SW),SOSTENIMIENTO</t>
  </si>
  <si>
    <t>3D55LV</t>
  </si>
  <si>
    <t>PREPAR,CACHORRO,Snv 919 SW (Tj 050 SW),VOLADURA</t>
  </si>
  <si>
    <t>3D55NL</t>
  </si>
  <si>
    <t>PREPAR,CACHORRO,Snv 903 SW (Inc 822 NE),LIMPIEZA</t>
  </si>
  <si>
    <t>3D55NO</t>
  </si>
  <si>
    <t>PREPAR,CACHORRO,Snv 903 SW (Inc 822 NE),SERVICIO</t>
  </si>
  <si>
    <t>3D55NP</t>
  </si>
  <si>
    <t>PREPAR,CACHORRO,Snv 903 SW (Inc 822 NE),PERFORACION</t>
  </si>
  <si>
    <t>3D55NS</t>
  </si>
  <si>
    <t>PREPAR,CACHORRO,Snv 903 SW (Inc 822 NE),SOSTENIMIENTO</t>
  </si>
  <si>
    <t>3D55NV</t>
  </si>
  <si>
    <t>PREPAR,CACHORRO,Snv 903 SW (Inc 822 NE),VOLADURA</t>
  </si>
  <si>
    <t>3D55OL</t>
  </si>
  <si>
    <t>PREPAR,CACHORRO,Snv 903 NE (Inc 822 NE),LIMPIEZA</t>
  </si>
  <si>
    <t>3D55OO</t>
  </si>
  <si>
    <t>PREPAR,CACHORRO,Snv 903 NE (Inc 822 NE),SERVICIO</t>
  </si>
  <si>
    <t>3D55OP</t>
  </si>
  <si>
    <t>PREPAR,CACHORRO,Snv 903 NE (Inc 822 NE),PERFORACION</t>
  </si>
  <si>
    <t>3D55OS</t>
  </si>
  <si>
    <t>PREPAR,CACHORRO,Snv 903 NE (Inc 822 NE),SOSTENIMIENTO</t>
  </si>
  <si>
    <t>3D55OV</t>
  </si>
  <si>
    <t>PREPAR,CACHORRO,Snv 903 NE (Inc 822 NE),VOLADURA</t>
  </si>
  <si>
    <t>3D55QL</t>
  </si>
  <si>
    <t>PREPAR,CACHORRO,Snv 890 NE (Inc 822 NE),LIMPIEZA</t>
  </si>
  <si>
    <t>3D55QO</t>
  </si>
  <si>
    <t>PREPAR,CACHORRO,Snv 890 NE (Inc 822 NE),SERVICIO</t>
  </si>
  <si>
    <t>3D55QP</t>
  </si>
  <si>
    <t>PREPAR,CACHORRO,Snv 890 NE (Inc 822 NE),PERFORACION</t>
  </si>
  <si>
    <t>3D55QS</t>
  </si>
  <si>
    <t>PREPAR,CACHORRO,Snv 890 NE (Inc 822 NE),SOSTENIMIENTO</t>
  </si>
  <si>
    <t>3D55QV</t>
  </si>
  <si>
    <t>PREPAR,CACHORRO,Snv 890 NE (Inc 822 NE),VOLADURA</t>
  </si>
  <si>
    <t>3D55RL</t>
  </si>
  <si>
    <t>PREPAR,CACHORRO,Snv 890 SW (Inc 822 NE),LIMPIEZA</t>
  </si>
  <si>
    <t>3D55RO</t>
  </si>
  <si>
    <t>PREPAR,CACHORRO,Snv 890 SW (Inc 822 NE),SERVICIO</t>
  </si>
  <si>
    <t>3D55RP</t>
  </si>
  <si>
    <t>PREPAR,CACHORRO,Snv 890 SW (Inc 822 NE),PERFORACION</t>
  </si>
  <si>
    <t>3D55RS</t>
  </si>
  <si>
    <t>PREPAR,CACHORRO,Snv 890 SW (Inc 822 NE),SOSTENIMIENTO</t>
  </si>
  <si>
    <t>3D55RV</t>
  </si>
  <si>
    <t>PREPAR,CACHORRO,Snv 890 SW (Inc 822 NE),VOLADURA</t>
  </si>
  <si>
    <t>3D55ZL</t>
  </si>
  <si>
    <t>PREPAR,CACHORRO,Snv 885 SW (Est 945 SE),LIMPIEZA</t>
  </si>
  <si>
    <t>3D55ZO</t>
  </si>
  <si>
    <t>PREPAR,CACHORRO,Snv 885 SW (Est 945 SE),SERVICIO</t>
  </si>
  <si>
    <t>3D55ZP</t>
  </si>
  <si>
    <t>PREPAR,CACHORRO,Snv 885 SW (Est 945 SE),PERFORACION</t>
  </si>
  <si>
    <t>3D55ZS</t>
  </si>
  <si>
    <t>PREPAR,CACHORRO,Snv 885 SW (Est 945 SE),SOSTENIMIENTO</t>
  </si>
  <si>
    <t>3D55ZV</t>
  </si>
  <si>
    <t>PREPAR,CACHORRO,Snv 885 SW (Est 945 SE),VOLADURA</t>
  </si>
  <si>
    <t>3D56AL</t>
  </si>
  <si>
    <t>PREPAR,CACHORRO,Snv 885 NE (Est 945 SE),LIMPIEZA</t>
  </si>
  <si>
    <t>3D56AO</t>
  </si>
  <si>
    <t>PREPAR,CACHORRO,Snv 885 NE (Est 945 SE),SERVICIO</t>
  </si>
  <si>
    <t>3D56AP</t>
  </si>
  <si>
    <t>PREPAR,CACHORRO,Snv 885 NE (Est 945 SE),PERFORACION</t>
  </si>
  <si>
    <t>3D56AS</t>
  </si>
  <si>
    <t>PREPAR,CACHORRO,Snv 885 NE (Est 945 SE),SOSTENIMIENTO</t>
  </si>
  <si>
    <t>3D56AV</t>
  </si>
  <si>
    <t>PREPAR,CACHORRO,Snv 885 NE (Est 945 SE),VOLADURA</t>
  </si>
  <si>
    <t>3D5941</t>
  </si>
  <si>
    <t>PREPA,CACHORRO,Snv 089 SW (Est 075-1 SE),SUMINISTROS</t>
  </si>
  <si>
    <t>3D5942</t>
  </si>
  <si>
    <t>PREPA,CACHORRO,Snv 089 SW (Est 075-1 SE),SOSTENIMIENTO</t>
  </si>
  <si>
    <t>3D5943</t>
  </si>
  <si>
    <t>PREPA,CACHORRO,Snv 089 SW (Est 075-1 SE),SERVICIO</t>
  </si>
  <si>
    <t>3D5944</t>
  </si>
  <si>
    <t>PREPA,CACHORRO,Snv 089 SW (Est 075-1 SE),REHABILITACION</t>
  </si>
  <si>
    <t>3D5951</t>
  </si>
  <si>
    <t>PREPA,CACHORRO,Snv 089 NE (Est 075-1 SE),SUMINISTROS</t>
  </si>
  <si>
    <t>3D5952</t>
  </si>
  <si>
    <t>PREPA,CACHORRO,Snv 089 NE (Est 075-1 SE),SOSTENIMIENTO</t>
  </si>
  <si>
    <t>3D5953</t>
  </si>
  <si>
    <t>PREPA,CACHORRO,Snv 089 NE (Est 075-1 SE),SERVICIO</t>
  </si>
  <si>
    <t>3D5954</t>
  </si>
  <si>
    <t>PREPA,CACHORRO,Snv 089 NE (Est 075-1 SE),REHABILITACION</t>
  </si>
  <si>
    <t>3D651L</t>
  </si>
  <si>
    <t>PREPA,CACHORRO,Est 935 NE (Snv 089 NE),LIMPIEZA</t>
  </si>
  <si>
    <t>3D651O</t>
  </si>
  <si>
    <t>PREPA,CACHORRO,Est 935 NE (Snv 089 NE),SERVICIO</t>
  </si>
  <si>
    <t>3D651P</t>
  </si>
  <si>
    <t>PREPA,CACHORRO,Est 935 NE (Snv 089 NE),PERFORACION</t>
  </si>
  <si>
    <t>3D651S</t>
  </si>
  <si>
    <t>PREPA,CACHORRO,Est 935 NE (Snv 089 NE),SOSTENIMIENTO</t>
  </si>
  <si>
    <t>3D651V</t>
  </si>
  <si>
    <t>PREPA,CACHORRO,Est 935 NE (Snv 089 NE),VOLADURA</t>
  </si>
  <si>
    <t>3D673L</t>
  </si>
  <si>
    <t>PREPAR,CACHORRO,Est 937 NE (Snv 915 NE),LIMPIEZA</t>
  </si>
  <si>
    <t>3D673O</t>
  </si>
  <si>
    <t>PREPAR,CACHORRO,Est 937 NE (Snv 915 NE),SERVICIO</t>
  </si>
  <si>
    <t>3D673P</t>
  </si>
  <si>
    <t>PREPAR,CACHORRO,Est 937 NE (Snv 915 NE),PERFORACION</t>
  </si>
  <si>
    <t>3D673S</t>
  </si>
  <si>
    <t>PREPAR,CACHORRO,Est 937 NE (Snv 915 NE),SOSTENIMIENTO</t>
  </si>
  <si>
    <t>3D673V</t>
  </si>
  <si>
    <t>PREPAR,CACHORRO,Est 937 NE (Snv 915 NE),VOLADURA</t>
  </si>
  <si>
    <t>3D678L</t>
  </si>
  <si>
    <t>PREPAR,CACHORRO,Est 079 NW (Tj 050 SW),LIMPIEZA</t>
  </si>
  <si>
    <t>3D678O</t>
  </si>
  <si>
    <t>PREPAR,CACHORRO,Est 079 NW (Tj 050 SW),SERVICIO</t>
  </si>
  <si>
    <t>3D678P</t>
  </si>
  <si>
    <t>PREPAR,CACHORRO,Est 079 NW (Tj 050 SW),PERFORACION</t>
  </si>
  <si>
    <t>3D678S</t>
  </si>
  <si>
    <t>PREPAR,CACHORRO,Est 079 NW (Tj 050 SW),SOSTENIMIENTO</t>
  </si>
  <si>
    <t>3D678V</t>
  </si>
  <si>
    <t>PREPAR,CACHORRO,Est 079 NW (Tj 050 SW),VOLADURA</t>
  </si>
  <si>
    <t>3D935L</t>
  </si>
  <si>
    <t>PREPAR,CACHORRO,Ven 30 (Tj 070 NE),LIMPIEZA</t>
  </si>
  <si>
    <t>3D935O</t>
  </si>
  <si>
    <t>PREPAR,CACHORRO,Ven 30 (Tj 070 NE),SERVICIO</t>
  </si>
  <si>
    <t>3D935P</t>
  </si>
  <si>
    <t>PREPAR,CACHORRO,Ven 30 (Tj 070 NE),PERFORACION</t>
  </si>
  <si>
    <t>3D935S</t>
  </si>
  <si>
    <t>PREPAR,CACHORRO,Ven 30 (Tj 070 NE),SOSTENIMIENTO</t>
  </si>
  <si>
    <t>3D935V</t>
  </si>
  <si>
    <t>PREPAR,CACHORRO,Ven 30 (Tj 070 NE),VOLADURA</t>
  </si>
  <si>
    <t>3D940L</t>
  </si>
  <si>
    <t>PREPAR,CACHORRO,Ven 035 NE (Tj 050 SW),LIMPIEZA</t>
  </si>
  <si>
    <t>3D940O</t>
  </si>
  <si>
    <t>PREPAR,CACHORRO,Ven 035 NE (Tj 050 SW),SERVICIO</t>
  </si>
  <si>
    <t>3D940P</t>
  </si>
  <si>
    <t>PREPAR,CACHORRO,Ven 035 NE (Tj 050 SW),PERFORACION</t>
  </si>
  <si>
    <t>3D940S</t>
  </si>
  <si>
    <t>PREPAR,CACHORRO,Ven 035 NE (Tj 050 SW),SOSTENIMIENTO</t>
  </si>
  <si>
    <t>3D940V</t>
  </si>
  <si>
    <t>PREPAR,CACHORRO,Ven 035 NE (Tj 050 SW),VOLADURA</t>
  </si>
  <si>
    <t>3DA04L</t>
  </si>
  <si>
    <t>PREPAR,CACHORRO,Bp 940 NW (Cx 128 NE),LIMPIEZA</t>
  </si>
  <si>
    <t>3DA04O</t>
  </si>
  <si>
    <t>PREPAR,CACHORRO,Bp 940 NW (Cx 128 NE),SERVICIO</t>
  </si>
  <si>
    <t>3DA04P</t>
  </si>
  <si>
    <t>PREPAR,CACHORRO,Bp 940 NW (Cx 128 NE),PERFORACION</t>
  </si>
  <si>
    <t>3DA04S</t>
  </si>
  <si>
    <t>PREPAR,CACHORRO,Bp 940 NW (Cx 128 NE),SOSTENIMIENTO</t>
  </si>
  <si>
    <t>3DA04V</t>
  </si>
  <si>
    <t>PREPAR,CACHORRO,Bp 940 NW (Cx 128 NE),VOLADURA</t>
  </si>
  <si>
    <t>3E31HL</t>
  </si>
  <si>
    <t>PREPAR,VANESSA,Ch 091 (Snv 020 NE),LIMPIEZA</t>
  </si>
  <si>
    <t>3E31HO</t>
  </si>
  <si>
    <t>PREPAR,VANESSA,Ch 091 (Snv 020 NE),SERVICIO</t>
  </si>
  <si>
    <t>3E31HP</t>
  </si>
  <si>
    <t>PREPAR,VANESSA,Ch 091 (Snv 020 NE),PERFORACION</t>
  </si>
  <si>
    <t>3E31HS</t>
  </si>
  <si>
    <t>PREPAR,VANESSA,Ch 091 (Snv 020 NE),SOSTENIMIENTO</t>
  </si>
  <si>
    <t>3E31HV</t>
  </si>
  <si>
    <t>PREPAR,VANESSA,Ch 091 (Snv 020 NE),VOLADURA</t>
  </si>
  <si>
    <t>3E31IL</t>
  </si>
  <si>
    <t>PREPAR,VANESSA,Ch 877 (Snv 020 NE),LIMPIEZA</t>
  </si>
  <si>
    <t>3E31IO</t>
  </si>
  <si>
    <t>PREPAR,VANESSA,Ch 877 (Snv 020 NE),SERVICIO</t>
  </si>
  <si>
    <t>3E31IP</t>
  </si>
  <si>
    <t>PREPAR,VANESSA,Ch 877 (Snv 020 NE),PERFORACION</t>
  </si>
  <si>
    <t>3E31IS</t>
  </si>
  <si>
    <t>PREPAR,VANESSA,Ch 877 (Snv 020 NE),SOSTENIMIENTO</t>
  </si>
  <si>
    <t>3E31IV</t>
  </si>
  <si>
    <t>PREPAR,VANESSA,Ch 877 (Snv 020 NE),VOLADURA</t>
  </si>
  <si>
    <t>3E31JL</t>
  </si>
  <si>
    <t>PREPAR,VANESSA,Ch 044 (Snv 868 SW),LIMPIEZA</t>
  </si>
  <si>
    <t>3E31JO</t>
  </si>
  <si>
    <t>PREPAR,VANESSA,Ch 044 (Snv 868 SW),SERVICIO</t>
  </si>
  <si>
    <t>3E31JP</t>
  </si>
  <si>
    <t>PREPAR,VANESSA,Ch 044 (Snv 868 SW),PERFORACION</t>
  </si>
  <si>
    <t>3E31JS</t>
  </si>
  <si>
    <t>PREPAR,VANESSA,Ch 044 (Snv 868 SW),SOSTENIMIENTO</t>
  </si>
  <si>
    <t>3E31JV</t>
  </si>
  <si>
    <t>PREPAR,VANESSA,Ch 044 (Snv 868 SW),VOLADURA</t>
  </si>
  <si>
    <t>3E31LL</t>
  </si>
  <si>
    <t>PREPAR,VANESSA,Ch 835 (Snv 030 SW),LIMPIEZA</t>
  </si>
  <si>
    <t>3E31LO</t>
  </si>
  <si>
    <t>PREPAR,VANESSA,Ch 835 (Snv 030 SW),SERVICIO</t>
  </si>
  <si>
    <t>3E31LP</t>
  </si>
  <si>
    <t>PREPAR,VANESSA,Ch 835 (Snv 030 SW),PERFORACION</t>
  </si>
  <si>
    <t>3E31LS</t>
  </si>
  <si>
    <t>PREPAR,VANESSA,Ch 835 (Snv 030 SW),SOSTENIMIENTO</t>
  </si>
  <si>
    <t>3E31LV</t>
  </si>
  <si>
    <t>PREPAR,VANESSA,Ch 835 (Snv 030 SW),VOLADURA</t>
  </si>
  <si>
    <t>3E31QL</t>
  </si>
  <si>
    <t>PREPAR,VANESSA,Ch 835 (Snv 020 SW),LIMPIEZA</t>
  </si>
  <si>
    <t>3E31QO</t>
  </si>
  <si>
    <t>PREPAR,VANESSA,Ch 835 (Snv 020 SW),SERVICIO</t>
  </si>
  <si>
    <t>3E31QP</t>
  </si>
  <si>
    <t>PREPAR,VANESSA,Ch 835 (Snv 020 SW),PERFORACION</t>
  </si>
  <si>
    <t>3E31QS</t>
  </si>
  <si>
    <t>PREPAR,VANESSA,Ch 835 (Snv 020 SW),SOSTENIMIENTO</t>
  </si>
  <si>
    <t>3E31QV</t>
  </si>
  <si>
    <t>PREPAR,VANESSA,Ch 835 (Snv 020 SW),VOLADURA</t>
  </si>
  <si>
    <t>3E31RL</t>
  </si>
  <si>
    <t>PREPAR,VANESSA,Ch 835 (Tj 010 SW),LIMPIEZA</t>
  </si>
  <si>
    <t>3E31RO</t>
  </si>
  <si>
    <t>PREPAR,VANESSA,Ch 835 (Tj 010 SW),SERVICIO</t>
  </si>
  <si>
    <t>3E31RP</t>
  </si>
  <si>
    <t>PREPAR,VANESSA,Ch 835 (Tj 010 SW),PERFORACION</t>
  </si>
  <si>
    <t>3E31RS</t>
  </si>
  <si>
    <t>PREPAR,VANESSA,Ch 835 (Tj 010 SW),SOSTENIMIENTO</t>
  </si>
  <si>
    <t>3E31RV</t>
  </si>
  <si>
    <t>PREPAR,VANESSA,Ch 835 (Tj 010 SW),VOLADURA</t>
  </si>
  <si>
    <t>3E31UL</t>
  </si>
  <si>
    <t>PREPAR,VANESSA,Ch 820 (Tj 042 SW)
,LIMPIEZA</t>
  </si>
  <si>
    <t>3E31UO</t>
  </si>
  <si>
    <t>PREPAR,VANESSA,Ch 820 (Tj 042 SW)
,SERVICIO</t>
  </si>
  <si>
    <t>3E31UP</t>
  </si>
  <si>
    <t>PREPAR,VANESSA,Ch 820 (Tj 042 SW)
,PERFORACION</t>
  </si>
  <si>
    <t>3E31US</t>
  </si>
  <si>
    <t>PREPAR,VANESSA,Ch 820 (Tj 042 SW)
,SOSTENIMIENTO</t>
  </si>
  <si>
    <t>3E31UV</t>
  </si>
  <si>
    <t>PREPAR,VANESSA,Ch 820 (Tj 042 SW)
,VOLADURA</t>
  </si>
  <si>
    <t>3E3231</t>
  </si>
  <si>
    <t xml:space="preserve">PREPA,VANESSA,CH 091 (GAL 150 SW),SUMINISTROS     </t>
  </si>
  <si>
    <t>3E3232</t>
  </si>
  <si>
    <t xml:space="preserve">PREPA,VANESSA,CH 091 (GAL 150 SW),SOSTENIMIENTO   </t>
  </si>
  <si>
    <t>3E3233</t>
  </si>
  <si>
    <t xml:space="preserve">PREPA,VANESSA,CH 091 (GAL 150 SW),SERVICIO        </t>
  </si>
  <si>
    <t>3E3234</t>
  </si>
  <si>
    <t xml:space="preserve">PREPA,VANESSA,CH 091 (GAL 150 SW),REHABILITACION  </t>
  </si>
  <si>
    <t>3E3235</t>
  </si>
  <si>
    <t xml:space="preserve">PREPA,VANESSA,CH 091 (GAL 150 SW),TOLVA           </t>
  </si>
  <si>
    <t>3E3271</t>
  </si>
  <si>
    <t xml:space="preserve">PREPA,VANESSA,CH 066 (CX 075 NW),SUMINISTROS      </t>
  </si>
  <si>
    <t>3E3272</t>
  </si>
  <si>
    <t xml:space="preserve">PREPA,VANESSA,CH 066 (CX 075 NW),SOSTENIMIENTO    </t>
  </si>
  <si>
    <t>3E3273</t>
  </si>
  <si>
    <t xml:space="preserve">PREPA,VANESSA,CH 066 (CX 075 NW),SERVICIO         </t>
  </si>
  <si>
    <t>3E3274</t>
  </si>
  <si>
    <t xml:space="preserve">PREPA,VANESSA,CH 066 (CX 075 NW),REHABILITACION   </t>
  </si>
  <si>
    <t>3E3281</t>
  </si>
  <si>
    <t xml:space="preserve">PREPA,VANESSA,CH 066 (SNV 123NE),SUMINISTROS      </t>
  </si>
  <si>
    <t>3E3282</t>
  </si>
  <si>
    <t xml:space="preserve">PREPA,VANESSA,CH 066 (SNV 123NE),SOSTENIMIENTO    </t>
  </si>
  <si>
    <t>3E3283</t>
  </si>
  <si>
    <t xml:space="preserve">PREPA,VANESSA,CH 066 (SNV 123NE),SERVICIO         </t>
  </si>
  <si>
    <t>3E3284</t>
  </si>
  <si>
    <t xml:space="preserve">PREPA,VANESSA,CH 066 (SNV 123NE),REHABILITACION   </t>
  </si>
  <si>
    <t>3E3301</t>
  </si>
  <si>
    <t xml:space="preserve">PREPA,VANESSA,CH 053 (SNV 123 NE),SUMINISTROS     </t>
  </si>
  <si>
    <t>3E3302</t>
  </si>
  <si>
    <t xml:space="preserve">PREPA,VANESSA,CH 053 (SNV 123 NE),SOSTENIMIENTO   </t>
  </si>
  <si>
    <t>3E3303</t>
  </si>
  <si>
    <t xml:space="preserve">PREPA,VANESSA,CH 053 (SNV 123 NE),SERVICIO        </t>
  </si>
  <si>
    <t>3E3304</t>
  </si>
  <si>
    <t xml:space="preserve">PREPA,VANESSA,CH 053 (SNV 123 NE),REHABILITACION  </t>
  </si>
  <si>
    <t>3E3391</t>
  </si>
  <si>
    <t>PREPA,VANESSA,CH 091 (SNV 090 SW),SUMINISTROS</t>
  </si>
  <si>
    <t>3E3392</t>
  </si>
  <si>
    <t>PREPA,VANESSA,CH 091 (SNV 090 SW),SOSTENIMIENTO</t>
  </si>
  <si>
    <t>3E3393</t>
  </si>
  <si>
    <t>PREPA,VANESSA,CH 091 (SNV 090 SW),SERVICIO</t>
  </si>
  <si>
    <t>3E3394</t>
  </si>
  <si>
    <t>PREPA,VANESSA,CH 091 (SNV 090 SW),REHABILITACION</t>
  </si>
  <si>
    <t>3E3431</t>
  </si>
  <si>
    <t>PREPA,VANESSA,CH 064 (TJ 111),SUMINISTROS</t>
  </si>
  <si>
    <t>3E3432</t>
  </si>
  <si>
    <t>PREPA,VANESSA,CH 064 (TJ 111),SOSTENIMIENTO</t>
  </si>
  <si>
    <t>3E3433</t>
  </si>
  <si>
    <t>PREPA,VANESSA,CH 064 (TJ 111),SERVICIO</t>
  </si>
  <si>
    <t>3E3434</t>
  </si>
  <si>
    <t>PREPA,VANESSA,CH 064 (TJ 111),REHABILITACION</t>
  </si>
  <si>
    <t>3E3435</t>
  </si>
  <si>
    <t>PREPA,VANESSA,CH 064 (TJ 111),TOLVA</t>
  </si>
  <si>
    <t>3E3441</t>
  </si>
  <si>
    <t>PREPA,VANESSA,CH 055 -1(TJ 055 SW),SUMINISTROS</t>
  </si>
  <si>
    <t>3E3442</t>
  </si>
  <si>
    <t>PREPA,VANESSA,CH 055 -1(TJ 055 SW),SOSTENIMIENTO</t>
  </si>
  <si>
    <t>3E3443</t>
  </si>
  <si>
    <t>PREPA,VANESSA,CH 055 -1(TJ 055 SW),SERVICIO</t>
  </si>
  <si>
    <t>3E3444</t>
  </si>
  <si>
    <t>PREPA,VANESSA,CH 055 -1(TJ 055 SW),REHABILITACION</t>
  </si>
  <si>
    <t>3E3451</t>
  </si>
  <si>
    <t>PREPA,VANESSA,CH 091 (TJ 111 SW),SUMINISTROS</t>
  </si>
  <si>
    <t>3E3452</t>
  </si>
  <si>
    <t>PREPA,VANESSA,CH 091 (TJ 111 SW),SOSTENIMIENTO</t>
  </si>
  <si>
    <t>3E3453</t>
  </si>
  <si>
    <t>PREPA,VANESSA,CH 091 (TJ 111 SW),SERVICIO</t>
  </si>
  <si>
    <t>3E3454</t>
  </si>
  <si>
    <t>PREPA,VANESSA,CH 091 (TJ 111 SW),REHABILITACION</t>
  </si>
  <si>
    <t>3E3461</t>
  </si>
  <si>
    <t>PREPA,VANESSA,CH 064 (TJ 076 NE),SUMINISTROS</t>
  </si>
  <si>
    <t>3E3462</t>
  </si>
  <si>
    <t>PREPA,VANESSA,CH 064 (TJ 076 NE),SOSTENIMIENTO</t>
  </si>
  <si>
    <t>3E3463</t>
  </si>
  <si>
    <t>PREPA,VANESSA,CH 064 (TJ 076 NE),SERVICIO</t>
  </si>
  <si>
    <t>3E3464</t>
  </si>
  <si>
    <t>PREPA,VANESSA,CH 064 (TJ 076 NE),REHABILITACION</t>
  </si>
  <si>
    <t>3E3491</t>
  </si>
  <si>
    <t>PREPA,VANESSA,Ch 044 (Tj 055 SW),SUMINISTROS</t>
  </si>
  <si>
    <t>3E3492</t>
  </si>
  <si>
    <t>PREPA,VANESSA,Ch 044 (Tj 055 SW),SOSTENIMIENTO</t>
  </si>
  <si>
    <t>3E3493</t>
  </si>
  <si>
    <t>PREPA,VANESSA,Ch 044 (Tj 055 SW),SERVICIO</t>
  </si>
  <si>
    <t>3E3494</t>
  </si>
  <si>
    <t>PREPA,VANESSA,Ch 044 (Tj 055 SW),REHABILITACION</t>
  </si>
  <si>
    <t>3E3495</t>
  </si>
  <si>
    <t>PREPA,VANESSA,Ch 044 (Tj 055 SW),TOLVA</t>
  </si>
  <si>
    <t>3E3521</t>
  </si>
  <si>
    <t>PREPA,VANESSA,Ch 086 (Tj 091 SW),SUMINISTROS</t>
  </si>
  <si>
    <t>3E3522</t>
  </si>
  <si>
    <t>PREPA,VANESSA,Ch 086 (Tj 091 SW),SOSTENIMIENTO</t>
  </si>
  <si>
    <t>3E3523</t>
  </si>
  <si>
    <t>PREPA,VANESSA,Ch 086 (Tj 091 SW),SERVICIO</t>
  </si>
  <si>
    <t>3E3524</t>
  </si>
  <si>
    <t>PREPA,VANESSA,Ch 086 (Tj 091 SW),REHABILITACION</t>
  </si>
  <si>
    <t>3E3581</t>
  </si>
  <si>
    <t>PREPA,VANESSA,Ch 095 (Tj 117 SW),SUMINISTROS</t>
  </si>
  <si>
    <t>3E3582</t>
  </si>
  <si>
    <t>PREPA,VANESSA,Ch 095 (Tj 117 SW),SOSTENIMIENTO</t>
  </si>
  <si>
    <t>3E3583</t>
  </si>
  <si>
    <t>PREPA,VANESSA,Ch 095 (Tj 117 SW),SERVICIO</t>
  </si>
  <si>
    <t>3E3584</t>
  </si>
  <si>
    <t>PREPA,VANESSA,Ch 095 (Tj 117 SW),REHABILITACION</t>
  </si>
  <si>
    <t>3E3601</t>
  </si>
  <si>
    <t>PREPA,VANESSA,Ch 091 (Snv 070 NE),SUMINISTROS</t>
  </si>
  <si>
    <t>3E3602</t>
  </si>
  <si>
    <t>PREPA,VANESSA,Ch 091 (Snv 070 NE),SOSTENIMIENTO</t>
  </si>
  <si>
    <t>3E3603</t>
  </si>
  <si>
    <t>PREPA,VANESSA,Ch 091 (Snv 070 NE),SERVICIO</t>
  </si>
  <si>
    <t>3E3604</t>
  </si>
  <si>
    <t>PREPA,VANESSA,Ch 091 (Snv 070 NE),REHABILITACION</t>
  </si>
  <si>
    <t>3E3691</t>
  </si>
  <si>
    <t>PREPA,VANESSA,Ch 044 (Snv 098 SW),SUMINISTROS</t>
  </si>
  <si>
    <t>3E3692</t>
  </si>
  <si>
    <t>PREPA,VANESSA,Ch 044 (Snv 098 SW),SOSTENIMIENTO</t>
  </si>
  <si>
    <t>3E3693</t>
  </si>
  <si>
    <t>PREPA,VANESSA,Ch 044 (Snv 098 SW),SERVICIO</t>
  </si>
  <si>
    <t>3E3694</t>
  </si>
  <si>
    <t>PREPA,VANESSA,Ch 044 (Snv 098 SW),REHABILITACION</t>
  </si>
  <si>
    <t>3E371L</t>
  </si>
  <si>
    <t>PREPAR,VANESSA,Ch 081 (Tj 081 SW),LIMPIEZA</t>
  </si>
  <si>
    <t>3E371O</t>
  </si>
  <si>
    <t>PREPAR,VANESSA,Ch 081 (Tj 081 SW),SERVICIO</t>
  </si>
  <si>
    <t>3E371P</t>
  </si>
  <si>
    <t>PREPAR,VANESSA,Ch 081 (Tj 081 SW),PERFORACION</t>
  </si>
  <si>
    <t>3E371S</t>
  </si>
  <si>
    <t>PREPAR,VANESSA,Ch 081 (Tj 081 SW),SOSTENIMIENTO</t>
  </si>
  <si>
    <t>3E371V</t>
  </si>
  <si>
    <t>PREPAR,VANESSA,Ch 081 (Tj 081 SW),VOLADURA</t>
  </si>
  <si>
    <t>3E377L</t>
  </si>
  <si>
    <t>PREPAR,VANESSA,Ch 095 (Tj 066 NE),LIMPIEZA</t>
  </si>
  <si>
    <t>3E377O</t>
  </si>
  <si>
    <t>PREPAR,VANESSA,Ch 095 (Tj 066 NE),SERVICIO</t>
  </si>
  <si>
    <t>3E377P</t>
  </si>
  <si>
    <t>PREPAR,VANESSA,Ch 095 (Tj 066 NE),PERFORACION</t>
  </si>
  <si>
    <t>3E377S</t>
  </si>
  <si>
    <t>PREPAR,VANESSA,Ch 095 (Tj 066 NE),SOSTENIMIENTO</t>
  </si>
  <si>
    <t>3E377V</t>
  </si>
  <si>
    <t>PREPAR,VANESSA,Ch 095 (Tj 066 NE),VOLADURA</t>
  </si>
  <si>
    <t>3E378L</t>
  </si>
  <si>
    <t>PREPAR,VANESSA,Ch 091 (Snv 050 NE),LIMPIEZA</t>
  </si>
  <si>
    <t>3E378O</t>
  </si>
  <si>
    <t>PREPAR,VANESSA,Ch 091 (Snv 050 NE),SERVICIO</t>
  </si>
  <si>
    <t>3E378P</t>
  </si>
  <si>
    <t>PREPAR,VANESSA,Ch 091 (Snv 050 NE),PERFORACION</t>
  </si>
  <si>
    <t>3E378S</t>
  </si>
  <si>
    <t>PREPAR,VANESSA,Ch 091 (Snv 050 NE),SOSTENIMIENTO</t>
  </si>
  <si>
    <t>3E378V</t>
  </si>
  <si>
    <t>PREPAR,VANESSA,Ch 091 (Snv 050 NE),VOLADURA</t>
  </si>
  <si>
    <t>3E380L</t>
  </si>
  <si>
    <t>PREPAR,VANESSA,Ch 044 (Tj 036 SW),LIMPIEZA</t>
  </si>
  <si>
    <t>3E380O</t>
  </si>
  <si>
    <t>PREPAR,VANESSA,Ch 044 (Tj 036 SW),SERVICIO</t>
  </si>
  <si>
    <t>3E380P</t>
  </si>
  <si>
    <t>PREPAR,VANESSA,Ch 044 (Tj 036 SW),PERFORACION</t>
  </si>
  <si>
    <t>3E380S</t>
  </si>
  <si>
    <t>PREPAR,VANESSA,Ch 044 (Tj 036 SW),SOSTENIMIENTO</t>
  </si>
  <si>
    <t>3E380V</t>
  </si>
  <si>
    <t>PREPAR,VANESSA,Ch 044 (Tj 036 SW),VOLADURA</t>
  </si>
  <si>
    <t>3E382L</t>
  </si>
  <si>
    <t>PREPAR,VANESSA,Ch 064 (Est 075-2 SE),LIMPIEZA</t>
  </si>
  <si>
    <t>3E382O</t>
  </si>
  <si>
    <t>PREPAR,VANESSA,Ch 064 (Est 075-2 SE),SERVICIO</t>
  </si>
  <si>
    <t>3E382P</t>
  </si>
  <si>
    <t>PREPAR,VANESSA,Ch 064 (Est 075-2 SE),PERFORACION</t>
  </si>
  <si>
    <t>3E382S</t>
  </si>
  <si>
    <t>PREPAR,VANESSA,Ch 064 (Est 075-2 SE),SOSTENIMIENTO</t>
  </si>
  <si>
    <t>3E382V</t>
  </si>
  <si>
    <t>PREPAR,VANESSA,Ch 064 (Est 075-2 SE),VOLADURA</t>
  </si>
  <si>
    <t>3E383L</t>
  </si>
  <si>
    <t>PREPAR,VANESSA,Ch 066 (Snv 868 SW),LIMPIEZA</t>
  </si>
  <si>
    <t>3E383O</t>
  </si>
  <si>
    <t>PREPAR,VANESSA,Ch 066 (Snv 868 SW),SERVICIO</t>
  </si>
  <si>
    <t>3E383P</t>
  </si>
  <si>
    <t>PREPAR,VANESSA,Ch 066 (Snv 868 SW),PERFORACION</t>
  </si>
  <si>
    <t>3E383S</t>
  </si>
  <si>
    <t>PREPAR,VANESSA,Ch 066 (Snv 868 SW),SOSTENIMIENTO</t>
  </si>
  <si>
    <t>3E383V</t>
  </si>
  <si>
    <t>PREPAR,VANESSA,Ch 066 (Snv 868 SW),VOLADURA</t>
  </si>
  <si>
    <t>3E390L</t>
  </si>
  <si>
    <t>PREPAR,VANESSA,Ch 091 (Snv 030 SW),LIMPIEZA</t>
  </si>
  <si>
    <t>3E390O</t>
  </si>
  <si>
    <t>PREPAR,VANESSA,Ch 091 (Snv 030 SW),SERVICIO</t>
  </si>
  <si>
    <t>3E390P</t>
  </si>
  <si>
    <t>PREPAR,VANESSA,Ch 091 (Snv 030 SW),PERFORACION</t>
  </si>
  <si>
    <t>3E390S</t>
  </si>
  <si>
    <t>PREPAR,VANESSA,Ch 091 (Snv 030 SW),SOSTENIMIENTO</t>
  </si>
  <si>
    <t>3E390V</t>
  </si>
  <si>
    <t>PREPAR,VANESSA,Ch 091 (Snv 030 SW),VOLADURA</t>
  </si>
  <si>
    <t>3E391L</t>
  </si>
  <si>
    <t>PREPAR,VANESSA,Ch 091 (Snv 030 NE),LIMPIEZA</t>
  </si>
  <si>
    <t>3E391O</t>
  </si>
  <si>
    <t>PREPAR,VANESSA,Ch 091 (Snv 030 NE),SERVICIO</t>
  </si>
  <si>
    <t>3E391P</t>
  </si>
  <si>
    <t>PREPAR,VANESSA,Ch 091 (Snv 030 NE),PERFORACION</t>
  </si>
  <si>
    <t>3E391S</t>
  </si>
  <si>
    <t>PREPAR,VANESSA,Ch 091 (Snv 030 NE),SOSTENIMIENTO</t>
  </si>
  <si>
    <t>3E391V</t>
  </si>
  <si>
    <t>PREPAR,VANESSA,Ch 091 (Snv 030 NE),VOLADURA</t>
  </si>
  <si>
    <t>3E393L</t>
  </si>
  <si>
    <t>PREPAR,VANESSA,Ch 044 (Snv 842 SW),LIMPIEZA</t>
  </si>
  <si>
    <t>3E393O</t>
  </si>
  <si>
    <t>PREPAR,VANESSA,Ch 044 (Snv 842 SW),SERVICIO</t>
  </si>
  <si>
    <t>3E393P</t>
  </si>
  <si>
    <t>PREPAR,VANESSA,Ch 044 (Snv 842 SW),PERFORACION</t>
  </si>
  <si>
    <t>3E393S</t>
  </si>
  <si>
    <t>PREPAR,VANESSA,Ch 044 (Snv 842 SW),SOSTENIMIENTO</t>
  </si>
  <si>
    <t>3E393V</t>
  </si>
  <si>
    <t>PREPAR,VANESSA,Ch 044 (Snv 842 SW),VOLADURA</t>
  </si>
  <si>
    <t>3E398L</t>
  </si>
  <si>
    <t>PREPAR,VANESSA,Ch 877 (Snv 030 NE),LIMPIEZA</t>
  </si>
  <si>
    <t>3E398O</t>
  </si>
  <si>
    <t>PREPAR,VANESSA,Ch 877 (Snv 030 NE),SERVICIO</t>
  </si>
  <si>
    <t>3E398P</t>
  </si>
  <si>
    <t>PREPAR,VANESSA,Ch 877 (Snv 030 NE),PERFORACION</t>
  </si>
  <si>
    <t>3E398S</t>
  </si>
  <si>
    <t>PREPAR,VANESSA,Ch 877 (Snv 030 NE),SOSTENIMIENTO</t>
  </si>
  <si>
    <t>3E398V</t>
  </si>
  <si>
    <t>PREPAR,VANESSA,Ch 877 (Snv 030 NE),VOLADURA</t>
  </si>
  <si>
    <t>3E399L</t>
  </si>
  <si>
    <t>PREPAR,VANESSA,Ch 877 (Snv 050 NE),LIMPIEZA</t>
  </si>
  <si>
    <t>3E399O</t>
  </si>
  <si>
    <t>PREPAR,VANESSA,Ch 877 (Snv 050 NE),SERVICIO</t>
  </si>
  <si>
    <t>3E399P</t>
  </si>
  <si>
    <t>PREPAR,VANESSA,Ch 877 (Snv 050 NE),PERFORACION</t>
  </si>
  <si>
    <t>3E399S</t>
  </si>
  <si>
    <t>PREPAR,VANESSA,Ch 877 (Snv 050 NE),SOSTENIMIENTO</t>
  </si>
  <si>
    <t>3E399V</t>
  </si>
  <si>
    <t>PREPAR,VANESSA,Ch 877 (Snv 050 NE),VOLADURA</t>
  </si>
  <si>
    <t>3E412L</t>
  </si>
  <si>
    <t>PREPAR,VANESSA,Pq 870 (Snv 030 SW),LIMPIEZA</t>
  </si>
  <si>
    <t>3E412O</t>
  </si>
  <si>
    <t>PREPAR,VANESSA,Pq 870 (Snv 030 SW),SERVICIO</t>
  </si>
  <si>
    <t>3E412P</t>
  </si>
  <si>
    <t>PREPAR,VANESSA,Pq 870 (Snv 030 SW),PERFORACION</t>
  </si>
  <si>
    <t>3E412S</t>
  </si>
  <si>
    <t>PREPAR,VANESSA,Pq 870 (Snv 030 SW),SOSTENIMIENTO</t>
  </si>
  <si>
    <t>3E412V</t>
  </si>
  <si>
    <t>PREPAR,VANESSA,Pq 870 (Snv 030 SW),VOLADURA</t>
  </si>
  <si>
    <t>3E51D1</t>
  </si>
  <si>
    <t>PREPA,VANESSA,Snv 098 SW (Ch 066),SUMINISTROS</t>
  </si>
  <si>
    <t>3E51D2</t>
  </si>
  <si>
    <t>PREPA,VANESSA,Snv 098 SW (Ch 066),SOSTENIMIENTO</t>
  </si>
  <si>
    <t>3E51D3</t>
  </si>
  <si>
    <t>PREPA,VANESSA,Snv 098 SW (Ch 066),SERVICIO</t>
  </si>
  <si>
    <t>3E51D4</t>
  </si>
  <si>
    <t>PREPA,VANESSA,Snv 098 SW (Ch 066),REHABILITACION</t>
  </si>
  <si>
    <t>3E51TL</t>
  </si>
  <si>
    <t>PREPAR,VANESSA,Snv 050 NE (Est 075-3 SE),LIMPIEZA</t>
  </si>
  <si>
    <t>3E51TO</t>
  </si>
  <si>
    <t>PREPAR,VANESSA,Snv 050 NE (Est 075-3 SE),SERVICIO</t>
  </si>
  <si>
    <t>3E51TP</t>
  </si>
  <si>
    <t>PREPAR,VANESSA,Snv 050 NE (Est 075-3 SE),PERFORACION</t>
  </si>
  <si>
    <t>3E51TS</t>
  </si>
  <si>
    <t>PREPAR,VANESSA,Snv 050 NE (Est 075-3 SE),SOSTENIMIENTO</t>
  </si>
  <si>
    <t>3E51TV</t>
  </si>
  <si>
    <t>PREPAR,VANESSA,Snv 050 NE (Est 075-3 SE),VOLADURA</t>
  </si>
  <si>
    <t>3E51UL</t>
  </si>
  <si>
    <t>PREPAR,VANESSA,Snv 050 SW (Est 075-3 SE),LIMPIEZA</t>
  </si>
  <si>
    <t>3E51UO</t>
  </si>
  <si>
    <t>PREPAR,VANESSA,Snv 050 SW (Est 075-3 SE),SERVICIO</t>
  </si>
  <si>
    <t>3E51UP</t>
  </si>
  <si>
    <t>PREPAR,VANESSA,Snv 050 SW (Est 075-3 SE),PERFORACION</t>
  </si>
  <si>
    <t>3E51US</t>
  </si>
  <si>
    <t>PREPAR,VANESSA,Snv 050 SW (Est 075-3 SE),SOSTENIMIENTO</t>
  </si>
  <si>
    <t>3E51UV</t>
  </si>
  <si>
    <t>PREPAR,VANESSA,Snv 050 SW (Est 075-3 SE),VOLADURA</t>
  </si>
  <si>
    <t>3E51WL</t>
  </si>
  <si>
    <t>PREPAR,VANESSA,Snv 827 SW (Est 092 SW),LIMPIEZA</t>
  </si>
  <si>
    <t>3E51WO</t>
  </si>
  <si>
    <t>PREPAR,VANESSA,Snv 827 SW (Est 092 SW),SERVICIO</t>
  </si>
  <si>
    <t>3E51WP</t>
  </si>
  <si>
    <t>PREPAR,VANESSA,Snv 827 SW (Est 092 SW),PERFORACION</t>
  </si>
  <si>
    <t>3E51WS</t>
  </si>
  <si>
    <t>PREPAR,VANESSA,Snv 827 SW (Est 092 SW),SOSTENIMIENTO</t>
  </si>
  <si>
    <t>3E51WV</t>
  </si>
  <si>
    <t>PREPAR,VANESSA,Snv 827 SW (Est 092 SW),VOLADURA</t>
  </si>
  <si>
    <t>3E5201</t>
  </si>
  <si>
    <t>PREPA,VANESSA,SNV 066 NE (CH 066),SUMINISTROS</t>
  </si>
  <si>
    <t>3E5202</t>
  </si>
  <si>
    <t>PREPA,VANESSA,SNV 066 NE (CH 066),SOSTENIMIENTO</t>
  </si>
  <si>
    <t>3E5203</t>
  </si>
  <si>
    <t>PREPA,VANESSA,SNV 066 NE (CH 066),SERVICIO</t>
  </si>
  <si>
    <t>3E5204</t>
  </si>
  <si>
    <t>PREPA,VANESSA,SNV 066 NE (CH 066),REHABILITACION</t>
  </si>
  <si>
    <t>3E5221</t>
  </si>
  <si>
    <t>PREPA,VANESSA,SNV 040 SW (EST 140  S),SUMINISTROS</t>
  </si>
  <si>
    <t>3E5222</t>
  </si>
  <si>
    <t>PREPA,VANESSA,SNV 040 SW (EST 140  S),SOSTENIMIENTO</t>
  </si>
  <si>
    <t>3E5223</t>
  </si>
  <si>
    <t>PREPA,VANESSA,SNV 040 SW (EST 140  S),SERVICIO</t>
  </si>
  <si>
    <t>3E5224</t>
  </si>
  <si>
    <t>PREPA,VANESSA,SNV 040 SW (EST 140  S),REHABILITACION</t>
  </si>
  <si>
    <t>3E5261</t>
  </si>
  <si>
    <t>PREPA,VANESSA,SNV 045 SW (TJ 045 SW),SUMINISTROS</t>
  </si>
  <si>
    <t>3E5262</t>
  </si>
  <si>
    <t>PREPA,VANESSA,SNV 045 SW (TJ 045 SW),SOSTENIMIENTO</t>
  </si>
  <si>
    <t>3E5263</t>
  </si>
  <si>
    <t>PREPA,VANESSA,SNV 045 SW (TJ 045 SW),SERVICIO</t>
  </si>
  <si>
    <t>3E5264</t>
  </si>
  <si>
    <t>PREPA,VANESSA,SNV 045 SW (TJ 045 SW),REHABILITACION</t>
  </si>
  <si>
    <t>3E52BL</t>
  </si>
  <si>
    <t>PREPAR,VANESSA,Snv 870 SW (Est 868 SE),LIMPIEZA</t>
  </si>
  <si>
    <t>3E52BO</t>
  </si>
  <si>
    <t>PREPAR,VANESSA,Snv 870 SW (Est 868 SE),SERVICIO</t>
  </si>
  <si>
    <t>3E52BP</t>
  </si>
  <si>
    <t>PREPAR,VANESSA,Snv 870 SW (Est 868 SE),PERFORACION</t>
  </si>
  <si>
    <t>3E52BS</t>
  </si>
  <si>
    <t>PREPAR,VANESSA,Snv 870 SW (Est 868 SE),SOSTENIMIENTO</t>
  </si>
  <si>
    <t>3E52BV</t>
  </si>
  <si>
    <t>PREPAR,VANESSA,Snv 870 SW (Est 868 SE),VOLADURA</t>
  </si>
  <si>
    <t>3E52CL</t>
  </si>
  <si>
    <t>PREPAR,VANESSA,Snv 870 NE (Est 868 SE),LIMPIEZA</t>
  </si>
  <si>
    <t>3E52CO</t>
  </si>
  <si>
    <t>PREPAR,VANESSA,Snv 870 NE (Est 868 SE),SERVICIO</t>
  </si>
  <si>
    <t>3E52CP</t>
  </si>
  <si>
    <t>PREPAR,VANESSA,Snv 870 NE (Est 868 SE),PERFORACION</t>
  </si>
  <si>
    <t>3E52CS</t>
  </si>
  <si>
    <t>PREPAR,VANESSA,Snv 870 NE (Est 868 SE),SOSTENIMIENTO</t>
  </si>
  <si>
    <t>3E52CV</t>
  </si>
  <si>
    <t>PREPAR,VANESSA,Snv 870 NE (Est 868 SE),VOLADURA</t>
  </si>
  <si>
    <t>3E52EL</t>
  </si>
  <si>
    <t>PREPAR,VANESSA,Snv 085 SW (Est 868 SE),LIMPIEZA</t>
  </si>
  <si>
    <t>3E52EO</t>
  </si>
  <si>
    <t>PREPAR,VANESSA,Snv 085 SW (Est 868 SE),SERVICIO</t>
  </si>
  <si>
    <t>3E52EP</t>
  </si>
  <si>
    <t>PREPAR,VANESSA,Snv 085 SW (Est 868 SE),PERFORACION</t>
  </si>
  <si>
    <t>3E52ES</t>
  </si>
  <si>
    <t>PREPAR,VANESSA,Snv 085 SW (Est 868 SE),SOSTENIMIENTO</t>
  </si>
  <si>
    <t>3E52EV</t>
  </si>
  <si>
    <t>PREPAR,VANESSA,Snv 085 SW (Est 868 SE),VOLADURA</t>
  </si>
  <si>
    <t>3E52FL</t>
  </si>
  <si>
    <t>PREPAR,VANESSA,Snv 085 NE (Est 868 SE),LIMPIEZA</t>
  </si>
  <si>
    <t>3E52FO</t>
  </si>
  <si>
    <t>PREPAR,VANESSA,Snv 085 NE (Est 868 SE),SERVICIO</t>
  </si>
  <si>
    <t>3E52FP</t>
  </si>
  <si>
    <t>PREPAR,VANESSA,Snv 085 NE (Est 868 SE),PERFORACION</t>
  </si>
  <si>
    <t>3E52FS</t>
  </si>
  <si>
    <t>PREPAR,VANESSA,Snv 085 NE (Est 868 SE),SOSTENIMIENTO</t>
  </si>
  <si>
    <t>3E52FV</t>
  </si>
  <si>
    <t>PREPAR,VANESSA,Snv 085 NE (Est 868 SE),VOLADURA</t>
  </si>
  <si>
    <t>3E52GL</t>
  </si>
  <si>
    <t>PREPAR,VANESSA,Snv 094 NE (Tj 036 SW),LIMPIEZA</t>
  </si>
  <si>
    <t>3E52GO</t>
  </si>
  <si>
    <t>PREPAR,VANESSA,Snv 094 NE (Tj 036 SW),SERVICIO</t>
  </si>
  <si>
    <t>3E52GP</t>
  </si>
  <si>
    <t>PREPAR,VANESSA,Snv 094 NE (Tj 036 SW),PERFORACION</t>
  </si>
  <si>
    <t>3E52GS</t>
  </si>
  <si>
    <t>PREPAR,VANESSA,Snv 094 NE (Tj 036 SW),SOSTENIMIENTO</t>
  </si>
  <si>
    <t>3E52GV</t>
  </si>
  <si>
    <t>PREPAR,VANESSA,Snv 094 NE (Tj 036 SW),VOLADURA</t>
  </si>
  <si>
    <t>3E52HL</t>
  </si>
  <si>
    <t>PREPAR,VANESSA,Snv 072 SW (Est 072 NW),LIMPIEZA</t>
  </si>
  <si>
    <t>3E52HO</t>
  </si>
  <si>
    <t>PREPAR,VANESSA,Snv 072 SW (Est 072 NW),SERVICIO</t>
  </si>
  <si>
    <t>3E52HP</t>
  </si>
  <si>
    <t>PREPAR,VANESSA,Snv 072 SW (Est 072 NW),PERFORACION</t>
  </si>
  <si>
    <t>3E52HS</t>
  </si>
  <si>
    <t>PREPAR,VANESSA,Snv 072 SW (Est 072 NW),SOSTENIMIENTO</t>
  </si>
  <si>
    <t>3E52HV</t>
  </si>
  <si>
    <t>PREPAR,VANESSA,Snv 072 SW (Est 072 NW),VOLADURA</t>
  </si>
  <si>
    <t>3E52IL</t>
  </si>
  <si>
    <t>PREPAR,VANESSA,Snv 072 SW (Ch 064),LIMPIEZA</t>
  </si>
  <si>
    <t>3E52IO</t>
  </si>
  <si>
    <t>PREPAR,VANESSA,Snv 072 SW (Ch 064),SERVICIO</t>
  </si>
  <si>
    <t>3E52IP</t>
  </si>
  <si>
    <t>PREPAR,VANESSA,Snv 072 SW (Ch 064),PERFORACION</t>
  </si>
  <si>
    <t>3E52IS</t>
  </si>
  <si>
    <t>PREPAR,VANESSA,Snv 072 SW (Ch 064),SOSTENIMIENTO</t>
  </si>
  <si>
    <t>3E52IV</t>
  </si>
  <si>
    <t>PREPAR,VANESSA,Snv 072 SW (Ch 064),VOLADURA</t>
  </si>
  <si>
    <t>3E52JL</t>
  </si>
  <si>
    <t>PREPAR,VANESSA,Snv 868 SW (Est 868 SE),LIMPIEZA</t>
  </si>
  <si>
    <t>3E52JO</t>
  </si>
  <si>
    <t>PREPAR,VANESSA,Snv 868 SW (Est 868 SE),SERVICIO</t>
  </si>
  <si>
    <t>3E52JP</t>
  </si>
  <si>
    <t>PREPAR,VANESSA,Snv 868 SW (Est 868 SE),PERFORACION</t>
  </si>
  <si>
    <t>3E52JS</t>
  </si>
  <si>
    <t>PREPAR,VANESSA,Snv 868 SW (Est 868 SE),SOSTENIMIENTO</t>
  </si>
  <si>
    <t>3E52JV</t>
  </si>
  <si>
    <t>PREPAR,VANESSA,Snv 868 SW (Est 868 SE),VOLADURA</t>
  </si>
  <si>
    <t>3E52KL</t>
  </si>
  <si>
    <t>PREPAR,VANESSA,Snv 868 NE (Est 868 SE),LIMPIEZA</t>
  </si>
  <si>
    <t>3E52KO</t>
  </si>
  <si>
    <t>PREPAR,VANESSA,Snv 868 NE (Est 868 SE),SERVICIO</t>
  </si>
  <si>
    <t>3E52KP</t>
  </si>
  <si>
    <t>PREPAR,VANESSA,Snv 868 NE (Est 868 SE),PERFORACION</t>
  </si>
  <si>
    <t>3E52KS</t>
  </si>
  <si>
    <t>PREPAR,VANESSA,Snv 868 NE (Est 868 SE),SOSTENIMIENTO</t>
  </si>
  <si>
    <t>3E52KV</t>
  </si>
  <si>
    <t>PREPAR,VANESSA,Snv 868 NE (Est 868 SE),VOLADURA</t>
  </si>
  <si>
    <t>3E52PL</t>
  </si>
  <si>
    <t>PREPAR,VANESSA,Snv 098 NE (Ch 066),LIMPIEZA</t>
  </si>
  <si>
    <t>3E52PO</t>
  </si>
  <si>
    <t>PREPAR,VANESSA,Snv 098 NE (Ch 066),SERVICIO</t>
  </si>
  <si>
    <t>3E52PP</t>
  </si>
  <si>
    <t>PREPAR,VANESSA,Snv 098 NE (Ch 066),PERFORACION</t>
  </si>
  <si>
    <t>3E52PS</t>
  </si>
  <si>
    <t>PREPAR,VANESSA,Snv 098 NE (Ch 066),SOSTENIMIENTO</t>
  </si>
  <si>
    <t>3E52PV</t>
  </si>
  <si>
    <t>PREPAR,VANESSA,Snv 098 NE (Ch 066),VOLADURA</t>
  </si>
  <si>
    <t>3E52RL</t>
  </si>
  <si>
    <t>PREPAR,VANESSA,Snv 842 SW (Est 847 SW),LIMPIEZA</t>
  </si>
  <si>
    <t>3E52RO</t>
  </si>
  <si>
    <t>PREPAR,VANESSA,Snv 842 SW (Est 847 SW),SERVICIO</t>
  </si>
  <si>
    <t>3E52RP</t>
  </si>
  <si>
    <t>PREPAR,VANESSA,Snv 842 SW (Est 847 SW),PERFORACION</t>
  </si>
  <si>
    <t>3E52RS</t>
  </si>
  <si>
    <t>PREPAR,VANESSA,Snv 842 SW (Est 847 SW),SOSTENIMIENTO</t>
  </si>
  <si>
    <t>3E52RV</t>
  </si>
  <si>
    <t>PREPAR,VANESSA,Snv 842 SW (Est 847 SW),VOLADURA</t>
  </si>
  <si>
    <t>3E52TL</t>
  </si>
  <si>
    <t>PREPAR,VANESSA,Snv 053 NE (Tj 057 SW),LIMPIEZA</t>
  </si>
  <si>
    <t>3E52TO</t>
  </si>
  <si>
    <t>PREPAR,VANESSA,Snv 053 NE (Tj 057 SW),SERVICIO</t>
  </si>
  <si>
    <t>3E52TP</t>
  </si>
  <si>
    <t>PREPAR,VANESSA,Snv 053 NE (Tj 057 SW),PERFORACION</t>
  </si>
  <si>
    <t>3E52TS</t>
  </si>
  <si>
    <t>PREPAR,VANESSA,Snv 053 NE (Tj 057 SW),SOSTENIMIENTO</t>
  </si>
  <si>
    <t>3E52TV</t>
  </si>
  <si>
    <t>PREPAR,VANESSA,Snv 053 NE (Tj 057 SW),VOLADURA</t>
  </si>
  <si>
    <t>3E52VL</t>
  </si>
  <si>
    <t>PREPAR,VANESSA,Snv 030 NE (Est 075-4 SE),LIMPIEZA</t>
  </si>
  <si>
    <t>3E52VO</t>
  </si>
  <si>
    <t>PREPAR,VANESSA,Snv 030 NE (Est 075-4 SE),SERVICIO</t>
  </si>
  <si>
    <t>3E52VP</t>
  </si>
  <si>
    <t>PREPAR,VANESSA,Snv 030 NE (Est 075-4 SE),PERFORACION</t>
  </si>
  <si>
    <t>3E52VS</t>
  </si>
  <si>
    <t>PREPAR,VANESSA,Snv 030 NE (Est 075-4 SE),SOSTENIMIENTO</t>
  </si>
  <si>
    <t>3E52VV</t>
  </si>
  <si>
    <t>PREPAR,VANESSA,Snv 030 NE (Est 075-4 SE),VOLADURA</t>
  </si>
  <si>
    <t>3E52WL</t>
  </si>
  <si>
    <t>PREPAR,VANESSA,Snv 030 SW (Est 075-4 SE),LIMPIEZA</t>
  </si>
  <si>
    <t>3E52WO</t>
  </si>
  <si>
    <t>PREPAR,VANESSA,Snv 030 SW (Est 075-4 SE),SERVICIO</t>
  </si>
  <si>
    <t>3E52WP</t>
  </si>
  <si>
    <t>PREPAR,VANESSA,Snv 030 SW (Est 075-4 SE),PERFORACION</t>
  </si>
  <si>
    <t>3E52WS</t>
  </si>
  <si>
    <t>PREPAR,VANESSA,Snv 030 SW (Est 075-4 SE),SOSTENIMIENTO</t>
  </si>
  <si>
    <t>3E52WV</t>
  </si>
  <si>
    <t>PREPAR,VANESSA,Snv 030 SW (Est 075-4 SE),VOLADURA</t>
  </si>
  <si>
    <t>3E5321</t>
  </si>
  <si>
    <t>PREPA,VANESSA,SNV 090 SW (EST  075 SE),SUMINISTROS</t>
  </si>
  <si>
    <t>3E5322</t>
  </si>
  <si>
    <t>PREPA,VANESSA,SNV 090 SW (EST  075 SE),SOSTENIMIENTO</t>
  </si>
  <si>
    <t>3E5323</t>
  </si>
  <si>
    <t>PREPA,VANESSA,SNV 090 SW (EST  075 SE),SERVICIO</t>
  </si>
  <si>
    <t>3E5324</t>
  </si>
  <si>
    <t>PREPA,VANESSA,SNV 090 SW (EST  075 SE),REHABILITACION</t>
  </si>
  <si>
    <t>3E5331</t>
  </si>
  <si>
    <t>PREPA,VANESSA,SNV 090 NE (EST  075 SE),SUMINISTROS</t>
  </si>
  <si>
    <t>3E5332</t>
  </si>
  <si>
    <t>PREPA,VANESSA,SNV 090 NE (EST  075 SE),SOSTENIMIENTO</t>
  </si>
  <si>
    <t>3E5333</t>
  </si>
  <si>
    <t>PREPA,VANESSA,SNV 090 NE (EST  075 SE),SERVICIO</t>
  </si>
  <si>
    <t>3E5334</t>
  </si>
  <si>
    <t>PREPA,VANESSA,SNV 090 NE (EST  075 SE),REHABILITACION</t>
  </si>
  <si>
    <t>3E5381</t>
  </si>
  <si>
    <t>PREPA,VANESSA,SNV 110 SW (TJ 045),SUMINISTROS</t>
  </si>
  <si>
    <t>3E5382</t>
  </si>
  <si>
    <t>PREPA,VANESSA,SNV 110 SW (TJ 045),SOSTENIMIENTO</t>
  </si>
  <si>
    <t>3E5383</t>
  </si>
  <si>
    <t>PREPA,VANESSA,SNV 110 SW (TJ 045),SERVICIO</t>
  </si>
  <si>
    <t>3E5384</t>
  </si>
  <si>
    <t>PREPA,VANESSA,SNV 110 SW (TJ 045),REHABILITACION</t>
  </si>
  <si>
    <t>3E53AL</t>
  </si>
  <si>
    <t>PREPAR,VANESSA,Snv 032 NE (Est 075-4 SE),LIMPIEZA</t>
  </si>
  <si>
    <t>3E53AO</t>
  </si>
  <si>
    <t>PREPAR,VANESSA,Snv 032 NE (Est 075-4 SE),SERVICIO</t>
  </si>
  <si>
    <t>3E53AP</t>
  </si>
  <si>
    <t>PREPAR,VANESSA,Snv 032 NE (Est 075-4 SE),PERFORACION</t>
  </si>
  <si>
    <t>3E53AS</t>
  </si>
  <si>
    <t>PREPAR,VANESSA,Snv 032 NE (Est 075-4 SE),SOSTENIMIENTO</t>
  </si>
  <si>
    <t>3E53AV</t>
  </si>
  <si>
    <t>PREPAR,VANESSA,Snv 032 NE (Est 075-4 SE),VOLADURA</t>
  </si>
  <si>
    <t>3E53BL</t>
  </si>
  <si>
    <t>PREPAR,VANESSA,Snv 032 SW (Est 075-4 SE),LIMPIEZA</t>
  </si>
  <si>
    <t>3E53BO</t>
  </si>
  <si>
    <t>PREPAR,VANESSA,Snv 032 SW (Est 075-4 SE),SERVICIO</t>
  </si>
  <si>
    <t>3E53BP</t>
  </si>
  <si>
    <t>PREPAR,VANESSA,Snv 032 SW (Est 075-4 SE),PERFORACION</t>
  </si>
  <si>
    <t>3E53BS</t>
  </si>
  <si>
    <t>PREPAR,VANESSA,Snv 032 SW (Est 075-4 SE),SOSTENIMIENTO</t>
  </si>
  <si>
    <t>3E53BV</t>
  </si>
  <si>
    <t>PREPAR,VANESSA,Snv 032 SW (Est 075-4 SE),VOLADURA</t>
  </si>
  <si>
    <t>3E53CL</t>
  </si>
  <si>
    <t>PREPAR,VANESSA,Snv 026 NE (Est 075-4 SE),LIMPIEZA</t>
  </si>
  <si>
    <t>3E53CO</t>
  </si>
  <si>
    <t>PREPAR,VANESSA,Snv 026 NE (Est 075-4 SE),SERVICIO</t>
  </si>
  <si>
    <t>3E53CP</t>
  </si>
  <si>
    <t>PREPAR,VANESSA,Snv 026 NE (Est 075-4 SE),PERFORACION</t>
  </si>
  <si>
    <t>3E53CS</t>
  </si>
  <si>
    <t>PREPAR,VANESSA,Snv 026 NE (Est 075-4 SE),SOSTENIMIENTO</t>
  </si>
  <si>
    <t>3E53CV</t>
  </si>
  <si>
    <t>PREPAR,VANESSA,Snv 026 NE (Est 075-4 SE),VOLADURA</t>
  </si>
  <si>
    <t>3E53DL</t>
  </si>
  <si>
    <t>PREPAR,VANESSA,Snv 026 SW (Est 075-4 SE),LIMPIEZA</t>
  </si>
  <si>
    <t>3E53DO</t>
  </si>
  <si>
    <t>PREPAR,VANESSA,Snv 026 SW (Est 075-4 SE),SERVICIO</t>
  </si>
  <si>
    <t>3E53DP</t>
  </si>
  <si>
    <t>PREPAR,VANESSA,Snv 026 SW (Est 075-4 SE),PERFORACION</t>
  </si>
  <si>
    <t>3E53DS</t>
  </si>
  <si>
    <t>PREPAR,VANESSA,Snv 026 SW (Est 075-4 SE),SOSTENIMIENTO</t>
  </si>
  <si>
    <t>3E53DV</t>
  </si>
  <si>
    <t>PREPAR,VANESSA,Snv 026 SW (Est 075-4 SE),VOLADURA</t>
  </si>
  <si>
    <t>3E5441</t>
  </si>
  <si>
    <t>PREPA,VANESSA,SNV 129 NE (TJ 055 SW),SUMINISTROS</t>
  </si>
  <si>
    <t>3E5442</t>
  </si>
  <si>
    <t>PREPA,VANESSA,SNV 129 NE (TJ 055 SW),SOSTENIMIENTO</t>
  </si>
  <si>
    <t>3E5443</t>
  </si>
  <si>
    <t>PREPA,VANESSA,SNV 129 NE (TJ 055 SW),SERVICIO</t>
  </si>
  <si>
    <t>3E5444</t>
  </si>
  <si>
    <t>PREPA,VANESSA,SNV 129 NE (TJ 055 SW),REHABILITACION</t>
  </si>
  <si>
    <t>3E54FL</t>
  </si>
  <si>
    <t>PREPAR,VANESSA,Snv 031 SW (Snv 030 SW),LIMPIEZA</t>
  </si>
  <si>
    <t>3E54FO</t>
  </si>
  <si>
    <t>PREPAR,VANESSA,Snv 031 SW (Snv 030 SW),SERVICIO</t>
  </si>
  <si>
    <t>3E54FP</t>
  </si>
  <si>
    <t>PREPAR,VANESSA,Snv 031 SW (Snv 030 SW),PERFORACION</t>
  </si>
  <si>
    <t>3E54FS</t>
  </si>
  <si>
    <t>PREPAR,VANESSA,Snv 031 SW (Snv 030 SW),SOSTENIMIENTO</t>
  </si>
  <si>
    <t>3E54FV</t>
  </si>
  <si>
    <t>PREPAR,VANESSA,Snv 031 SW (Snv 030 SW),VOLADURA</t>
  </si>
  <si>
    <t>3E54OL</t>
  </si>
  <si>
    <t>PREPAR,VANESSA,Snv 842 NE (Est 847 SW),LIMPIEZA</t>
  </si>
  <si>
    <t>3E54OO</t>
  </si>
  <si>
    <t>PREPAR,VANESSA,Snv 842 NE (Est 847 SW),SERVICIO</t>
  </si>
  <si>
    <t>3E54OP</t>
  </si>
  <si>
    <t>PREPAR,VANESSA,Snv 842 NE (Est 847 SW),PERFORACION</t>
  </si>
  <si>
    <t>3E54OS</t>
  </si>
  <si>
    <t>PREPAR,VANESSA,Snv 842 NE (Est 847 SW),SOSTENIMIENTO</t>
  </si>
  <si>
    <t>3E54OV</t>
  </si>
  <si>
    <t>PREPAR,VANESSA,Snv 842 NE (Est 847 SW),VOLADURA</t>
  </si>
  <si>
    <t>3E54SL</t>
  </si>
  <si>
    <t>PREPAR,VANESSA,Snv 010 NE (Inc 870 SW),LIMPIEZA</t>
  </si>
  <si>
    <t>3E54SO</t>
  </si>
  <si>
    <t>PREPAR,VANESSA,Snv 010 NE (Inc 870 SW),SERVICIO</t>
  </si>
  <si>
    <t>3E54SP</t>
  </si>
  <si>
    <t>PREPAR,VANESSA,Snv 010 NE (Inc 870 SW),PERFORACION</t>
  </si>
  <si>
    <t>3E54SS</t>
  </si>
  <si>
    <t>PREPAR,VANESSA,Snv 010 NE (Inc 870 SW),SOSTENIMIENTO</t>
  </si>
  <si>
    <t>3E54SV</t>
  </si>
  <si>
    <t>PREPAR,VANESSA,Snv 010 NE (Inc 870 SW),VOLADURA</t>
  </si>
  <si>
    <t>3E54TL</t>
  </si>
  <si>
    <t>PREPAR,VANESSA,Snv 037 SW (Ch 091),LIMPIEZA</t>
  </si>
  <si>
    <t>3E54TO</t>
  </si>
  <si>
    <t>PREPAR,VANESSA,Snv 037 SW (Ch 091),SERVICIO</t>
  </si>
  <si>
    <t>3E54TP</t>
  </si>
  <si>
    <t>PREPAR,VANESSA,Snv 037 SW (Ch 091),PERFORACION</t>
  </si>
  <si>
    <t>3E54TS</t>
  </si>
  <si>
    <t>PREPAR,VANESSA,Snv 037 SW (Ch 091),SOSTENIMIENTO</t>
  </si>
  <si>
    <t>3E54TV</t>
  </si>
  <si>
    <t>PREPAR,VANESSA,Snv 037 SW (Ch 091),VOLADURA</t>
  </si>
  <si>
    <t>3E54WL</t>
  </si>
  <si>
    <t>PREPAR,VANESSA,Snv 830 SW (Tj 063 SW),LIMPIEZA</t>
  </si>
  <si>
    <t>3E54WO</t>
  </si>
  <si>
    <t>PREPAR,VANESSA,Snv 830 SW (Tj 063 SW),SERVICIO</t>
  </si>
  <si>
    <t>3E54WP</t>
  </si>
  <si>
    <t>PREPAR,VANESSA,Snv 830 SW (Tj 063 SW),PERFORACION</t>
  </si>
  <si>
    <t>3E54WS</t>
  </si>
  <si>
    <t>PREPAR,VANESSA,Snv 830 SW (Tj 063 SW),SOSTENIMIENTO</t>
  </si>
  <si>
    <t>3E54WV</t>
  </si>
  <si>
    <t>PREPAR,VANESSA,Snv 830 SW (Tj 063 SW),VOLADURA</t>
  </si>
  <si>
    <t>3E54XL</t>
  </si>
  <si>
    <t>PREPAR,VANESSA,Snv 020 SW (Inc 870 SW),LIMPIEZA</t>
  </si>
  <si>
    <t>3E54XO</t>
  </si>
  <si>
    <t>PREPAR,VANESSA,Snv 020 SW (Inc 870 SW),SERVICIO</t>
  </si>
  <si>
    <t>3E54XP</t>
  </si>
  <si>
    <t>PREPAR,VANESSA,Snv 020 SW (Inc 870 SW),PERFORACION</t>
  </si>
  <si>
    <t>3E54XS</t>
  </si>
  <si>
    <t>PREPAR,VANESSA,Snv 020 SW (Inc 870 SW),SOSTENIMIENTO</t>
  </si>
  <si>
    <t>3E54XV</t>
  </si>
  <si>
    <t>PREPAR,VANESSA,Snv 020 SW (Inc 870 SW),VOLADURA</t>
  </si>
  <si>
    <t>3E54YL</t>
  </si>
  <si>
    <t>PREPAR,VANESSA,Snv 020 NE (Inc 870 SW),LIMPIEZA</t>
  </si>
  <si>
    <t>3E54YO</t>
  </si>
  <si>
    <t>PREPAR,VANESSA,Snv 020 NE (Inc 870 SW),SERVICIO</t>
  </si>
  <si>
    <t>3E54YP</t>
  </si>
  <si>
    <t>PREPAR,VANESSA,Snv 020 NE (Inc 870 SW),PERFORACION</t>
  </si>
  <si>
    <t>3E54YS</t>
  </si>
  <si>
    <t>PREPAR,VANESSA,Snv 020 NE (Inc 870 SW),SOSTENIMIENTO</t>
  </si>
  <si>
    <t>3E54YV</t>
  </si>
  <si>
    <t>PREPAR,VANESSA,Snv 020 NE (Inc 870 SW),VOLADURA</t>
  </si>
  <si>
    <t>3E54ZL</t>
  </si>
  <si>
    <t>PREPAR,VANESSA,Snv 830 NE (Tj 063 SW),LIMPIEZA</t>
  </si>
  <si>
    <t>3E54ZO</t>
  </si>
  <si>
    <t>PREPAR,VANESSA,Snv 830 NE (Tj 063 SW),SERVICIO</t>
  </si>
  <si>
    <t>3E54ZP</t>
  </si>
  <si>
    <t>PREPAR,VANESSA,Snv 830 NE (Tj 063 SW),PERFORACION</t>
  </si>
  <si>
    <t>3E54ZS</t>
  </si>
  <si>
    <t>PREPAR,VANESSA,Snv 830 NE (Tj 063 SW),SOSTENIMIENTO</t>
  </si>
  <si>
    <t>3E54ZV</t>
  </si>
  <si>
    <t>PREPAR,VANESSA,Snv 830 NE (Tj 063 SW),VOLADURA</t>
  </si>
  <si>
    <t>3E5561</t>
  </si>
  <si>
    <t>PREPA,VANESSA,Snv 158 NE (Ch 044),SUMINISTROS</t>
  </si>
  <si>
    <t>3E5562</t>
  </si>
  <si>
    <t>PREPA,VANESSA,Snv 158 NE (Ch 044),SOSTENIMIENTO</t>
  </si>
  <si>
    <t>3E5563</t>
  </si>
  <si>
    <t>PREPA,VANESSA,Snv 158 NE (Ch 044),SERVICIO</t>
  </si>
  <si>
    <t>3E5564</t>
  </si>
  <si>
    <t>PREPA,VANESSA,Snv 158 NE (Ch 044),REHABILITACION</t>
  </si>
  <si>
    <t>3E5591</t>
  </si>
  <si>
    <t>PREPA,VANESSA,Snv 112 NE (Tj 066 NE),SUMINISTROS</t>
  </si>
  <si>
    <t>3E5592</t>
  </si>
  <si>
    <t>PREPA,VANESSA,Snv 112 NE (Tj 066 NE),SOSTENIMIENTO</t>
  </si>
  <si>
    <t>3E5593</t>
  </si>
  <si>
    <t>PREPA,VANESSA,Snv 112 NE (Tj 066 NE),SERVICIO</t>
  </si>
  <si>
    <t>3E5594</t>
  </si>
  <si>
    <t>PREPA,VANESSA,Snv 112 NE (Tj 066 NE),REHABILITACION</t>
  </si>
  <si>
    <t>3E55AL</t>
  </si>
  <si>
    <t>3E55AO</t>
  </si>
  <si>
    <t>3E55AP</t>
  </si>
  <si>
    <t>3E55AS</t>
  </si>
  <si>
    <t>3E55AV</t>
  </si>
  <si>
    <t>3E55FL</t>
  </si>
  <si>
    <t>PREPAR,VANESSA,Snv 010 SW (Inc 870 SW),LIMPIEZA</t>
  </si>
  <si>
    <t>3E55FO</t>
  </si>
  <si>
    <t>PREPAR,VANESSA,Snv 010 SW (Inc 870 SW),SERVICIO</t>
  </si>
  <si>
    <t>3E55FP</t>
  </si>
  <si>
    <t>PREPAR,VANESSA,Snv 010 SW (Inc 870 SW),PERFORACION</t>
  </si>
  <si>
    <t>3E55FS</t>
  </si>
  <si>
    <t>PREPAR,VANESSA,Snv 010 SW (Inc 870 SW),SOSTENIMIENTO</t>
  </si>
  <si>
    <t>3E55FV</t>
  </si>
  <si>
    <t>PREPAR,VANESSA,Snv 010 SW (Inc 870 SW),VOLADURA</t>
  </si>
  <si>
    <t>3E55HL</t>
  </si>
  <si>
    <t>PREPAR,VANESSA,Snv 042 SW (Tj 037 SW,LIMPIEZA</t>
  </si>
  <si>
    <t>3E55HO</t>
  </si>
  <si>
    <t>PREPAR,VANESSA,Snv 042 SW (Tj 037 SW,SERVICIO</t>
  </si>
  <si>
    <t>3E55HP</t>
  </si>
  <si>
    <t>PREPAR,VANESSA,Snv 042 SW (Tj 037 SW,PERFORACION</t>
  </si>
  <si>
    <t>3E55HS</t>
  </si>
  <si>
    <t>PREPAR,VANESSA,Snv 042 SW (Tj 037 SW,SOSTENIMIENTO</t>
  </si>
  <si>
    <t>3E55HV</t>
  </si>
  <si>
    <t>PREPAR,VANESSA,Snv 042 SW (Tj 037 SW,VOLADURA</t>
  </si>
  <si>
    <t>3E55IL</t>
  </si>
  <si>
    <t>PREPAR,VANESSA,Snv 868 NE (Snv 868 SW),LIMPIEZA</t>
  </si>
  <si>
    <t>3E55IO</t>
  </si>
  <si>
    <t>PREPAR,VANESSA,Snv 868 NE (Snv 868 SW),SERVICIO</t>
  </si>
  <si>
    <t>3E55IP</t>
  </si>
  <si>
    <t>PREPAR,VANESSA,Snv 868 NE (Snv 868 SW),PERFORACION</t>
  </si>
  <si>
    <t>3E55IS</t>
  </si>
  <si>
    <t>PREPAR,VANESSA,Snv 868 NE (Snv 868 SW),SOSTENIMIENTO</t>
  </si>
  <si>
    <t>3E55IV</t>
  </si>
  <si>
    <t>PREPAR,VANESSA,Snv 868 NE (Snv 868 SW),VOLADURA</t>
  </si>
  <si>
    <t>3E55JL</t>
  </si>
  <si>
    <t>PREPAR,VANESSA,Snv 846 SW (Tj 061 SW),LIMPIEZA</t>
  </si>
  <si>
    <t>3E55JO</t>
  </si>
  <si>
    <t>PREPAR,VANESSA,Snv 846 SW (Tj 061 SW),SERVICIO</t>
  </si>
  <si>
    <t>3E55JP</t>
  </si>
  <si>
    <t>PREPAR,VANESSA,Snv 846 SW (Tj 061 SW),PERFORACION</t>
  </si>
  <si>
    <t>3E55JS</t>
  </si>
  <si>
    <t>PREPAR,VANESSA,Snv 846 SW (Tj 061 SW),SOSTENIMIENTO</t>
  </si>
  <si>
    <t>3E55JV</t>
  </si>
  <si>
    <t>PREPAR,VANESSA,Snv 846 SW (Tj 061 SW),VOLADURA</t>
  </si>
  <si>
    <t>3E55UL</t>
  </si>
  <si>
    <t>PREPAR,VANESSA,Snv 820 NW (Est 820 NW),LIMPIEZA</t>
  </si>
  <si>
    <t>3E55UO</t>
  </si>
  <si>
    <t>PREPAR,VANESSA,Snv 820 NW (Est 820 NW),SERVICIO</t>
  </si>
  <si>
    <t>3E55UP</t>
  </si>
  <si>
    <t>PREPAR,VANESSA,Snv 820 NW (Est 820 NW),PERFORACION</t>
  </si>
  <si>
    <t>3E55US</t>
  </si>
  <si>
    <t>PREPAR,VANESSA,Snv 820 NW (Est 820 NW),SOSTENIMIENTO</t>
  </si>
  <si>
    <t>3E55UV</t>
  </si>
  <si>
    <t>PREPAR,VANESSA,Snv 820 NW (Est 820 NW),VOLADURA</t>
  </si>
  <si>
    <t>3E55VL</t>
  </si>
  <si>
    <t>PREPAR,VANESSA,Snv 048 SW (Tj 042 SW),LIMPIEZA</t>
  </si>
  <si>
    <t>3E55VO</t>
  </si>
  <si>
    <t>PREPAR,VANESSA,Snv 048 SW (Tj 042 SW),SERVICIO</t>
  </si>
  <si>
    <t>3E55VP</t>
  </si>
  <si>
    <t>PREPAR,VANESSA,Snv 048 SW (Tj 042 SW),PERFORACION</t>
  </si>
  <si>
    <t>3E55VS</t>
  </si>
  <si>
    <t>PREPAR,VANESSA,Snv 048 SW (Tj 042 SW),SOSTENIMIENTO</t>
  </si>
  <si>
    <t>3E55VV</t>
  </si>
  <si>
    <t>PREPAR,VANESSA,Snv 048 SW (Tj 042 SW),VOLADURA</t>
  </si>
  <si>
    <t>3E55WL</t>
  </si>
  <si>
    <t>PREPAR,VANESSA,Snv 820 SW (Est 820 NW),LIMPIEZA</t>
  </si>
  <si>
    <t>3E55WO</t>
  </si>
  <si>
    <t>PREPAR,VANESSA,Snv 820 SW (Est 820 NW),SERVICIO</t>
  </si>
  <si>
    <t>3E55WP</t>
  </si>
  <si>
    <t>PREPAR,VANESSA,Snv 820 SW (Est 820 NW),PERFORACION</t>
  </si>
  <si>
    <t>3E55WS</t>
  </si>
  <si>
    <t>PREPAR,VANESSA,Snv 820 SW (Est 820 NW),SOSTENIMIENTO</t>
  </si>
  <si>
    <t>3E55WV</t>
  </si>
  <si>
    <t>PREPAR,VANESSA,Snv 820 SW (Est 820 NW),VOLADURA</t>
  </si>
  <si>
    <t>3E55XL</t>
  </si>
  <si>
    <t>PREPAR,VANESSA,Snv 820 NE (Est 820 NW),LIMPIEZA</t>
  </si>
  <si>
    <t>3E55XO</t>
  </si>
  <si>
    <t>PREPAR,VANESSA,Snv 820 NE (Est 820 NW),SERVICIO</t>
  </si>
  <si>
    <t>3E55XP</t>
  </si>
  <si>
    <t>PREPAR,VANESSA,Snv 820 NE (Est 820 NW),PERFORACION</t>
  </si>
  <si>
    <t>3E55XS</t>
  </si>
  <si>
    <t>PREPAR,VANESSA,Snv 820 NE (Est 820 NW),SOSTENIMIENTO</t>
  </si>
  <si>
    <t>3E55XV</t>
  </si>
  <si>
    <t>PREPAR,VANESSA,Snv 820 NE (Est 820 NW),VOLADURA</t>
  </si>
  <si>
    <t>3E55YL</t>
  </si>
  <si>
    <t>PREPAR,VANESSA,Snv  025  SW (Ch 835),LIMPIEZA</t>
  </si>
  <si>
    <t>3E55YO</t>
  </si>
  <si>
    <t>PREPAR,VANESSA,Snv  025  SW (Ch 835),SERVICIO</t>
  </si>
  <si>
    <t>3E55YP</t>
  </si>
  <si>
    <t>PREPAR,VANESSA,Snv  025  SW (Ch 835),PERFORACION</t>
  </si>
  <si>
    <t>3E55YS</t>
  </si>
  <si>
    <t>PREPAR,VANESSA,Snv  025  SW (Ch 835),SOSTENIMIENTO</t>
  </si>
  <si>
    <t>3E55YV</t>
  </si>
  <si>
    <t>PREPAR,VANESSA,Snv  025  SW (Ch 835),VOLADURA</t>
  </si>
  <si>
    <t>3E5661</t>
  </si>
  <si>
    <t>PREPA,VANESSA,Snv 128 SW (Tj 117 SW),SUMINISTROS</t>
  </si>
  <si>
    <t>3E5662</t>
  </si>
  <si>
    <t>PREPA,VANESSA,Snv 128 SW (Tj 117 SW),SOSTENIMIENTO</t>
  </si>
  <si>
    <t>3E5663</t>
  </si>
  <si>
    <t>PREPA,VANESSA,Snv 128 SW (Tj 117 SW),SERVICIO</t>
  </si>
  <si>
    <t>3E5664</t>
  </si>
  <si>
    <t>PREPA,VANESSA,Snv 128 SW (Tj 117 SW),REHABILITACION</t>
  </si>
  <si>
    <t>3E5681</t>
  </si>
  <si>
    <t>PREPA,VANESSA,Snv 118 NE (Ch 086),SUMINISTROS</t>
  </si>
  <si>
    <t>3E5682</t>
  </si>
  <si>
    <t>PREPA,VANESSA,Snv 118 NE (Ch 086),SOSTENIMIENTO</t>
  </si>
  <si>
    <t>3E5683</t>
  </si>
  <si>
    <t>PREPA,VANESSA,Snv 118 NE (Ch 086),SERVICIO</t>
  </si>
  <si>
    <t>3E5684</t>
  </si>
  <si>
    <t>PREPA,VANESSA,Snv 118 NE (Ch 086),REHABILITACION</t>
  </si>
  <si>
    <t>3E5691</t>
  </si>
  <si>
    <t>PREPA,VANESSA,Snv 118 SW (Ch 086),SUMINISTROS</t>
  </si>
  <si>
    <t>3E5692</t>
  </si>
  <si>
    <t>PREPA,VANESSA,Snv 118 SW (Ch 086),SOSTENIMIENTO</t>
  </si>
  <si>
    <t>3E5693</t>
  </si>
  <si>
    <t>PREPA,VANESSA,Snv 118 SW (Ch 086),SERVICIO</t>
  </si>
  <si>
    <t>3E5694</t>
  </si>
  <si>
    <t>PREPA,VANESSA,Snv 118 SW (Ch 086),REHABILITACION</t>
  </si>
  <si>
    <t>3E56FL</t>
  </si>
  <si>
    <t>PREPAR,VANESSA,Snv 084 SW (Tj 077 NE) ,LIMPIEZA</t>
  </si>
  <si>
    <t>3E56FO</t>
  </si>
  <si>
    <t>PREPAR,VANESSA,Snv 084 SW (Tj 077 NE) ,SERVICIO</t>
  </si>
  <si>
    <t>3E56FP</t>
  </si>
  <si>
    <t>PREPAR,VANESSA,Snv 084 SW (Tj 077 NE) ,PERFORACION</t>
  </si>
  <si>
    <t>3E56FS</t>
  </si>
  <si>
    <t>PREPAR,VANESSA,Snv 084 SW (Tj 077 NE) ,SOSTENIMIENTO</t>
  </si>
  <si>
    <t>3E56FV</t>
  </si>
  <si>
    <t>PREPAR,VANESSA,Snv 084 SW (Tj 077 NE) ,VOLADURA</t>
  </si>
  <si>
    <t>3E5701</t>
  </si>
  <si>
    <t>PREPA,VANESSA,Snv 145 NE (Tj 127 NE),SUMINISTROS</t>
  </si>
  <si>
    <t>3E5702</t>
  </si>
  <si>
    <t>PREPA,VANESSA,Snv 145 NE (Tj 127 NE),SOSTENIMIENTO</t>
  </si>
  <si>
    <t>3E5703</t>
  </si>
  <si>
    <t>PREPA,VANESSA,Snv 145 NE (Tj 127 NE),SERVICIO</t>
  </si>
  <si>
    <t>3E5704</t>
  </si>
  <si>
    <t>PREPA,VANESSA,Snv 145 NE (Tj 127 NE),REHABILITACION</t>
  </si>
  <si>
    <t>3E5741</t>
  </si>
  <si>
    <t>PREPA,VANESSA,Snv 088 NE (Est 075-2 SE),SUMINISTROS</t>
  </si>
  <si>
    <t>3E5742</t>
  </si>
  <si>
    <t>PREPA,VANESSA,Snv 088 NE (Est 075-2 SE),SOSTENIMIENTO</t>
  </si>
  <si>
    <t>3E5743</t>
  </si>
  <si>
    <t>PREPA,VANESSA,Snv 088 NE (Est 075-2 SE),SERVICIO</t>
  </si>
  <si>
    <t>3E5744</t>
  </si>
  <si>
    <t>PREPA,VANESSA,Snv 088 NE (Est 075-2 SE),REHABILITACION</t>
  </si>
  <si>
    <t>3E5751</t>
  </si>
  <si>
    <t>PREPA,VANESSA,Snv 088 SW (Est 075-2 SE),SUMINISTROS</t>
  </si>
  <si>
    <t>3E5752</t>
  </si>
  <si>
    <t>PREPA,VANESSA,Snv 088 SW (Est 075-2 SE),SOSTENIMIENTO</t>
  </si>
  <si>
    <t>3E5753</t>
  </si>
  <si>
    <t>PREPA,VANESSA,Snv 088 SW (Est 075-2 SE),SERVICIO</t>
  </si>
  <si>
    <t>3E5754</t>
  </si>
  <si>
    <t>PREPA,VANESSA,Snv 088 SW (Est 075-2 SE),REHABILITACION</t>
  </si>
  <si>
    <t>3E5771</t>
  </si>
  <si>
    <t>PREPA,VANESSA,Snv 095 SW (Ch 066),SUMINISTROS</t>
  </si>
  <si>
    <t>3E5772</t>
  </si>
  <si>
    <t>PREPA,VANESSA,Snv 095 SW (Ch 066),SOSTENIMIENTO</t>
  </si>
  <si>
    <t>3E5773</t>
  </si>
  <si>
    <t>PREPA,VANESSA,Snv 095 SW (Ch 066),SERVICIO</t>
  </si>
  <si>
    <t>3E5774</t>
  </si>
  <si>
    <t>PREPA,VANESSA,Snv 095 SW (Ch 066),REHABILITACION</t>
  </si>
  <si>
    <t>3E5791</t>
  </si>
  <si>
    <t>PREPA,VANESSA,Snv 150 NE (TJ 065 NE),SUMINISTROS</t>
  </si>
  <si>
    <t>3E5792</t>
  </si>
  <si>
    <t>PREPA,VANESSA,Snv 150 NE (TJ 065 NE),SOSTENIMIENTO</t>
  </si>
  <si>
    <t>3E5793</t>
  </si>
  <si>
    <t>PREPA,VANESSA,Snv 150 NE (TJ 065 NE),SERVICIO</t>
  </si>
  <si>
    <t>3E5794</t>
  </si>
  <si>
    <t>PREPA,VANESSA,Snv 150 NE (TJ 065 NE),REHABILITACION</t>
  </si>
  <si>
    <t>3E5881</t>
  </si>
  <si>
    <t>PREPA,VANESSA,Snv 072 NE (Tj 097 NE),SUMINISTROS</t>
  </si>
  <si>
    <t>3E5882</t>
  </si>
  <si>
    <t>PREPA,VANESSA,Snv 072 NE (Tj 097 NE),SOSTENIMIENTO</t>
  </si>
  <si>
    <t>3E5883</t>
  </si>
  <si>
    <t>PREPA,VANESSA,Snv 072 NE (Tj 097 NE),SERVICIO</t>
  </si>
  <si>
    <t>3E5884</t>
  </si>
  <si>
    <t>PREPA,VANESSA,Snv 072 NE (Tj 097 NE),REHABILITACION</t>
  </si>
  <si>
    <t>3E5911</t>
  </si>
  <si>
    <t>PREPA,VANESSA,Snv 074 SW (TJ 071 SW),SUMINISTROS</t>
  </si>
  <si>
    <t>3E5912</t>
  </si>
  <si>
    <t>PREPA,VANESSA,Snv 074 SW (TJ 071 SW),SOSTENIMIENTO</t>
  </si>
  <si>
    <t>3E5913</t>
  </si>
  <si>
    <t>PREPA,VANESSA,Snv 074 SW (TJ 071 SW),SERVICIO</t>
  </si>
  <si>
    <t>3E5914</t>
  </si>
  <si>
    <t>PREPA,VANESSA,Snv 074 SW (TJ 071 SW),REHABILITACION</t>
  </si>
  <si>
    <t>3E6291</t>
  </si>
  <si>
    <t>PREPA,VANESSA,EST 140 S (SNV 140 SW),SUMINISTROS</t>
  </si>
  <si>
    <t>3E6292</t>
  </si>
  <si>
    <t>PREPA,VANESSA,EST 140 S (SNV 140 SW),SOSTENIMIENTO</t>
  </si>
  <si>
    <t>3E6293</t>
  </si>
  <si>
    <t>PREPA,VANESSA,EST 140 S (SNV 140 SW),SERVICIO</t>
  </si>
  <si>
    <t>3E6294</t>
  </si>
  <si>
    <t>PREPA,VANESSA,EST 140 S (SNV 140 SW),REHABILITACION</t>
  </si>
  <si>
    <t>3E937L</t>
  </si>
  <si>
    <t>PREPAR,VANESSA,Ven 032 (Tj 077 NE),LIMPIEZA</t>
  </si>
  <si>
    <t>3E937O</t>
  </si>
  <si>
    <t>PREPAR,VANESSA,Ven 032 (Tj 077 NE),SERVICIO</t>
  </si>
  <si>
    <t>3E937P</t>
  </si>
  <si>
    <t>PREPAR,VANESSA,Ven 032 (Tj 077 NE),PERFORACION</t>
  </si>
  <si>
    <t>3E937S</t>
  </si>
  <si>
    <t>PREPAR,VANESSA,Ven 032 (Tj 077 NE),SOSTENIMIENTO</t>
  </si>
  <si>
    <t>3E937V</t>
  </si>
  <si>
    <t>PREPAR,VANESSA,Ven 032 (Tj 077 NE),VOLADURA</t>
  </si>
  <si>
    <t>3E943L</t>
  </si>
  <si>
    <t>PREPAR,VANESSA,Ven 038 SW (Tj 037 NE),LIMPIEZA</t>
  </si>
  <si>
    <t>3E943O</t>
  </si>
  <si>
    <t>PREPAR,VANESSA,Ven 038 SW (Tj 037 NE),SERVICIO</t>
  </si>
  <si>
    <t>3E943P</t>
  </si>
  <si>
    <t>PREPAR,VANESSA,Ven 038 SW (Tj 037 NE),PERFORACION</t>
  </si>
  <si>
    <t>3E943S</t>
  </si>
  <si>
    <t>PREPAR,VANESSA,Ven 038 SW (Tj 037 NE),SOSTENIMIENTO</t>
  </si>
  <si>
    <t>3E943V</t>
  </si>
  <si>
    <t>PREPAR,VANESSA,Ven 038 SW (Tj 037 NE),VOLADURA</t>
  </si>
  <si>
    <t>3ED04L</t>
  </si>
  <si>
    <t>PREPAR,VANESSA,Inc 870 SW (Snv 030 SW),LIMPIEZA</t>
  </si>
  <si>
    <t>3ED04O</t>
  </si>
  <si>
    <t>PREPAR,VANESSA,Inc 870 SW (Snv 030 SW),SERVICIO</t>
  </si>
  <si>
    <t>3ED04P</t>
  </si>
  <si>
    <t>PREPAR,VANESSA,Inc 870 SW (Snv 030 SW),PERFORACION</t>
  </si>
  <si>
    <t>3ED04S</t>
  </si>
  <si>
    <t>PREPAR,VANESSA,Inc 870 SW (Snv 030 SW),SOSTENIMIENTO</t>
  </si>
  <si>
    <t>3ED04V</t>
  </si>
  <si>
    <t>PREPAR,VANESSA,Inc 870 SW (Snv 030 SW),VOLADURA</t>
  </si>
  <si>
    <t>3F3371</t>
  </si>
  <si>
    <t>PREPA,ALONDRA,Ch 133 (Gal 127 NE),SUMINISTROS</t>
  </si>
  <si>
    <t>3F3372</t>
  </si>
  <si>
    <t>PREPA,ALONDRA,Ch 133 (Gal 127 NE),SOSTENIMIENTO</t>
  </si>
  <si>
    <t>3F3373</t>
  </si>
  <si>
    <t>PREPA,ALONDRA,Ch 133 (Gal 127 NE),SERVICIO</t>
  </si>
  <si>
    <t>3F3374</t>
  </si>
  <si>
    <t>PREPA,ALONDRA,Ch 133 (Gal 127 NE),REHABILITACION</t>
  </si>
  <si>
    <t>3F3541</t>
  </si>
  <si>
    <t>PREPA,ALONDRA,Ch 116 (Gal 127 SW),SUMINISTROS</t>
  </si>
  <si>
    <t>3F3542</t>
  </si>
  <si>
    <t>PREPA,ALONDRA,Ch 116 (Gal 127 SW),SOSTENIMIENTO</t>
  </si>
  <si>
    <t>3F3543</t>
  </si>
  <si>
    <t>PREPA,ALONDRA,Ch 116 (Gal 127 SW),SERVICIO</t>
  </si>
  <si>
    <t>3F3544</t>
  </si>
  <si>
    <t>PREPA,ALONDRA,Ch 116 (Gal 127 SW),REHABILITACION</t>
  </si>
  <si>
    <t>3F5571</t>
  </si>
  <si>
    <t>PREPA,ALONDRA,Snv 3830 NE (Ch 133),SUMINISTROS</t>
  </si>
  <si>
    <t>3F5572</t>
  </si>
  <si>
    <t>PREPA,ALONDRA,Snv 3830 NE (Ch 133),SOSTENIMIENTO</t>
  </si>
  <si>
    <t>3F5573</t>
  </si>
  <si>
    <t>PREPA,ALONDRA,Snv 3830 NE (Ch 133),SERVICIO</t>
  </si>
  <si>
    <t>3F5574</t>
  </si>
  <si>
    <t>PREPA,ALONDRA,Snv 3830 NE (Ch 133),REHABILITACION</t>
  </si>
  <si>
    <t>3F5581</t>
  </si>
  <si>
    <t>PREPA,ALONDRA,Snv 3830 SW (Ch 133),SUMINISTROS</t>
  </si>
  <si>
    <t>3F5582</t>
  </si>
  <si>
    <t>PREPA,ALONDRA,Snv 3830 SW (Ch 133),SOSTENIMIENTO</t>
  </si>
  <si>
    <t>3F5583</t>
  </si>
  <si>
    <t>PREPA,ALONDRA,Snv 3830 SW (Ch 133),SERVICIO</t>
  </si>
  <si>
    <t>3F5584</t>
  </si>
  <si>
    <t>PREPA,ALONDRA,Snv 3830 SW (Ch 133),REHABILITACION</t>
  </si>
  <si>
    <t>3G31PL</t>
  </si>
  <si>
    <t>PREPAR,MANUEL,Ch 907 (Snv 019 NE),LIMPIEZA</t>
  </si>
  <si>
    <t>3G31PO</t>
  </si>
  <si>
    <t>PREPAR,MANUEL,Ch 907 (Snv 019 NE),SERVICIO</t>
  </si>
  <si>
    <t>3G31PP</t>
  </si>
  <si>
    <t>PREPAR,MANUEL,Ch 907 (Snv 019 NE),PERFORACION</t>
  </si>
  <si>
    <t>3G31PS</t>
  </si>
  <si>
    <t>PREPAR,MANUEL,Ch 907 (Snv 019 NE),SOSTENIMIENTO</t>
  </si>
  <si>
    <t>3G31PV</t>
  </si>
  <si>
    <t>PREPAR,MANUEL,Ch 907 (Snv 019 NE),VOLADURA</t>
  </si>
  <si>
    <t>3G51XL</t>
  </si>
  <si>
    <t>PREPAR,MANUEL,Snv 938 SW (Est 935 NE),LIMPIEZA</t>
  </si>
  <si>
    <t>3G51XO</t>
  </si>
  <si>
    <t>PREPAR,MANUEL,Snv 938 SW (Est 935 NE),SERVICIO</t>
  </si>
  <si>
    <t>3G51XP</t>
  </si>
  <si>
    <t>PREPAR,MANUEL,Snv 938 SW (Est 935 NE),PERFORACION</t>
  </si>
  <si>
    <t>3G51XS</t>
  </si>
  <si>
    <t>PREPAR,MANUEL,Snv 938 SW (Est 935 NE),SOSTENIMIENTO</t>
  </si>
  <si>
    <t>3G51XV</t>
  </si>
  <si>
    <t>PREPAR,MANUEL,Snv 938 SW (Est 935 NE),VOLADURA</t>
  </si>
  <si>
    <t>3G51YL</t>
  </si>
  <si>
    <t>PREPAR,MANUEL,Snv 938 NE (Est 935 NE),LIMPIEZA</t>
  </si>
  <si>
    <t>3G51YO</t>
  </si>
  <si>
    <t>PREPAR,MANUEL,Snv 938 NE (Est 935 NE),SERVICIO</t>
  </si>
  <si>
    <t>3G51YP</t>
  </si>
  <si>
    <t>PREPAR,MANUEL,Snv 938 NE (Est 935 NE),PERFORACION</t>
  </si>
  <si>
    <t>3G51YS</t>
  </si>
  <si>
    <t>PREPAR,MANUEL,Snv 938 NE (Est 935 NE),SOSTENIMIENTO</t>
  </si>
  <si>
    <t>3G51YV</t>
  </si>
  <si>
    <t>PREPAR,MANUEL,Snv 938 NE (Est 935 NE),VOLADURA</t>
  </si>
  <si>
    <t>3G53EL</t>
  </si>
  <si>
    <t>PREPAR,MANUEL,Snv 945 SW (Ch 931),LIMPIEZA</t>
  </si>
  <si>
    <t>3G53EO</t>
  </si>
  <si>
    <t>PREPAR,MANUEL,Snv 945 SW (Ch 931),SERVICIO</t>
  </si>
  <si>
    <t>3G53EP</t>
  </si>
  <si>
    <t>PREPAR,MANUEL,Snv 945 SW (Ch 931),PERFORACION</t>
  </si>
  <si>
    <t>3G53ES</t>
  </si>
  <si>
    <t>PREPAR,MANUEL,Snv 945 SW (Ch 931),SOSTENIMIENTO</t>
  </si>
  <si>
    <t>3G53EV</t>
  </si>
  <si>
    <t>PREPAR,MANUEL,Snv 945 SW (Ch 931),VOLADURA</t>
  </si>
  <si>
    <t>3G54DL</t>
  </si>
  <si>
    <t>PREPAR,MANUEL,Snv 878 NE (Snv 030 NE),LIMPIEZA</t>
  </si>
  <si>
    <t>3G54DO</t>
  </si>
  <si>
    <t>PREPAR,MANUEL,Snv 878 NE (Snv 030 NE),SERVICIO</t>
  </si>
  <si>
    <t>3G54DP</t>
  </si>
  <si>
    <t>PREPAR,MANUEL,Snv 878 NE (Snv 030 NE),PERFORACION</t>
  </si>
  <si>
    <t>3G54DS</t>
  </si>
  <si>
    <t>PREPAR,MANUEL,Snv 878 NE (Snv 030 NE),SOSTENIMIENTO</t>
  </si>
  <si>
    <t>3G54DV</t>
  </si>
  <si>
    <t>PREPAR,MANUEL,Snv 878 NE (Snv 030 NE),VOLADURA</t>
  </si>
  <si>
    <t>3G54EL</t>
  </si>
  <si>
    <t>PREPAR,MANUEL,Snv 898 NE (Snv 050 NE),LIMPIEZA</t>
  </si>
  <si>
    <t>3G54EO</t>
  </si>
  <si>
    <t>PREPAR,MANUEL,Snv 898 NE (Snv 050 NE),SERVICIO</t>
  </si>
  <si>
    <t>3G54EP</t>
  </si>
  <si>
    <t>PREPAR,MANUEL,Snv 898 NE (Snv 050 NE),PERFORACION</t>
  </si>
  <si>
    <t>3G54ES</t>
  </si>
  <si>
    <t>PREPAR,MANUEL,Snv 898 NE (Snv 050 NE),SOSTENIMIENTO</t>
  </si>
  <si>
    <t>3G54EV</t>
  </si>
  <si>
    <t>PREPAR,MANUEL,Snv 898 NE (Snv 050 NE),VOLADURA</t>
  </si>
  <si>
    <t>3G54PL</t>
  </si>
  <si>
    <t>PREPAR,MANUEL,Snv 881 NE (Ch 907),LIMPIEZA</t>
  </si>
  <si>
    <t>3G54PO</t>
  </si>
  <si>
    <t>PREPAR,MANUEL,Snv 881 NE (Ch 907),SERVICIO</t>
  </si>
  <si>
    <t>3G54PP</t>
  </si>
  <si>
    <t>PREPAR,MANUEL,Snv 881 NE (Ch 907),PERFORACION</t>
  </si>
  <si>
    <t>3G54PS</t>
  </si>
  <si>
    <t>PREPAR,MANUEL,Snv 881 NE (Ch 907),SOSTENIMIENTO</t>
  </si>
  <si>
    <t>3G54PV</t>
  </si>
  <si>
    <t>PREPAR,MANUEL,Snv 881 NE (Ch 907),VOLADURA</t>
  </si>
  <si>
    <t>3G55EL</t>
  </si>
  <si>
    <t>PREPAR,MANUEL,Snv 019 NE (Snv 020 NE),LIMPIEZA</t>
  </si>
  <si>
    <t>3G55EO</t>
  </si>
  <si>
    <t>PREPAR,MANUEL,Snv 019 NE (Snv 020 NE),SERVICIO</t>
  </si>
  <si>
    <t>3G55EP</t>
  </si>
  <si>
    <t>PREPAR,MANUEL,Snv 019 NE (Snv 020 NE),PERFORACION</t>
  </si>
  <si>
    <t>3G55ES</t>
  </si>
  <si>
    <t>PREPAR,MANUEL,Snv 019 NE (Snv 020 NE),SOSTENIMIENTO</t>
  </si>
  <si>
    <t>3G55EV</t>
  </si>
  <si>
    <t>PREPAR,MANUEL,Snv 019 NE (Snv 020 NE),VOLADURA</t>
  </si>
  <si>
    <t>3H52XL</t>
  </si>
  <si>
    <t>PREPAR,SHOJO,Snv 836 SW (Ch 669),LIMPIEZA</t>
  </si>
  <si>
    <t>3H52XO</t>
  </si>
  <si>
    <t>PREPAR,SHOJO,Snv 836 SW (Ch 669),SERVICIO</t>
  </si>
  <si>
    <t>3H52XP</t>
  </si>
  <si>
    <t>PREPAR,SHOJO,Snv 836 SW (Ch 669),PERFORACION</t>
  </si>
  <si>
    <t>3H52XS</t>
  </si>
  <si>
    <t>PREPAR,SHOJO,Snv 836 SW (Ch 669),SOSTENIMIENTO</t>
  </si>
  <si>
    <t>3H52XV</t>
  </si>
  <si>
    <t>PREPAR,SHOJO,Snv 836 SW (Ch 669),VOLADURA</t>
  </si>
  <si>
    <t>3H52YL</t>
  </si>
  <si>
    <t>PREPAR,SHOJO,Snv 836 NE (Ch 669),LIMPIEZA</t>
  </si>
  <si>
    <t>3H52YO</t>
  </si>
  <si>
    <t>PREPAR,SHOJO,Snv 836 NE (Ch 669),SERVICIO</t>
  </si>
  <si>
    <t>3H52YP</t>
  </si>
  <si>
    <t>PREPAR,SHOJO,Snv 836 NE (Ch 669),PERFORACION</t>
  </si>
  <si>
    <t>3H52YS</t>
  </si>
  <si>
    <t>PREPAR,SHOJO,Snv 836 NE (Ch 669),SOSTENIMIENTO</t>
  </si>
  <si>
    <t>3H52YV</t>
  </si>
  <si>
    <t>PREPAR,SHOJO,Snv 836 NE (Ch 669),VOLADURA</t>
  </si>
  <si>
    <t>3L31AL</t>
  </si>
  <si>
    <t>PREPAR,ANDREA,Ch 948 (Snv 152 NE),LIMPIEZA</t>
  </si>
  <si>
    <t>3L31AO</t>
  </si>
  <si>
    <t>PREPAR,ANDREA,Ch 948 (Snv 152 NE),SERVICIO</t>
  </si>
  <si>
    <t>3L31AP</t>
  </si>
  <si>
    <t>PREPAR,ANDREA,Ch 948 (Snv 152 NE),PERFORACION</t>
  </si>
  <si>
    <t>3L31AS</t>
  </si>
  <si>
    <t>PREPAR,ANDREA,Ch 948 (Snv 152 NE),SOSTENIMIENTO</t>
  </si>
  <si>
    <t>3L31AV</t>
  </si>
  <si>
    <t>PREPAR,ANDREA,Ch 948 (Snv 152 NE),VOLADURA</t>
  </si>
  <si>
    <t>3L31BL</t>
  </si>
  <si>
    <t>PREPAR,ANDREA,Ch 950 (Snv 152 NE) ,LIMPIEZA</t>
  </si>
  <si>
    <t>3L31BO</t>
  </si>
  <si>
    <t>PREPAR,ANDREA,Ch 950 (Snv 152 NE) ,SERVICIO</t>
  </si>
  <si>
    <t>3L31BP</t>
  </si>
  <si>
    <t>PREPAR,ANDREA,Ch 950 (Snv 152 NE) ,PERFORACION</t>
  </si>
  <si>
    <t>3L31BS</t>
  </si>
  <si>
    <t>PREPAR,ANDREA,Ch 950 (Snv 152 NE) ,SOSTENIMIENTO</t>
  </si>
  <si>
    <t>3L31BV</t>
  </si>
  <si>
    <t>PREPAR,ANDREA,Ch 950 (Snv 152 NE) ,VOLADURA</t>
  </si>
  <si>
    <t>3L370L</t>
  </si>
  <si>
    <t>PREPA,ANDREA,Ch 003 (Snv 256 SW),LIMPIEZA</t>
  </si>
  <si>
    <t>3L370O</t>
  </si>
  <si>
    <t>PREPA,ANDREA,Ch 003 (Snv 256 SW),SERVICIO</t>
  </si>
  <si>
    <t>3L370P</t>
  </si>
  <si>
    <t>PREPA,ANDREA,Ch 003 (Snv 256 SW),PERFORACION</t>
  </si>
  <si>
    <t>3L370S</t>
  </si>
  <si>
    <t>PREPA,ANDREA,Ch 003 (Snv 256 SW),SOSTENIMIENTO</t>
  </si>
  <si>
    <t>3L370V</t>
  </si>
  <si>
    <t>PREPA,ANDREA,Ch 003 (Snv 256 SW),VOLADURA</t>
  </si>
  <si>
    <t>3L381L</t>
  </si>
  <si>
    <t>PREPAR,ANDREA,Ch 998 (Snv 015 SW),LIMPIEZA</t>
  </si>
  <si>
    <t>3L381O</t>
  </si>
  <si>
    <t>PREPAR,ANDREA,Ch 998 (Snv 015 SW),SERVICIO</t>
  </si>
  <si>
    <t>3L381P</t>
  </si>
  <si>
    <t>PREPAR,ANDREA,Ch 998 (Snv 015 SW),PERFORACION</t>
  </si>
  <si>
    <t>3L381S</t>
  </si>
  <si>
    <t>PREPAR,ANDREA,Ch 998 (Snv 015 SW),SOSTENIMIENTO</t>
  </si>
  <si>
    <t>3L381V</t>
  </si>
  <si>
    <t>PREPAR,ANDREA,Ch 998 (Snv 015 SW),VOLADURA</t>
  </si>
  <si>
    <t>3L395L</t>
  </si>
  <si>
    <t>PREPAR,ANDREA,Ch 973 (Snv 974 SW),LIMPIEZA</t>
  </si>
  <si>
    <t>3L395O</t>
  </si>
  <si>
    <t>PREPAR,ANDREA,Ch 973 (Snv 974 SW),SERVICIO</t>
  </si>
  <si>
    <t>3L395P</t>
  </si>
  <si>
    <t>PREPAR,ANDREA,Ch 973 (Snv 974 SW),PERFORACION</t>
  </si>
  <si>
    <t>3L395S</t>
  </si>
  <si>
    <t>PREPAR,ANDREA,Ch 973 (Snv 974 SW),SOSTENIMIENTO</t>
  </si>
  <si>
    <t>3L395V</t>
  </si>
  <si>
    <t>PREPAR,ANDREA,Ch 973 (Snv 974 SW),VOLADURA</t>
  </si>
  <si>
    <t>3L51F1</t>
  </si>
  <si>
    <t>PREPA,ANDREA,Snv 015 NE (Est 008 SE),SUMINISTROS</t>
  </si>
  <si>
    <t>3L51F2</t>
  </si>
  <si>
    <t>PREPA,ANDREA,Snv 015 NE (Est 008 SE),SOSTENIMIENTO</t>
  </si>
  <si>
    <t>3L51F3</t>
  </si>
  <si>
    <t>PREPA,ANDREA,Snv 015 NE (Est 008 SE),SERVICIO</t>
  </si>
  <si>
    <t>3L51F4</t>
  </si>
  <si>
    <t>PREPA,ANDREA,Snv 015 NE (Est 008 SE),REHABILITACION</t>
  </si>
  <si>
    <t>3L51ZL</t>
  </si>
  <si>
    <t>PREPAR,ANDREA,Snv 015 SW (Est 008 SE),LIMPIEZA</t>
  </si>
  <si>
    <t>3L51ZO</t>
  </si>
  <si>
    <t>PREPAR,ANDREA,Snv 015 SW (Est 008 SE),SERVICIO</t>
  </si>
  <si>
    <t>3L51ZP</t>
  </si>
  <si>
    <t>PREPAR,ANDREA,Snv 015 SW (Est 008 SE),PERFORACION</t>
  </si>
  <si>
    <t>3L51ZS</t>
  </si>
  <si>
    <t>PREPAR,ANDREA,Snv 015 SW (Est 008 SE),SOSTENIMIENTO</t>
  </si>
  <si>
    <t>3L51ZV</t>
  </si>
  <si>
    <t>PREPAR,ANDREA,Snv 015 SW (Est 008 SE),VOLADURA</t>
  </si>
  <si>
    <t>3L52AL</t>
  </si>
  <si>
    <t>PREPAR,ANDREA,Snv 029 SW (Est 030 SW),LIMPIEZA</t>
  </si>
  <si>
    <t>3L52AO</t>
  </si>
  <si>
    <t>PREPAR,ANDREA,Snv 029 SW (Est 030 SW),SERVICIO</t>
  </si>
  <si>
    <t>3L52AP</t>
  </si>
  <si>
    <t>PREPAR,ANDREA,Snv 029 SW (Est 030 SW),PERFORACION</t>
  </si>
  <si>
    <t>3L52AS</t>
  </si>
  <si>
    <t>PREPAR,ANDREA,Snv 029 SW (Est 030 SW),SOSTENIMIENTO</t>
  </si>
  <si>
    <t>3L52AV</t>
  </si>
  <si>
    <t>PREPAR,ANDREA,Snv 029 SW (Est 030 SW),VOLADURA</t>
  </si>
  <si>
    <t>3L52DL</t>
  </si>
  <si>
    <t>PREPAR,ANDREA,Snv 030 SW (Est 030 SW),LIMPIEZA</t>
  </si>
  <si>
    <t>3L52DO</t>
  </si>
  <si>
    <t>PREPAR,ANDREA,Snv 030 SW (Est 030 SW),SERVICIO</t>
  </si>
  <si>
    <t>3L52DP</t>
  </si>
  <si>
    <t>PREPAR,ANDREA,Snv 030 SW (Est 030 SW),PERFORACION</t>
  </si>
  <si>
    <t>3L52DS</t>
  </si>
  <si>
    <t>PREPAR,ANDREA,Snv 030 SW (Est 030 SW),SOSTENIMIENTO</t>
  </si>
  <si>
    <t>3L52DV</t>
  </si>
  <si>
    <t>PREPAR,ANDREA,Snv 030 SW (Est 030 SW),VOLADURA</t>
  </si>
  <si>
    <t>3L52LL</t>
  </si>
  <si>
    <t>PREPAR,ANDREA,Snv 024 SW (Tj 029 SW),LIMPIEZA</t>
  </si>
  <si>
    <t>3L52LO</t>
  </si>
  <si>
    <t>PREPAR,ANDREA,Snv 024 SW (Tj 029 SW),SERVICIO</t>
  </si>
  <si>
    <t>3L52LP</t>
  </si>
  <si>
    <t>PREPAR,ANDREA,Snv 024 SW (Tj 029 SW),PERFORACION</t>
  </si>
  <si>
    <t>3L52LS</t>
  </si>
  <si>
    <t>PREPAR,ANDREA,Snv 024 SW (Tj 029 SW),SOSTENIMIENTO</t>
  </si>
  <si>
    <t>3L52LV</t>
  </si>
  <si>
    <t>PREPAR,ANDREA,Snv 024 SW (Tj 029 SW),VOLADURA</t>
  </si>
  <si>
    <t>3L52ML</t>
  </si>
  <si>
    <t>PREPAR,ANDREA,Snv 010 SW (Tj 030 NE),LIMPIEZA</t>
  </si>
  <si>
    <t>3L52MO</t>
  </si>
  <si>
    <t>PREPAR,ANDREA,Snv 010 SW (Tj 030 NE),SERVICIO</t>
  </si>
  <si>
    <t>3L52MP</t>
  </si>
  <si>
    <t>PREPAR,ANDREA,Snv 010 SW (Tj 030 NE),PERFORACION</t>
  </si>
  <si>
    <t>3L52MS</t>
  </si>
  <si>
    <t>PREPAR,ANDREA,Snv 010 SW (Tj 030 NE),SOSTENIMIENTO</t>
  </si>
  <si>
    <t>3L52MV</t>
  </si>
  <si>
    <t>PREPAR,ANDREA,Snv 010 SW (Tj 030 NE),VOLADURA</t>
  </si>
  <si>
    <t>3L52OL</t>
  </si>
  <si>
    <t>PREPAR,ANDREA,Snv 010 NE (Tj 030 SW),LIMPIEZA</t>
  </si>
  <si>
    <t>3L52OO</t>
  </si>
  <si>
    <t>PREPAR,ANDREA,Snv 010 NE (Tj 030 SW),SERVICIO</t>
  </si>
  <si>
    <t>3L52OP</t>
  </si>
  <si>
    <t>PREPAR,ANDREA,Snv 010 NE (Tj 030 SW),PERFORACION</t>
  </si>
  <si>
    <t>3L52OS</t>
  </si>
  <si>
    <t>PREPAR,ANDREA,Snv 010 NE (Tj 030 SW),SOSTENIMIENTO</t>
  </si>
  <si>
    <t>3L52OV</t>
  </si>
  <si>
    <t>PREPAR,ANDREA,Snv 010 NE (Tj 030 SW),VOLADURA</t>
  </si>
  <si>
    <t>3L52UL</t>
  </si>
  <si>
    <t>PREPAR,ANDREA,Snv 017 SW (Tj 030 NE),LIMPIEZA</t>
  </si>
  <si>
    <t>3L52UO</t>
  </si>
  <si>
    <t>PREPAR,ANDREA,Snv 017 SW (Tj 030 NE),SERVICIO</t>
  </si>
  <si>
    <t>3L52UP</t>
  </si>
  <si>
    <t>PREPAR,ANDREA,Snv 017 SW (Tj 030 NE),PERFORACION</t>
  </si>
  <si>
    <t>3L52US</t>
  </si>
  <si>
    <t>PREPAR,ANDREA,Snv 017 SW (Tj 030 NE),SOSTENIMIENTO</t>
  </si>
  <si>
    <t>3L52UV</t>
  </si>
  <si>
    <t>PREPAR,ANDREA,Snv 017 SW (Tj 030 NE),VOLADURA</t>
  </si>
  <si>
    <t>3L53FL</t>
  </si>
  <si>
    <t>PREPAR,ANDREA,Snv 145 SW (Cx 171 NW),LIMPIEZA</t>
  </si>
  <si>
    <t>3L53FO</t>
  </si>
  <si>
    <t>PREPAR,ANDREA,Snv 145 SW (Cx 171 NW),SERVICIO</t>
  </si>
  <si>
    <t>3L53FP</t>
  </si>
  <si>
    <t>PREPAR,ANDREA,Snv 145 SW (Cx 171 NW),PERFORACION</t>
  </si>
  <si>
    <t>3L53FS</t>
  </si>
  <si>
    <t>PREPAR,ANDREA,Snv 145 SW (Cx 171 NW),SOSTENIMIENTO</t>
  </si>
  <si>
    <t>3L53FV</t>
  </si>
  <si>
    <t>PREPAR,ANDREA,Snv 145 SW (Cx 171 NW),VOLADURA</t>
  </si>
  <si>
    <t>3L53GL</t>
  </si>
  <si>
    <t>PREPAR,ANDREA,Snv 145 NE (Cx 171 NW),LIMPIEZA</t>
  </si>
  <si>
    <t>3L53GO</t>
  </si>
  <si>
    <t>PREPAR,ANDREA,Snv 145 NE (Cx 171 NW),SERVICIO</t>
  </si>
  <si>
    <t>3L53GP</t>
  </si>
  <si>
    <t>PREPAR,ANDREA,Snv 145 NE (Cx 171 NW),PERFORACION</t>
  </si>
  <si>
    <t>3L53GS</t>
  </si>
  <si>
    <t>PREPAR,ANDREA,Snv 145 NE (Cx 171 NW),SOSTENIMIENTO</t>
  </si>
  <si>
    <t>3L53GV</t>
  </si>
  <si>
    <t>PREPAR,ANDREA,Snv 145 NE (Cx 171 NW),VOLADURA</t>
  </si>
  <si>
    <t>3L53HL</t>
  </si>
  <si>
    <t>PREPAR,ANDREA,Snv 140 NE (Cx 171 NW),LIMPIEZA</t>
  </si>
  <si>
    <t>3L53HO</t>
  </si>
  <si>
    <t>PREPAR,ANDREA,Snv 140 NE (Cx 171 NW),SERVICIO</t>
  </si>
  <si>
    <t>3L53HP</t>
  </si>
  <si>
    <t>PREPAR,ANDREA,Snv 140 NE (Cx 171 NW),PERFORACION</t>
  </si>
  <si>
    <t>3L53HS</t>
  </si>
  <si>
    <t>PREPAR,ANDREA,Snv 140 NE (Cx 171 NW),SOSTENIMIENTO</t>
  </si>
  <si>
    <t>3L53HV</t>
  </si>
  <si>
    <t>PREPAR,ANDREA,Snv 140 NE (Cx 171 NW),VOLADURA</t>
  </si>
  <si>
    <t>3L53IL</t>
  </si>
  <si>
    <t>PREPAR,ANDREA,Snv 140 SW (Cx 171 NW),LIMPIEZA</t>
  </si>
  <si>
    <t>3L53IO</t>
  </si>
  <si>
    <t>PREPAR,ANDREA,Snv 140 SW (Cx 171 NW),SERVICIO</t>
  </si>
  <si>
    <t>3L53IP</t>
  </si>
  <si>
    <t>PREPAR,ANDREA,Snv 140 SW (Cx 171 NW),PERFORACION</t>
  </si>
  <si>
    <t>3L53IS</t>
  </si>
  <si>
    <t>PREPAR,ANDREA,Snv 140 SW (Cx 171 NW),SOSTENIMIENTO</t>
  </si>
  <si>
    <t>3L53IV</t>
  </si>
  <si>
    <t>PREPAR,ANDREA,Snv 140 SW (Cx 171 NW),VOLADURA</t>
  </si>
  <si>
    <t>3L53JL</t>
  </si>
  <si>
    <t>PREPAR,ANDREA,Snv 002 SW (Pq 228),LIMPIEZA</t>
  </si>
  <si>
    <t>3L53JO</t>
  </si>
  <si>
    <t>PREPAR,ANDREA,Snv 002 SW (Pq 228),SERVICIO</t>
  </si>
  <si>
    <t>3L53JP</t>
  </si>
  <si>
    <t>PREPAR,ANDREA,Snv 002 SW (Pq 228),PERFORACION</t>
  </si>
  <si>
    <t>3L53JS</t>
  </si>
  <si>
    <t>PREPAR,ANDREA,Snv 002 SW (Pq 228),SOSTENIMIENTO</t>
  </si>
  <si>
    <t>3L53JV</t>
  </si>
  <si>
    <t>PREPAR,ANDREA,Snv 002 SW (Pq 228),VOLADURA</t>
  </si>
  <si>
    <t>3L53KL</t>
  </si>
  <si>
    <t>PREPAR,ANDREA,Snv 002 NE (Pq 228),LIMPIEZA</t>
  </si>
  <si>
    <t>3L53KO</t>
  </si>
  <si>
    <t>PREPAR,ANDREA,Snv 002 NE (Pq 228),SERVICIO</t>
  </si>
  <si>
    <t>3L53KP</t>
  </si>
  <si>
    <t>PREPAR,ANDREA,Snv 002 NE (Pq 228),PERFORACION</t>
  </si>
  <si>
    <t>3L53KS</t>
  </si>
  <si>
    <t>PREPAR,ANDREA,Snv 002 NE (Pq 228),SOSTENIMIENTO</t>
  </si>
  <si>
    <t>3L53KV</t>
  </si>
  <si>
    <t>PREPAR,ANDREA,Snv 002 NE (Pq 228),VOLADURA</t>
  </si>
  <si>
    <t>3L53NL</t>
  </si>
  <si>
    <t>PREPAR,ANDREA,Snv 152 NE (Ch 921),LIMPIEZA</t>
  </si>
  <si>
    <t>3L53NO</t>
  </si>
  <si>
    <t>PREPAR,ANDREA,Snv 152 NE (Ch 921),SERVICIO</t>
  </si>
  <si>
    <t>3L53NP</t>
  </si>
  <si>
    <t>PREPAR,ANDREA,Snv 152 NE (Ch 921),PERFORACION</t>
  </si>
  <si>
    <t>3L53NS</t>
  </si>
  <si>
    <t>PREPAR,ANDREA,Snv 152 NE (Ch 921),SOSTENIMIENTO</t>
  </si>
  <si>
    <t>3L53NV</t>
  </si>
  <si>
    <t>PREPAR,ANDREA,Snv 152 NE (Ch 921),VOLADURA</t>
  </si>
  <si>
    <t>3L53OL</t>
  </si>
  <si>
    <t>PREPAR,ANDREA,Snv 152 SW (Ch 921),LIMPIEZA</t>
  </si>
  <si>
    <t>3L53OO</t>
  </si>
  <si>
    <t>PREPAR,ANDREA,Snv 152 SW (Ch 921),SERVICIO</t>
  </si>
  <si>
    <t>3L53OP</t>
  </si>
  <si>
    <t>PREPAR,ANDREA,Snv 152 SW (Ch 921),PERFORACION</t>
  </si>
  <si>
    <t>3L53OS</t>
  </si>
  <si>
    <t>PREPAR,ANDREA,Snv 152 SW (Ch 921),SOSTENIMIENTO</t>
  </si>
  <si>
    <t>3L53OV</t>
  </si>
  <si>
    <t>PREPAR,ANDREA,Snv 152 SW (Ch 921),VOLADURA</t>
  </si>
  <si>
    <t>3L53TL</t>
  </si>
  <si>
    <t>PREPAR,ANDREA,Snv 172 NE (Ch 921),LIMPIEZA</t>
  </si>
  <si>
    <t>3L53TO</t>
  </si>
  <si>
    <t>PREPAR,ANDREA,Snv 172 NE (Ch 921),SERVICIO</t>
  </si>
  <si>
    <t>3L53TP</t>
  </si>
  <si>
    <t>PREPAR,ANDREA,Snv 172 NE (Ch 921),PERFORACION</t>
  </si>
  <si>
    <t>3L53TS</t>
  </si>
  <si>
    <t>PREPAR,ANDREA,Snv 172 NE (Ch 921),SOSTENIMIENTO</t>
  </si>
  <si>
    <t>3L53TV</t>
  </si>
  <si>
    <t>PREPAR,ANDREA,Snv 172 NE (Ch 921),VOLADURA</t>
  </si>
  <si>
    <t>3L53UL</t>
  </si>
  <si>
    <t>PREPAR,ANDREA,Snv 172 SW (Ch 921),LIMPIEZA</t>
  </si>
  <si>
    <t>3L53UO</t>
  </si>
  <si>
    <t>PREPAR,ANDREA,Snv 172 SW (Ch 921),SERVICIO</t>
  </si>
  <si>
    <t>3L53UP</t>
  </si>
  <si>
    <t>PREPAR,ANDREA,Snv 172 SW (Ch 921),PERFORACION</t>
  </si>
  <si>
    <t>3L53US</t>
  </si>
  <si>
    <t>PREPAR,ANDREA,Snv 172 SW (Ch 921),SOSTENIMIENTO</t>
  </si>
  <si>
    <t>3L53UV</t>
  </si>
  <si>
    <t>PREPAR,ANDREA,Snv 172 SW (Ch 921),VOLADURA</t>
  </si>
  <si>
    <t>3L53XL</t>
  </si>
  <si>
    <t>PREPAR,ANDREA,Snv 974 SW (Est 971 SW),LIMPIEZA</t>
  </si>
  <si>
    <t>3L53XO</t>
  </si>
  <si>
    <t>PREPAR,ANDREA,Snv 974 SW (Est 971 SW),SERVICIO</t>
  </si>
  <si>
    <t>3L53XP</t>
  </si>
  <si>
    <t>PREPAR,ANDREA,Snv 974 SW (Est 971 SW),PERFORACION</t>
  </si>
  <si>
    <t>3L53XS</t>
  </si>
  <si>
    <t>PREPAR,ANDREA,Snv 974 SW (Est 971 SW),SOSTENIMIENTO</t>
  </si>
  <si>
    <t>3L53XV</t>
  </si>
  <si>
    <t>PREPAR,ANDREA,Snv 974 SW (Est 971 SW),VOLADURA</t>
  </si>
  <si>
    <t>3L53YL</t>
  </si>
  <si>
    <t>PREPAR,ANDREA,Snv 976 SW (Ch 973),LIMPIEZA</t>
  </si>
  <si>
    <t>3L53YO</t>
  </si>
  <si>
    <t>PREPAR,ANDREA,Snv 976 SW (Ch 973),SERVICIO</t>
  </si>
  <si>
    <t>3L53YP</t>
  </si>
  <si>
    <t>PREPAR,ANDREA,Snv 976 SW (Ch 973),PERFORACION</t>
  </si>
  <si>
    <t>3L53YS</t>
  </si>
  <si>
    <t>PREPAR,ANDREA,Snv 976 SW (Ch 973),SOSTENIMIENTO</t>
  </si>
  <si>
    <t>3L53YV</t>
  </si>
  <si>
    <t>PREPAR,ANDREA,Snv 976 SW (Ch 973),VOLADURA</t>
  </si>
  <si>
    <t>3L53ZL</t>
  </si>
  <si>
    <t>PREPAR,ANDREA,Snv 977 NE (Ch 973),LIMPIEZA</t>
  </si>
  <si>
    <t>3L53ZO</t>
  </si>
  <si>
    <t>PREPAR,ANDREA,Snv 977 NE (Ch 973),SERVICIO</t>
  </si>
  <si>
    <t>3L53ZP</t>
  </si>
  <si>
    <t>PREPAR,ANDREA,Snv 977 NE (Ch 973),PERFORACION</t>
  </si>
  <si>
    <t>3L53ZS</t>
  </si>
  <si>
    <t>PREPAR,ANDREA,Snv 977 NE (Ch 973),SOSTENIMIENTO</t>
  </si>
  <si>
    <t>3L53ZV</t>
  </si>
  <si>
    <t>PREPAR,ANDREA,Snv 977 NE (Ch 973),VOLADURA</t>
  </si>
  <si>
    <t>3L54AL</t>
  </si>
  <si>
    <t>PREPAR,ANDREA,Snv 981 SW (Ch 973),LIMPIEZA</t>
  </si>
  <si>
    <t>3L54AO</t>
  </si>
  <si>
    <t>PREPAR,ANDREA,Snv 981 SW (Ch 973),SERVICIO</t>
  </si>
  <si>
    <t>3L54AP</t>
  </si>
  <si>
    <t>PREPAR,ANDREA,Snv 981 SW (Ch 973),PERFORACION</t>
  </si>
  <si>
    <t>3L54AS</t>
  </si>
  <si>
    <t>PREPAR,ANDREA,Snv 981 SW (Ch 973),SOSTENIMIENTO</t>
  </si>
  <si>
    <t>3L54AV</t>
  </si>
  <si>
    <t>PREPAR,ANDREA,Snv 981 SW (Ch 973),VOLADURA</t>
  </si>
  <si>
    <t>3L54BL</t>
  </si>
  <si>
    <t>PREPAR,ANDREA,Snv 981 NE (Ch 973),LIMPIEZA</t>
  </si>
  <si>
    <t>3L54BO</t>
  </si>
  <si>
    <t>PREPAR,ANDREA,Snv 981 NE (Ch 973),SERVICIO</t>
  </si>
  <si>
    <t>3L54BP</t>
  </si>
  <si>
    <t>PREPAR,ANDREA,Snv 981 NE (Ch 973),PERFORACION</t>
  </si>
  <si>
    <t>3L54BS</t>
  </si>
  <si>
    <t>PREPAR,ANDREA,Snv 981 NE (Ch 973),SOSTENIMIENTO</t>
  </si>
  <si>
    <t>3L54BV</t>
  </si>
  <si>
    <t>PREPAR,ANDREA,Snv 981 NE (Ch 973),VOLADURA</t>
  </si>
  <si>
    <t>3L54ML</t>
  </si>
  <si>
    <t>PREPAR,ANDREA,Snv 938 NE (Est 950 NW),LIMPIEZA</t>
  </si>
  <si>
    <t>3L54MO</t>
  </si>
  <si>
    <t>PREPAR,ANDREA,Snv 938 NE (Est 950 NW),SERVICIO</t>
  </si>
  <si>
    <t>3L54MP</t>
  </si>
  <si>
    <t>PREPAR,ANDREA,Snv 938 NE (Est 950 NW),PERFORACION</t>
  </si>
  <si>
    <t>3L54MS</t>
  </si>
  <si>
    <t>PREPAR,ANDREA,Snv 938 NE (Est 950 NW),SOSTENIMIENTO</t>
  </si>
  <si>
    <t>3L54MV</t>
  </si>
  <si>
    <t>PREPAR,ANDREA,Snv 938 NE (Est 950 NW),VOLADURA</t>
  </si>
  <si>
    <t>3L54NL</t>
  </si>
  <si>
    <t>PREPAR,ANDREA,Snv 938 SW (Est 950 NW),LIMPIEZA</t>
  </si>
  <si>
    <t>3L54NO</t>
  </si>
  <si>
    <t>PREPAR,ANDREA,Snv 938 SW (Est 950 NW),SERVICIO</t>
  </si>
  <si>
    <t>3L54NP</t>
  </si>
  <si>
    <t>PREPAR,ANDREA,Snv 938 SW (Est 950 NW),PERFORACION</t>
  </si>
  <si>
    <t>3L54NS</t>
  </si>
  <si>
    <t>PREPAR,ANDREA,Snv 938 SW (Est 950 NW),SOSTENIMIENTO</t>
  </si>
  <si>
    <t>3L54NV</t>
  </si>
  <si>
    <t>PREPAR,ANDREA,Snv 938 SW (Est 950 NW),VOLADURA</t>
  </si>
  <si>
    <t>3L54QL</t>
  </si>
  <si>
    <t>PREPAR,ANDREA,Snv 026 NE (Snv 029 SW),LIMPIEZA</t>
  </si>
  <si>
    <t>3L54QO</t>
  </si>
  <si>
    <t>PREPAR,ANDREA,Snv 026 NE (Snv 029 SW),SERVICIO</t>
  </si>
  <si>
    <t>3L54QP</t>
  </si>
  <si>
    <t>PREPAR,ANDREA,Snv 026 NE (Snv 029 SW),PERFORACION</t>
  </si>
  <si>
    <t>3L54QS</t>
  </si>
  <si>
    <t>PREPAR,ANDREA,Snv 026 NE (Snv 029 SW),SOSTENIMIENTO</t>
  </si>
  <si>
    <t>3L54QV</t>
  </si>
  <si>
    <t>PREPAR,ANDREA,Snv 026 NE (Snv 029 SW),VOLADURA</t>
  </si>
  <si>
    <t>3L55CL</t>
  </si>
  <si>
    <t>PREPAR,ANDREA,Snv 161 SW (Ch 948),LIMPIEZA</t>
  </si>
  <si>
    <t>3L55CO</t>
  </si>
  <si>
    <t>PREPAR,ANDREA,Snv 161 SW (Ch 948),SERVICIO</t>
  </si>
  <si>
    <t>3L55CP</t>
  </si>
  <si>
    <t>PREPAR,ANDREA,Snv 161 SW (Ch 948),PERFORACION</t>
  </si>
  <si>
    <t>3L55CS</t>
  </si>
  <si>
    <t>PREPAR,ANDREA,Snv 161 SW (Ch 948),SOSTENIMIENTO</t>
  </si>
  <si>
    <t>3L55CV</t>
  </si>
  <si>
    <t>PREPAR,ANDREA,Snv 161 SW (Ch 948),VOLADURA</t>
  </si>
  <si>
    <t>3L55DL</t>
  </si>
  <si>
    <t>PREPAR,ANDREA,Snv 161 NE (Ch 948),LIMPIEZA</t>
  </si>
  <si>
    <t>3L55DO</t>
  </si>
  <si>
    <t>PREPAR,ANDREA,Snv 161 NE (Ch 948),SERVICIO</t>
  </si>
  <si>
    <t>3L55DP</t>
  </si>
  <si>
    <t>PREPAR,ANDREA,Snv 161 NE (Ch 948),PERFORACION</t>
  </si>
  <si>
    <t>3L55DS</t>
  </si>
  <si>
    <t>PREPAR,ANDREA,Snv 161 NE (Ch 948),SOSTENIMIENTO</t>
  </si>
  <si>
    <t>3L55DV</t>
  </si>
  <si>
    <t>PREPAR,ANDREA,Snv 161 NE (Ch 948),VOLADURA</t>
  </si>
  <si>
    <t>3L55GL</t>
  </si>
  <si>
    <t>PREPAR,ANDREA,Snv 161-1 SW (Tj 157 NE),LIMPIEZA</t>
  </si>
  <si>
    <t>3L55GO</t>
  </si>
  <si>
    <t>PREPAR,ANDREA,Snv 161-1 SW (Tj 157 NE),SERVICIO</t>
  </si>
  <si>
    <t>3L55GP</t>
  </si>
  <si>
    <t>PREPAR,ANDREA,Snv 161-1 SW (Tj 157 NE),PERFORACION</t>
  </si>
  <si>
    <t>3L55GS</t>
  </si>
  <si>
    <t>PREPAR,ANDREA,Snv 161-1 SW (Tj 157 NE),SOSTENIMIENTO</t>
  </si>
  <si>
    <t>3L55GV</t>
  </si>
  <si>
    <t>PREPAR,ANDREA,Snv 161-1 SW (Tj 157 NE),VOLADURA</t>
  </si>
  <si>
    <t>3L55ML</t>
  </si>
  <si>
    <t>PREPAR,ANDREA,Snv 174 SW (Ch 921),LIMPIEZA</t>
  </si>
  <si>
    <t>3L55MO</t>
  </si>
  <si>
    <t>PREPAR,ANDREA,Snv 174 SW (Ch 921),SERVICIO</t>
  </si>
  <si>
    <t>3L55MP</t>
  </si>
  <si>
    <t>PREPAR,ANDREA,Snv 174 SW (Ch 921),PERFORACION</t>
  </si>
  <si>
    <t>3L55MS</t>
  </si>
  <si>
    <t>PREPAR,ANDREA,Snv 174 SW (Ch 921),SOSTENIMIENTO</t>
  </si>
  <si>
    <t>3L55MV</t>
  </si>
  <si>
    <t>PREPAR,ANDREA,Snv 174 SW (Ch 921),VOLADURA</t>
  </si>
  <si>
    <t>3L5821</t>
  </si>
  <si>
    <t>PREPA,ANDREA,Snv 256 SW (Est 255 SW),SUMINISTROS</t>
  </si>
  <si>
    <t>3L5822</t>
  </si>
  <si>
    <t>PREPA,ANDREA,Snv 256 SW (Est 255 SW),SOSTENIMIENTO</t>
  </si>
  <si>
    <t>3L5823</t>
  </si>
  <si>
    <t>PREPA,ANDREA,Snv 256 SW (Est 255 SW),SERVICIO</t>
  </si>
  <si>
    <t>3L5824</t>
  </si>
  <si>
    <t>PREPA,ANDREA,Snv 256 SW (Est 255 SW),REHABILITACION</t>
  </si>
  <si>
    <t>3L652L</t>
  </si>
  <si>
    <t>PREPA,ANDREA,Est 004 NW (Ch 003),LIMPIEZA</t>
  </si>
  <si>
    <t>3L652O</t>
  </si>
  <si>
    <t>PREPA,ANDREA,Est 004 NW (Ch 003),SERVICIO</t>
  </si>
  <si>
    <t>3L652P</t>
  </si>
  <si>
    <t>PREPA,ANDREA,Est 004 NW (Ch 003),PERFORACION</t>
  </si>
  <si>
    <t>3L652S</t>
  </si>
  <si>
    <t>PREPA,ANDREA,Est 004 NW (Ch 003),SOSTENIMIENTO</t>
  </si>
  <si>
    <t>3L652V</t>
  </si>
  <si>
    <t>PREPA,ANDREA,Est 004 NW (Ch 003),VOLADURA</t>
  </si>
  <si>
    <t>3L675L</t>
  </si>
  <si>
    <t>PREPAR,ANDREA,Est 950 NW (Snv 152 NE) ,LIMPIEZA</t>
  </si>
  <si>
    <t>3L675O</t>
  </si>
  <si>
    <t>PREPAR,ANDREA,Est 950 NW (Snv 152 NE) ,SERVICIO</t>
  </si>
  <si>
    <t>3L675P</t>
  </si>
  <si>
    <t>PREPAR,ANDREA,Est 950 NW (Snv 152 NE) ,PERFORACION</t>
  </si>
  <si>
    <t>3L675S</t>
  </si>
  <si>
    <t>PREPAR,ANDREA,Est 950 NW (Snv 152 NE) ,SOSTENIMIENTO</t>
  </si>
  <si>
    <t>3L675V</t>
  </si>
  <si>
    <t>PREPAR,ANDREA,Est 950 NW (Snv 152 NE) ,VOLADURA</t>
  </si>
  <si>
    <t>3L942L</t>
  </si>
  <si>
    <t>PREPAR,ANDREA,Ven 037 SW (Tj 157 NE),LIMPIEZA</t>
  </si>
  <si>
    <t>3L942O</t>
  </si>
  <si>
    <t>PREPAR,ANDREA,Ven 037 SW (Tj 157 NE),SERVICIO</t>
  </si>
  <si>
    <t>3L942P</t>
  </si>
  <si>
    <t>PREPAR,ANDREA,Ven 037 SW (Tj 157 NE),PERFORACION</t>
  </si>
  <si>
    <t>3L942S</t>
  </si>
  <si>
    <t>PREPAR,ANDREA,Ven 037 SW (Tj 157 NE),SOSTENIMIENTO</t>
  </si>
  <si>
    <t>3L942V</t>
  </si>
  <si>
    <t>PREPAR,ANDREA,Ven 037 SW (Tj 157 NE),VOLADURA</t>
  </si>
  <si>
    <t>3M31CL</t>
  </si>
  <si>
    <t>PREPAR,JACKY,Ch 619 (Inc 642 SW),LIMPIEZA</t>
  </si>
  <si>
    <t>3M31CO</t>
  </si>
  <si>
    <t>PREPAR,JACKY,Ch 619 (Inc 642 SW),SERVICIO</t>
  </si>
  <si>
    <t>3M31CP</t>
  </si>
  <si>
    <t>PREPAR,JACKY,Ch 619 (Inc 642 SW),PERFORACION</t>
  </si>
  <si>
    <t>3M31CS</t>
  </si>
  <si>
    <t>PREPAR,JACKY,Ch 619 (Inc 642 SW),SOSTENIMIENTO</t>
  </si>
  <si>
    <t>3M31CV</t>
  </si>
  <si>
    <t>PREPAR,JACKY,Ch 619 (Inc 642 SW),VOLADURA</t>
  </si>
  <si>
    <t>3M389L</t>
  </si>
  <si>
    <t>PREPAR,JACKY,Ch 642 (Tj 642 SW),LIMPIEZA</t>
  </si>
  <si>
    <t>3M389O</t>
  </si>
  <si>
    <t>PREPAR,JACKY,Ch 642 (Tj 642 SW),SERVICIO</t>
  </si>
  <si>
    <t>3M389P</t>
  </si>
  <si>
    <t>PREPAR,JACKY,Ch 642 (Tj 642 SW),PERFORACION</t>
  </si>
  <si>
    <t>3M389S</t>
  </si>
  <si>
    <t>PREPAR,JACKY,Ch 642 (Tj 642 SW),SOSTENIMIENTO</t>
  </si>
  <si>
    <t>3M389V</t>
  </si>
  <si>
    <t>PREPAR,JACKY,Ch 642 (Tj 642 SW),VOLADURA</t>
  </si>
  <si>
    <t>3M52ZL</t>
  </si>
  <si>
    <t>PREPAR,JACKY,Snv 645 SW (Tj 642 SW),LIMPIEZA</t>
  </si>
  <si>
    <t>3M52ZO</t>
  </si>
  <si>
    <t>PREPAR,JACKY,Snv 645 SW (Tj 642 SW),SERVICIO</t>
  </si>
  <si>
    <t>3M52ZP</t>
  </si>
  <si>
    <t>PREPAR,JACKY,Snv 645 SW (Tj 642 SW),PERFORACION</t>
  </si>
  <si>
    <t>3M52ZS</t>
  </si>
  <si>
    <t>PREPAR,JACKY,Snv 645 SW (Tj 642 SW),SOSTENIMIENTO</t>
  </si>
  <si>
    <t>3M52ZV</t>
  </si>
  <si>
    <t>PREPAR,JACKY,Snv 645 SW (Tj 642 SW),VOLADURA</t>
  </si>
  <si>
    <t>3M53VL</t>
  </si>
  <si>
    <t>PREPAR,JACKY,Snv 619 NW (Inc 642 SW),LIMPIEZA</t>
  </si>
  <si>
    <t>3M53VO</t>
  </si>
  <si>
    <t>PREPAR,JACKY,Snv 619 NW (Inc 642 SW),SERVICIO</t>
  </si>
  <si>
    <t>3M53VP</t>
  </si>
  <si>
    <t>PREPAR,JACKY,Snv 619 NW (Inc 642 SW),PERFORACION</t>
  </si>
  <si>
    <t>3M53VS</t>
  </si>
  <si>
    <t>PREPAR,JACKY,Snv 619 NW (Inc 642 SW),SOSTENIMIENTO</t>
  </si>
  <si>
    <t>3M53VV</t>
  </si>
  <si>
    <t>PREPAR,JACKY,Snv 619 NW (Inc 642 SW),VOLADURA</t>
  </si>
  <si>
    <t>3M53WL</t>
  </si>
  <si>
    <t>PREPAR,JACKY,Snv 619 SE (Inc 642 SW),LIMPIEZA</t>
  </si>
  <si>
    <t>3M53WO</t>
  </si>
  <si>
    <t>PREPAR,JACKY,Snv 619 SE (Inc 642 SW),SERVICIO</t>
  </si>
  <si>
    <t>3M53WP</t>
  </si>
  <si>
    <t>PREPAR,JACKY,Snv 619 SE (Inc 642 SW),PERFORACION</t>
  </si>
  <si>
    <t>3M53WS</t>
  </si>
  <si>
    <t>PREPAR,JACKY,Snv 619 SE (Inc 642 SW),SOSTENIMIENTO</t>
  </si>
  <si>
    <t>3M53WV</t>
  </si>
  <si>
    <t>PREPAR,JACKY,Snv 619 SE (Inc 642 SW),VOLADURA</t>
  </si>
  <si>
    <t>3M54KL</t>
  </si>
  <si>
    <t>PREPAR,JACKY,Snv 622 SW (Tj 619 SW),LIMPIEZA</t>
  </si>
  <si>
    <t>3M54KO</t>
  </si>
  <si>
    <t>PREPAR,JACKY,Snv 622 SW (Tj 619 SW),SERVICIO</t>
  </si>
  <si>
    <t>3M54KP</t>
  </si>
  <si>
    <t>PREPAR,JACKY,Snv 622 SW (Tj 619 SW),PERFORACION</t>
  </si>
  <si>
    <t>3M54KS</t>
  </si>
  <si>
    <t>PREPAR,JACKY,Snv 622 SW (Tj 619 SW),SOSTENIMIENTO</t>
  </si>
  <si>
    <t>3M54KV</t>
  </si>
  <si>
    <t>PREPAR,JACKY,Snv 622 SW (Tj 619 SW),VOLADURA</t>
  </si>
  <si>
    <t>3M54LL</t>
  </si>
  <si>
    <t>PREPAR,JACKY,Snv 622 NE (Ch 619),LIMPIEZA</t>
  </si>
  <si>
    <t>3M54LO</t>
  </si>
  <si>
    <t>PREPAR,JACKY,Snv 622 NE (Ch 619),SERVICIO</t>
  </si>
  <si>
    <t>3M54LP</t>
  </si>
  <si>
    <t>PREPAR,JACKY,Snv 622 NE (Ch 619),PERFORACION</t>
  </si>
  <si>
    <t>3M54LS</t>
  </si>
  <si>
    <t>PREPAR,JACKY,Snv 622 NE (Ch 619),SOSTENIMIENTO</t>
  </si>
  <si>
    <t>3M54LV</t>
  </si>
  <si>
    <t>PREPAR,JACKY,Snv 622 NE (Ch 619),VOLADURA</t>
  </si>
  <si>
    <t>41001A</t>
  </si>
  <si>
    <t xml:space="preserve">EXPLOR,CACHORRO,GA 170 SW Cx. 128 NE,VOLADURA     </t>
  </si>
  <si>
    <t>41001B</t>
  </si>
  <si>
    <t xml:space="preserve">EXPLOR,CACHORRO,GA 170 SW Cx. 128 NE,CAMINOS      </t>
  </si>
  <si>
    <t>41001C</t>
  </si>
  <si>
    <t>EXPLOR,CACHORRO,GA 170 SW Cx. 128 NE,INSTALACION D</t>
  </si>
  <si>
    <t>41001D</t>
  </si>
  <si>
    <t>EXPLOR,CACHORRO,GA 170 SW Cx. 128 NE,REHAB DE LABO</t>
  </si>
  <si>
    <t>41002A</t>
  </si>
  <si>
    <t xml:space="preserve">Explor,Cachorro,Gal_170,Voladura                  </t>
  </si>
  <si>
    <t>41002B</t>
  </si>
  <si>
    <t xml:space="preserve">Explor,Cachorro,Gal_170,Caminos                   </t>
  </si>
  <si>
    <t>41002C</t>
  </si>
  <si>
    <t xml:space="preserve">Explor,Cachorro,Gal_170,Instalaciones de Rieles   </t>
  </si>
  <si>
    <t>41002D</t>
  </si>
  <si>
    <t xml:space="preserve">Explor,Cachorro,Gal_170,Rehabilitacion de Labores </t>
  </si>
  <si>
    <t>41102A</t>
  </si>
  <si>
    <t xml:space="preserve">EXPLOR,CACHORRO,CX 128-1 NE GAL 028 NE,VOLADURA   </t>
  </si>
  <si>
    <t>41102B</t>
  </si>
  <si>
    <t xml:space="preserve">EXPLOR,CACHORRO,CX 128-1 NE GAL 028 NE,CAMINOS    </t>
  </si>
  <si>
    <t>41102C</t>
  </si>
  <si>
    <t>EXPLOR,CACHORRO,CX 128-1 NE GAL 028 NE,INST. DE RI</t>
  </si>
  <si>
    <t>41102D</t>
  </si>
  <si>
    <t>EXPLOR,CACHORRO,CX 128-1 NE GAL 028 NE,REHAB DE LA</t>
  </si>
  <si>
    <t>41104A</t>
  </si>
  <si>
    <t xml:space="preserve">EXPLO,CACHORRO,CX 020 SW (GAL 170 SW),VOLADURA    </t>
  </si>
  <si>
    <t>41104B</t>
  </si>
  <si>
    <t xml:space="preserve">EXPLO,CACHORRO,CX 020 SW (GAL 170 SW),CAMINOS     </t>
  </si>
  <si>
    <t>41104C</t>
  </si>
  <si>
    <t>EXPLO,CACHORRO,CX 020 SW (GAL 170 SW),INST.DE RIEL</t>
  </si>
  <si>
    <t>41104D</t>
  </si>
  <si>
    <t>EXPLO,CACHORRO,CX 020 SW (GAL 170 SW),REHAB DE LAB</t>
  </si>
  <si>
    <t>41221A</t>
  </si>
  <si>
    <t xml:space="preserve">EXPLO,CACHORRO,CH 044 (GAL 170 SW),VOLADURA       </t>
  </si>
  <si>
    <t>41221B</t>
  </si>
  <si>
    <t xml:space="preserve">EXPLO,CACHORRO,CH 044 (GAL 170 SW),CAMINOS        </t>
  </si>
  <si>
    <t>41221C</t>
  </si>
  <si>
    <t xml:space="preserve">EXPLO,CACHORRO,CH 044 (GAL 170 SW),INST.DE RIELES </t>
  </si>
  <si>
    <t>41221D</t>
  </si>
  <si>
    <t>EXPLO,CACHORRO,CH 044 (GAL 170 SW),REHAB DE LABORE</t>
  </si>
  <si>
    <t>41221E</t>
  </si>
  <si>
    <t xml:space="preserve">EXPLO,CACHORRO,CH 044 (GAL 170 SW),CICLO COMPLETO </t>
  </si>
  <si>
    <t>41417A</t>
  </si>
  <si>
    <t xml:space="preserve">EXPLOR,CACHORRO,SNV 100-SW CH 100,VOLADURA        </t>
  </si>
  <si>
    <t>41417B</t>
  </si>
  <si>
    <t xml:space="preserve">EXPLOR,CACHORRO,SNV 100-SW CH 100,CAMINOS         </t>
  </si>
  <si>
    <t>41417C</t>
  </si>
  <si>
    <t xml:space="preserve">EXPLOR,CACHORRO,SNV 100-SW CH 100,INST.DE RIELES  </t>
  </si>
  <si>
    <t>41417D</t>
  </si>
  <si>
    <t>EXPLOR,CACHORRO,SNV 100-SW CH 100,REHAB DE LABORES</t>
  </si>
  <si>
    <t>41417E</t>
  </si>
  <si>
    <t xml:space="preserve">EXPLOR,CACHORRO,SNV 100-SW CH 100,CICLO COMPLETO  </t>
  </si>
  <si>
    <t>41418A</t>
  </si>
  <si>
    <t xml:space="preserve">EXPLOR,CACHORRO,SNV 100-NE CH 100,VOLADURA        </t>
  </si>
  <si>
    <t>41418B</t>
  </si>
  <si>
    <t xml:space="preserve">EXPLOR,CACHORRO,SNV 100-NE CH 100,CAMINOS         </t>
  </si>
  <si>
    <t>41418C</t>
  </si>
  <si>
    <t xml:space="preserve">EXPLOR,CACHORRO,SNV 100-NE CH 100,INST.DE RIELES  </t>
  </si>
  <si>
    <t>41418D</t>
  </si>
  <si>
    <t>EXPLOR,CACHORRO,SNV 100-NE CH 100,REHAB DE LABORES</t>
  </si>
  <si>
    <t>41418E</t>
  </si>
  <si>
    <t xml:space="preserve">EXPLOR,CACHORRO,SNV 100-NE CH 100,CICLO COMPLETO  </t>
  </si>
  <si>
    <t>41419A</t>
  </si>
  <si>
    <t xml:space="preserve">EXPLOR,CACHORRO,SNV 150-SW CH 150,VOLADURA        </t>
  </si>
  <si>
    <t>41419B</t>
  </si>
  <si>
    <t xml:space="preserve">EXPLOR,CACHORRO,SNV 150-SW CH 150,CAMINOS         </t>
  </si>
  <si>
    <t>41419C</t>
  </si>
  <si>
    <t xml:space="preserve">EXPLOR,CACHORRO,SNV 150-SW CH 150,INST.DE RIELES  </t>
  </si>
  <si>
    <t>41419D</t>
  </si>
  <si>
    <t>EXPLOR,CACHORRO,SNV 150-SW CH 150,REHAB DE LABORES</t>
  </si>
  <si>
    <t>41419E</t>
  </si>
  <si>
    <t xml:space="preserve">EXPLOR,CACHORRO,SNV 150-SW CH 150,CICLO COMPLETO  </t>
  </si>
  <si>
    <t>41420A</t>
  </si>
  <si>
    <t xml:space="preserve">EXPLOR,CACHORRO,SNV 150-NE CH 150,VOLADURA        </t>
  </si>
  <si>
    <t>41420B</t>
  </si>
  <si>
    <t xml:space="preserve">EXPLOR,CACHORRO,SNV 150-NE CH 150,CAMINOS         </t>
  </si>
  <si>
    <t>41420C</t>
  </si>
  <si>
    <t xml:space="preserve">EXPLOR,CACHORRO,SNV 150-NE CH 150,INST.DE RIELES  </t>
  </si>
  <si>
    <t>41420D</t>
  </si>
  <si>
    <t>EXPLOR,CACHORRO,SNV 150-NE CH 150,REHAB DE LABORES</t>
  </si>
  <si>
    <t>41420E</t>
  </si>
  <si>
    <t xml:space="preserve">EXPLOR,CACHORRO,SNV 150-NE CH 150,CICLO COMPLETO  </t>
  </si>
  <si>
    <t>41421A</t>
  </si>
  <si>
    <t xml:space="preserve">EXPLOR,CACHORRO,SNv 170 NE CX 128 NE,VOLADURA     </t>
  </si>
  <si>
    <t>41421B</t>
  </si>
  <si>
    <t xml:space="preserve">EXPLOR,CACHORRO,SNv 170 NE CX 128 NE,CAMINOS      </t>
  </si>
  <si>
    <t>41421C</t>
  </si>
  <si>
    <t>EXPLOR,CACHORRO,SNv 170 NE CX 128 NE,INST.DE RIELE</t>
  </si>
  <si>
    <t>41421D</t>
  </si>
  <si>
    <t>EXPLOR,CACHORRO,SNv 170 NE CX 128 NE,REHAB DE LABO</t>
  </si>
  <si>
    <t>41421E</t>
  </si>
  <si>
    <t>EXPLOR,CACHORRO,SNv 170 NE CX 128 NE,CICLO COMPLET</t>
  </si>
  <si>
    <t>41514A</t>
  </si>
  <si>
    <t xml:space="preserve">EXPLOR,CACHORRO,Est. 170 SE Gal 170 SW,VOLADURA   </t>
  </si>
  <si>
    <t>41514B</t>
  </si>
  <si>
    <t xml:space="preserve">EXPLOR,CACHORRO,Est. 170 SE Gal 170 SW,CAMINOS    </t>
  </si>
  <si>
    <t>41514C</t>
  </si>
  <si>
    <t>EXPLOR,CACHORRO,Est. 170 SE Gal 170 SW,INST.DE RIE</t>
  </si>
  <si>
    <t>41514D</t>
  </si>
  <si>
    <t>EXPLOR,CACHORRO,Est. 170 SE Gal 170 SW,REHAB DE LA</t>
  </si>
  <si>
    <t>41515A</t>
  </si>
  <si>
    <t xml:space="preserve">EXPLOR,CACHORRO,Est. 074 SE Gal 170 SW,VOLADURA   </t>
  </si>
  <si>
    <t>41515B</t>
  </si>
  <si>
    <t xml:space="preserve">EXPLOR,CACHORRO,Est. 074 SE Gal 170 SW,CAMINOS    </t>
  </si>
  <si>
    <t>41515C</t>
  </si>
  <si>
    <t>EXPLOR,CACHORRO,Est. 074 SE Gal 170 SW,INST.DE RIE</t>
  </si>
  <si>
    <t>41515D</t>
  </si>
  <si>
    <t>EXPLOR,CACHORRO,Est. 074 SE Gal 170 SW,REHAB DE LA</t>
  </si>
  <si>
    <t>41516A</t>
  </si>
  <si>
    <t xml:space="preserve">EXPLOR,CACHORRO,Est 125 N Gal 170 sw,VOLADURA     </t>
  </si>
  <si>
    <t>41516B</t>
  </si>
  <si>
    <t xml:space="preserve">EXPLOR,CACHORRO,Est 125 N Gal 170 sw,CAMINOS      </t>
  </si>
  <si>
    <t>41516C</t>
  </si>
  <si>
    <t>EXPLOR,CACHORRO,Est 125 N Gal 170 sw,INST.DE RIELE</t>
  </si>
  <si>
    <t>41516D</t>
  </si>
  <si>
    <t>EXPLOR,CACHORRO,Est 125 N Gal 170 sw,REHAB DE LABO</t>
  </si>
  <si>
    <t>41516E</t>
  </si>
  <si>
    <t>EXPLOR,CACHORRO,Est 125 N Gal 170 sw,CICLO COMPLET</t>
  </si>
  <si>
    <t>41B041</t>
  </si>
  <si>
    <t xml:space="preserve">EXPLOR,CACHORRO,CAM 172 CX 128,DESQUINCHE         </t>
  </si>
  <si>
    <t>41B042</t>
  </si>
  <si>
    <t xml:space="preserve">EXPLOR,CACHORRO,CAM 172 CX 128,ENMADERADO         </t>
  </si>
  <si>
    <t>41B043</t>
  </si>
  <si>
    <t xml:space="preserve">EXPLOR,CACHORRO,CAM 172 CX 128,LIMPIEZA           </t>
  </si>
  <si>
    <t>41B044</t>
  </si>
  <si>
    <t xml:space="preserve">EXPLOR,CACHORRO,CAM 172 CX 128,SERVICIOS          </t>
  </si>
  <si>
    <t>41B045</t>
  </si>
  <si>
    <t xml:space="preserve">EXPLOR,CACHORRO,CAM 172 CX 128,EXTRACCION         </t>
  </si>
  <si>
    <t>41B046</t>
  </si>
  <si>
    <t xml:space="preserve">EXPLOR,CACHORRO,CAM 172 CX 128,SPLIT SET          </t>
  </si>
  <si>
    <t>41B047</t>
  </si>
  <si>
    <t xml:space="preserve">EXPLOR,CACHORRO,CAM 172 CX 128,SPLIT CON MALLA    </t>
  </si>
  <si>
    <t>41B048</t>
  </si>
  <si>
    <t xml:space="preserve">EXPLOR,CACHORRO,CAM 172 CX 128,IZAJE Y DESCENSO   </t>
  </si>
  <si>
    <t>41B049</t>
  </si>
  <si>
    <t xml:space="preserve">EXPLOR,CACHORRO,CAM 172 CX 128,PERFORACION        </t>
  </si>
  <si>
    <t>41B04A</t>
  </si>
  <si>
    <t xml:space="preserve">EXPLOR,CACHORRO,CAM 172 CX 128,VOLADURA           </t>
  </si>
  <si>
    <t>41B04B</t>
  </si>
  <si>
    <t xml:space="preserve">EXPLOR,CACHORRO,CAM 172 CX 128,CAMINOS            </t>
  </si>
  <si>
    <t>41B04C</t>
  </si>
  <si>
    <t xml:space="preserve">EXPLOR,CACHORRO,CAM 172 CX 128,INST DE RIELES     </t>
  </si>
  <si>
    <t>41B04D</t>
  </si>
  <si>
    <t xml:space="preserve">EXPLOR,CACHORRO,CAM 172 CX 128,REHAB DE LABORES   </t>
  </si>
  <si>
    <t>41P011</t>
  </si>
  <si>
    <t xml:space="preserve">EXPLOR,CACHORRO,POZA 672 CX 172 NW,DESQUINCHE     </t>
  </si>
  <si>
    <t>41P012</t>
  </si>
  <si>
    <t xml:space="preserve">EXPLOR,CACHORRO,POZA 672 CX 172 NW,ENMADERADO     </t>
  </si>
  <si>
    <t>41P013</t>
  </si>
  <si>
    <t xml:space="preserve">EXPLOR,CACHORRO,POZA 672 CX 172 NW,LIMPIEZA       </t>
  </si>
  <si>
    <t>41P014</t>
  </si>
  <si>
    <t xml:space="preserve">EXPLOR,CACHORRO,POZA 672 CX 172 NW,SERVICIOS      </t>
  </si>
  <si>
    <t>41P015</t>
  </si>
  <si>
    <t xml:space="preserve">EXPLOR,CACHORRO,POZA 672 CX 172 NW,EXTRACCION     </t>
  </si>
  <si>
    <t>41P016</t>
  </si>
  <si>
    <t xml:space="preserve">EXPLOR,CACHORRO,POZA 672 CX 172 NW,SPLIT SET      </t>
  </si>
  <si>
    <t>41P017</t>
  </si>
  <si>
    <t>EXPLOR,CACHORRO,POZA 672 CX 172 NW,SPLIT CON MALLA</t>
  </si>
  <si>
    <t>41P018</t>
  </si>
  <si>
    <t>EXPLOR,CACHORRO,POZA 672 CX 172 NW,IZAJE Y DESCENS</t>
  </si>
  <si>
    <t>41P019</t>
  </si>
  <si>
    <t xml:space="preserve">EXPLOR,CACHORRO,POZA 672 CX 172 NW,PERFORACION    </t>
  </si>
  <si>
    <t>41P01A</t>
  </si>
  <si>
    <t xml:space="preserve">EXPLOR,CACHORRO,POZA 672 CX 172 NW,VOLADURA       </t>
  </si>
  <si>
    <t>41P01B</t>
  </si>
  <si>
    <t xml:space="preserve">EXPLOR,CACHORRO,POZA 672 CX 172 NW,CAMINOS        </t>
  </si>
  <si>
    <t>41P01C</t>
  </si>
  <si>
    <t>EXPLOR,CACHORRO,POZA 672 CX 172 NW,INSTALAC DE RIE</t>
  </si>
  <si>
    <t>41P01D</t>
  </si>
  <si>
    <t>EXPLOR,CACHORRO,POZA 672 CX 172 NW,REHAB DE LABORE</t>
  </si>
  <si>
    <t>42208A</t>
  </si>
  <si>
    <t xml:space="preserve">PREPAR,CACHORRO,CH 100 GAL 170,VOLADURA           </t>
  </si>
  <si>
    <t>42208B</t>
  </si>
  <si>
    <t xml:space="preserve">PREPAR,CACHORRO,CH 100 GAL 170,CAMINOS            </t>
  </si>
  <si>
    <t>42208C</t>
  </si>
  <si>
    <t xml:space="preserve">PREPAR,CACHORRO,CH 100 GAL 170,INST.DE RIELES     </t>
  </si>
  <si>
    <t>42208D</t>
  </si>
  <si>
    <t xml:space="preserve">PREPAR,CACHORRO,CH 100 GAL 170,REHAB DE LABORES   </t>
  </si>
  <si>
    <t>42215A</t>
  </si>
  <si>
    <t xml:space="preserve">PREPAR,CACHORRO,CH 120 SNV 120 SW,VOLADURA        </t>
  </si>
  <si>
    <t>42215B</t>
  </si>
  <si>
    <t xml:space="preserve">PREPAR,CACHORRO,CH 120 SNV 120 SW,CAMINOS         </t>
  </si>
  <si>
    <t>42215C</t>
  </si>
  <si>
    <t xml:space="preserve">PREPAR,CACHORRO,CH 120 SNV 120 SW,INST.DE RIELES  </t>
  </si>
  <si>
    <t>42215D</t>
  </si>
  <si>
    <t>PREPAR,CACHORRO,CH 120 SNV 120 SW,REHAB DE LABORES</t>
  </si>
  <si>
    <t>42215E</t>
  </si>
  <si>
    <t xml:space="preserve">PREPAR,CACHORRO,CH 120 SNV 120 SW,CICLO COMPLETO  </t>
  </si>
  <si>
    <t>42216A</t>
  </si>
  <si>
    <t xml:space="preserve">PREPAR,CACHORRO,CH 120 SNV 120 NE,VOLADURA        </t>
  </si>
  <si>
    <t>42216B</t>
  </si>
  <si>
    <t xml:space="preserve">PREPAR,CACHORRO,CH 120 SNV 120 NE,CAMINOS         </t>
  </si>
  <si>
    <t>42216C</t>
  </si>
  <si>
    <t xml:space="preserve">PREPAR,CACHORRO,CH 120 SNV 120 NE,INST.DE RIELES  </t>
  </si>
  <si>
    <t>42216D</t>
  </si>
  <si>
    <t>PREPAR,CACHORRO,CH 120 SNV 120 NE,REHAB DE LABORES</t>
  </si>
  <si>
    <t>42216E</t>
  </si>
  <si>
    <t xml:space="preserve">PREPAR,CACHORRO,CH 120 SNV 120 NE,CICLO COMPLETO  </t>
  </si>
  <si>
    <t>42408A</t>
  </si>
  <si>
    <t xml:space="preserve">PREPAR , CACHORRO , SNV 165 SW CH 100 , VOLADURA  </t>
  </si>
  <si>
    <t>42408B</t>
  </si>
  <si>
    <t xml:space="preserve">PREPAR , CACHORRO , SNV 165 SW CH 100 , CAMINOS   </t>
  </si>
  <si>
    <t>42408C</t>
  </si>
  <si>
    <t>PREPAR , CACHORRO , SNV 165 SW CH 100 , INSTALACIO</t>
  </si>
  <si>
    <t>42408D</t>
  </si>
  <si>
    <t>PREPAR , CACHORRO , SNV 165 SW CH 100 , REHABILITA</t>
  </si>
  <si>
    <t>42409A</t>
  </si>
  <si>
    <t xml:space="preserve">PREPAR , CACHORRO , SNV 165 NE CH 100 , VOLADURA  </t>
  </si>
  <si>
    <t>42409B</t>
  </si>
  <si>
    <t xml:space="preserve">PREPAR , CACHORRO , SNV 165 NE CH 100 , CAMINOS   </t>
  </si>
  <si>
    <t>42409C</t>
  </si>
  <si>
    <t>PREPAR , CACHORRO , SNV 165 NE CH 100 , INSTALACIO</t>
  </si>
  <si>
    <t>42409D</t>
  </si>
  <si>
    <t>PREPAR , CACHORRO , SNV 165 NE CH 100 , REHABILITA</t>
  </si>
  <si>
    <t>42423A</t>
  </si>
  <si>
    <t xml:space="preserve">PREPAR, CACHORRO, SNV 100_1 NE CH 100, VOLADURA   </t>
  </si>
  <si>
    <t>42423B</t>
  </si>
  <si>
    <t xml:space="preserve">PREPAR, CACHORRO, SNV 100_1 NE CH 100, CAMINOS    </t>
  </si>
  <si>
    <t>42423C</t>
  </si>
  <si>
    <t>PREPAR, CACHORRO, SNV 100_1 NE CH 100, INST.DE RIE</t>
  </si>
  <si>
    <t>42423D</t>
  </si>
  <si>
    <t>PREPAR, CACHORRO, SNV 100_1 NE CH 100, REHAB DE LA</t>
  </si>
  <si>
    <t>42423E</t>
  </si>
  <si>
    <t>PREPAR, CACHORRO, SNV 100_1 NE CH 100, CICLO COMPL</t>
  </si>
  <si>
    <t>42424A</t>
  </si>
  <si>
    <t xml:space="preserve">PREPAR, CACHORRO, SNV 100_1 SW CH 100, VOLADURA   </t>
  </si>
  <si>
    <t>42424B</t>
  </si>
  <si>
    <t xml:space="preserve">PREPAR, CACHORRO, SNV 100_1 SW CH 100, CAMINOS    </t>
  </si>
  <si>
    <t>42424C</t>
  </si>
  <si>
    <t>PREPAR, CACHORRO, SNV 100_1 SW CH 100, INST.DE RIE</t>
  </si>
  <si>
    <t>42424D</t>
  </si>
  <si>
    <t>PREPAR, CACHORRO, SNV 100_1 SW CH 100, REHAB DE LA</t>
  </si>
  <si>
    <t>42424E</t>
  </si>
  <si>
    <t>PREPAR, CACHORRO, SNV 100_1 SW CH 100, CICLO COMPL</t>
  </si>
  <si>
    <t>43210A</t>
  </si>
  <si>
    <t xml:space="preserve">DESARR,CACHORRO,CH 150 GAL 170 SW,VOLADURA        </t>
  </si>
  <si>
    <t>43210B</t>
  </si>
  <si>
    <t xml:space="preserve">DESARR,CACHORRO,CH 150 GAL 170 SW,CAMINOS         </t>
  </si>
  <si>
    <t>43210C</t>
  </si>
  <si>
    <t xml:space="preserve">DESARR,CACHORRO,CH 150 GAL 170 SW,INST. DE RIELES </t>
  </si>
  <si>
    <t>43210D</t>
  </si>
  <si>
    <t>DESARR,CACHORRO,CH 150 GAL 170 SW,REHAB DE LABORES</t>
  </si>
  <si>
    <t>43213A</t>
  </si>
  <si>
    <t xml:space="preserve">DESARR,CACHORRO,CH 056 GAL 170 SW,VOLADURA        </t>
  </si>
  <si>
    <t>43213B</t>
  </si>
  <si>
    <t xml:space="preserve">DESARR,CACHORRO,CH 056 GAL 170 SW,CAMINOS         </t>
  </si>
  <si>
    <t>43213C</t>
  </si>
  <si>
    <t xml:space="preserve">DESARR,CACHORRO,CH 056 GAL 170 SW,INST.DE RIELES  </t>
  </si>
  <si>
    <t>43213D</t>
  </si>
  <si>
    <t>DESARR,CACHORRO,CH 056 GAL 170 SW,REHAB DE LABORES</t>
  </si>
  <si>
    <t>43214A</t>
  </si>
  <si>
    <t xml:space="preserve">DESARR,CACHORRO,CH 120 GAL 170 SW,VOLADURA        </t>
  </si>
  <si>
    <t>43214B</t>
  </si>
  <si>
    <t xml:space="preserve">DESARR,CACHORRO,CH 120 GAL 170 SW,CAMINOS         </t>
  </si>
  <si>
    <t>43214C</t>
  </si>
  <si>
    <t xml:space="preserve">DESARR,CACHORRO,CH 120 GAL 170 SW,INST.DE RIELES  </t>
  </si>
  <si>
    <t>43214D</t>
  </si>
  <si>
    <t>DESARR,CACHORRO,CH 120 GAL 170 SW,REHAB DE LABORES</t>
  </si>
  <si>
    <t>43214E</t>
  </si>
  <si>
    <t xml:space="preserve">DESARR,CACHORRO,CH 120 GAL 170 SW,CICLO COMPLETO  </t>
  </si>
  <si>
    <t>43425A</t>
  </si>
  <si>
    <t xml:space="preserve">DESARR,CACHORRO, SNV 109, CH 056, VOLADURA        </t>
  </si>
  <si>
    <t>43425B</t>
  </si>
  <si>
    <t xml:space="preserve">DESARR,CACHORRO, SNV 109, CH 056, CAMINOS         </t>
  </si>
  <si>
    <t>43425C</t>
  </si>
  <si>
    <t xml:space="preserve">DESARR,CACHORRO, SNV 109, CH 056, INST.DE RIELES  </t>
  </si>
  <si>
    <t>43425D</t>
  </si>
  <si>
    <t>DESARR,CACHORRO, SNV 109, CH 056, REHAB DE LABORES</t>
  </si>
  <si>
    <t>43425E</t>
  </si>
  <si>
    <t xml:space="preserve">DESARR,CACHORRO, SNV 109, CH 056, CICLO COMPLETO  </t>
  </si>
  <si>
    <t>43426A</t>
  </si>
  <si>
    <t xml:space="preserve">DESAR,CACHORRO,SNV 109 NE, CH 100,VOLADURA        </t>
  </si>
  <si>
    <t>43426B</t>
  </si>
  <si>
    <t xml:space="preserve">DESAR,CACHORRO,SNV 109 NE, CH 100,CAMINOS         </t>
  </si>
  <si>
    <t>43426C</t>
  </si>
  <si>
    <t xml:space="preserve">DESAR,CACHORRO,SNV 109 NE, CH 100,INST.DE RIELES  </t>
  </si>
  <si>
    <t>43426D</t>
  </si>
  <si>
    <t>DESAR,CACHORRO,SNV 109 NE, CH 100,REHAB DE LABORES</t>
  </si>
  <si>
    <t>43426E</t>
  </si>
  <si>
    <t xml:space="preserve">DESAR,CACHORRO,SNV 109 NE, CH 100,CICLO COMPLETO  </t>
  </si>
  <si>
    <t>43427A</t>
  </si>
  <si>
    <t xml:space="preserve">DESAR,CACHORRO,SNV 109 SW, CH 056, VOLADURA       </t>
  </si>
  <si>
    <t>43427B</t>
  </si>
  <si>
    <t xml:space="preserve">DESAR,CACHORRO,SNV 109 SW, CH 056, CAMINOS        </t>
  </si>
  <si>
    <t>43427C</t>
  </si>
  <si>
    <t xml:space="preserve">DESAR,CACHORRO,SNV 109 SW, CH 056, INST.DE RIELES </t>
  </si>
  <si>
    <t>43427D</t>
  </si>
  <si>
    <t>DESAR,CACHORRO,SNV 109 SW, CH 056, REHAB DE LABORE</t>
  </si>
  <si>
    <t>43427E</t>
  </si>
  <si>
    <t xml:space="preserve">DESAR,CACHORRO,SNV 109 SW, CH 056, CICLO COMPLETO </t>
  </si>
  <si>
    <t>43428A</t>
  </si>
  <si>
    <t xml:space="preserve">DESAR,CACHORRO,SNV 117 NE, CH 056VOLADURA         </t>
  </si>
  <si>
    <t>43428B</t>
  </si>
  <si>
    <t xml:space="preserve">DESAR,CACHORRO,SNV 117 NE, CH 056CAMINOS          </t>
  </si>
  <si>
    <t>43428C</t>
  </si>
  <si>
    <t xml:space="preserve">DESAR,CACHORRO,SNV 117 NE, CH 056INST.DE RIELES   </t>
  </si>
  <si>
    <t>43428D</t>
  </si>
  <si>
    <t xml:space="preserve">DESAR,CACHORRO,SNV 117 NE, CH 056REHAB DE LABORES </t>
  </si>
  <si>
    <t>43428E</t>
  </si>
  <si>
    <t xml:space="preserve">DESAR,CACHORRO,SNV 117 NE, CH 056CICLO COMPLETO   </t>
  </si>
  <si>
    <t>43429A</t>
  </si>
  <si>
    <t xml:space="preserve">DESAR,CACHORRO,SNV 117 SW, CH 056,VOLADURA        </t>
  </si>
  <si>
    <t>43429B</t>
  </si>
  <si>
    <t xml:space="preserve">DESAR,CACHORRO,SNV 117 SW, CH 056,CAMINOS         </t>
  </si>
  <si>
    <t>43429C</t>
  </si>
  <si>
    <t xml:space="preserve">DESAR,CACHORRO,SNV 117 SW, CH 056,INST.DE RIELES  </t>
  </si>
  <si>
    <t>43429D</t>
  </si>
  <si>
    <t>DESAR,CACHORRO,SNV 117 SW, CH 056,REHAB DE LABORES</t>
  </si>
  <si>
    <t>43429E</t>
  </si>
  <si>
    <t xml:space="preserve">DESAR,CACHORRO,SNV 117 SW, CH 056,CICLO COMPLETO  </t>
  </si>
  <si>
    <t>44519A</t>
  </si>
  <si>
    <t xml:space="preserve">OPERA,CACHORRO,EST 132 SE CH 100,VOLADURA         </t>
  </si>
  <si>
    <t>44519B</t>
  </si>
  <si>
    <t xml:space="preserve">OPERA,CACHORRO,EST 132 SE CH 100,CAMINOS          </t>
  </si>
  <si>
    <t>44519C</t>
  </si>
  <si>
    <t xml:space="preserve">OPERA,CACHORRO,EST 132 SE CH 100,INST.DE RIELES   </t>
  </si>
  <si>
    <t>44519D</t>
  </si>
  <si>
    <t xml:space="preserve">OPERA,CACHORRO,EST 132 SE CH 100,REHAB DE LABORES </t>
  </si>
  <si>
    <t>44519E</t>
  </si>
  <si>
    <t xml:space="preserve">OPERA,CACHORRO,EST 132 SE CH 100,CICLO COMPLETO   </t>
  </si>
  <si>
    <t>44523A</t>
  </si>
  <si>
    <t xml:space="preserve">OPERA,CACHORRO,EST. 150 NW (CH 150),VOLADURA      </t>
  </si>
  <si>
    <t>44523B</t>
  </si>
  <si>
    <t xml:space="preserve">OPERA,CACHORRO,EST. 150 NW (CH 150),CAMINOS       </t>
  </si>
  <si>
    <t>44523C</t>
  </si>
  <si>
    <t>OPERA,CACHORRO,EST. 150 NW (CH 150),INST.DE RIELES</t>
  </si>
  <si>
    <t>44523D</t>
  </si>
  <si>
    <t>OPERA,CACHORRO,EST. 150 NW (CH 150),REHAB DE LABOR</t>
  </si>
  <si>
    <t>44523E</t>
  </si>
  <si>
    <t>OPERA,CACHORRO,EST. 150 NW (CH 150),CICLO COMPLETO</t>
  </si>
  <si>
    <t>45313A</t>
  </si>
  <si>
    <t xml:space="preserve">PRODU,CACHORRO,TJ 100 CH 120,VOLADURA             </t>
  </si>
  <si>
    <t>45313B</t>
  </si>
  <si>
    <t xml:space="preserve">PRODU,CACHORRO,TJ 100 CH 120,CAMINOS              </t>
  </si>
  <si>
    <t>45313C</t>
  </si>
  <si>
    <t xml:space="preserve">PRODU,CACHORRO,TJ 100 CH 120,INST.DE RIELES       </t>
  </si>
  <si>
    <t>45313D</t>
  </si>
  <si>
    <t xml:space="preserve">PRODU,CACHORRO,TJ 100 CH 120,REHAB DE LABORES     </t>
  </si>
  <si>
    <t>45313E</t>
  </si>
  <si>
    <t xml:space="preserve">PRODU,CACHORRO,TJ 100 CH 120,CICLO COMPLETO       </t>
  </si>
  <si>
    <t>45315A</t>
  </si>
  <si>
    <t xml:space="preserve">PRODU,CACHORRO,TJ 056 CH 100,VOLADURA             </t>
  </si>
  <si>
    <t>45315B</t>
  </si>
  <si>
    <t xml:space="preserve">PRODU,CACHORRO,TJ 056 CH 100,CAMINOS              </t>
  </si>
  <si>
    <t>45315C</t>
  </si>
  <si>
    <t xml:space="preserve">PRODU,CACHORRO,TJ 056 CH 100,INST.DE RIELES       </t>
  </si>
  <si>
    <t>45315D</t>
  </si>
  <si>
    <t xml:space="preserve">PRODU,CACHORRO,TJ 056 CH 100,REHAB DE LABORES     </t>
  </si>
  <si>
    <t>45315E</t>
  </si>
  <si>
    <t xml:space="preserve">PRODU,CACHORRO,TJ 056 CH 100,CICLO COMPLETO       </t>
  </si>
  <si>
    <t>4A3241</t>
  </si>
  <si>
    <t xml:space="preserve">OPERA,ESPERANZA,CH 070 (TJ070),SUMINISTROS        </t>
  </si>
  <si>
    <t>4A3242</t>
  </si>
  <si>
    <t xml:space="preserve">OPERA,ESPERANZA,CH 070 (TJ070),SOSTENIMIENTO      </t>
  </si>
  <si>
    <t>4A3243</t>
  </si>
  <si>
    <t xml:space="preserve">OPERA,ESPERANZA,CH 070 (TJ070),SERVICIO           </t>
  </si>
  <si>
    <t>4A3244</t>
  </si>
  <si>
    <t xml:space="preserve">OPERA,ESPERANZA,CH 070 (TJ070),REHABILITACION     </t>
  </si>
  <si>
    <t>4A8111</t>
  </si>
  <si>
    <t>OPERA,ESPERANZA,Cam 155 (Est 155 NW),SUMINISTROS</t>
  </si>
  <si>
    <t>4A8112</t>
  </si>
  <si>
    <t>OPERA,ESPERANZA,Cam 155 (Est 155 NW),SOSTENIMIENTO</t>
  </si>
  <si>
    <t>4A8113</t>
  </si>
  <si>
    <t>OPERA,ESPERANZA,Cam 155 (Est 155 NW),SERVICIO</t>
  </si>
  <si>
    <t>4A8114</t>
  </si>
  <si>
    <t>OPERA,ESPERANZA,Cam 155 (Est 155 NW),REHABILITACION</t>
  </si>
  <si>
    <t>4B4041</t>
  </si>
  <si>
    <t>OPERA,INKA,INCLI. 618 (SNV 615 SE),SUMINISTROS</t>
  </si>
  <si>
    <t>4B4042</t>
  </si>
  <si>
    <t>OPERA,INKA,INCLI. 618 (SNV 615 SE),SOSTENIMIENTO</t>
  </si>
  <si>
    <t>4B4043</t>
  </si>
  <si>
    <t>OPERA,INKA,INCLI. 618 (SNV 615 SE),SERVICIO</t>
  </si>
  <si>
    <t>4B4044</t>
  </si>
  <si>
    <t>OPERA,INKA,INCLI. 618 (SNV 615 SE),REHABILITACION</t>
  </si>
  <si>
    <t>4B6281</t>
  </si>
  <si>
    <t>OPERA,INKA,EST. 001 ( INCL 618),SUMINISTROS</t>
  </si>
  <si>
    <t>4B6282</t>
  </si>
  <si>
    <t>OPERA,INKA,EST. 001 ( INCL 618),SOSTENIMIENTO</t>
  </si>
  <si>
    <t>4B6283</t>
  </si>
  <si>
    <t>OPERA,INKA,EST. 001 ( INCL 618),SERVICIO</t>
  </si>
  <si>
    <t>4B8071</t>
  </si>
  <si>
    <t>OPERA,INKA,CAM 618 (SNV 615 SE),SUMINISTROS</t>
  </si>
  <si>
    <t>4B8072</t>
  </si>
  <si>
    <t>OPERA,INKA,CAM 618 (SNV 615 SE),SOSTENIMIENTO</t>
  </si>
  <si>
    <t>4B8073</t>
  </si>
  <si>
    <t>OPERA,INKA,CAM 618 (SNV 615 SE),SERVICIO</t>
  </si>
  <si>
    <t>4B8074</t>
  </si>
  <si>
    <t>OPERA,INKA,CAM 618 (SNV 615 SE),REHABILITACION</t>
  </si>
  <si>
    <t>4C3651</t>
  </si>
  <si>
    <t>OPERA,CHAPI,Ch 621 (Est 845-2 SE),SUMINISTROS</t>
  </si>
  <si>
    <t>4C3652</t>
  </si>
  <si>
    <t>OPERA,CHAPI,Ch 621 (Est 845-2 SE),SOSTENIMIENTO</t>
  </si>
  <si>
    <t>4C3653</t>
  </si>
  <si>
    <t>OPERA,CHAPI,Ch 621 (Est 845-2 SE),SERVICIO</t>
  </si>
  <si>
    <t>4C3654</t>
  </si>
  <si>
    <t>OPERA,CHAPI,Ch 621 (Est 845-2 SE),REHABILITACION</t>
  </si>
  <si>
    <t>4C3661</t>
  </si>
  <si>
    <t>OPERA,CHAPI,Ch 852 (Tj 862 SW),SUMINISTROS</t>
  </si>
  <si>
    <t>4C3662</t>
  </si>
  <si>
    <t>OPERA,CHAPI,Ch 852 (Tj 862 SW),SOSTENIMIENTO</t>
  </si>
  <si>
    <t>4C3663</t>
  </si>
  <si>
    <t>OPERA,CHAPI,Ch 852 (Tj 862 SW),SERVICIO</t>
  </si>
  <si>
    <t>4C3664</t>
  </si>
  <si>
    <t>OPERA,CHAPI,Ch 852 (Tj 862 SW),REHABILITACION</t>
  </si>
  <si>
    <t>4C3671</t>
  </si>
  <si>
    <t>OPERA,CHAPI,Ch 593 (SNV 840 SW),SUMINISTROS</t>
  </si>
  <si>
    <t>4C3672</t>
  </si>
  <si>
    <t>OPERA,CHAPI,Ch 593 (SNV 840 SW),SOSTENIMIENTO</t>
  </si>
  <si>
    <t>4C3673</t>
  </si>
  <si>
    <t>OPERA,CHAPI,Ch 593 (SNV 840 SW),SERVICIO</t>
  </si>
  <si>
    <t>4C3674</t>
  </si>
  <si>
    <t>OPERA,CHAPI,Ch 593 (SNV 840 SW),REHABILITACION</t>
  </si>
  <si>
    <t>4C4011</t>
  </si>
  <si>
    <t xml:space="preserve">OPERA,CHAPI,PQ 270 (SNV 317 NE),SUMINISTROS       </t>
  </si>
  <si>
    <t>4C4012</t>
  </si>
  <si>
    <t xml:space="preserve">OPERA,CHAPI,PQ 270 (SNV 317 NE),SOSTENIMIENTO     </t>
  </si>
  <si>
    <t>4C4013</t>
  </si>
  <si>
    <t xml:space="preserve">OPERA,CHAPI,PQ 270 (SNV 317 NE),SERVICIO          </t>
  </si>
  <si>
    <t>4C4014</t>
  </si>
  <si>
    <t xml:space="preserve">OPERA,CHAPI,PQ 270 (SNV 317 NE),REHABILITACION    </t>
  </si>
  <si>
    <t>4C4015</t>
  </si>
  <si>
    <t xml:space="preserve">OPERA,CHAPI,PQ 270 (SNV 317 NE),TOLVA             </t>
  </si>
  <si>
    <t>4C6386</t>
  </si>
  <si>
    <t>OPERA,CHAPI,Est 875 NW (Snv 320 NE),REFUGIO</t>
  </si>
  <si>
    <t>4C6461</t>
  </si>
  <si>
    <t>OPERA,CHAPI,Est 845-2 SE (Pq 845),SUMINISTROS</t>
  </si>
  <si>
    <t>4C6462</t>
  </si>
  <si>
    <t>OPERA,CHAPI,Est 845-2 SE (Pq 845),SOSTENIMIENTO</t>
  </si>
  <si>
    <t>4C6463</t>
  </si>
  <si>
    <t>OPERA,CHAPI,Est 845-2 SE (Pq 845),SERVICIO</t>
  </si>
  <si>
    <t>4C6464</t>
  </si>
  <si>
    <t>OPERA,CHAPI,Est 845-2 SE (Pq 845),REHABILITACION</t>
  </si>
  <si>
    <t>4C6481</t>
  </si>
  <si>
    <t>OPERA,CHAPI,Est 870 SW (Ch 621),SUMINISTROS</t>
  </si>
  <si>
    <t>4C6482</t>
  </si>
  <si>
    <t>OPERA,CHAPI,Est 870 SW (Ch 621),SOSTENIMIENTO</t>
  </si>
  <si>
    <t>4C6483</t>
  </si>
  <si>
    <t>OPERA,CHAPI,Est 870 SW (Ch 621),SERVICIO</t>
  </si>
  <si>
    <t>4C6484</t>
  </si>
  <si>
    <t>OPERA,CHAPI,Est 870 SW (Ch 621),REHABILITACION</t>
  </si>
  <si>
    <t>4C9291</t>
  </si>
  <si>
    <t>OPERA,CHAPI,Ven 024 (Tj 843 NE),SUMINISTROS</t>
  </si>
  <si>
    <t>4C9292</t>
  </si>
  <si>
    <t>OPERA,CHAPI,Ven 024 (Tj 843 NE),SOSTENIMIENTO</t>
  </si>
  <si>
    <t>4C9293</t>
  </si>
  <si>
    <t>OPERA,CHAPI,Ven 024 (Tj 843 NE),SERVICIO</t>
  </si>
  <si>
    <t>4C9294</t>
  </si>
  <si>
    <t>OPERA,CHAPI,Ven 024 (Tj 843 NE),REHABILITACION</t>
  </si>
  <si>
    <t>4C9301</t>
  </si>
  <si>
    <t>OPERA,CHAPI,Ven 025 (Tj 862 SW),SUMINISTROS</t>
  </si>
  <si>
    <t>4C9302</t>
  </si>
  <si>
    <t>OPERA,CHAPI,Ven 025 (Tj 862 SW),SOSTENIMIENTO</t>
  </si>
  <si>
    <t>4C9303</t>
  </si>
  <si>
    <t>OPERA,CHAPI,Ven 025 (Tj 862 SW),SERVICIO</t>
  </si>
  <si>
    <t>4C9304</t>
  </si>
  <si>
    <t>OPERA,CHAPI,Ven 025 (Tj 862 SW),REHABILITACION</t>
  </si>
  <si>
    <t>4C9341</t>
  </si>
  <si>
    <t>OPERA,CHAPI,Ven 029 (Tj 862 NE),SUMINISTROS</t>
  </si>
  <si>
    <t>4C9342</t>
  </si>
  <si>
    <t>OPERA,CHAPI,Ven 029 (Tj 862 NE),SOSTENIMIENTO</t>
  </si>
  <si>
    <t>4C9343</t>
  </si>
  <si>
    <t>OPERA,CHAPI,Ven 029 (Tj 862 NE),SERVICIO</t>
  </si>
  <si>
    <t>4C9344</t>
  </si>
  <si>
    <t>OPERA,CHAPI,Ven 029 (Tj 862 NE),REHABILITACION</t>
  </si>
  <si>
    <t>4D3311</t>
  </si>
  <si>
    <t xml:space="preserve">OPERA,CACHORRO,CH 050 (GAL 170 SW),SUMINISTROS    </t>
  </si>
  <si>
    <t>4D3312</t>
  </si>
  <si>
    <t xml:space="preserve">OPERA,CACHORRO,CH 050 (GAL 170 SW),SOSTENIMIENTO  </t>
  </si>
  <si>
    <t>4D3313</t>
  </si>
  <si>
    <t xml:space="preserve">OPERA,CACHORRO,CH 050 (GAL 170 SW),SERVICIO       </t>
  </si>
  <si>
    <t>4D3314</t>
  </si>
  <si>
    <t xml:space="preserve">OPERA,CACHORRO,CH 050 (GAL 170 SW),REHABILITACION </t>
  </si>
  <si>
    <t>4D6356</t>
  </si>
  <si>
    <t>OPERA,CACHORRO,Est 155 NW (Cx 128 NE),REFUGIO</t>
  </si>
  <si>
    <t>4D6491</t>
  </si>
  <si>
    <t>OPERA,CACHORRO,Est 122 SE (Ch 122),SUMINISTROS</t>
  </si>
  <si>
    <t>4D6492</t>
  </si>
  <si>
    <t>OPERA,CACHORRO,Est 122 SE (Ch 122),SOSTENIMIENTO</t>
  </si>
  <si>
    <t>4D6493</t>
  </si>
  <si>
    <t>OPERA,CACHORRO,Est 122 SE (Ch 122),SERVICIO</t>
  </si>
  <si>
    <t>4D6494</t>
  </si>
  <si>
    <t>OPERA,CACHORRO,Est 122 SE (Ch 122),REHABILITACION</t>
  </si>
  <si>
    <t>4D672L</t>
  </si>
  <si>
    <t>OPERAC,CACHORRO,Est 929 SE (Snv 089 NE),LIMPIEZA</t>
  </si>
  <si>
    <t>4D672O</t>
  </si>
  <si>
    <t>OPERAC,CACHORRO,Est 929 SE (Snv 089 NE),SERVICIO</t>
  </si>
  <si>
    <t>4D672P</t>
  </si>
  <si>
    <t>OPERAC,CACHORRO,Est 929 SE (Snv 089 NE),PERFORACION</t>
  </si>
  <si>
    <t>4D672S</t>
  </si>
  <si>
    <t>OPERAC,CACHORRO,Est 929 SE (Snv 089 NE),SOSTENIMIENTO</t>
  </si>
  <si>
    <t>4D672V</t>
  </si>
  <si>
    <t>OPERAC,CACHORRO,Est 929 SE (Snv 089 NE),VOLADURA</t>
  </si>
  <si>
    <t>4D8101</t>
  </si>
  <si>
    <t>OPERA,CACHORRO,Cam 12 (Cx 128 NE),SUMINISTROS</t>
  </si>
  <si>
    <t>4D8102</t>
  </si>
  <si>
    <t>OPERA,CACHORRO,Cam 12 (Cx 128 NE),SOSTENIMIENTO</t>
  </si>
  <si>
    <t>4D8103</t>
  </si>
  <si>
    <t>OPERA,CACHORRO,Cam 12 (Cx 128 NE),SERVICIO</t>
  </si>
  <si>
    <t>4D8104</t>
  </si>
  <si>
    <t>OPERA,CACHORRO,Cam 12 (Cx 128 NE),REHABILITACION</t>
  </si>
  <si>
    <t>4DB25L</t>
  </si>
  <si>
    <t>OPERAC,CACHORRO,Hp 026 (Tj 070 NE),LIMPIEZA</t>
  </si>
  <si>
    <t>4DB25O</t>
  </si>
  <si>
    <t>OPERAC,CACHORRO,Hp 026 (Tj 070 NE),SERVICIO</t>
  </si>
  <si>
    <t>4DB25P</t>
  </si>
  <si>
    <t>OPERAC,CACHORRO,Hp 026 (Tj 070 NE),PERFORACION</t>
  </si>
  <si>
    <t>4DB25V</t>
  </si>
  <si>
    <t>OPERAC,CACHORRO,Hp 026 (Tj 070 NE),VOLADURA</t>
  </si>
  <si>
    <t>4DB26L</t>
  </si>
  <si>
    <t>OPERAC,CACHORRO,Hp 027 (Tj 070 NE),LIMPIEZA</t>
  </si>
  <si>
    <t>4DB26O</t>
  </si>
  <si>
    <t>OPERAC,CACHORRO,Hp 027 (Tj 070 NE),SERVICIO</t>
  </si>
  <si>
    <t>4DB26P</t>
  </si>
  <si>
    <t>OPERAC,CACHORRO,Hp 027 (Tj 070 NE),PERFORACION</t>
  </si>
  <si>
    <t>4DB26V</t>
  </si>
  <si>
    <t>OPERAC,CACHORRO,Hp 027 (Tj 070 NE),VOLADURA</t>
  </si>
  <si>
    <t>4DB27L</t>
  </si>
  <si>
    <t>OPERAC,CACHORRO,Hp 028 (Tj 070 NE),LIMPIEZA</t>
  </si>
  <si>
    <t>4DB27O</t>
  </si>
  <si>
    <t>OPERAC,CACHORRO,Hp 028 (Tj 070 NE),SERVICIO</t>
  </si>
  <si>
    <t>4DB27P</t>
  </si>
  <si>
    <t>OPERAC,CACHORRO,Hp 028 (Tj 070 NE),PERFORACION</t>
  </si>
  <si>
    <t>4DB27V</t>
  </si>
  <si>
    <t>OPERAC,CACHORRO,Hp 028 (Tj 070 NE),VOLADURA</t>
  </si>
  <si>
    <t>4E3321</t>
  </si>
  <si>
    <t>OPERA,VANESSA,CH 075 (CX 074 SW),SUMINISTROS</t>
  </si>
  <si>
    <t>4E3322</t>
  </si>
  <si>
    <t>OPERA,VANESSA,CH 075 (CX 074 SW),SOSTENIMIENTO</t>
  </si>
  <si>
    <t>4E3323</t>
  </si>
  <si>
    <t>OPERA,VANESSA,CH 075 (CX 074 SW),SERVICIO</t>
  </si>
  <si>
    <t>4E3324</t>
  </si>
  <si>
    <t>OPERA,VANESSA,CH 075 (CX 074 SW),REHABILITACION</t>
  </si>
  <si>
    <t>4E3341</t>
  </si>
  <si>
    <t>OPERA,VANESSA,CH 075 (CX 075  SW),SUMINISTROS</t>
  </si>
  <si>
    <t>4E3342</t>
  </si>
  <si>
    <t>OPERA,VANESSA,CH 075 (CX 075  SW),SOSTENIMIENTO</t>
  </si>
  <si>
    <t>4E3343</t>
  </si>
  <si>
    <t>OPERA,VANESSA,CH 075 (CX 075  SW),SERVICIO</t>
  </si>
  <si>
    <t>4E3344</t>
  </si>
  <si>
    <t>OPERA,VANESSA,CH 075 (CX 075  SW),REHABILITACION</t>
  </si>
  <si>
    <t>4E3351</t>
  </si>
  <si>
    <t>OPERA,VANESSA,CH 073 (CX 074  SW),SUMINISTROS</t>
  </si>
  <si>
    <t>4E3352</t>
  </si>
  <si>
    <t>OPERA,VANESSA,CH 073 (CX 074  SW),SOSTENIMIENTO</t>
  </si>
  <si>
    <t>4E3353</t>
  </si>
  <si>
    <t>OPERA,VANESSA,CH 073 (CX 074  SW),SERVICIO</t>
  </si>
  <si>
    <t>4E3354</t>
  </si>
  <si>
    <t>OPERA,VANESSA,CH 073 (CX 074  SW),REHABILITACION</t>
  </si>
  <si>
    <t>4E3371</t>
  </si>
  <si>
    <t>OPERA,VANESSA,CH 044-1 (TJ 045 SW),SUMINISTROS</t>
  </si>
  <si>
    <t>4E3372</t>
  </si>
  <si>
    <t>OPERA,VANESSA,CH 044-1 (TJ 045 SW),SOSTENIMIENTO</t>
  </si>
  <si>
    <t>4E3373</t>
  </si>
  <si>
    <t>OPERA,VANESSA,CH 044-1 (TJ 045 SW),SERVICIO</t>
  </si>
  <si>
    <t>4E3374</t>
  </si>
  <si>
    <t>OPERA,VANESSA,CH 044-1 (TJ 045 SW),REHABILITACION</t>
  </si>
  <si>
    <t>4E3501</t>
  </si>
  <si>
    <t>OPERA,VANESSA,Ch 044 (Snv 140 SW),SUMINISTROS</t>
  </si>
  <si>
    <t>4E3502</t>
  </si>
  <si>
    <t>OPERA,VANESSA,Ch 044 (Snv 140 SW),SOSTENIMIENTO</t>
  </si>
  <si>
    <t>4E3503</t>
  </si>
  <si>
    <t>OPERA,VANESSA,Ch 044 (Snv 140 SW),SERVICIO</t>
  </si>
  <si>
    <t>4E3504</t>
  </si>
  <si>
    <t>OPERA,VANESSA,Ch 044 (Snv 140 SW),REHABILITACION</t>
  </si>
  <si>
    <t>4E3511</t>
  </si>
  <si>
    <t>OPERA,VANESSA,Ch 044-1 (Snv 123-1 SW),SUMINISTROS</t>
  </si>
  <si>
    <t>4E3512</t>
  </si>
  <si>
    <t>OPERA,VANESSA,Ch 044-1 (Snv 123-1 SW),SOSTENIMIENTO</t>
  </si>
  <si>
    <t>4E3513</t>
  </si>
  <si>
    <t>OPERA,VANESSA,Ch 044-1 (Snv 123-1 SW),SERVICIO</t>
  </si>
  <si>
    <t>4E3514</t>
  </si>
  <si>
    <t>OPERA,VANESSA,Ch 044-1 (Snv 123-1 SW),REHABILITACION</t>
  </si>
  <si>
    <t>4E374L</t>
  </si>
  <si>
    <t>OPERAC,VANESSA,Ch 088 (Tj 087 NE),LIMPIEZA</t>
  </si>
  <si>
    <t>4E374O</t>
  </si>
  <si>
    <t>OPERAC,VANESSA,Ch 088 (Tj 087 NE),SERVICIO</t>
  </si>
  <si>
    <t>4E374P</t>
  </si>
  <si>
    <t>OPERAC,VANESSA,Ch 088 (Tj 087 NE),PERFORACION</t>
  </si>
  <si>
    <t>4E374S</t>
  </si>
  <si>
    <t>OPERAC,VANESSA,Ch 088 (Tj 087 NE),SOSTENIMIENTO</t>
  </si>
  <si>
    <t>4E374V</t>
  </si>
  <si>
    <t>OPERAC,VANESSA,Ch 088 (Tj 087 NE),VOLADURA</t>
  </si>
  <si>
    <t>4E4031</t>
  </si>
  <si>
    <t>OPERA,VANESSA,PQ 075 (CX 075 SW),SUMINISTROS</t>
  </si>
  <si>
    <t>4E4032</t>
  </si>
  <si>
    <t>OPERA,VANESSA,PQ 075 (CX 075 SW),SOSTENIMIENTO</t>
  </si>
  <si>
    <t>4E4033</t>
  </si>
  <si>
    <t>OPERA,VANESSA,PQ 075 (CX 075 SW),SERVICIO</t>
  </si>
  <si>
    <t>4E4034</t>
  </si>
  <si>
    <t>OPERA,VANESSA,PQ 075 (CX 075 SW),REHABILITACION</t>
  </si>
  <si>
    <t>4E5281</t>
  </si>
  <si>
    <t>OPERA,VANESSA,Snv 113 SW (Tj 066 NE),SUMINISTROS</t>
  </si>
  <si>
    <t>4E5282</t>
  </si>
  <si>
    <t>OPERA,VANESSA,Snv 113 SW (Tj 066 NE),SOSTENIMIENTO</t>
  </si>
  <si>
    <t>4E5283</t>
  </si>
  <si>
    <t>OPERA,VANESSA,Snv 113 SW (Tj 066 NE),SERVICIO</t>
  </si>
  <si>
    <t>4E5284</t>
  </si>
  <si>
    <t>OPERA,VANESSA,Snv 113 SW (Tj 066 NE),REHABILITACION</t>
  </si>
  <si>
    <t>4E5431</t>
  </si>
  <si>
    <t>OPERA,VANESSA,SNV 119 NE (TJ 076 NE),SUMINISTROS</t>
  </si>
  <si>
    <t>4E5432</t>
  </si>
  <si>
    <t>OPERA,VANESSA,SNV 119 NE (TJ 076 NE),SOSTENIMIENTO</t>
  </si>
  <si>
    <t>4E5433</t>
  </si>
  <si>
    <t>OPERA,VANESSA,SNV 119 NE (TJ 076 NE),SERVICIO</t>
  </si>
  <si>
    <t>4E5434</t>
  </si>
  <si>
    <t>OPERA,VANESSA,SNV 119 NE (TJ 076 NE),REHABILITACION</t>
  </si>
  <si>
    <t>4E5511</t>
  </si>
  <si>
    <t>OPERA,VANESSA,Snv 167 SW (Tj 137 SW),SUMINISTROS</t>
  </si>
  <si>
    <t>4E5512</t>
  </si>
  <si>
    <t>OPERA,VANESSA,Snv 167 SW (Tj 137 SW),SOSTENIMIENTO</t>
  </si>
  <si>
    <t>4E5513</t>
  </si>
  <si>
    <t>OPERA,VANESSA,Snv 167 SW (Tj 137 SW),SERVICIO</t>
  </si>
  <si>
    <t>4E5731</t>
  </si>
  <si>
    <t>OPERA,VANESSA,Snv 145 NE (Tj 065 NE),SUMINISTROS</t>
  </si>
  <si>
    <t>4E5732</t>
  </si>
  <si>
    <t>OPERA,VANESSA,Snv 145 NE (Tj 065 NE),SOSTENIMIENTO</t>
  </si>
  <si>
    <t>4E5733</t>
  </si>
  <si>
    <t>OPERA,VANESSA,Snv 145 NE (Tj 065 NE),SERVICIO</t>
  </si>
  <si>
    <t>4E5734</t>
  </si>
  <si>
    <t>OPERA,VANESSA,Snv 145 NE (Tj 065 NE),REHABILITACION</t>
  </si>
  <si>
    <t>4E5761</t>
  </si>
  <si>
    <t>OPERA,VANESSA,Snv 117 NE (Ch 066),SUMINISTROS</t>
  </si>
  <si>
    <t>4E5762</t>
  </si>
  <si>
    <t>OPERA,VANESSA,Snv 117 NE (Ch 066),SOSTENIMIENTO</t>
  </si>
  <si>
    <t>4E5763</t>
  </si>
  <si>
    <t>OPERA,VANESSA,Snv 117 NE (Ch 066),SERVICIO</t>
  </si>
  <si>
    <t>4E5764</t>
  </si>
  <si>
    <t>OPERA,VANESSA,Snv 117 NE (Ch 066),REHABILITACION</t>
  </si>
  <si>
    <t>4E5811</t>
  </si>
  <si>
    <t>OPERA,VANESSA,Snv 154 NE (Tj 065 NE),SUMINISTROS</t>
  </si>
  <si>
    <t>4E5812</t>
  </si>
  <si>
    <t>OPERA,VANESSA,Snv 154 NE (Tj 065 NE),SOSTENIMIENTO</t>
  </si>
  <si>
    <t>4E5813</t>
  </si>
  <si>
    <t>OPERA,VANESSA,Snv 154 NE (Tj 065 NE),SERVICIO</t>
  </si>
  <si>
    <t>4E5814</t>
  </si>
  <si>
    <t>OPERA,VANESSA,Snv 154 NE (Tj 065 NE),REHABILITACION</t>
  </si>
  <si>
    <t>4E5831</t>
  </si>
  <si>
    <t>OPERA,VANESSA,Snv 135 SW (Ch 053),SUMINISTROS</t>
  </si>
  <si>
    <t>4E5832</t>
  </si>
  <si>
    <t>OPERA,VANESSA,Snv 135 SW (Ch 053),SOSTENIMIENTO</t>
  </si>
  <si>
    <t>4E5833</t>
  </si>
  <si>
    <t>OPERA,VANESSA,Snv 135 SW (Ch 053),SERVICIO</t>
  </si>
  <si>
    <t>4E5834</t>
  </si>
  <si>
    <t>OPERA,VANESSA,Snv 135 SW (Ch 053),REHABILITACION</t>
  </si>
  <si>
    <t>4E5841</t>
  </si>
  <si>
    <t>OPERA,VANESSA,Snv 150 NE (Tj 127 NE),SUMINISTROS</t>
  </si>
  <si>
    <t>4E5842</t>
  </si>
  <si>
    <t>OPERA,VANESSA,Snv 150 NE (Tj 127 NE),SOSTENIMIENTO</t>
  </si>
  <si>
    <t>4E5843</t>
  </si>
  <si>
    <t>OPERA,VANESSA,Snv 150 NE (Tj 127 NE),SERVICIO</t>
  </si>
  <si>
    <t>4E5844</t>
  </si>
  <si>
    <t>OPERA,VANESSA,Snv 150 NE (Tj 127 NE),REHABILITACION</t>
  </si>
  <si>
    <t>4E6256</t>
  </si>
  <si>
    <t xml:space="preserve">OPERA,VANESSA,EST. 069 SE (SNV 123 NE),REFUGIO    </t>
  </si>
  <si>
    <t>4E6266</t>
  </si>
  <si>
    <t>OPERA,VANESSA,EST. 073 NW (CH 075),REFUGIO</t>
  </si>
  <si>
    <t>4E6271</t>
  </si>
  <si>
    <t>OPERA,VANESSA,EST. 075 NW (CH 075),SUMINISTROS</t>
  </si>
  <si>
    <t>4E6272</t>
  </si>
  <si>
    <t>OPERA,VANESSA,EST. 075 NW (CH 075),SOSTENIMIENTO</t>
  </si>
  <si>
    <t>4E6273</t>
  </si>
  <si>
    <t>OPERA,VANESSA,EST. 075 NW (CH 075),SERVICIO</t>
  </si>
  <si>
    <t>4E6326</t>
  </si>
  <si>
    <t>OPERA,VANESSA,EST 077 SW (EST 075 1SE),REFUGIO</t>
  </si>
  <si>
    <t>4E6401</t>
  </si>
  <si>
    <t>OPERA,VANESSA,Est 070  (Gal 150 SW),SUMINISTROS</t>
  </si>
  <si>
    <t>4E6402</t>
  </si>
  <si>
    <t>OPERA,VANESSA,Est 070  (Gal 150 SW),SOSTENIMIENTO</t>
  </si>
  <si>
    <t>4E6403</t>
  </si>
  <si>
    <t>OPERA,VANESSA,Est 070  (Gal 150 SW),SERVICIO</t>
  </si>
  <si>
    <t>4E6404</t>
  </si>
  <si>
    <t>OPERA,VANESSA,Est 070  (Gal 150 SW),REHABILITACION</t>
  </si>
  <si>
    <t>4E6441</t>
  </si>
  <si>
    <t>OPERA,VANESSA,Est 076 SW (Est 075-2 SE),SUMINISTROS</t>
  </si>
  <si>
    <t>4E6442</t>
  </si>
  <si>
    <t>OPERA,VANESSA,Est 076 SW (Est 075-2 SE),SOSTENIMIENTO</t>
  </si>
  <si>
    <t>4E6443</t>
  </si>
  <si>
    <t>OPERA,VANESSA,Est 076 SW (Est 075-2 SE),SERVICIO</t>
  </si>
  <si>
    <t>4E6444</t>
  </si>
  <si>
    <t>OPERA,VANESSA,Est 076 SW (Est 075-2 SE),REHABILITACION</t>
  </si>
  <si>
    <t>4E9021</t>
  </si>
  <si>
    <t>OPERA,VANESSA,Ven 005 NE (Tj 101 SW),SUMINISTROS</t>
  </si>
  <si>
    <t>4E9022</t>
  </si>
  <si>
    <t>OPERA,VANESSA,Ven 005 NE (Tj 101 SW),SOSTENIMIENTO</t>
  </si>
  <si>
    <t>4E9023</t>
  </si>
  <si>
    <t>OPERA,VANESSA,Ven 005 NE (Tj 101 SW),SERVICIO</t>
  </si>
  <si>
    <t>4E9024</t>
  </si>
  <si>
    <t>OPERA,VANESSA,Ven 005 NE (Tj 101 SW),REHABILITACION</t>
  </si>
  <si>
    <t>4E9028</t>
  </si>
  <si>
    <t>OPERA,VANESSA,VNT. 117 NE (CH 107),BREASTING</t>
  </si>
  <si>
    <t>4E9036</t>
  </si>
  <si>
    <t>OPERA,VANESSA,Ven 001 NE (Tj 091 SW),REFUGIO</t>
  </si>
  <si>
    <t>4E9046</t>
  </si>
  <si>
    <t>OPERA,VANESSA,Ven 002 SW (Tj 117 NE),REFUGIO</t>
  </si>
  <si>
    <t>4E9056</t>
  </si>
  <si>
    <t>OPERA,VANESSA,Ven 003 NE (Tj 101 SW),REFUGIO</t>
  </si>
  <si>
    <t>4E9066</t>
  </si>
  <si>
    <t>OPERA,VANESSA,Ven 004 NE (Tj 117 SW),REFUGIO</t>
  </si>
  <si>
    <t>4E9076</t>
  </si>
  <si>
    <t>OPERA,VANESSA,Ven 006  (Tj 127 SW),REFUGIO</t>
  </si>
  <si>
    <t>4E9081</t>
  </si>
  <si>
    <t>OPERA,VANESSA,Ven 007 (Tj 081 SW),SUMINISTROS</t>
  </si>
  <si>
    <t>4E9082</t>
  </si>
  <si>
    <t>OPERA,VANESSA,Ven 007 (Tj 081 SW),SOSTENIMIENTO</t>
  </si>
  <si>
    <t>4E9083</t>
  </si>
  <si>
    <t>OPERA,VANESSA,Ven 007 (Tj 081 SW),SERVICIO</t>
  </si>
  <si>
    <t>4E9084</t>
  </si>
  <si>
    <t>OPERA,VANESSA,Ven 007 (Tj 081 SW),REHABILITACION</t>
  </si>
  <si>
    <t>4E9091</t>
  </si>
  <si>
    <t>OPERA,VANESSA,Ven 008 (Tj 066 NE),SUMINISTROS</t>
  </si>
  <si>
    <t>4E9092</t>
  </si>
  <si>
    <t>OPERA,VANESSA,Ven 008 (Tj 066 NE),SOSTENIMIENTO</t>
  </si>
  <si>
    <t>4E9093</t>
  </si>
  <si>
    <t>OPERA,VANESSA,Ven 008 (Tj 066 NE),SERVICIO</t>
  </si>
  <si>
    <t>4E9094</t>
  </si>
  <si>
    <t>OPERA,VANESSA,Ven 008 (Tj 066 NE),REHABILITACION</t>
  </si>
  <si>
    <t>4E9101</t>
  </si>
  <si>
    <t>OPERA,VANESSA,Ven 009 (Tj 790 SW),SUMINISTROS</t>
  </si>
  <si>
    <t>4E9102</t>
  </si>
  <si>
    <t>OPERA,VANESSA,Ven 009 (Tj 790 SW),SOSTENIMIENTO</t>
  </si>
  <si>
    <t>4E9103</t>
  </si>
  <si>
    <t>OPERA,VANESSA,Ven 009 (Tj 790 SW),SERVICIO</t>
  </si>
  <si>
    <t>4E9104</t>
  </si>
  <si>
    <t>OPERA,VANESSA,Ven 009 (Tj 790 SW),REHABILITACION</t>
  </si>
  <si>
    <t>4E9111</t>
  </si>
  <si>
    <t>OPERA,VANESSA,Ven 010 (Tj 066 SW),SUMINISTROS</t>
  </si>
  <si>
    <t>4E9112</t>
  </si>
  <si>
    <t>OPERA,VANESSA,Ven 010 (Tj 066 SW),SOSTENIMIENTO</t>
  </si>
  <si>
    <t>4E9113</t>
  </si>
  <si>
    <t>OPERA,VANESSA,Ven 010 (Tj 066 SW),SERVICIO</t>
  </si>
  <si>
    <t>4E9114</t>
  </si>
  <si>
    <t>OPERA,VANESSA,Ven 010 (Tj 066 SW),REHABILITACION</t>
  </si>
  <si>
    <t>4E9121</t>
  </si>
  <si>
    <t>OPERA,VANESSA,Ven 011 (Tj 066 NE),SUMINISTROS</t>
  </si>
  <si>
    <t>4E9122</t>
  </si>
  <si>
    <t>OPERA,VANESSA,Ven 011 (Tj 066 NE),SOSTENIMIENTO</t>
  </si>
  <si>
    <t>4E9123</t>
  </si>
  <si>
    <t>OPERA,VANESSA,Ven 011 (Tj 066 NE),SERVICIO</t>
  </si>
  <si>
    <t>4E9124</t>
  </si>
  <si>
    <t>OPERA,VANESSA,Ven 011 (Tj 066 NE),REHABILITACION</t>
  </si>
  <si>
    <t>4E9131</t>
  </si>
  <si>
    <t>OPERA,VANESSA,Ven 012 (Tj 097 NE),SUMINISTROS</t>
  </si>
  <si>
    <t>4E9132</t>
  </si>
  <si>
    <t>OPERA,VANESSA,Ven 012 (Tj 097 NE),SOSTENIMIENTO</t>
  </si>
  <si>
    <t>4E9136</t>
  </si>
  <si>
    <t>OPERA,VANESSA,Ven 012 (Tj 097 NE),REFUGIO</t>
  </si>
  <si>
    <t>4E9141</t>
  </si>
  <si>
    <t>OPERA,VANESSA,Ven 013 (Ch 107),SUMINISTROS</t>
  </si>
  <si>
    <t>4E9142</t>
  </si>
  <si>
    <t>OPERA,VANESSA,Ven 013 (Ch 107),SOSTENIMIENTO</t>
  </si>
  <si>
    <t>4E9161</t>
  </si>
  <si>
    <t>OPERA,VANESSA,Ven 014 (Tj 117 SW),SUMINISTROS</t>
  </si>
  <si>
    <t>4E9162</t>
  </si>
  <si>
    <t>OPERA,VANESSA,Ven 014 (Tj 117 SW),SOSTENIMIENTO</t>
  </si>
  <si>
    <t>4E9163</t>
  </si>
  <si>
    <t>OPERA,VANESSA,Ven 014 (Tj 117 SW),SERVICIO</t>
  </si>
  <si>
    <t>4E9164</t>
  </si>
  <si>
    <t>OPERA,VANESSA,Ven 014 (Tj 117 SW),REHABILITACION</t>
  </si>
  <si>
    <t>4E9171</t>
  </si>
  <si>
    <t>OPERA,VANESSA,Ven 015 (Tj 066 SW),SUMINISTROS</t>
  </si>
  <si>
    <t>4E9172</t>
  </si>
  <si>
    <t>OPERA,VANESSA,Ven 015 (Tj 066 SW),SOSTENIMIENTO</t>
  </si>
  <si>
    <t>4E9173</t>
  </si>
  <si>
    <t>OPERA,VANESSA,Ven 015 (Tj 066 SW),SERVICIO</t>
  </si>
  <si>
    <t>4E9174</t>
  </si>
  <si>
    <t>OPERA,VANESSA,Ven 015 (Tj 066 SW),REHABILITACION</t>
  </si>
  <si>
    <t>4E9201</t>
  </si>
  <si>
    <t>OPERA,VANESSA,Ven 016 (Tj 066 SW),SUMINISTROS</t>
  </si>
  <si>
    <t>4E9202</t>
  </si>
  <si>
    <t>OPERA,VANESSA,Ven 016 (Tj 066 SW),SOSTENIMIENTO</t>
  </si>
  <si>
    <t>4E9203</t>
  </si>
  <si>
    <t>OPERA,VANESSA,Ven 016 (Tj 066 SW),SERVICIO</t>
  </si>
  <si>
    <t>4E9204</t>
  </si>
  <si>
    <t>OPERA,VANESSA,Ven 016 (Tj 066 SW),REHABILITACION</t>
  </si>
  <si>
    <t>4E9211</t>
  </si>
  <si>
    <t>OPERA,VANESSA,Ven 017 (Tj 127 SW),SUMINISTROS</t>
  </si>
  <si>
    <t>4E9212</t>
  </si>
  <si>
    <t>OPERA,VANESSA,Ven 017 (Tj 127 SW),SOSTENIMIENTO</t>
  </si>
  <si>
    <t>4E9213</t>
  </si>
  <si>
    <t>OPERA,VANESSA,Ven 017 (Tj 127 SW),SERVICIO</t>
  </si>
  <si>
    <t>4E9214</t>
  </si>
  <si>
    <t>OPERA,VANESSA,Ven 017 (Tj 127 SW),REHABILITACION</t>
  </si>
  <si>
    <t>4E9221</t>
  </si>
  <si>
    <t>OPERA,VANESSA,Ven 018 (Tj 065 SW),SUMINISTROS</t>
  </si>
  <si>
    <t>4E9222</t>
  </si>
  <si>
    <t>OPERA,VANESSA,Ven 018 (Tj 065 SW),SOSTENIMIENTO</t>
  </si>
  <si>
    <t>4E9223</t>
  </si>
  <si>
    <t>OPERA,VANESSA,Ven 018 (Tj 065 SW),SERVICIO</t>
  </si>
  <si>
    <t>4E9224</t>
  </si>
  <si>
    <t>OPERA,VANESSA,Ven 018 (Tj 065 SW),REHABILITACION</t>
  </si>
  <si>
    <t>4E9231</t>
  </si>
  <si>
    <t>OPERA,VANESSA,Ven 019 (Tj 127 SW),SUMINISTROS</t>
  </si>
  <si>
    <t>4E9232</t>
  </si>
  <si>
    <t>OPERA,VANESSA,Ven 019 (Tj 127 SW),SOSTENIMIENTO</t>
  </si>
  <si>
    <t>4E9233</t>
  </si>
  <si>
    <t>OPERA,VANESSA,Ven 019 (Tj 127 SW),SERVICIO</t>
  </si>
  <si>
    <t>4E9234</t>
  </si>
  <si>
    <t>OPERA,VANESSA,Ven 019 (Tj 127 SW),REHABILITACION</t>
  </si>
  <si>
    <t>4E9241</t>
  </si>
  <si>
    <t>OPERA,VANESSA,Ven 020 (Tj 065 NE),SUMINISTROS</t>
  </si>
  <si>
    <t>4E9242</t>
  </si>
  <si>
    <t>OPERA,VANESSA,Ven 020 (Tj 065 NE),SOSTENIMIENTO</t>
  </si>
  <si>
    <t>4E9243</t>
  </si>
  <si>
    <t>OPERA,VANESSA,Ven 020 (Tj 065 NE),SERVICIO</t>
  </si>
  <si>
    <t>4E9244</t>
  </si>
  <si>
    <t>OPERA,VANESSA,Ven 020 (Tj 065 NE),REHABILITACION</t>
  </si>
  <si>
    <t>4E9261</t>
  </si>
  <si>
    <t>OPERA,VANESSA,Ven 021 (Tj 117 SW),SUMINISTROS</t>
  </si>
  <si>
    <t>4E9262</t>
  </si>
  <si>
    <t>OPERA,VANESSA,Ven 021 (Tj 117 SW),SOSTENIMIENTO</t>
  </si>
  <si>
    <t>4E9263</t>
  </si>
  <si>
    <t>OPERA,VANESSA,Ven 021 (Tj 117 SW),SERVICIO</t>
  </si>
  <si>
    <t>4E9264</t>
  </si>
  <si>
    <t>OPERA,VANESSA,Ven 021 (Tj 117 SW),REHABILITACION</t>
  </si>
  <si>
    <t>4E9271</t>
  </si>
  <si>
    <t>OPERA,VANESSA,Ven 022 (Tj 081 SW),SUMINISTROS</t>
  </si>
  <si>
    <t>4E9272</t>
  </si>
  <si>
    <t>OPERA,VANESSA,Ven 022 (Tj 081 SW),SOSTENIMIENTO</t>
  </si>
  <si>
    <t>4E9273</t>
  </si>
  <si>
    <t>OPERA,VANESSA,Ven 022 (Tj 081 SW),SERVICIO</t>
  </si>
  <si>
    <t>4E9274</t>
  </si>
  <si>
    <t>OPERA,VANESSA,Ven 022 (Tj 081 SW),REHABILITACION</t>
  </si>
  <si>
    <t>4E9281</t>
  </si>
  <si>
    <t>OPERA,VANESSA,Ven 023 (Tj 097 NE),SUMINISTROS</t>
  </si>
  <si>
    <t>4E9282</t>
  </si>
  <si>
    <t>OPERA,VANESSA,Ven 023 (Tj 097 NE),SOSTENIMIENTO</t>
  </si>
  <si>
    <t>4E9283</t>
  </si>
  <si>
    <t>OPERA,VANESSA,Ven 023 (Tj 097 NE),SERVICIO</t>
  </si>
  <si>
    <t>4E9284</t>
  </si>
  <si>
    <t>OPERA,VANESSA,Ven 023 (Tj 097 NE),REHABILITACION</t>
  </si>
  <si>
    <t>4E9311</t>
  </si>
  <si>
    <t>OPERA,VANESSA,Ven 026 (Tj 055 SW),SUMINISTROS</t>
  </si>
  <si>
    <t>4E9312</t>
  </si>
  <si>
    <t>OPERA,VANESSA,Ven 026 (Tj 055 SW),SOSTENIMIENTO</t>
  </si>
  <si>
    <t>4E9313</t>
  </si>
  <si>
    <t>OPERA,VANESSA,Ven 026 (Tj 055 SW),SERVICIO</t>
  </si>
  <si>
    <t>4E9314</t>
  </si>
  <si>
    <t>OPERA,VANESSA,Ven 026 (Tj 055 SW),REHABILITACION</t>
  </si>
  <si>
    <t>4E9321</t>
  </si>
  <si>
    <t>OPERA,VANESSA,Ven 027 (Tj 055 SW),SUMINISTROS</t>
  </si>
  <si>
    <t>4E9322</t>
  </si>
  <si>
    <t>OPERA,VANESSA,Ven 027 (Tj 055 SW),SOSTENIMIENTO</t>
  </si>
  <si>
    <t>4E9323</t>
  </si>
  <si>
    <t>OPERA,VANESSA,Ven 027 (Tj 055 SW),SERVICIO</t>
  </si>
  <si>
    <t>4E9324</t>
  </si>
  <si>
    <t>OPERA,VANESSA,Ven 027 (Tj 055 SW),REHABILITACION</t>
  </si>
  <si>
    <t>4E9331</t>
  </si>
  <si>
    <t>OPERA,VANESSA,Ven 028 (Tj 087 NE),SUMINISTROS</t>
  </si>
  <si>
    <t>4E9332</t>
  </si>
  <si>
    <t>OPERA,VANESSA,Ven 028 (Tj 087 NE),SOSTENIMIENTO</t>
  </si>
  <si>
    <t>4E9333</t>
  </si>
  <si>
    <t>OPERA,VANESSA,Ven 028 (Tj 087 NE),SERVICIO</t>
  </si>
  <si>
    <t>4E9334</t>
  </si>
  <si>
    <t>OPERA,VANESSA,Ven 028 (Tj 087 NE),REHABILITACION</t>
  </si>
  <si>
    <t>4EB021</t>
  </si>
  <si>
    <t>OPERA,VANESSA,Hp 004 ( Tj 117 NE ),SUMINISTROS</t>
  </si>
  <si>
    <t>4EB031</t>
  </si>
  <si>
    <t>OPERA,VANESSA,Hp 005 ( Tj 117 NE ),SUMINISTROS</t>
  </si>
  <si>
    <t>4EB041</t>
  </si>
  <si>
    <t>OPERA,VANESSA,Hp 002 ( Tj 117 NE ),SUMINISTROS</t>
  </si>
  <si>
    <t>4EB051</t>
  </si>
  <si>
    <t>OPERA,VANESSA,Hp 006 (Tj 117 NE),SUMINISTROS</t>
  </si>
  <si>
    <t>4EB052</t>
  </si>
  <si>
    <t>OPERA,VANESSA,Hp 006 (Tj 117 NE),SOSTENIMIENTO</t>
  </si>
  <si>
    <t>4EB053</t>
  </si>
  <si>
    <t>OPERA,VANESSA,Hp 006 (Tj 117 NE),SERVICIO</t>
  </si>
  <si>
    <t>4EB054</t>
  </si>
  <si>
    <t>OPERA,VANESSA,Hp 006 (Tj 117 NE),REHABILITACION</t>
  </si>
  <si>
    <t>4EB061</t>
  </si>
  <si>
    <t>OPERA,VANESSA,Hp 007 (Tj 066 NE),SUMINISTROS</t>
  </si>
  <si>
    <t>4EB062</t>
  </si>
  <si>
    <t>OPERA,VANESSA,Hp 007 (Tj 066 NE),SOSTENIMIENTO</t>
  </si>
  <si>
    <t>4EB063</t>
  </si>
  <si>
    <t>OPERA,VANESSA,Hp 007 (Tj 066 NE),SERVICIO</t>
  </si>
  <si>
    <t>4EB064</t>
  </si>
  <si>
    <t>OPERA,VANESSA,Hp 007 (Tj 066 NE),REHABILITACION</t>
  </si>
  <si>
    <t>4EB071</t>
  </si>
  <si>
    <t>OPERA,VANESSA,Hp 008 (Tj 066 SW),SUMINISTROS</t>
  </si>
  <si>
    <t>4EB081</t>
  </si>
  <si>
    <t>OPERA,VANESSA,Hp 009 (Tj 117 NE),SUMINISTROS</t>
  </si>
  <si>
    <t>4EB082</t>
  </si>
  <si>
    <t>OPERA,VANESSA,Hp 009 (Tj 117 NE),SOSTENIMIENTO</t>
  </si>
  <si>
    <t>4EB083</t>
  </si>
  <si>
    <t>OPERA,VANESSA,Hp 009 (Tj 117 NE),SERVICIO</t>
  </si>
  <si>
    <t>4EB084</t>
  </si>
  <si>
    <t>OPERA,VANESSA,Hp 009 (Tj 117 NE),REHABILITACION</t>
  </si>
  <si>
    <t>4EB091</t>
  </si>
  <si>
    <t>OPERA,VANESSA,Hp 010 (Tj 066 NE),SUMINISTROS</t>
  </si>
  <si>
    <t>4EB092</t>
  </si>
  <si>
    <t>OPERA,VANESSA,Hp 010 (Tj 066 NE),SOSTENIMIENTO</t>
  </si>
  <si>
    <t>4EB093</t>
  </si>
  <si>
    <t>OPERA,VANESSA,Hp 010 (Tj 066 NE),SERVICIO</t>
  </si>
  <si>
    <t>4EB094</t>
  </si>
  <si>
    <t>OPERA,VANESSA,Hp 010 (Tj 066 NE),REHABILITACION</t>
  </si>
  <si>
    <t>4EB101</t>
  </si>
  <si>
    <t>OPERA,VANESSA,Hp 011 (Tj 066 NE),SUMINISTROS</t>
  </si>
  <si>
    <t>4EB102</t>
  </si>
  <si>
    <t>OPERA,VANESSA,Hp 011 (Tj 066 NE),SOSTENIMIENTO</t>
  </si>
  <si>
    <t>4EB103</t>
  </si>
  <si>
    <t>OPERA,VANESSA,Hp 011 (Tj 066 NE),SERVICIO</t>
  </si>
  <si>
    <t>4EB104</t>
  </si>
  <si>
    <t>OPERA,VANESSA,Hp 011 (Tj 066 NE),REHABILITACION</t>
  </si>
  <si>
    <t>4EB111</t>
  </si>
  <si>
    <t>OPERA,VANESSA,Hp 012 (Tj 066 NE),SUMINISTROS</t>
  </si>
  <si>
    <t>4EB112</t>
  </si>
  <si>
    <t>OPERA,VANESSA,Hp 012 (Tj 066 NE),SOSTENIMIENTO</t>
  </si>
  <si>
    <t>4EB113</t>
  </si>
  <si>
    <t>OPERA,VANESSA,Hp 012 (Tj 066 NE),SERVICIO</t>
  </si>
  <si>
    <t>4EB114</t>
  </si>
  <si>
    <t>OPERA,VANESSA,Hp 012 (Tj 066 NE),REHABILITACION</t>
  </si>
  <si>
    <t>4EB121</t>
  </si>
  <si>
    <t>OPERA,VANESSA,Hp 013 (Tj 066 SW),SUMINISTROS</t>
  </si>
  <si>
    <t>4EB122</t>
  </si>
  <si>
    <t>OPERA,VANESSA,Hp 013 (Tj 066 SW),SOSTENIMIENTO</t>
  </si>
  <si>
    <t>4EB123</t>
  </si>
  <si>
    <t>OPERA,VANESSA,Hp 013 (Tj 066 SW),SERVICIO</t>
  </si>
  <si>
    <t>4EB124</t>
  </si>
  <si>
    <t>OPERA,VANESSA,Hp 013 (Tj 066 SW),REHABILITACION</t>
  </si>
  <si>
    <t>4EB131</t>
  </si>
  <si>
    <t>OPERA,VANESSA,Hp 014 (Tj 066 SW),SUMINISTROS</t>
  </si>
  <si>
    <t>4EB132</t>
  </si>
  <si>
    <t>OPERA,VANESSA,Hp 014 (Tj 066 SW),SOSTENIMIENTO</t>
  </si>
  <si>
    <t>4EB133</t>
  </si>
  <si>
    <t>OPERA,VANESSA,Hp 014 (Tj 066 SW),SERVICIO</t>
  </si>
  <si>
    <t>4EB134</t>
  </si>
  <si>
    <t>OPERA,VANESSA,Hp 014 (Tj 066 SW),REHABILITACION</t>
  </si>
  <si>
    <t>4EB141</t>
  </si>
  <si>
    <t>OPERA,VANESSA,Hp 015 (Tj 066 SW),SUMINISTROS</t>
  </si>
  <si>
    <t>4EB142</t>
  </si>
  <si>
    <t>OPERA,VANESSA,Hp 015 (Tj 066 SW),SOSTENIMIENTO</t>
  </si>
  <si>
    <t>4EB143</t>
  </si>
  <si>
    <t>OPERA,VANESSA,Hp 015 (Tj 066 SW),SERVICIO</t>
  </si>
  <si>
    <t>4EB144</t>
  </si>
  <si>
    <t>OPERA,VANESSA,Hp 015 (Tj 066 SW),REHABILITACION</t>
  </si>
  <si>
    <t>4EB151</t>
  </si>
  <si>
    <t>OPERA,VANESSA,Hp 016 (Tj 117 NE),SUMINISTROS</t>
  </si>
  <si>
    <t>4EB152</t>
  </si>
  <si>
    <t>OPERA,VANESSA,Hp 016 (Tj 117 NE),SOSTENIMIENTO</t>
  </si>
  <si>
    <t>4EB153</t>
  </si>
  <si>
    <t>OPERA,VANESSA,Hp 016 (Tj 117 NE),SERVICIO</t>
  </si>
  <si>
    <t>4EB154</t>
  </si>
  <si>
    <t>OPERA,VANESSA,Hp 016 (Tj 117 NE),REHABILITACION</t>
  </si>
  <si>
    <t>4EB161</t>
  </si>
  <si>
    <t>OPERA,VANESSA,Hp 017 (Tj 066 SW),SUMINISTROS</t>
  </si>
  <si>
    <t>4EB171</t>
  </si>
  <si>
    <t>OPERA,VANESSA,Hp 018 (Tj 066 SW),SUMINISTROS</t>
  </si>
  <si>
    <t>4EB172</t>
  </si>
  <si>
    <t>OPERA,VANESSA,Hp 018 (Tj 066 SW),SOSTENIMIENTO</t>
  </si>
  <si>
    <t>4EB173</t>
  </si>
  <si>
    <t>OPERA,VANESSA,Hp 018 (Tj 066 SW),SERVICIO</t>
  </si>
  <si>
    <t>4EB174</t>
  </si>
  <si>
    <t>OPERA,VANESSA,Hp 018 (Tj 066 SW),REHABILITACION</t>
  </si>
  <si>
    <t>4EB181</t>
  </si>
  <si>
    <t>OPERA,VANESSA,Hp 019 (Tj 066 SW),SUMINISTROS</t>
  </si>
  <si>
    <t>4EB182</t>
  </si>
  <si>
    <t>OPERA,VANESSA,Hp 019 (Tj 066 SW),SOSTENIMIENTO</t>
  </si>
  <si>
    <t>4EB183</t>
  </si>
  <si>
    <t>OPERA,VANESSA,Hp 019 (Tj 066 SW),SERVICIO</t>
  </si>
  <si>
    <t>4EB184</t>
  </si>
  <si>
    <t>OPERA,VANESSA,Hp 019 (Tj 066 SW),REHABILITACION</t>
  </si>
  <si>
    <t>4EB191</t>
  </si>
  <si>
    <t>OPERA,VANESSA,Hp 020 (Tj 066 SW),SUMINISTROS</t>
  </si>
  <si>
    <t>4EB192</t>
  </si>
  <si>
    <t>OPERA,VANESSA,Hp 020 (Tj 066 SW),SOSTENIMIENTO</t>
  </si>
  <si>
    <t>4EB193</t>
  </si>
  <si>
    <t>OPERA,VANESSA,Hp 020 (Tj 066 SW),SERVICIO</t>
  </si>
  <si>
    <t>4EB194</t>
  </si>
  <si>
    <t>OPERA,VANESSA,Hp 020 (Tj 066 SW),REHABILITACION</t>
  </si>
  <si>
    <t>4EB201</t>
  </si>
  <si>
    <t>OPERA,VANESSA,Hp 021 (Tj 066 SW),SUMINISTROS</t>
  </si>
  <si>
    <t>4EB202</t>
  </si>
  <si>
    <t>OPERA,VANESSA,Hp 021 (Tj 066 SW),SOSTENIMIENTO</t>
  </si>
  <si>
    <t>4EB203</t>
  </si>
  <si>
    <t>OPERA,VANESSA,Hp 021 (Tj 066 SW),SERVICIO</t>
  </si>
  <si>
    <t>4EB204</t>
  </si>
  <si>
    <t>OPERA,VANESSA,Hp 021 (Tj 066 SW),REHABILITACION</t>
  </si>
  <si>
    <t>4EB211</t>
  </si>
  <si>
    <t>OPERA,VANESSA,Hp 022 (Tj 066 SW),SUMINISTROS</t>
  </si>
  <si>
    <t>4EB212</t>
  </si>
  <si>
    <t>OPERA,VANESSA,Hp 022 (Tj 066 SW),SOSTENIMIENTO</t>
  </si>
  <si>
    <t>4EB213</t>
  </si>
  <si>
    <t>OPERA,VANESSA,Hp 022 (Tj 066 SW),SERVICIO</t>
  </si>
  <si>
    <t>4EB214</t>
  </si>
  <si>
    <t>OPERA,VANESSA,Hp 022 (Tj 066 SW),REHABILITACION</t>
  </si>
  <si>
    <t>4EB221</t>
  </si>
  <si>
    <t>OPERA,VANESSA,Hp 023 (Tj 127 NE),SUMINISTROS</t>
  </si>
  <si>
    <t>4EB222</t>
  </si>
  <si>
    <t>OPERA,VANESSA,Hp 023 (Tj 127 NE),SOSTENIMIENTO</t>
  </si>
  <si>
    <t>4EB223</t>
  </si>
  <si>
    <t>OPERA,VANESSA,Hp 023 (Tj 127 NE),SERVICIO</t>
  </si>
  <si>
    <t>4EB224</t>
  </si>
  <si>
    <t>OPERA,VANESSA,Hp 023 (Tj 127 NE),REHABILITACION</t>
  </si>
  <si>
    <t>4EB231</t>
  </si>
  <si>
    <t>OPERA,VANESSA,Hp 024 (Tj 127 NE),SUMINISTROS</t>
  </si>
  <si>
    <t>4EB232</t>
  </si>
  <si>
    <t>OPERA,VANESSA,Hp 024 (Tj 127 NE),SOSTENIMIENTO</t>
  </si>
  <si>
    <t>4EB233</t>
  </si>
  <si>
    <t>OPERA,VANESSA,Hp 024 (Tj 127 NE),SERVICIO</t>
  </si>
  <si>
    <t>4EB234</t>
  </si>
  <si>
    <t>OPERA,VANESSA,Hp 024 (Tj 127 NE),REHABILITACION</t>
  </si>
  <si>
    <t>4EB241</t>
  </si>
  <si>
    <t>OPERA,VANESSA,Hp 025 (Tj 087 NE),SUMINISTROS</t>
  </si>
  <si>
    <t>4EB242</t>
  </si>
  <si>
    <t>OPERA,VANESSA,Hp 025 (Tj 087 NE),SOSTENIMIENTO</t>
  </si>
  <si>
    <t>4EB243</t>
  </si>
  <si>
    <t>OPERA,VANESSA,Hp 025 (Tj 087 NE),SERVICIO</t>
  </si>
  <si>
    <t>4EB244</t>
  </si>
  <si>
    <t>OPERA,VANESSA,Hp 025 (Tj 087 NE),REHABILITACION</t>
  </si>
  <si>
    <t>4EP011</t>
  </si>
  <si>
    <t>OPERA,VANESSA,Pz 076 (Est 076 SW),SUMINISTROS</t>
  </si>
  <si>
    <t>4EP012</t>
  </si>
  <si>
    <t>OPERA,VANESSA,Pz 076 (Est 076 SW),SOSTENIMIENTO</t>
  </si>
  <si>
    <t>4EP013</t>
  </si>
  <si>
    <t>OPERA,VANESSA,Pz 076 (Est 076 SW),SERVICIO</t>
  </si>
  <si>
    <t>4EP014</t>
  </si>
  <si>
    <t>OPERA,VANESSA,Pz 076 (Est 076 SW),REHABILITACION</t>
  </si>
  <si>
    <t>4G5461</t>
  </si>
  <si>
    <t>OPERA,MANUEL,Snv 116 SE (Est 108 SE),SUMINISTROS</t>
  </si>
  <si>
    <t>4G5462</t>
  </si>
  <si>
    <t>OPERA,MANUEL,Snv 116 SE (Est 108 SE),SOSTENIMIENTO</t>
  </si>
  <si>
    <t>4G5463</t>
  </si>
  <si>
    <t>OPERA,MANUEL,Snv 116 SE (Est 108 SE),SERVICIO</t>
  </si>
  <si>
    <t>4L1231</t>
  </si>
  <si>
    <t>OPERA,ANDREA,Cx 253 NW (Cx 199 NE),SUMINISTROS</t>
  </si>
  <si>
    <t>4L1232</t>
  </si>
  <si>
    <t>OPERA,ANDREA,Cx 253 NW (Cx 199 NE),SOSTENIMIENTO</t>
  </si>
  <si>
    <t>4L1233</t>
  </si>
  <si>
    <t>OPERA,ANDREA,Cx 253 NW (Cx 199 NE),SERVICIO</t>
  </si>
  <si>
    <t>4L1234</t>
  </si>
  <si>
    <t>OPERA,ANDREA,Cx 253 NW (Cx 199 NE),REHABILITACION</t>
  </si>
  <si>
    <t>4L1251</t>
  </si>
  <si>
    <t>OPERA,ANDREA,Cx 248 SE (Cx 236 SE),SUMINISTROS</t>
  </si>
  <si>
    <t>4L1252</t>
  </si>
  <si>
    <t>OPERA,ANDREA,Cx 248 SE (Cx 236 SE),SOSTENIMIENTO</t>
  </si>
  <si>
    <t>4L1253</t>
  </si>
  <si>
    <t>OPERA,ANDREA,Cx 248 SE (Cx 236 SE),SERVICIO</t>
  </si>
  <si>
    <t>4L1254</t>
  </si>
  <si>
    <t>OPERA,ANDREA,Cx 248 SE (Cx 236 SE),REHABILITACION</t>
  </si>
  <si>
    <t>4L3551</t>
  </si>
  <si>
    <t>OPERA,ANDREA,Ch 256 (Ven 252 NW),SUMINISTROS</t>
  </si>
  <si>
    <t>4L3552</t>
  </si>
  <si>
    <t>OPERA,ANDREA,Ch 256 (Ven 252 NW),SOSTENIMIENTO</t>
  </si>
  <si>
    <t>4L3553</t>
  </si>
  <si>
    <t>OPERA,ANDREA,Ch 256 (Ven 252 NW),SERVICIO</t>
  </si>
  <si>
    <t>4L3554</t>
  </si>
  <si>
    <t>OPERA,ANDREA,Ch 256 (Ven 252 NW),REHABILITACION</t>
  </si>
  <si>
    <t>4L3561</t>
  </si>
  <si>
    <t>OPERA,ANDREA,Ch 250 (Cx 199 NE),SUMINISTROS</t>
  </si>
  <si>
    <t>4L3562</t>
  </si>
  <si>
    <t>OPERA,ANDREA,Ch 250 (Cx 199 NE),SOSTENIMIENTO</t>
  </si>
  <si>
    <t>4L3563</t>
  </si>
  <si>
    <t>OPERA,ANDREA,Ch 250 (Cx 199 NE),SERVICIO</t>
  </si>
  <si>
    <t>4L3564</t>
  </si>
  <si>
    <t>OPERA,ANDREA,Ch 250 (Cx 199 NE),REHABILITACION</t>
  </si>
  <si>
    <t>4L3571</t>
  </si>
  <si>
    <t>OPERA,ANDREA,Ch 256 (Cx 248 SE),SUMINISTROS</t>
  </si>
  <si>
    <t>4L3572</t>
  </si>
  <si>
    <t>OPERA,ANDREA,Ch 256 (Cx 248 SE),SOSTENIMIENTO</t>
  </si>
  <si>
    <t>4L3573</t>
  </si>
  <si>
    <t>OPERA,ANDREA,Ch 256 (Cx 248 SE),SERVICIO</t>
  </si>
  <si>
    <t>4L3574</t>
  </si>
  <si>
    <t>OPERA,ANDREA,Ch 256 (Cx 248 SE),REHABILITACION</t>
  </si>
  <si>
    <t>4L3591</t>
  </si>
  <si>
    <t>OPERA,ANDREA,Ch 225 (CX 225 SE),SUMINISTROS</t>
  </si>
  <si>
    <t>4L3592</t>
  </si>
  <si>
    <t>OPERA,ANDREA,Ch 225 (CX 225 SE),SOSTENIMIENTO</t>
  </si>
  <si>
    <t>4L3593</t>
  </si>
  <si>
    <t>OPERA,ANDREA,Ch 225 (CX 225 SE),SERVICIO</t>
  </si>
  <si>
    <t>4L3594</t>
  </si>
  <si>
    <t>OPERA,ANDREA,Ch 225 (CX 225 SE),REHABILITACION</t>
  </si>
  <si>
    <t>4L6421</t>
  </si>
  <si>
    <t>OPERA,ANDREA,Est 254 NW (Ch 256),SUMINISTROS</t>
  </si>
  <si>
    <t>4L6422</t>
  </si>
  <si>
    <t>OPERA,ANDREA,Est 254 NW (Ch 256),SOSTENIMIENTO</t>
  </si>
  <si>
    <t>4L6423</t>
  </si>
  <si>
    <t>OPERA,ANDREA,Est 254 NW (Ch 256),SERVICIO</t>
  </si>
  <si>
    <t>4L6424</t>
  </si>
  <si>
    <t>OPERA,ANDREA,Est 254 NW (Ch 256),REHABILITACION</t>
  </si>
  <si>
    <t>4L6431</t>
  </si>
  <si>
    <t>OPERA,ANDREA,Est 220 SW (Snv 256 SW),SUMINISTROS</t>
  </si>
  <si>
    <t>4L6432</t>
  </si>
  <si>
    <t>OPERA,ANDREA,Est 220 SW (Snv 256 SW),SOSTENIMIENTO</t>
  </si>
  <si>
    <t>4L6433</t>
  </si>
  <si>
    <t>OPERA,ANDREA,Est 220 SW (Snv 256 SW),SERVICIO</t>
  </si>
  <si>
    <t>4L6434</t>
  </si>
  <si>
    <t>OPERA,ANDREA,Est 220 SW (Snv 256 SW),REHABILITACION</t>
  </si>
  <si>
    <t>4L6451</t>
  </si>
  <si>
    <t>OPERA,ANDREA,Est 256 SE (Ch 256),SUMINISTROS</t>
  </si>
  <si>
    <t>4L6452</t>
  </si>
  <si>
    <t>OPERA,ANDREA,Est 256 SE (Ch 256),SOSTENIMIENTO</t>
  </si>
  <si>
    <t>4L6453</t>
  </si>
  <si>
    <t>OPERA,ANDREA,Est 256 SE (Ch 256),SERVICIO</t>
  </si>
  <si>
    <t>4L6454</t>
  </si>
  <si>
    <t>OPERA,ANDREA,Est 256 SE (Ch 256),REHABILITACION</t>
  </si>
  <si>
    <t>4L6471</t>
  </si>
  <si>
    <t>OPERA,ANDREA,Est 056 NW (Cx 199 NE),SUMINISTROS</t>
  </si>
  <si>
    <t>4L6472</t>
  </si>
  <si>
    <t>OPERA,ANDREA,Est 056 NW (Cx 199 NE),SOSTENIMIENTO</t>
  </si>
  <si>
    <t>4L6473</t>
  </si>
  <si>
    <t>OPERA,ANDREA,Est 056 NW (Cx 199 NE),SERVICIO</t>
  </si>
  <si>
    <t>4L6474</t>
  </si>
  <si>
    <t>OPERA,ANDREA,Est 056 NW (Cx 199 NE),REHABILITACION</t>
  </si>
  <si>
    <t>4L9251</t>
  </si>
  <si>
    <t>OPERA,ANDREA,Ven 252 NE (CX 253 NW),SUMINISTROS</t>
  </si>
  <si>
    <t>4L9252</t>
  </si>
  <si>
    <t>OPERA,ANDREA,Ven 252 NE (CX 253 NW),SOSTENIMIENTO</t>
  </si>
  <si>
    <t>4L9253</t>
  </si>
  <si>
    <t>OPERA,ANDREA,Ven 252 NE (CX 253 NW),SERVICIO</t>
  </si>
  <si>
    <t>4L9254</t>
  </si>
  <si>
    <t>OPERA,ANDREA,Ven 252 NE (CX 253 NW),REHABILITACION</t>
  </si>
  <si>
    <t>53003A</t>
  </si>
  <si>
    <t xml:space="preserve">EXPLOR, MANUEL, GAL 168 SW, EST. 168, VOLADURA    </t>
  </si>
  <si>
    <t>53003B</t>
  </si>
  <si>
    <t xml:space="preserve">EXPLOR, MANUEL, GAL 168 SW, EST. 168, CAMINOS     </t>
  </si>
  <si>
    <t>53003C</t>
  </si>
  <si>
    <t>EXPLOR, MANUEL, GAL 168 SW, EST. 168, INST.DE RIEL</t>
  </si>
  <si>
    <t>53003D</t>
  </si>
  <si>
    <t>EXPLOR, MANUEL, GAL 168 SW, EST. 168, REHAB DE LAB</t>
  </si>
  <si>
    <t>53003E</t>
  </si>
  <si>
    <t>EXPLOR, MANUEL, GAL 168 SW, EST. 168, CICLO COMPLE</t>
  </si>
  <si>
    <t>53218A</t>
  </si>
  <si>
    <t xml:space="preserve">DESAR,MANUEL,CH 152, GAL 168 SW,VOLADURA          </t>
  </si>
  <si>
    <t>53218B</t>
  </si>
  <si>
    <t xml:space="preserve">DESAR,MANUEL,CH 152, GAL 168 SW,CAMINOS           </t>
  </si>
  <si>
    <t>53218C</t>
  </si>
  <si>
    <t xml:space="preserve">DESAR,MANUEL,CH 152, GAL 168 SW,INST.DE RIELES    </t>
  </si>
  <si>
    <t>53218D</t>
  </si>
  <si>
    <t xml:space="preserve">DESAR,MANUEL,CH 152, GAL 168 SW,REHAB DE LABORES  </t>
  </si>
  <si>
    <t>53218E</t>
  </si>
  <si>
    <t xml:space="preserve">DESAR,MANUEL,CH 152, GAL 168 SW,CICLO COMPLETO    </t>
  </si>
  <si>
    <t>5A7251</t>
  </si>
  <si>
    <t xml:space="preserve">EXPLO,ESPERANZA,TJ 070 SW (CH 078),SUMINISTROS    </t>
  </si>
  <si>
    <t>5A7252</t>
  </si>
  <si>
    <t xml:space="preserve">EXPLO,ESPERANZA,TJ 070 SW (CH 078),SOSTENIMIENTO  </t>
  </si>
  <si>
    <t>5A7253</t>
  </si>
  <si>
    <t xml:space="preserve">EXPLO,ESPERANZA,TJ 070 SW (CH 078),SERVICIO       </t>
  </si>
  <si>
    <t>5A7254</t>
  </si>
  <si>
    <t xml:space="preserve">EXPLO,ESPERANZA,TJ 070 SW (CH 078),REHABILITACION </t>
  </si>
  <si>
    <t>5A7257</t>
  </si>
  <si>
    <t xml:space="preserve">EXPLO,ESPERANZA,TJ 070 SW (CH 078),REALCE         </t>
  </si>
  <si>
    <t>5A7258</t>
  </si>
  <si>
    <t xml:space="preserve">EXPLO,ESPERANZA,TJ 070 SW (CH 078),BREASTING      </t>
  </si>
  <si>
    <t>5A7271</t>
  </si>
  <si>
    <t>EXPLO,ESPERANZA,TJ 070 SW (CH 078),SUMINISTROS</t>
  </si>
  <si>
    <t>5A7272</t>
  </si>
  <si>
    <t>EXPLO,ESPERANZA,TJ 070 SW (CH 078),SOSTENIMIENTO</t>
  </si>
  <si>
    <t>5A7273</t>
  </si>
  <si>
    <t>EXPLO,ESPERANZA,TJ 070 SW (CH 078),SERVICIO</t>
  </si>
  <si>
    <t>5A7274</t>
  </si>
  <si>
    <t>EXPLO,ESPERANZA,TJ 070 SW (CH 078),REHABILITACION</t>
  </si>
  <si>
    <t>5A7277</t>
  </si>
  <si>
    <t>EXPLO,ESPERANZA,TJ 070 SW (CH 078),REALCE</t>
  </si>
  <si>
    <t>5A7278</t>
  </si>
  <si>
    <t>EXPLO,ESPERANZA,TJ 070 SW (CH 078),BREASTING</t>
  </si>
  <si>
    <t>5A7281</t>
  </si>
  <si>
    <t>EXPLO,ESPERANZA,TJ 070 NE (CH 078),SUMINISTROS</t>
  </si>
  <si>
    <t>5A7282</t>
  </si>
  <si>
    <t>EXPLO,ESPERANZA,TJ 070 NE (CH 078),SOSTENIMIENTO</t>
  </si>
  <si>
    <t>5A7283</t>
  </si>
  <si>
    <t>EXPLO,ESPERANZA,TJ 070 NE (CH 078),SERVICIO</t>
  </si>
  <si>
    <t>5A7284</t>
  </si>
  <si>
    <t>EXPLO,ESPERANZA,TJ 070 NE (CH 078),REHABILITACION</t>
  </si>
  <si>
    <t>5A7287</t>
  </si>
  <si>
    <t>EXPLO,ESPERANZA,TJ 070 NE (CH 078),REALCE</t>
  </si>
  <si>
    <t>5A7288</t>
  </si>
  <si>
    <t>EXPLO,ESPERANZA,TJ 070 NE (CH 078),BREASTING</t>
  </si>
  <si>
    <t>5A7291</t>
  </si>
  <si>
    <t>EXPLO,ESPERANZA,TJ 039 SW (SNV 039),SUMINISTROS</t>
  </si>
  <si>
    <t>5A7292</t>
  </si>
  <si>
    <t>EXPLO,ESPERANZA,TJ 039 SW (SNV 039),SOSTENIMIENTO</t>
  </si>
  <si>
    <t>5A7293</t>
  </si>
  <si>
    <t>EXPLO,ESPERANZA,TJ 039 SW (SNV 039),SERVICIO</t>
  </si>
  <si>
    <t>5A7294</t>
  </si>
  <si>
    <t>EXPLO,ESPERANZA,TJ 039 SW (SNV 039),REHABILITACION</t>
  </si>
  <si>
    <t>5A7297</t>
  </si>
  <si>
    <t>EXPLO,ESPERANZA,TJ 039 SW (SNV 039),REALCE</t>
  </si>
  <si>
    <t>5A7298</t>
  </si>
  <si>
    <t>EXPLO,ESPERANZA,TJ 039 SW (SNV 039),BREASTING</t>
  </si>
  <si>
    <t>5A7311</t>
  </si>
  <si>
    <t>EXPLO,ESPERANZA,TJ 620 (CH 952),SUMINISTROS</t>
  </si>
  <si>
    <t>5A7312</t>
  </si>
  <si>
    <t>EXPLO,ESPERANZA,TJ 620 (CH 952),SOSTENIMIENTO</t>
  </si>
  <si>
    <t>5A7313</t>
  </si>
  <si>
    <t>EXPLO,ESPERANZA,TJ 620 (CH 952),SERVICIO</t>
  </si>
  <si>
    <t>5A7314</t>
  </si>
  <si>
    <t>EXPLO,ESPERANZA,TJ620 (CH 952),REHABILITACION</t>
  </si>
  <si>
    <t>5B7341</t>
  </si>
  <si>
    <t>EXPLO,INKA,TJ 605,SUMINISTROS</t>
  </si>
  <si>
    <t>5B7342</t>
  </si>
  <si>
    <t>EXPLO,INKA,TJ 605,SOSTENIMIENTO</t>
  </si>
  <si>
    <t>5B7343</t>
  </si>
  <si>
    <t>EXPLO,INKA,TJ 605,SERVICIO</t>
  </si>
  <si>
    <t>5B7344</t>
  </si>
  <si>
    <t>EXPLO,INKA,TJ 605,REHABILITACION</t>
  </si>
  <si>
    <t>5B7347</t>
  </si>
  <si>
    <t>EXPLO,INKA,TJ 605,REALCE</t>
  </si>
  <si>
    <t>5B7348</t>
  </si>
  <si>
    <t>EXPLO,INKA,TJ 605,BREASTING</t>
  </si>
  <si>
    <t>5B7561</t>
  </si>
  <si>
    <t>EXPLO,INKA,TJ 618  SW (INCL 618 SE),SUMINISTROS</t>
  </si>
  <si>
    <t>5B7562</t>
  </si>
  <si>
    <t>EXPLO,INKA,TJ 618  SW (INCL 618 SE),SOSTENIMIENTO</t>
  </si>
  <si>
    <t>5B7563</t>
  </si>
  <si>
    <t>EXPLO,INKA,TJ 618  SW (INCL 618 SE),SERVICIO</t>
  </si>
  <si>
    <t>5B7564</t>
  </si>
  <si>
    <t>EXPLO,INKA,TJ 618  SW (INCL 618 SE),REHABILITACION</t>
  </si>
  <si>
    <t>5B7571</t>
  </si>
  <si>
    <t>EXPLO,INKA,TJ 618  NE (INCL 618 SE),SUMINISTROS</t>
  </si>
  <si>
    <t>5B7572</t>
  </si>
  <si>
    <t>EXPLO,INKA,TJ 618  NE (INCL 618 SE),SOSTENIMIENTO</t>
  </si>
  <si>
    <t>5B7573</t>
  </si>
  <si>
    <t>EXPLO,INKA,TJ 618  NE (INCL 618 SE),SERVICIO</t>
  </si>
  <si>
    <t>5B7574</t>
  </si>
  <si>
    <t>EXPLO,INKA,TJ 618  NE (INCL 618 SE),REHABILITACION</t>
  </si>
  <si>
    <t>5B7591</t>
  </si>
  <si>
    <t>EXPLO,INKA,TJ 626 NW  (CH 605),SUMINISTROS</t>
  </si>
  <si>
    <t>5B7592</t>
  </si>
  <si>
    <t>EXPLO,INKA,TJ 626 NW  (CH 605),SOSTENIMIENTO</t>
  </si>
  <si>
    <t>5B7593</t>
  </si>
  <si>
    <t>EXPLO,INKA,TJ 626 NW  (CH 605),SERVICIO</t>
  </si>
  <si>
    <t>5B7594</t>
  </si>
  <si>
    <t>EXPLO,INKA,TJ 626 NW  (CH 605),REHABILITACION</t>
  </si>
  <si>
    <t>5B7601</t>
  </si>
  <si>
    <t>EXPLO,INKA,TJ 626 SE  (CH 605),SUMINISTROS</t>
  </si>
  <si>
    <t>5B7602</t>
  </si>
  <si>
    <t>EXPLO,INKA,TJ 626 SE  (CH 605),SOSTENIMIENTO</t>
  </si>
  <si>
    <t>5B7603</t>
  </si>
  <si>
    <t>EXPLO,INKA,TJ 626 SE  (CH 605),SERVICIO</t>
  </si>
  <si>
    <t>5B7604</t>
  </si>
  <si>
    <t>EXPLO,INKA,TJ 626 SE  (CH 605),REHABILITACION</t>
  </si>
  <si>
    <t>5C7401</t>
  </si>
  <si>
    <t>EXPLO,CHAPI,TJ 862 NE (CH 862),SUMINISTROS</t>
  </si>
  <si>
    <t>5C7402</t>
  </si>
  <si>
    <t>EXPLO,CHAPI,TJ 862 NE (CH 862),SOSTENIMIENTO</t>
  </si>
  <si>
    <t>5C7403</t>
  </si>
  <si>
    <t>EXPLO,CHAPI,TJ 862 NE (CH 862),SERVICIO</t>
  </si>
  <si>
    <t>5C7404</t>
  </si>
  <si>
    <t>EXPLO,CHAPI,TJ 862 NE (CH 862),REHABILITACION</t>
  </si>
  <si>
    <t>5C7411</t>
  </si>
  <si>
    <t>EXPLO,CHAPI,TJ 862 SW (CH 862),SUMINISTROS</t>
  </si>
  <si>
    <t>5C7412</t>
  </si>
  <si>
    <t>EXPLO,CHAPI,TJ 862 SW (CH 862),SOSTENIMIENTO</t>
  </si>
  <si>
    <t>5C7413</t>
  </si>
  <si>
    <t>EXPLO,CHAPI,TJ 862 SW (CH 862),SERVICIO</t>
  </si>
  <si>
    <t>5C7414</t>
  </si>
  <si>
    <t>EXPLO,CHAPI,TJ 862 SW (CH 862),REHABILITACION</t>
  </si>
  <si>
    <t>5C7421</t>
  </si>
  <si>
    <t>EXPLO,CHAPI,TJ 862-1 NE (CH 862-1),SUMINISTROS</t>
  </si>
  <si>
    <t>5C7422</t>
  </si>
  <si>
    <t>EXPLO,CHAPI,TJ 862-1 NE (CH 862-1),SOSTENIMIENTO</t>
  </si>
  <si>
    <t>5C7423</t>
  </si>
  <si>
    <t>EXPLO,CHAPI,TJ 862-1 NE (CH 862-1),SERVICIO</t>
  </si>
  <si>
    <t>5C7424</t>
  </si>
  <si>
    <t>EXPLO,CHAPI,TJ 862-1 NE (CH 862-1),REHABILITACION</t>
  </si>
  <si>
    <t>5C7427</t>
  </si>
  <si>
    <t>EXPLO,CHAPI,TJ 862-1 NE (CH 862-1),REALCE</t>
  </si>
  <si>
    <t>5C7428</t>
  </si>
  <si>
    <t>EXPLO,CHAPI,TJ 862-1 NE (CH 862-1),BREASTING</t>
  </si>
  <si>
    <t>5C742R</t>
  </si>
  <si>
    <t>EXPLOT,CHAPI,TJ 862-1 NE (CH 862-1),RELLENO</t>
  </si>
  <si>
    <t>5C7731</t>
  </si>
  <si>
    <t>EXPLO,CHAPI,Tj 843 SW (Ch 843),SUMINISTROS</t>
  </si>
  <si>
    <t>5C7732</t>
  </si>
  <si>
    <t>EXPLO,CHAPI,Tj 843 SW (Ch 843),SOSTENIMIENTO</t>
  </si>
  <si>
    <t>5C7733</t>
  </si>
  <si>
    <t>EXPLO,CHAPI,Tj 843 SW (Ch 843),SERVICIO</t>
  </si>
  <si>
    <t>5C7734</t>
  </si>
  <si>
    <t>EXPLO,CHAPI,Tj 843 SW (Ch 843),REHABILITACION</t>
  </si>
  <si>
    <t>5C7741</t>
  </si>
  <si>
    <t>EXPLO,CHAPI,Tj 843 NE (Ch 843),SUMINISTROS</t>
  </si>
  <si>
    <t>5C7742</t>
  </si>
  <si>
    <t>EXPLO,CHAPI,Tj 843 NE (Ch 843),SOSTENIMIENTO</t>
  </si>
  <si>
    <t>5C7743</t>
  </si>
  <si>
    <t>EXPLO,CHAPI,Tj 843 NE (Ch 843),SERVICIO</t>
  </si>
  <si>
    <t>5C7744</t>
  </si>
  <si>
    <t>EXPLO,CHAPI,Tj 843 NE (Ch 843),REHABILITACION</t>
  </si>
  <si>
    <t>5C7841</t>
  </si>
  <si>
    <t>EXPLO,CHAPI,Tj 862-1 SW (Ch 862-1),SUMINISTROS</t>
  </si>
  <si>
    <t>5C7842</t>
  </si>
  <si>
    <t>EXPLO,CHAPI,Tj 862-1 SW (Ch 862-1),SOSTENIMIENTO</t>
  </si>
  <si>
    <t>5C7843</t>
  </si>
  <si>
    <t>EXPLO,CHAPI,Tj 862-1 SW (Ch 862-1),SERVICIO</t>
  </si>
  <si>
    <t>5C7844</t>
  </si>
  <si>
    <t>EXPLO,CHAPI,Tj 862-1 SW (Ch 862-1),REHABILITACION</t>
  </si>
  <si>
    <t>5C790L</t>
  </si>
  <si>
    <t>EXPLOT,CHAPI,Tj 653 NE (Ch 653),LIMPIEZA</t>
  </si>
  <si>
    <t>5C790O</t>
  </si>
  <si>
    <t>EXPLOT,CHAPI,Tj 653 NE (Ch 653),SERVICIO</t>
  </si>
  <si>
    <t>5C790P</t>
  </si>
  <si>
    <t>EXPLOT,CHAPI,Tj 653 NE (Ch 653),PERFORACION</t>
  </si>
  <si>
    <t>5C790S</t>
  </si>
  <si>
    <t>EXPLOT,CHAPI,Tj 653 NE (Ch 653),SOSTENIMIENTO</t>
  </si>
  <si>
    <t>5C790V</t>
  </si>
  <si>
    <t>EXPLOT,CHAPI,Tj 653 NE (Ch 653),VOLADURA</t>
  </si>
  <si>
    <t>5C791L</t>
  </si>
  <si>
    <t>EXPLOT,CHAPI,Tj 653 SW (Ch 653),LIMPIEZA</t>
  </si>
  <si>
    <t>5C791O</t>
  </si>
  <si>
    <t>EXPLOT,CHAPI,Tj 653 SW (Ch 653),SERVICIO</t>
  </si>
  <si>
    <t>5C791P</t>
  </si>
  <si>
    <t>EXPLOT,CHAPI,Tj 653 SW (Ch 653),PERFORACION</t>
  </si>
  <si>
    <t>5C791S</t>
  </si>
  <si>
    <t>EXPLOT,CHAPI,Tj 653 SW (Ch 653),SOSTENIMIENTO</t>
  </si>
  <si>
    <t>5C791V</t>
  </si>
  <si>
    <t>EXPLOT,CHAPI,Tj 653 SW (Ch 653),VOLADURA</t>
  </si>
  <si>
    <t>5D71TL</t>
  </si>
  <si>
    <t>EXPLOT,CACHORRO,Tj 051 NE (Snv 069 NE),LIMPIEZA</t>
  </si>
  <si>
    <t>5D71TO</t>
  </si>
  <si>
    <t>EXPLOT,CACHORRO,Tj 051 NE (Snv 069 NE),SERVICIO</t>
  </si>
  <si>
    <t>5D71TP</t>
  </si>
  <si>
    <t>EXPLOT,CACHORRO,Tj 051 NE (Snv 069 NE),PERFORACION</t>
  </si>
  <si>
    <t>5D71TR</t>
  </si>
  <si>
    <t>EXPLOT,CACHORRO,Tj 051 NE (Snv 069 NE),RELLENO</t>
  </si>
  <si>
    <t>5D71TS</t>
  </si>
  <si>
    <t>EXPLOT,CACHORRO,Tj 051 NE (Snv 069 NE),SOSTENIMIENTO</t>
  </si>
  <si>
    <t>5D71TV</t>
  </si>
  <si>
    <t>EXPLOT,CACHORRO,Tj 051 NE (Snv 069 NE),VOLADURA</t>
  </si>
  <si>
    <t>5D71UL</t>
  </si>
  <si>
    <t>EXPLOT,CACHORRO,Tj 051 SW (Snv 069 SW),LIMPIEZA</t>
  </si>
  <si>
    <t>5D71UO</t>
  </si>
  <si>
    <t>EXPLOT,CACHORRO,Tj 051 SW (Snv 069 SW),SERVICIO</t>
  </si>
  <si>
    <t>5D71UP</t>
  </si>
  <si>
    <t>EXPLOT,CACHORRO,Tj 051 SW (Snv 069 SW),PERFORACION</t>
  </si>
  <si>
    <t>5D71UR</t>
  </si>
  <si>
    <t>EXPLOT,CACHORRO,Tj 051 SW (Snv 069 SW),RELLENO</t>
  </si>
  <si>
    <t>5D71US</t>
  </si>
  <si>
    <t>EXPLOT,CACHORRO,Tj 051 SW (Snv 069 SW),SOSTENIMIENTO</t>
  </si>
  <si>
    <t>5D71UV</t>
  </si>
  <si>
    <t>EXPLOT,CACHORRO,Tj 051 SW (Snv 069 SW),VOLADURA</t>
  </si>
  <si>
    <t>5D71VL</t>
  </si>
  <si>
    <t>EXPLOT,CACHORRO,Tj 050 SW (Snv 069 NE),LIMPIEZA</t>
  </si>
  <si>
    <t>5D71VO</t>
  </si>
  <si>
    <t>EXPLOT,CACHORRO,Tj 050 SW (Snv 069 NE),SERVICIO</t>
  </si>
  <si>
    <t>5D71VP</t>
  </si>
  <si>
    <t>EXPLOT,CACHORRO,Tj 050 SW (Snv 069 NE),PERFORACION</t>
  </si>
  <si>
    <t>5D71VR</t>
  </si>
  <si>
    <t>EXPLOT,CACHORRO,Tj 050 SW (Snv 069 NE),RELLENO</t>
  </si>
  <si>
    <t>5D71VS</t>
  </si>
  <si>
    <t>EXPLOT,CACHORRO,Tj 050 SW (Snv 069 NE),SOSTENIMIENTO</t>
  </si>
  <si>
    <t>5D71VV</t>
  </si>
  <si>
    <t>EXPLOT,CACHORRO,Tj 050 SW (Snv 069 NE),VOLADURA</t>
  </si>
  <si>
    <t>5D71YL</t>
  </si>
  <si>
    <t>EXPLOT,CACHORRO,Tj 056 (Ch 056),LIMPIEZA</t>
  </si>
  <si>
    <t>5D71YO</t>
  </si>
  <si>
    <t>EXPLOT,CACHORRO,Tj 056 (Ch 056),SERVICIO</t>
  </si>
  <si>
    <t>5D71YP</t>
  </si>
  <si>
    <t>EXPLOT,CACHORRO,Tj 056 (Ch 056),PERFORACION</t>
  </si>
  <si>
    <t>5D71YR</t>
  </si>
  <si>
    <t>EXPLOT,CACHORRO,Tj 056 (Ch 056),RELLENO</t>
  </si>
  <si>
    <t>5D71YS</t>
  </si>
  <si>
    <t>EXPLOT,CACHORRO,Tj 056 (Ch 056),SOSTENIMIENTO</t>
  </si>
  <si>
    <t>5D71YV</t>
  </si>
  <si>
    <t>EXPLOT,CACHORRO,Tj 056 (Ch 056),VOLADURA</t>
  </si>
  <si>
    <t>5D71ZL</t>
  </si>
  <si>
    <t>EXPLOT,CACHORRO,Tj 050 NE (Snv 915 NE),LIMPIEZA</t>
  </si>
  <si>
    <t>5D71ZO</t>
  </si>
  <si>
    <t>EXPLOT,CACHORRO,Tj 050 NE (Snv 915 NE),SERVICIO</t>
  </si>
  <si>
    <t>5D71ZP</t>
  </si>
  <si>
    <t>EXPLOT,CACHORRO,Tj 050 NE (Snv 915 NE),PERFORACION</t>
  </si>
  <si>
    <t>5D71ZR</t>
  </si>
  <si>
    <t>EXPLOT,CACHORRO,Tj 050 NE (Snv 915 NE),RELLENO</t>
  </si>
  <si>
    <t>5D71ZS</t>
  </si>
  <si>
    <t>EXPLOT,CACHORRO,Tj 050 NE (Snv 915 NE),SOSTENIMIENTO</t>
  </si>
  <si>
    <t>5D71ZV</t>
  </si>
  <si>
    <t>EXPLOT,CACHORRO,Tj 050 NE (Snv 915 NE),VOLADURA</t>
  </si>
  <si>
    <t>5D7261</t>
  </si>
  <si>
    <t>EXPLO,CACHORRO,TJ 056 (CH 050),SUMINISTROS</t>
  </si>
  <si>
    <t>5D7262</t>
  </si>
  <si>
    <t>EXPLO,CACHORRO,TJ 056 (CH 050),SOSTENIMIENTO</t>
  </si>
  <si>
    <t>5D7263</t>
  </si>
  <si>
    <t>EXPLO,CACHORRO,TJ 056 (CH 050),SERVICIO</t>
  </si>
  <si>
    <t>5D7264</t>
  </si>
  <si>
    <t>EXPLO,CACHORRO,TJ 056 (CH 050),REHABILITACION</t>
  </si>
  <si>
    <t>5D7267</t>
  </si>
  <si>
    <t xml:space="preserve">EXPLO,CACHORRO,TJ 056 (CH 050),REALCE            </t>
  </si>
  <si>
    <t>5D7268</t>
  </si>
  <si>
    <t>EXPLO,CACHORRO,TJ 056 (CH 050),BREASTING</t>
  </si>
  <si>
    <t>5D72AL</t>
  </si>
  <si>
    <t>EXPLOT,CACHORRO,Tj 050 NE (Ch 936),LIMPIEZA</t>
  </si>
  <si>
    <t>5D72AO</t>
  </si>
  <si>
    <t>EXPLOT,CACHORRO,Tj 050 NE (Ch 936),SERVICIO</t>
  </si>
  <si>
    <t>5D72AP</t>
  </si>
  <si>
    <t>EXPLOT,CACHORRO,Tj 050 NE (Ch 936),PERFORACION</t>
  </si>
  <si>
    <t>5D72AR</t>
  </si>
  <si>
    <t>EXPLOT,CACHORRO,Tj 050 NE (Ch 936),RELLENO</t>
  </si>
  <si>
    <t>5D72AS</t>
  </si>
  <si>
    <t>EXPLOT,CACHORRO,Tj 050 NE (Ch 936),SOSTENIMIENTO</t>
  </si>
  <si>
    <t>5D72AV</t>
  </si>
  <si>
    <t>EXPLOT,CACHORRO,Tj 050 NE (Ch 936),VOLADURA</t>
  </si>
  <si>
    <t>5D72BL</t>
  </si>
  <si>
    <t>EXPLOT,CACHORRO,Tj 050 SW (Ch 936),LIMPIEZA</t>
  </si>
  <si>
    <t>5D72BO</t>
  </si>
  <si>
    <t>EXPLOT,CACHORRO,Tj 050 SW (Ch 936),SERVICIO</t>
  </si>
  <si>
    <t>5D72BP</t>
  </si>
  <si>
    <t>EXPLOT,CACHORRO,Tj 050 SW (Ch 936),PERFORACION</t>
  </si>
  <si>
    <t>5D72BR</t>
  </si>
  <si>
    <t>EXPLOT,CACHORRO,Tj 050 SW (Ch 936),RELLENO</t>
  </si>
  <si>
    <t>5D72BS</t>
  </si>
  <si>
    <t>EXPLOT,CACHORRO,Tj 050 SW (Ch 936),SOSTENIMIENTO</t>
  </si>
  <si>
    <t>5D72BV</t>
  </si>
  <si>
    <t>EXPLOT,CACHORRO,Tj 050 SW (Ch 936),VOLADURA</t>
  </si>
  <si>
    <t>5D72NL</t>
  </si>
  <si>
    <t>EXPLOT,CACHORRO,Tj 100 (Ch 100),LIMPIEZA</t>
  </si>
  <si>
    <t>5D72NO</t>
  </si>
  <si>
    <t>EXPLOT,CACHORRO,Tj 100 (Ch 100),SERVICIO</t>
  </si>
  <si>
    <t>5D72NP</t>
  </si>
  <si>
    <t>EXPLOT,CACHORRO,Tj 100 (Ch 100),PERFORACION</t>
  </si>
  <si>
    <t>5D72NR</t>
  </si>
  <si>
    <t>EXPLOT,CACHORRO,Tj 100 (Ch 100),RELLENO</t>
  </si>
  <si>
    <t>5D72NS</t>
  </si>
  <si>
    <t>EXPLOT,CACHORRO,Tj 100 (Ch 100),SOSTENIMIENTO</t>
  </si>
  <si>
    <t>5D72NV</t>
  </si>
  <si>
    <t>EXPLOT,CACHORRO,Tj 100 (Ch 100),VOLADURA</t>
  </si>
  <si>
    <t>5D72UR</t>
  </si>
  <si>
    <t>EXPLOT,CACHORRO,Tj 042 SW (Ch 835),RELLENO</t>
  </si>
  <si>
    <t>5D72XL</t>
  </si>
  <si>
    <t>EXPLOT,CACHORRO,Tj 903 NE (Inc 822 NE),LIMPIEZA</t>
  </si>
  <si>
    <t>5D72XO</t>
  </si>
  <si>
    <t>EXPLOT,CACHORRO,Tj 903 NE (Inc 822 NE),SERVICIO</t>
  </si>
  <si>
    <t>5D72XP</t>
  </si>
  <si>
    <t>EXPLOT,CACHORRO,Tj 903 NE (Inc 822 NE),PERFORACION</t>
  </si>
  <si>
    <t>5D72XR</t>
  </si>
  <si>
    <t>EXPLOT,CACHORRO,Tj 903 NE (Inc 822 NE),RELLENO</t>
  </si>
  <si>
    <t>5D72XS</t>
  </si>
  <si>
    <t>EXPLOT,CACHORRO,Tj 903 NE (Inc 822 NE),SOSTENIMIENTO</t>
  </si>
  <si>
    <t>5D72XV</t>
  </si>
  <si>
    <t>EXPLOT,CACHORRO,Tj 903 NE (Inc 822 NE),VOLADURA</t>
  </si>
  <si>
    <t>5D72YL</t>
  </si>
  <si>
    <t>EXPLOT,CACHORRO,Tj 903 SW (Inc 822 NE),LIMPIEZA</t>
  </si>
  <si>
    <t>5D72YO</t>
  </si>
  <si>
    <t>EXPLOT,CACHORRO,Tj 903 SW (Inc 822 NE),SERVICIO</t>
  </si>
  <si>
    <t>5D72YP</t>
  </si>
  <si>
    <t>EXPLOT,CACHORRO,Tj 903 SW (Inc 822 NE),PERFORACION</t>
  </si>
  <si>
    <t>5D72YS</t>
  </si>
  <si>
    <t>EXPLOT,CACHORRO,Tj 903 SW (Inc 822 NE),SOSTENIMIENTO</t>
  </si>
  <si>
    <t>5D72YV</t>
  </si>
  <si>
    <t>EXPLOT,CACHORRO,Tj 903 SW (Inc 822 NE),VOLADURA</t>
  </si>
  <si>
    <t>5D7301</t>
  </si>
  <si>
    <t>EXPLO,CACHORRO,TJ 056 SW (CH 050),SUMINISTROS</t>
  </si>
  <si>
    <t>5D7302</t>
  </si>
  <si>
    <t>EXPLO,CACHORRO,TJ 056 SW (CH 050),SOSTENIMIENTO</t>
  </si>
  <si>
    <t>5D7303</t>
  </si>
  <si>
    <t>EXPLO,CACHORRO,TJ 056 SW (CH 050),SERVICIO</t>
  </si>
  <si>
    <t>5D7304</t>
  </si>
  <si>
    <t>EXPLO,CACHORRO,TJ 056 SW (CH 050),REHABILITACION</t>
  </si>
  <si>
    <t>5D7307</t>
  </si>
  <si>
    <t>EXPLO,CACHORRO,TJ 056 SW (CH 050),REALCE</t>
  </si>
  <si>
    <t>5D7308</t>
  </si>
  <si>
    <t>EXPLO,CACHORRO,TJ 056 SW (CH 050),BREASTING</t>
  </si>
  <si>
    <t>5D7431</t>
  </si>
  <si>
    <t>EXPLO,CACHORRO,TJ 120 (CH 120),SUMINISTROS</t>
  </si>
  <si>
    <t>5D7432</t>
  </si>
  <si>
    <t>EXPLO,CACHORRO,TJ 120 (CH 120),SOSTENIMIENTO</t>
  </si>
  <si>
    <t>5D7433</t>
  </si>
  <si>
    <t>EXPLO,CACHORRO,TJ 120 (CH 120),SERVICIO</t>
  </si>
  <si>
    <t>5D7434</t>
  </si>
  <si>
    <t>EXPLO,CACHORRO,TJ 120 (CH 120),REHABILITACION</t>
  </si>
  <si>
    <t>5D7437</t>
  </si>
  <si>
    <t>EXPLO,CACHORRO,TJ 120 (CH 120),REALCE</t>
  </si>
  <si>
    <t>5D7438</t>
  </si>
  <si>
    <t>EXPLO,CACHORRO,TJ 120 (CH 120),BREASTING</t>
  </si>
  <si>
    <t>5D7851</t>
  </si>
  <si>
    <t>EXPLO,CACHORRO,Tj 080 SW (Ch 122),SUMINISTROS</t>
  </si>
  <si>
    <t>5D7852</t>
  </si>
  <si>
    <t>EXPLO,CACHORRO,Tj 080 SW (Ch 122),SOSTENIMIENTO</t>
  </si>
  <si>
    <t>5D7853</t>
  </si>
  <si>
    <t>EXPLO,CACHORRO,Tj 080 SW (Ch 122),SERVICIO</t>
  </si>
  <si>
    <t>5D7854</t>
  </si>
  <si>
    <t>EXPLO,CACHORRO,Tj 080 SW (Ch 122),REHABILITACION</t>
  </si>
  <si>
    <t>5D787L</t>
  </si>
  <si>
    <t>EXPLOT,CACHORRO,Tj 070 NE (Ch 072),LIMPIEZA</t>
  </si>
  <si>
    <t>5D787O</t>
  </si>
  <si>
    <t>EXPLOT,CACHORRO,Tj 070 NE (Ch 072),SERVICIO</t>
  </si>
  <si>
    <t>5D787P</t>
  </si>
  <si>
    <t>EXPLOT,CACHORRO,Tj 070 NE (Ch 072),PERFORACION</t>
  </si>
  <si>
    <t>5D787S</t>
  </si>
  <si>
    <t>EXPLOT,CACHORRO,Tj 070 NE (Ch 072),SOSTENIMIENTO</t>
  </si>
  <si>
    <t>5D787V</t>
  </si>
  <si>
    <t>EXPLOT,CACHORRO,Tj 070 NE (Ch 072),VOLADURA</t>
  </si>
  <si>
    <t>5D788L</t>
  </si>
  <si>
    <t>EXPLOT,CACHORRO,Tj 070 SW (Ch 072),LIMPIEZA</t>
  </si>
  <si>
    <t>5D788O</t>
  </si>
  <si>
    <t>EXPLOT,CACHORRO,Tj 070 SW (Ch 072),SERVICIO</t>
  </si>
  <si>
    <t>5D788P</t>
  </si>
  <si>
    <t>EXPLOT,CACHORRO,Tj 070 SW (Ch 072),PERFORACION</t>
  </si>
  <si>
    <t>5D788S</t>
  </si>
  <si>
    <t>EXPLOT,CACHORRO,Tj 070 SW (Ch 072),SOSTENIMIENTO</t>
  </si>
  <si>
    <t>5D788V</t>
  </si>
  <si>
    <t>EXPLOT,CACHORRO,Tj 070 SW (Ch 072),VOLADURA</t>
  </si>
  <si>
    <t>5D798L</t>
  </si>
  <si>
    <t>EXPLOT,CACHORRO,Tj 026 NE (Ch 056),LIMPIEZA</t>
  </si>
  <si>
    <t>5D798O</t>
  </si>
  <si>
    <t>EXPLOT,CACHORRO,Tj 026 NE (Ch 056),SERVICIO</t>
  </si>
  <si>
    <t>5D798P</t>
  </si>
  <si>
    <t>EXPLOT,CACHORRO,Tj 026 NE (Ch 056),PERFORACION</t>
  </si>
  <si>
    <t>5D798S</t>
  </si>
  <si>
    <t>EXPLOT,CACHORRO,Tj 026 NE (Ch 056),SOSTENIMIENTO</t>
  </si>
  <si>
    <t>5D798V</t>
  </si>
  <si>
    <t>EXPLOT,CACHORRO,Tj 026 NE (Ch 056),VOLADURA</t>
  </si>
  <si>
    <t>5D8091</t>
  </si>
  <si>
    <t>EXPLO,CACHORRO,CAM 074 SE (EST 074 SE),SUMINISTROS</t>
  </si>
  <si>
    <t>5D8092</t>
  </si>
  <si>
    <t>EXPLO,CACHORRO,CAM 074 SE (EST 074 SE),SOSTENIMIENTO</t>
  </si>
  <si>
    <t>5D8093</t>
  </si>
  <si>
    <t>EXPLO,CACHORRO,CAM 074 SE (EST 074 SE),SERVICIO</t>
  </si>
  <si>
    <t>5D8094</t>
  </si>
  <si>
    <t>EXPLO,CACHORRO,CAM 074 SE (EST 074 SE),REHABILITACION</t>
  </si>
  <si>
    <t>5E5541</t>
  </si>
  <si>
    <t>EXPLO,VANESSA,Snv 130 SW (Tj 101 SW),SUMINISTROS</t>
  </si>
  <si>
    <t>5E5542</t>
  </si>
  <si>
    <t>EXPLO,VANESSA,Snv 130 SW (Tj 101 SW),SOSTENIMIENTO</t>
  </si>
  <si>
    <t>5E5543</t>
  </si>
  <si>
    <t>EXPLO,VANESSA,Snv 130 SW (Tj 101 SW),SERVICIO</t>
  </si>
  <si>
    <t>5E5544</t>
  </si>
  <si>
    <t>EXPLO,VANESSA,Snv 130 SW (Tj 101 SW),REHABILITACION</t>
  </si>
  <si>
    <t>5E660L</t>
  </si>
  <si>
    <t>EXPLOT,VANESSA,Est 868 SE (Ch 091),LIMPIEZA</t>
  </si>
  <si>
    <t>5E660O</t>
  </si>
  <si>
    <t>EXPLOT,VANESSA,Est 868 SE (Ch 091),SERVICIO</t>
  </si>
  <si>
    <t>5E660P</t>
  </si>
  <si>
    <t>EXPLOT,VANESSA,Est 868 SE (Ch 091),PERFORACION</t>
  </si>
  <si>
    <t>5E660S</t>
  </si>
  <si>
    <t>EXPLOT,VANESSA,Est 868 SE (Ch 091),SOSTENIMIENTO</t>
  </si>
  <si>
    <t>5E660V</t>
  </si>
  <si>
    <t>EXPLOT,VANESSA,Est 868 SE (Ch 091),VOLADURA</t>
  </si>
  <si>
    <t>5E71IL</t>
  </si>
  <si>
    <t>EXPLOT,VANESSA,Tj 063 SW (Snv 868 SW),LIMPIEZA</t>
  </si>
  <si>
    <t>5E71IO</t>
  </si>
  <si>
    <t>EXPLOT,VANESSA,Tj 063 SW (Snv 868 SW),SERVICIO</t>
  </si>
  <si>
    <t>5E71IP</t>
  </si>
  <si>
    <t>EXPLOT,VANESSA,Tj 063 SW (Snv 868 SW),PERFORACION</t>
  </si>
  <si>
    <t>5E71IS</t>
  </si>
  <si>
    <t>EXPLOT,VANESSA,Tj 063 SW (Snv 868 SW),SOSTENIMIENTO</t>
  </si>
  <si>
    <t>5E71IV</t>
  </si>
  <si>
    <t>EXPLOT,VANESSA,Tj 063 SW (Snv 868 SW),VOLADURA</t>
  </si>
  <si>
    <t>5E71JL</t>
  </si>
  <si>
    <t>EXPLOT,VANESSA,Tj 063 SW (Ch 066),LIMPIEZA</t>
  </si>
  <si>
    <t>5E71JO</t>
  </si>
  <si>
    <t>EXPLOT,VANESSA,Tj 063 SW (Ch 066),SERVICIO</t>
  </si>
  <si>
    <t>5E71JP</t>
  </si>
  <si>
    <t>EXPLOT,VANESSA,Tj 063 SW (Ch 066),PERFORACION</t>
  </si>
  <si>
    <t>5E71JR</t>
  </si>
  <si>
    <t>EXPLOT,VANESSA,Tj 063 SW (Ch 066),RELLENO</t>
  </si>
  <si>
    <t>5E71JS</t>
  </si>
  <si>
    <t>EXPLOT,VANESSA,Tj 063 SW (Ch 066),SOSTENIMIENTO</t>
  </si>
  <si>
    <t>5E71JV</t>
  </si>
  <si>
    <t>EXPLOT,VANESSA,Tj 063 SW (Ch 066),VOLADURA</t>
  </si>
  <si>
    <t>5E71KL</t>
  </si>
  <si>
    <t>EXPLOT,VANESSA,Tj 063 NE (Ch 066),LIMPIEZA</t>
  </si>
  <si>
    <t>5E71KO</t>
  </si>
  <si>
    <t>EXPLOT,VANESSA,Tj 063 NE (Ch 066),SERVICIO</t>
  </si>
  <si>
    <t>5E71KP</t>
  </si>
  <si>
    <t>EXPLOT,VANESSA,Tj 063 NE (Ch 066),PERFORACION</t>
  </si>
  <si>
    <t>5E71KR</t>
  </si>
  <si>
    <t>EXPLOT,VANESSA,Tj 063 NE (Ch 066),RELLENO</t>
  </si>
  <si>
    <t>5E71KS</t>
  </si>
  <si>
    <t>EXPLOT,VANESSA,Tj 063 NE (Ch 066),SOSTENIMIENTO</t>
  </si>
  <si>
    <t>5E71KV</t>
  </si>
  <si>
    <t>EXPLOT,VANESSA,Tj 063 NE (Ch 066),VOLADURA</t>
  </si>
  <si>
    <t>5E71PL</t>
  </si>
  <si>
    <t>EXPLOT,VANESSA,Tj 037 SW (Ch 091),LIMPIEZA</t>
  </si>
  <si>
    <t>5E71PO</t>
  </si>
  <si>
    <t>EXPLOT,VANESSA,Tj 037 SW (Ch 091),SERVICIO</t>
  </si>
  <si>
    <t>5E71PP</t>
  </si>
  <si>
    <t>EXPLOT,VANESSA,Tj 037 SW (Ch 091),PERFORACION</t>
  </si>
  <si>
    <t>5E71PR</t>
  </si>
  <si>
    <t>EXPLOT,VANESSA,Tj 037 SW (Ch 091),RELLENO</t>
  </si>
  <si>
    <t>5E71PS</t>
  </si>
  <si>
    <t>EXPLOT,VANESSA,Tj 037 SW (Ch 091),SOSTENIMIENTO</t>
  </si>
  <si>
    <t>5E71PV</t>
  </si>
  <si>
    <t>EXPLOT,VANESSA,Tj 037 SW (Ch 091),VOLADURA</t>
  </si>
  <si>
    <t>5E71QL</t>
  </si>
  <si>
    <t>EXPLOT,VANESSA,Tj 037 NE (Ch 091),LIMPIEZA</t>
  </si>
  <si>
    <t>5E71QO</t>
  </si>
  <si>
    <t>EXPLOT,VANESSA,Tj 037 NE (Ch 091),SERVICIO</t>
  </si>
  <si>
    <t>5E71QP</t>
  </si>
  <si>
    <t>EXPLOT,VANESSA,Tj 037 NE (Ch 091),PERFORACION</t>
  </si>
  <si>
    <t>5E71QR</t>
  </si>
  <si>
    <t>EXPLOT,VANESSA,Tj 037 NE (Ch 091),RELLENO</t>
  </si>
  <si>
    <t>5E71QS</t>
  </si>
  <si>
    <t>EXPLOT,VANESSA,Tj 037 NE (Ch 091),SOSTENIMIENTO</t>
  </si>
  <si>
    <t>5E71QV</t>
  </si>
  <si>
    <t>EXPLOT,VANESSA,Tj 037 NE (Ch 091),VOLADURA</t>
  </si>
  <si>
    <t>5E72NL</t>
  </si>
  <si>
    <t>EXPLOT,VANESSA,Tj 010 NE (Inc 870 SW),LIMPIEZA</t>
  </si>
  <si>
    <t>5E72NO</t>
  </si>
  <si>
    <t>EXPLOT,VANESSA,Tj 010 NE (Inc 870 SW),SERVICIO</t>
  </si>
  <si>
    <t>5E72NP</t>
  </si>
  <si>
    <t>EXPLOT,VANESSA,Tj 010 NE (Inc 870 SW),PERFORACION</t>
  </si>
  <si>
    <t>5E72NR</t>
  </si>
  <si>
    <t>EXPLOT,VANESSA,Tj 010 NE (Inc 870 SW),RELLENO</t>
  </si>
  <si>
    <t>5E72NS</t>
  </si>
  <si>
    <t>EXPLOT,VANESSA,Tj 010 NE (Inc 870 SW),SOSTENIMIENTO</t>
  </si>
  <si>
    <t>5E72NV</t>
  </si>
  <si>
    <t>EXPLOT,VANESSA,Tj 010 NE (Inc 870 SW),VOLADURA</t>
  </si>
  <si>
    <t>5E72OL</t>
  </si>
  <si>
    <t>EXPLOT,VANESSA,Tj 010 SW (Inc 870 SW),LIMPIEZA</t>
  </si>
  <si>
    <t>5E72OO</t>
  </si>
  <si>
    <t>EXPLOT,VANESSA,Tj 010 SW (Inc 870 SW),SERVICIO</t>
  </si>
  <si>
    <t>5E72OP</t>
  </si>
  <si>
    <t>EXPLOT,VANESSA,Tj 010 SW (Inc 870 SW),PERFORACION</t>
  </si>
  <si>
    <t>5E72OR</t>
  </si>
  <si>
    <t>EXPLOT,VANESSA,Tj 010 SW (Inc 870 SW),RELLENO</t>
  </si>
  <si>
    <t>5E72OS</t>
  </si>
  <si>
    <t>EXPLOT,VANESSA,Tj 010 SW (Inc 870 SW),SOSTENIMIENTO</t>
  </si>
  <si>
    <t>5E72OV</t>
  </si>
  <si>
    <t>EXPLOT,VANESSA,Tj 010 SW (Inc 870 SW),VOLADURA</t>
  </si>
  <si>
    <t>5E72RL</t>
  </si>
  <si>
    <t>EXPLOT,VANESSA,Tj 030 SW (Ch 835),LIMPIEZA</t>
  </si>
  <si>
    <t>5E72RO</t>
  </si>
  <si>
    <t>EXPLOT,VANESSA,Tj 030 SW (Ch 835),SERVICIO</t>
  </si>
  <si>
    <t>5E72RP</t>
  </si>
  <si>
    <t>EXPLOT,VANESSA,Tj 030 SW (Ch 835),PERFORACION</t>
  </si>
  <si>
    <t>5E72RR</t>
  </si>
  <si>
    <t>EXPLOT,VANESSA,Tj 030 SW (Ch 835),RELLENO</t>
  </si>
  <si>
    <t>5E72RS</t>
  </si>
  <si>
    <t>EXPLOT,VANESSA,Tj 030 SW (Ch 835),SOSTENIMIENTO</t>
  </si>
  <si>
    <t>5E72RV</t>
  </si>
  <si>
    <t>EXPLOT,VANESSA,Tj 030 SW (Ch 835),VOLADURA</t>
  </si>
  <si>
    <t>5E72SL</t>
  </si>
  <si>
    <t>EXPLOT,VANESSA,Tj 020 NE (Inc 870 SW),LIMPIEZA</t>
  </si>
  <si>
    <t>5E72SO</t>
  </si>
  <si>
    <t>EXPLOT,VANESSA,Tj 020 NE (Inc 870 SW),SERVICIO</t>
  </si>
  <si>
    <t>5E72SP</t>
  </si>
  <si>
    <t>EXPLOT,VANESSA,Tj 020 NE (Inc 870 SW),PERFORACION</t>
  </si>
  <si>
    <t>5E72SR</t>
  </si>
  <si>
    <t>EXPLOT,VANESSA,Tj 020 NE (Inc 870 SW),RELLENO</t>
  </si>
  <si>
    <t>5E72SS</t>
  </si>
  <si>
    <t>EXPLOT,VANESSA,Tj 020 NE (Inc 870 SW),SOSTENIMIENTO</t>
  </si>
  <si>
    <t>5E72SV</t>
  </si>
  <si>
    <t>EXPLOT,VANESSA,Tj 020 NE (Inc 870 SW),VOLADURA</t>
  </si>
  <si>
    <t>5E72TL</t>
  </si>
  <si>
    <t>EXPLOT,VANESSA,Tj 020 SW (Inc 870 SW),LIMPIEZA</t>
  </si>
  <si>
    <t>5E72TO</t>
  </si>
  <si>
    <t>EXPLOT,VANESSA,Tj 020 SW (Inc 870 SW),SERVICIO</t>
  </si>
  <si>
    <t>5E72TP</t>
  </si>
  <si>
    <t>EXPLOT,VANESSA,Tj 020 SW (Inc 870 SW),PERFORACION</t>
  </si>
  <si>
    <t>5E72TR</t>
  </si>
  <si>
    <t>EXPLOT,VANESSA,Tj 020 SW (Inc 870 SW),RELLENO</t>
  </si>
  <si>
    <t>5E72TS</t>
  </si>
  <si>
    <t>EXPLOT,VANESSA,Tj 020 SW (Inc 870 SW),SOSTENIMIENTO</t>
  </si>
  <si>
    <t>5E72TV</t>
  </si>
  <si>
    <t>EXPLOT,VANESSA,Tj 020 SW (Inc 870 SW),VOLADURA</t>
  </si>
  <si>
    <t>5E72UL</t>
  </si>
  <si>
    <t>EXPLOT,VANESSA,Tj 042 SW (Ch 835),LIMPIEZA</t>
  </si>
  <si>
    <t>5E72UO</t>
  </si>
  <si>
    <t>EXPLOT,VANESSA,Tj 042 SW (Ch 835),SERVICIO</t>
  </si>
  <si>
    <t>5E72UP</t>
  </si>
  <si>
    <t>EXPLOT,VANESSA,Tj 042 SW (Ch 835),PERFORACION</t>
  </si>
  <si>
    <t>5E72UR</t>
  </si>
  <si>
    <t>EXPLOT,VANESSA,Tj 042 SW (Ch 835),RELLENO</t>
  </si>
  <si>
    <t>5E72US</t>
  </si>
  <si>
    <t>EXPLOT,VANESSA,Tj 042 SW (Ch 835),SOSTENIMIENTO</t>
  </si>
  <si>
    <t>5E72UV</t>
  </si>
  <si>
    <t>EXPLOT,VANESSA,Tj 042 SW (Ch 835),VOLADURA</t>
  </si>
  <si>
    <t>5E72ZL</t>
  </si>
  <si>
    <t>EXPLOT,VANESSA,Tj 829 SW (Snv 829 SW),LIMPIEZA</t>
  </si>
  <si>
    <t>5E72ZO</t>
  </si>
  <si>
    <t>EXPLOT,VANESSA,Tj 829 SW (Snv 829 SW),SERVICIO</t>
  </si>
  <si>
    <t>5E72ZP</t>
  </si>
  <si>
    <t>EXPLOT,VANESSA,Tj 829 SW (Snv 829 SW),PERFORACION</t>
  </si>
  <si>
    <t>5E72ZR</t>
  </si>
  <si>
    <t>EXPLOT,VANESSA,Tj 829 SW (Snv 829 SW),RELLENO</t>
  </si>
  <si>
    <t>5E72ZS</t>
  </si>
  <si>
    <t>EXPLOT,VANESSA,Tj 829 SW (Snv 829 SW),SOSTENIMIENTO</t>
  </si>
  <si>
    <t>5E72ZV</t>
  </si>
  <si>
    <t>EXPLOT,VANESSA,Tj 829 SW (Snv 829 SW),VOLADURA</t>
  </si>
  <si>
    <t>5E7321</t>
  </si>
  <si>
    <t>EXPLO,VANESSA,TJ 066 NE (CH066),SUMINISTROS</t>
  </si>
  <si>
    <t>5E7322</t>
  </si>
  <si>
    <t>EXPLO,VANESSA,TJ 066 NE (CH066),SOSTENIMIENTO</t>
  </si>
  <si>
    <t>5E7323</t>
  </si>
  <si>
    <t>EXPLO,VANESSA,TJ 066 NE (CH066),SERVICIO</t>
  </si>
  <si>
    <t>5E7324</t>
  </si>
  <si>
    <t>EXPLO,VANESSA,TJ 066 NE (CH066),REHABILITACION</t>
  </si>
  <si>
    <t>5E7331</t>
  </si>
  <si>
    <t>EXPLO,VANESSA,TJ 066 SW (CH066),SUMINISTROS</t>
  </si>
  <si>
    <t>5E7332</t>
  </si>
  <si>
    <t>EXPLO,VANESSA,TJ 066 SW (CH066),SOSTENIMIENTO</t>
  </si>
  <si>
    <t>5E7333</t>
  </si>
  <si>
    <t>EXPLO,VANESSA,TJ 066 SW (CH066),SERVICIO</t>
  </si>
  <si>
    <t>5E7334</t>
  </si>
  <si>
    <t>EXPLO,VANESSA,TJ 066 SW (CH066),REHABILITACION</t>
  </si>
  <si>
    <t>5E7351</t>
  </si>
  <si>
    <t>EXPLO,VANESSA,TJ 044 (CH 044),SUMINISTROS</t>
  </si>
  <si>
    <t>5E7352</t>
  </si>
  <si>
    <t>EXPLO,VANESSA,TJ 044 (CH 044),SOSTENIMIENTO</t>
  </si>
  <si>
    <t>5E7353</t>
  </si>
  <si>
    <t>EXPLO,VANESSA,TJ 044 (CH 044),SERVICIO</t>
  </si>
  <si>
    <t>5E7354</t>
  </si>
  <si>
    <t>EXPLO,VANESSA,TJ 044 (CH 044),REHABILITACION</t>
  </si>
  <si>
    <t>5E7357</t>
  </si>
  <si>
    <t>EXPLO,VANESSA,TJ 044 (CH 044),REALCE</t>
  </si>
  <si>
    <t>5E7358</t>
  </si>
  <si>
    <t>EXPLO,VANESSA,TJ 044 (CH 044),BREASTING</t>
  </si>
  <si>
    <t>5E7361</t>
  </si>
  <si>
    <t>EXPLO,VANESSA,TJ 045 (CH 044),SUMINISTROS</t>
  </si>
  <si>
    <t>5E7362</t>
  </si>
  <si>
    <t>EXPLO,VANESSA,TJ 045 (CH 044),SOSTENIMIENTO</t>
  </si>
  <si>
    <t>5E7363</t>
  </si>
  <si>
    <t>EXPLO,VANESSA,TJ 045 (CH 044),SERVICIO</t>
  </si>
  <si>
    <t>5E7364</t>
  </si>
  <si>
    <t>EXPLO,VANESSA,TJ 045 (CH 044),REHABILITACION</t>
  </si>
  <si>
    <t>5E7367</t>
  </si>
  <si>
    <t>EXPLO,VANESSA,TJ 045 (CH 044),REALCE</t>
  </si>
  <si>
    <t>5E7368</t>
  </si>
  <si>
    <t>EXPLO,VANESSA,TJ 045 (CH 044),BREASTING</t>
  </si>
  <si>
    <t>5E7371</t>
  </si>
  <si>
    <t>EXPLO,VANESSA,TJ 066 (CH 044),SUMINISTROS</t>
  </si>
  <si>
    <t>5E7372</t>
  </si>
  <si>
    <t>EXPLO,VANESSA,TJ 066 (CH 044),SOSTENIMIENTO</t>
  </si>
  <si>
    <t>5E7373</t>
  </si>
  <si>
    <t>EXPLO,VANESSA,TJ 066 (CH 044),SERVICIO</t>
  </si>
  <si>
    <t>5E7374</t>
  </si>
  <si>
    <t>EXPLO,VANESSA,TJ 066 (CH 044),REHABILITACION</t>
  </si>
  <si>
    <t>5E7377</t>
  </si>
  <si>
    <t>EXPLO,VANESSA,TJ 066 (CH 044),REALCE</t>
  </si>
  <si>
    <t>5E7378</t>
  </si>
  <si>
    <t>EXPLO,VANESSA,TJ 066 (CH 044),BREASTING</t>
  </si>
  <si>
    <t>5E7381</t>
  </si>
  <si>
    <t>EXPLO,VANESSA,TJ 107 (CH 066),SUMINISTROS</t>
  </si>
  <si>
    <t>5E7382</t>
  </si>
  <si>
    <t>EXPLO,VANESSA,TJ 107 (CH 066),SOSTENIMIENTO</t>
  </si>
  <si>
    <t>5E7383</t>
  </si>
  <si>
    <t>EXPLO,VANESSA,TJ 107 (CH 066),SERVICIO</t>
  </si>
  <si>
    <t>5E7384</t>
  </si>
  <si>
    <t>EXPLO,VANESSA,TJ 107 (CH 066),REHABILITACION</t>
  </si>
  <si>
    <t>5E7387</t>
  </si>
  <si>
    <t>EXPLO,VANESSA,TJ 107 (CH 066),REALCE</t>
  </si>
  <si>
    <t>5E7388</t>
  </si>
  <si>
    <t>EXPLO,VANESSA,TJ 107 (CH 066),BREASTING</t>
  </si>
  <si>
    <t>5E7391</t>
  </si>
  <si>
    <t>EXPLO,VANESSA,TJ 107 (CH 107),SUMINISTROS</t>
  </si>
  <si>
    <t>5E7392</t>
  </si>
  <si>
    <t>EXPLO,VANESSA,TJ 107 (CH 107),SOSTENIMIENTO</t>
  </si>
  <si>
    <t>5E7393</t>
  </si>
  <si>
    <t>EXPLO,VANESSA,TJ 107 (CH 107),SERVICIO</t>
  </si>
  <si>
    <t>5E7394</t>
  </si>
  <si>
    <t>EXPLO,VANESSA,TJ 107 (CH 107),REHABILITACION</t>
  </si>
  <si>
    <t>5E7397</t>
  </si>
  <si>
    <t>EXPLO,VANESSA,TJ 107 (CH 107),REALCE</t>
  </si>
  <si>
    <t>5E7398</t>
  </si>
  <si>
    <t>EXPLO,VANESSA,TJ 107 (CH 107),BREASTING</t>
  </si>
  <si>
    <t>5E73AL</t>
  </si>
  <si>
    <t>EXPLOT,VANESSA,Tj  829 SW (Snv 868 SW),LIMPIEZA</t>
  </si>
  <si>
    <t>5E73AO</t>
  </si>
  <si>
    <t>EXPLOT,VANESSA,Tj  829 SW (Snv 868 SW),SERVICIO</t>
  </si>
  <si>
    <t>5E73AP</t>
  </si>
  <si>
    <t>EXPLOT,VANESSA,Tj  829 SW (Snv 868 SW),PERFORACION</t>
  </si>
  <si>
    <t>5E73AR</t>
  </si>
  <si>
    <t>EXPLOT,VANESSA,Tj  829 SW (Snv 868 SW),RELLENO</t>
  </si>
  <si>
    <t>5E73AS</t>
  </si>
  <si>
    <t>EXPLOT,VANESSA,Tj  829 SW (Snv 868 SW),SOSTENIMIENTO</t>
  </si>
  <si>
    <t>5E73AV</t>
  </si>
  <si>
    <t>EXPLOT,VANESSA,Tj  829 SW (Snv 868 SW),VOLADURA</t>
  </si>
  <si>
    <t>5E7441</t>
  </si>
  <si>
    <t>EXPLO,VANESSA,TJ 054 (CH 044),SUMINISTROS</t>
  </si>
  <si>
    <t>5E7442</t>
  </si>
  <si>
    <t>EXPLO,VANESSA,TJ 054 (CH 044),SOSTENIMIENTO</t>
  </si>
  <si>
    <t>5E7443</t>
  </si>
  <si>
    <t>EXPLO,VANESSA,TJ 054 (CH 044),SERVICIO</t>
  </si>
  <si>
    <t>5E7444</t>
  </si>
  <si>
    <t>EXPLO,VANESSA,TJ 054 (CH 044),REHABILITACION</t>
  </si>
  <si>
    <t>5E7447</t>
  </si>
  <si>
    <t>EXPLO,VANESSA,TJ 054 (CH 044),REALCE</t>
  </si>
  <si>
    <t>5E7448</t>
  </si>
  <si>
    <t>EXPLO,VANESSA,TJ 054 (CH 044),BREASTING</t>
  </si>
  <si>
    <t>5E7451</t>
  </si>
  <si>
    <t>EXPLO,VANESSA,TJ 055 (CH 044),SUMINISTROS</t>
  </si>
  <si>
    <t>5E7452</t>
  </si>
  <si>
    <t>EXPLO,VANESSA,TJ 055 (CH 044),SOSTENIMIENTO</t>
  </si>
  <si>
    <t>5E7453</t>
  </si>
  <si>
    <t>EXPLO,VANESSA,TJ 055 (CH 044),SERVICIO</t>
  </si>
  <si>
    <t>5E7454</t>
  </si>
  <si>
    <t>EXPLO,VANESSA,TJ 055 (CH 044),REHABILITACION</t>
  </si>
  <si>
    <t>5E7457</t>
  </si>
  <si>
    <t>EXPLO,VANESSA,TJ 055 (CH 044),REALCE</t>
  </si>
  <si>
    <t>5E7458</t>
  </si>
  <si>
    <t>EXPLO,VANESSA,TJ 055 (CH 044),BREASTING</t>
  </si>
  <si>
    <t>5E7461</t>
  </si>
  <si>
    <t>EXPLO,VANESSA,TJ 076 (CH 066),SUMINISTROS</t>
  </si>
  <si>
    <t>5E7462</t>
  </si>
  <si>
    <t>EXPLO,VANESSA,TJ 076 (CH 066),SOSTENIMIENTO</t>
  </si>
  <si>
    <t>5E7463</t>
  </si>
  <si>
    <t>EXPLO,VANESSA,TJ 076 (CH 066),SERVICIO</t>
  </si>
  <si>
    <t>5E7464</t>
  </si>
  <si>
    <t>EXPLO,VANESSA,TJ 076 (CH 066),REHABILITACION</t>
  </si>
  <si>
    <t>5E7467</t>
  </si>
  <si>
    <t>EXPLO,VANESSA,TJ 076 (CH 066),REALCE</t>
  </si>
  <si>
    <t>5E7468</t>
  </si>
  <si>
    <t>EXPLO,VANESSA,TJ 076 (CH 066),BREASTING</t>
  </si>
  <si>
    <t>5E7471</t>
  </si>
  <si>
    <t>EXPLO,VANESSA,TJ 107 SW (CH 107),SUMINISTROS</t>
  </si>
  <si>
    <t>5E7472</t>
  </si>
  <si>
    <t>EXPLO,VANESSA,TJ 107 SW (CH 107),SOSTENIMIENTO</t>
  </si>
  <si>
    <t>5E7473</t>
  </si>
  <si>
    <t>EXPLO,VANESSA,TJ 107 SW (CH 107),SERVICIO</t>
  </si>
  <si>
    <t>5E7474</t>
  </si>
  <si>
    <t>EXPLO,VANESSA,TJ 107 SW (CH 107),REHABILITACION</t>
  </si>
  <si>
    <t>5E7481</t>
  </si>
  <si>
    <t>EXPLO,VANESSA,TJ 107 NE (CH 107),SUMINISTROS</t>
  </si>
  <si>
    <t>5E7482</t>
  </si>
  <si>
    <t>EXPLO,VANESSA,TJ 107 NE (CH 107),SOSTENIMIENTO</t>
  </si>
  <si>
    <t>5E7483</t>
  </si>
  <si>
    <t>EXPLO,VANESSA,TJ 107 NE (CH 107),SERVICIO</t>
  </si>
  <si>
    <t>5E7484</t>
  </si>
  <si>
    <t>EXPLO,VANESSA,TJ 107 NE (CH 107),REHABILITACION</t>
  </si>
  <si>
    <t>5E7491</t>
  </si>
  <si>
    <t>EXPLO,VANESSA,TJ 091 SW (CH 091),SUMINISTROS</t>
  </si>
  <si>
    <t>5E7492</t>
  </si>
  <si>
    <t>EXPLO,VANESSA,TJ 091 SW (CH 091),SOSTENIMIENTO</t>
  </si>
  <si>
    <t>5E7493</t>
  </si>
  <si>
    <t>EXPLO,VANESSA,TJ 091 SW (CH 091),SERVICIO</t>
  </si>
  <si>
    <t>5E7494</t>
  </si>
  <si>
    <t>EXPLO,VANESSA,TJ 091 SW (CH 091),REHABILITACION</t>
  </si>
  <si>
    <t>5E7511</t>
  </si>
  <si>
    <t>EXPLO,VANESSA,TJ 091 (CH091),SUMINISTROS</t>
  </si>
  <si>
    <t>5E7512</t>
  </si>
  <si>
    <t>EXPLO,VANESSA,TJ 091 (CH091),SOSTENIMIENTO</t>
  </si>
  <si>
    <t>5E7513</t>
  </si>
  <si>
    <t>EXPLO,VANESSA,TJ 091 (CH091),SERVICIO</t>
  </si>
  <si>
    <t>5E7514</t>
  </si>
  <si>
    <t>EXPLO,VANESSA,TJ 091 (CH091),REHABILITACION</t>
  </si>
  <si>
    <t>5E7521</t>
  </si>
  <si>
    <t>EXPLO,VANESSA,TJ 101 (CH091),SUMINISTROS</t>
  </si>
  <si>
    <t>5E7522</t>
  </si>
  <si>
    <t>EXPLO,VANESSA,TJ 101 (CH091),SOSTENIMIENTO</t>
  </si>
  <si>
    <t>5E7523</t>
  </si>
  <si>
    <t>EXPLO,VANESSA,TJ 101 (CH091),SERVICIO</t>
  </si>
  <si>
    <t>5E7524</t>
  </si>
  <si>
    <t>EXPLO,VANESSA,TJ 101 (CH091),REHABILITACION</t>
  </si>
  <si>
    <t>5E7531</t>
  </si>
  <si>
    <t>EXPLO,VANESSA,TJ 117 SW  (CH 091),SUMINISTROS</t>
  </si>
  <si>
    <t>5E7532</t>
  </si>
  <si>
    <t>EXPLO,VANESSA,TJ 117 SW  (CH 091),SOSTENIMIENTO</t>
  </si>
  <si>
    <t>5E7533</t>
  </si>
  <si>
    <t>EXPLO,VANESSA,TJ 117 SW  (CH 091),SERVICIO</t>
  </si>
  <si>
    <t>5E7534</t>
  </si>
  <si>
    <t>EXPLO,VANESSA,TJ 117 SW  (CH 091),REHABILITACION</t>
  </si>
  <si>
    <t>5E7541</t>
  </si>
  <si>
    <t>EXPLO,VANESSA,TJ 117 NE  (CH 107),SUMINISTROS</t>
  </si>
  <si>
    <t>5E7542</t>
  </si>
  <si>
    <t>EXPLO,VANESSA,TJ 117 NE  (CH 107),SOSTENIMIENTO</t>
  </si>
  <si>
    <t>5E7543</t>
  </si>
  <si>
    <t>EXPLO,VANESSA,TJ 117 NE  (CH 107),SERVICIO</t>
  </si>
  <si>
    <t>5E7544</t>
  </si>
  <si>
    <t>EXPLO,VANESSA,TJ 117 NE  (CH 107),REHABILITACION</t>
  </si>
  <si>
    <t>5E7551</t>
  </si>
  <si>
    <t>EXPLO,VANESSA,TJ 111  (CH 091),SUMINISTROS</t>
  </si>
  <si>
    <t>5E7552</t>
  </si>
  <si>
    <t>EXPLO,VANESSA,TJ 111  (CH 091),SOSTENIMIENTO</t>
  </si>
  <si>
    <t>5E7553</t>
  </si>
  <si>
    <t>EXPLO,VANESSA,TJ 111  (CH 091),SERVICIO</t>
  </si>
  <si>
    <t>5E7554</t>
  </si>
  <si>
    <t>EXPLO,VANESSA,TJ 111  (CH 091),REHABILITACION</t>
  </si>
  <si>
    <t>5E7557</t>
  </si>
  <si>
    <t>EXPLO,VANESSA,TJ 111  (CH 091),REALCE</t>
  </si>
  <si>
    <t>5E7558</t>
  </si>
  <si>
    <t>EXPLO,VANESSA,TJ 111  (CH 091),BREASTING</t>
  </si>
  <si>
    <t>5E7581</t>
  </si>
  <si>
    <t>EXPLO,VANESSA,TJ 076  (CH 053),SUMINISTROS</t>
  </si>
  <si>
    <t>5E7582</t>
  </si>
  <si>
    <t>EXPLO,VANESSA,TJ 076  (CH 053),SOSTENIMIENTO</t>
  </si>
  <si>
    <t>5E7583</t>
  </si>
  <si>
    <t>EXPLO,VANESSA,TJ 076  (CH 053),SERVICIO</t>
  </si>
  <si>
    <t>5E7584</t>
  </si>
  <si>
    <t>EXPLO,VANESSA,TJ 076  (CH 053),REHABILITACION</t>
  </si>
  <si>
    <t>5E7611</t>
  </si>
  <si>
    <t>EXPLO,VANESSA,TJ 121 SW  (CH 084),SUMINISTROS</t>
  </si>
  <si>
    <t>5E7612</t>
  </si>
  <si>
    <t>EXPLO,VANESSA,TJ 121 SW  (CH 084),SOSTENIMIENTO</t>
  </si>
  <si>
    <t>5E7613</t>
  </si>
  <si>
    <t>EXPLO,VANESSA,TJ 121 SW  (CH 084),SERVICIO</t>
  </si>
  <si>
    <t>5E7614</t>
  </si>
  <si>
    <t>EXPLO,VANESSA,TJ 121 SW  (CH 084),REHABILITACION</t>
  </si>
  <si>
    <t>5E7621</t>
  </si>
  <si>
    <t>EXPLO,VANESSA,TJ 127 SW  (CH 107),SUMINISTROS</t>
  </si>
  <si>
    <t>5E7622</t>
  </si>
  <si>
    <t>EXPLO,VANESSA,TJ 127 SW  (CH 107),SOSTENIMIENTO</t>
  </si>
  <si>
    <t>5E7623</t>
  </si>
  <si>
    <t>EXPLO,VANESSA,TJ 127 SW  (CH 107),SERVICIO</t>
  </si>
  <si>
    <t>5E7624</t>
  </si>
  <si>
    <t>EXPLO,VANESSA,TJ 127 SW  (CH 107),REHABILITACION</t>
  </si>
  <si>
    <t>5E7631</t>
  </si>
  <si>
    <t>EXPLO,VANESSA,TJ 127 NE  (CH 107),SUMINISTROS</t>
  </si>
  <si>
    <t>5E7632</t>
  </si>
  <si>
    <t>EXPLO,VANESSA,TJ 127 NE  (CH 107),SOSTENIMIENTO</t>
  </si>
  <si>
    <t>5E7633</t>
  </si>
  <si>
    <t>EXPLO,VANESSA,TJ 127 NE  (CH 107),SERVICIO</t>
  </si>
  <si>
    <t>5E7634</t>
  </si>
  <si>
    <t>EXPLO,VANESSA,TJ 127 NE  (CH 107),REHABILITACION</t>
  </si>
  <si>
    <t>5E7651</t>
  </si>
  <si>
    <t>EXPLO,VANESSA,Tj 137 SW  (Ch 107),SUMINISTROS</t>
  </si>
  <si>
    <t>5E7652</t>
  </si>
  <si>
    <t>EXPLO,VANESSA,Tj 137 SW  (Ch 107),SOSTENIMIENTO</t>
  </si>
  <si>
    <t>5E7653</t>
  </si>
  <si>
    <t>EXPLO,VANESSA,Tj 137 SW  (Ch 107),SERVICIO</t>
  </si>
  <si>
    <t>5E7654</t>
  </si>
  <si>
    <t>EXPLO,VANESSA,Tj 137 SW  (Ch 107),REHABILITACION</t>
  </si>
  <si>
    <t>5E7657</t>
  </si>
  <si>
    <t>EXPLO,VANESSA,Tj 137 SW  (Ch 107),REALCE</t>
  </si>
  <si>
    <t>5E7658</t>
  </si>
  <si>
    <t>EXPLO,VANESSA,Tj 137 SW  (Ch 107),BREASTING</t>
  </si>
  <si>
    <t>5E7661</t>
  </si>
  <si>
    <t>EXPLO,VANESSA,Tj 137 NE  (Ch 107),SUMINISTROS</t>
  </si>
  <si>
    <t>5E7662</t>
  </si>
  <si>
    <t>EXPLO,VANESSA,Tj 137 NE  (Ch 107),SOSTENIMIENTO</t>
  </si>
  <si>
    <t>5E7663</t>
  </si>
  <si>
    <t>EXPLO,VANESSA,Tj 137 NE  (Ch 107),SERVICIO</t>
  </si>
  <si>
    <t>5E7664</t>
  </si>
  <si>
    <t>EXPLO,VANESSA,Tj 137 NE  (Ch 107),REHABILITACION</t>
  </si>
  <si>
    <t>5E7667</t>
  </si>
  <si>
    <t>EXPLO,VANESSA,Tj 137 NE  (Ch 107),REALCE</t>
  </si>
  <si>
    <t>5E7668</t>
  </si>
  <si>
    <t>EXPLO,VANESSA,Tj 137 NE  (Ch 107),BREASTING</t>
  </si>
  <si>
    <t>5E7671</t>
  </si>
  <si>
    <t>EXPLO,VANESSA,Tj 117 SW (Ch 107),SUMINISTROS</t>
  </si>
  <si>
    <t>5E7672</t>
  </si>
  <si>
    <t>EXPLO,VANESSA,Tj 117 SW (Ch 107),SOSTENIMIENTO</t>
  </si>
  <si>
    <t>5E7673</t>
  </si>
  <si>
    <t>EXPLO,VANESSA,Tj 117 SW (Ch 107),SERVICIO</t>
  </si>
  <si>
    <t>5E7674</t>
  </si>
  <si>
    <t>EXPLO,VANESSA,Tj 117 SW (Ch 107),REHABILITACION</t>
  </si>
  <si>
    <t>5E7677</t>
  </si>
  <si>
    <t>EXPLO,VANESSA,Tj 117 SW (Ch 107),REALCE</t>
  </si>
  <si>
    <t>5E7678</t>
  </si>
  <si>
    <t>EXPLO,VANESSA,Tj 117 SW (Ch 107),BREASTING</t>
  </si>
  <si>
    <t>5E7681</t>
  </si>
  <si>
    <t>EXPLO,VANESSA,Tj 065 SW (Ch 044),SUMINISTROS</t>
  </si>
  <si>
    <t>5E7682</t>
  </si>
  <si>
    <t>EXPLO,VANESSA,Tj 065 SW (Ch 044),SOSTENIMIENTO</t>
  </si>
  <si>
    <t>5E7683</t>
  </si>
  <si>
    <t>EXPLO,VANESSA,Tj 065 SW (Ch 044),SERVICIO</t>
  </si>
  <si>
    <t>5E7684</t>
  </si>
  <si>
    <t>EXPLO,VANESSA,Tj 065 SW (Ch 044),REHABILITACION</t>
  </si>
  <si>
    <t>5E7691</t>
  </si>
  <si>
    <t>EXPLO,VANESSA,Tj 097 NE (Ch 091),SUMINISTROS</t>
  </si>
  <si>
    <t>5E7692</t>
  </si>
  <si>
    <t>EXPLO,VANESSA,Tj 097 NE (Ch 091),SOSTENIMIENTO</t>
  </si>
  <si>
    <t>5E7693</t>
  </si>
  <si>
    <t>EXPLO,VANESSA,Tj 097 NE (Ch 091),SERVICIO</t>
  </si>
  <si>
    <t>5E7694</t>
  </si>
  <si>
    <t>EXPLO,VANESSA,Tj 097 NE (Ch 091),REHABILITACION</t>
  </si>
  <si>
    <t>5E7701</t>
  </si>
  <si>
    <t>EXPLO,VANESSA,Tj 081 SW (Ch 091),SUMINISTROS</t>
  </si>
  <si>
    <t>5E7702</t>
  </si>
  <si>
    <t>EXPLO,VANESSA,Tj 081 SW (Ch 091),SOSTENIMIENTO</t>
  </si>
  <si>
    <t>5E7703</t>
  </si>
  <si>
    <t>EXPLO,VANESSA,Tj 081 SW (Ch 091),SERVICIO</t>
  </si>
  <si>
    <t>5E7704</t>
  </si>
  <si>
    <t>EXPLO,VANESSA,Tj 081 SW (Ch 091),REHABILITACION</t>
  </si>
  <si>
    <t>5E7721</t>
  </si>
  <si>
    <t>EXPLO,VANESSA,Tj 065 NE (Ch 044),SUMINISTROS</t>
  </si>
  <si>
    <t>5E7722</t>
  </si>
  <si>
    <t>EXPLO,VANESSA,Tj 065 NE (Ch 044),SOSTENIMIENTO</t>
  </si>
  <si>
    <t>5E7723</t>
  </si>
  <si>
    <t>EXPLO,VANESSA,Tj 065 NE (Ch 044),SERVICIO</t>
  </si>
  <si>
    <t>5E7724</t>
  </si>
  <si>
    <t>EXPLO,VANESSA,Tj 065 NE (Ch 044),REHABILITACION</t>
  </si>
  <si>
    <t>5E7727</t>
  </si>
  <si>
    <t>EXPLO,VANESSA,Tj 065 NE (Ch 044),REALCE</t>
  </si>
  <si>
    <t>5E7728</t>
  </si>
  <si>
    <t>EXPLO,VANESSA,Tj 065 NE (Ch 044),BREASTING</t>
  </si>
  <si>
    <t>5E7801</t>
  </si>
  <si>
    <t>EXPLO,VANESSA,Tj 087 NE  (Ch 091),SUMINISTROS</t>
  </si>
  <si>
    <t>5E7802</t>
  </si>
  <si>
    <t>EXPLO,VANESSA,Tj 087 NE  (Ch 091),SOSTENIMIENTO</t>
  </si>
  <si>
    <t>5E7803</t>
  </si>
  <si>
    <t>EXPLO,VANESSA,Tj 087 NE  (Ch 091),SERVICIO</t>
  </si>
  <si>
    <t>5E7804</t>
  </si>
  <si>
    <t>EXPLO,VANESSA,Tj 087 NE  (Ch 091),REHABILITACION</t>
  </si>
  <si>
    <t>5E7811</t>
  </si>
  <si>
    <t>EXPLO,VANESSA,Tj 071 SW  (Ch 091),SUMINISTROS</t>
  </si>
  <si>
    <t>5E7812</t>
  </si>
  <si>
    <t>EXPLO,VANESSA,Tj 071 SW  (Ch 091),SOSTENIMIENTO</t>
  </si>
  <si>
    <t>5E7813</t>
  </si>
  <si>
    <t>EXPLO,VANESSA,Tj 071 SW  (Ch 091),SERVICIO</t>
  </si>
  <si>
    <t>5E7814</t>
  </si>
  <si>
    <t>EXPLO,VANESSA,Tj 071 SW  (Ch 091),REHABILITACION</t>
  </si>
  <si>
    <t>5E781R</t>
  </si>
  <si>
    <t>EXPLO,VANESSA,Tj 071 SW  (Ch 091),RELLENO</t>
  </si>
  <si>
    <t>5E7821</t>
  </si>
  <si>
    <t>EXPLO,VANESSA,Tj 061 SW (Ch 091),SUMINISTROS</t>
  </si>
  <si>
    <t>5E7822</t>
  </si>
  <si>
    <t>EXPLO,VANESSA,Tj 061 SW (Ch 091),SOSTENIMIENTO</t>
  </si>
  <si>
    <t>5E7823</t>
  </si>
  <si>
    <t>EXPLO,VANESSA,Tj 061 SW (Ch 091),SERVICIO</t>
  </si>
  <si>
    <t>5E7824</t>
  </si>
  <si>
    <t>EXPLO,VANESSA,Tj 061 SW (Ch 091),REHABILITACION</t>
  </si>
  <si>
    <t>5E782P</t>
  </si>
  <si>
    <t>EXPLO,VANESSA,Tj 061 SW (Ch 091),PERFORACION</t>
  </si>
  <si>
    <t>5E782R</t>
  </si>
  <si>
    <t>EXPLO,VANESSA,Tj 061 SW (Ch 091),RELLENO</t>
  </si>
  <si>
    <t>5E7831</t>
  </si>
  <si>
    <t>EXPLO,VANESSA,Tj 077 NE (Ch 091),SUMINISTROS</t>
  </si>
  <si>
    <t>5E7832</t>
  </si>
  <si>
    <t>EXPLO,VANESSA,Tj 077 NE (Ch 091),SOSTENIMIENTO</t>
  </si>
  <si>
    <t>5E7833</t>
  </si>
  <si>
    <t>EXPLO,VANESSA,Tj 077 NE (Ch 091),SERVICIO</t>
  </si>
  <si>
    <t>5E7834</t>
  </si>
  <si>
    <t>EXPLO,VANESSA,Tj 077 NE (Ch 091),REHABILITACION</t>
  </si>
  <si>
    <t>5E783R</t>
  </si>
  <si>
    <t>EXPLOT,VANESSA,Tj 077 NE (Ch 091),RELLENO</t>
  </si>
  <si>
    <t>5E786L</t>
  </si>
  <si>
    <t>EXPLOT,VANESSA,Tj 046 SW (Ch 066),LIMPIEZA</t>
  </si>
  <si>
    <t>5E786O</t>
  </si>
  <si>
    <t>EXPLOT,VANESSA,Tj 046 SW (Ch 066),SERVICIO</t>
  </si>
  <si>
    <t>5E786P</t>
  </si>
  <si>
    <t>EXPLOT,VANESSA,Tj 046 SW (Ch 066),PERFORACION</t>
  </si>
  <si>
    <t>5E786S</t>
  </si>
  <si>
    <t>EXPLOT,VANESSA,Tj 046 SW (Ch 066),SOSTENIMIENTO</t>
  </si>
  <si>
    <t>5E786V</t>
  </si>
  <si>
    <t>EXPLOT,VANESSA,Tj 046 SW (Ch 066),VOLADURA</t>
  </si>
  <si>
    <t>5E789L</t>
  </si>
  <si>
    <t>EXPLOT,VANESSA,Tj 036 SW (Ch 066),LIMPIEZA</t>
  </si>
  <si>
    <t>5E789O</t>
  </si>
  <si>
    <t>EXPLOT,VANESSA,Tj 036 SW (Ch 066),SERVICIO</t>
  </si>
  <si>
    <t>5E789P</t>
  </si>
  <si>
    <t>EXPLOT,VANESSA,Tj 036 SW (Ch 066),PERFORACION</t>
  </si>
  <si>
    <t>5E789S</t>
  </si>
  <si>
    <t>EXPLOT,VANESSA,Tj 036 SW (Ch 066),SOSTENIMIENTO</t>
  </si>
  <si>
    <t>5E789V</t>
  </si>
  <si>
    <t>EXPLOT,VANESSA,Tj 036 SW (Ch 066),VOLADURA</t>
  </si>
  <si>
    <t>5E796L</t>
  </si>
  <si>
    <t>EXPLOT,VANESSA,Tj 057 SW (Ch 091),LIMPIEZA</t>
  </si>
  <si>
    <t>5E796O</t>
  </si>
  <si>
    <t>EXPLOT,VANESSA,Tj 057 SW (Ch 091),SERVICIO</t>
  </si>
  <si>
    <t>5E796P</t>
  </si>
  <si>
    <t>EXPLOT,VANESSA,Tj 057 SW (Ch 091),PERFORACION</t>
  </si>
  <si>
    <t>5E796S</t>
  </si>
  <si>
    <t>EXPLOT,VANESSA,Tj 057 SW (Ch 091),SOSTENIMIENTO</t>
  </si>
  <si>
    <t>5E796V</t>
  </si>
  <si>
    <t>EXPLOT,VANESSA,Tj 057 SW (Ch 091),VOLADURA</t>
  </si>
  <si>
    <t>5E797L</t>
  </si>
  <si>
    <t>EXPLOT,VANESSA,Tj 057 NE (Ch 091),LIMPIEZA</t>
  </si>
  <si>
    <t>5E797O</t>
  </si>
  <si>
    <t>EXPLOT,VANESSA,Tj 057 NE (Ch 091),SERVICIO</t>
  </si>
  <si>
    <t>5E797P</t>
  </si>
  <si>
    <t>EXPLOT,VANESSA,Tj 057 NE (Ch 091),PERFORACION</t>
  </si>
  <si>
    <t>5E797R</t>
  </si>
  <si>
    <t>EXPLOT,VANESSA,Tj 057 NE (Ch 091),RELLENO</t>
  </si>
  <si>
    <t>5E797S</t>
  </si>
  <si>
    <t>EXPLOT,VANESSA,Tj 057 NE (Ch 091),SOSTENIMIENTO</t>
  </si>
  <si>
    <t>5E797V</t>
  </si>
  <si>
    <t>EXPLOT,VANESSA,Tj 057 NE (Ch 091),VOLADURA</t>
  </si>
  <si>
    <t>5EB28L</t>
  </si>
  <si>
    <t>EXPLOT,VANESSA,Hp 029 (Tj 077 NE),LIMPIEZA</t>
  </si>
  <si>
    <t>5EB28O</t>
  </si>
  <si>
    <t>EXPLOT,VANESSA,Hp 029 (Tj 077 NE),SERVICIO</t>
  </si>
  <si>
    <t>5EB28P</t>
  </si>
  <si>
    <t>EXPLOT,VANESSA,Hp 029 (Tj 077 NE),PERFORACION</t>
  </si>
  <si>
    <t>5EB28S</t>
  </si>
  <si>
    <t>EXPLOT,VANESSA,Hp 029 (Tj 077 NE),SOSTENIMIENTO</t>
  </si>
  <si>
    <t>5EB28V</t>
  </si>
  <si>
    <t>EXPLOT,VANESSA,Hp 029 (Tj 077 NE),VOLADURA</t>
  </si>
  <si>
    <t>5EB29L</t>
  </si>
  <si>
    <t>EXPLOT,VANESSA,Hp 030 (Tj 077 NE),LIMPIEZA</t>
  </si>
  <si>
    <t>5EB29O</t>
  </si>
  <si>
    <t>EXPLOT,VANESSA,Hp 030 (Tj 077 NE),SERVICIO</t>
  </si>
  <si>
    <t>5EB29P</t>
  </si>
  <si>
    <t>EXPLOT,VANESSA,Hp 030 (Tj 077 NE),PERFORACION</t>
  </si>
  <si>
    <t>5EB29S</t>
  </si>
  <si>
    <t>EXPLOT,VANESSA,Hp 030 (Tj 077 NE),SOSTENIMIENTO</t>
  </si>
  <si>
    <t>5EB29V</t>
  </si>
  <si>
    <t>EXPLOT,VANESSA,Hp 030 (Tj 077 NE),VOLADURA</t>
  </si>
  <si>
    <t>5EB30L</t>
  </si>
  <si>
    <t>EXPLOT,VANESSA,Hp 031 (Tj 077 NE),LIMPIEZA</t>
  </si>
  <si>
    <t>5EB30O</t>
  </si>
  <si>
    <t>EXPLOT,VANESSA,Hp 031 (Tj 077 NE),SERVICIO</t>
  </si>
  <si>
    <t>5EB30P</t>
  </si>
  <si>
    <t>EXPLOT,VANESSA,Hp 031 (Tj 077 NE),PERFORACION</t>
  </si>
  <si>
    <t>5EB30S</t>
  </si>
  <si>
    <t>EXPLOT,VANESSA,Hp 031 (Tj 077 NE),SOSTENIMIENTO</t>
  </si>
  <si>
    <t>5EB30V</t>
  </si>
  <si>
    <t>EXPLOT,VANESSA,Hp 031 (Tj 077 NE),VOLADURA</t>
  </si>
  <si>
    <t>5F1171</t>
  </si>
  <si>
    <t>EXPLO,ALONDRA,Cx 109 NW (Gal 127 SW),SUMINISTROS</t>
  </si>
  <si>
    <t>5F1172</t>
  </si>
  <si>
    <t>EXPLO,ALONDRA,Cx 109 NW (Gal 127 SW),SOSTENIMIENTO</t>
  </si>
  <si>
    <t>5F1173</t>
  </si>
  <si>
    <t>EXPLO,ALONDRA,Cx 109 NW (Gal 127 SW),SERVICIO</t>
  </si>
  <si>
    <t>5F1174</t>
  </si>
  <si>
    <t>EXPLO,ALONDRA,Cx 109 NW (Gal 127 SW),REHABILITACION</t>
  </si>
  <si>
    <t>5F7761</t>
  </si>
  <si>
    <t>EXPLO,ALONDRA,Tj 133 SW (Ch 133),SUMINISTROS</t>
  </si>
  <si>
    <t>5F7762</t>
  </si>
  <si>
    <t>EXPLO,ALONDRA,Tj 133 SW (Ch 133),SOSTENIMIENTO</t>
  </si>
  <si>
    <t>5F7763</t>
  </si>
  <si>
    <t>EXPLO,ALONDRA,Tj 133 SW (Ch 133),SERVICIO</t>
  </si>
  <si>
    <t>5F7764</t>
  </si>
  <si>
    <t>EXPLO,ALONDRA,Tj 133 SW (Ch 133),REHABILITACION</t>
  </si>
  <si>
    <t>5F7771</t>
  </si>
  <si>
    <t>EXPLO,ALONDRA,Tj 133 NE (Ch 133),SUMINISTROS</t>
  </si>
  <si>
    <t>5F7772</t>
  </si>
  <si>
    <t>EXPLO,ALONDRA,Tj 133 NE (Ch 133),SOSTENIMIENTO</t>
  </si>
  <si>
    <t>5F7773</t>
  </si>
  <si>
    <t>EXPLO,ALONDRA,Tj 133 NE (Ch 133),SERVICIO</t>
  </si>
  <si>
    <t>5F7774</t>
  </si>
  <si>
    <t>EXPLO,ALONDRA,Tj 133 NE (Ch 133),REHABILITACION</t>
  </si>
  <si>
    <t>5F8141</t>
  </si>
  <si>
    <t>EXPLO,ALONDRA,Cam 13 (Cx 109 NW),SUMINISTROS</t>
  </si>
  <si>
    <t>5F8142</t>
  </si>
  <si>
    <t>EXPLO,ALONDRA,Cam 13 (Cx 109 NW),SOSTENIMIENTO</t>
  </si>
  <si>
    <t>5F8143</t>
  </si>
  <si>
    <t>EXPLO,ALONDRA,Cam 13 (Cx 109 NW),SERVICIO</t>
  </si>
  <si>
    <t>5F8144</t>
  </si>
  <si>
    <t>EXPLO,ALONDRA,Cam 13 (Cx 109 NW),REHABILITACION</t>
  </si>
  <si>
    <t>5G71RL</t>
  </si>
  <si>
    <t>EXPLOT,MANUEL,Tj 900 SW (Ch 931),LIMPIEZA</t>
  </si>
  <si>
    <t>5G71RO</t>
  </si>
  <si>
    <t>EXPLOT,MANUEL,Tj 900 SW (Ch 931),SERVICIO</t>
  </si>
  <si>
    <t>5G71RP</t>
  </si>
  <si>
    <t>EXPLOT,MANUEL,Tj 900 SW (Ch 931),PERFORACION</t>
  </si>
  <si>
    <t>5G71RR</t>
  </si>
  <si>
    <t>EXPLOT,MANUEL,Tj 900 SW (Ch 931),RELLENO</t>
  </si>
  <si>
    <t>5G71RS</t>
  </si>
  <si>
    <t>EXPLOT,MANUEL,Tj 900 SW (Ch 931),SOSTENIMIENTO</t>
  </si>
  <si>
    <t>5G71RV</t>
  </si>
  <si>
    <t>EXPLOT,MANUEL,Tj 900 SW (Ch 931),VOLADURA</t>
  </si>
  <si>
    <t>5G71SL</t>
  </si>
  <si>
    <t>EXPLOT,MANUEL,Tj 900 NE (Ch 931),LIMPIEZA</t>
  </si>
  <si>
    <t>5G71SO</t>
  </si>
  <si>
    <t>EXPLOT,MANUEL,Tj 900 NE (Ch 931),SERVICIO</t>
  </si>
  <si>
    <t>5G71SP</t>
  </si>
  <si>
    <t>EXPLOT,MANUEL,Tj 900 NE (Ch 931),PERFORACION</t>
  </si>
  <si>
    <t>5G71SR</t>
  </si>
  <si>
    <t>EXPLOT,MANUEL,Tj 900 NE (Ch 931),RELLENO</t>
  </si>
  <si>
    <t>5G71SS</t>
  </si>
  <si>
    <t>EXPLOT,MANUEL,Tj 900 NE (Ch 931),SOSTENIMIENTO</t>
  </si>
  <si>
    <t>5G71SV</t>
  </si>
  <si>
    <t>EXPLOT,MANUEL,Tj 900 NE (Ch 931),VOLADURA</t>
  </si>
  <si>
    <t>5G72CL</t>
  </si>
  <si>
    <t>EXPLOT,MANUEL,Tj 900 SW (Ch 907),LIMPIEZA</t>
  </si>
  <si>
    <t>5G72CO</t>
  </si>
  <si>
    <t>EXPLOT,MANUEL,Tj 900 SW (Ch 907),SERVICIO</t>
  </si>
  <si>
    <t>5G72CP</t>
  </si>
  <si>
    <t>EXPLOT,MANUEL,Tj 900 SW (Ch 907),PERFORACION</t>
  </si>
  <si>
    <t>5G72CR</t>
  </si>
  <si>
    <t>EXPLOT,MANUEL,Tj 900 SW (Ch 907),RELLENO</t>
  </si>
  <si>
    <t>5G72CS</t>
  </si>
  <si>
    <t>EXPLOT,MANUEL,Tj 900 SW (Ch 907),SOSTENIMIENTO</t>
  </si>
  <si>
    <t>5G72CV</t>
  </si>
  <si>
    <t>EXPLOT,MANUEL,Tj 900 SW (Ch 907),VOLADURA</t>
  </si>
  <si>
    <t>5G72DL</t>
  </si>
  <si>
    <t>EXPLOT,MANUEL,Tj 880 SW (Ch 907),LIMPIEZA</t>
  </si>
  <si>
    <t>5G72DO</t>
  </si>
  <si>
    <t>EXPLOT,MANUEL,Tj 880 SW (Ch 907),SERVICIO</t>
  </si>
  <si>
    <t>5G72DP</t>
  </si>
  <si>
    <t>EXPLOT,MANUEL,Tj 880 SW (Ch 907),PERFORACION</t>
  </si>
  <si>
    <t>5G72DR</t>
  </si>
  <si>
    <t>EXPLOT,MANUEL,Tj 880 SW (Ch 907),RELLENO</t>
  </si>
  <si>
    <t>5G72DS</t>
  </si>
  <si>
    <t>EXPLOT,MANUEL,Tj 880 SW (Ch 907),SOSTENIMIENTO</t>
  </si>
  <si>
    <t>5G72DV</t>
  </si>
  <si>
    <t>EXPLOT,MANUEL,Tj 880 SW (Ch 907),VOLADURA</t>
  </si>
  <si>
    <t>5G72IL</t>
  </si>
  <si>
    <t>EXPLOT,MANUEL,Tj 880 NE (Ch 907),LIMPIEZA</t>
  </si>
  <si>
    <t>5G72IO</t>
  </si>
  <si>
    <t>EXPLOT,MANUEL,Tj 880 NE (Ch 907),SERVICIO</t>
  </si>
  <si>
    <t>5G72IP</t>
  </si>
  <si>
    <t>EXPLOT,MANUEL,Tj 880 NE (Ch 907),PERFORACION</t>
  </si>
  <si>
    <t>5G72IR</t>
  </si>
  <si>
    <t>EXPLOT,MANUEL,Tj 880 NE (Ch 907),RELLENO</t>
  </si>
  <si>
    <t>5G72IS</t>
  </si>
  <si>
    <t>EXPLOT,MANUEL,Tj 880 NE (Ch 907),SOSTENIMIENTO</t>
  </si>
  <si>
    <t>5G72IV</t>
  </si>
  <si>
    <t>EXPLOT,MANUEL,Tj 880 NE (Ch 907),VOLADURA</t>
  </si>
  <si>
    <t>5G72PL</t>
  </si>
  <si>
    <t>EXPLOT,MANUEL,Tj 900 NE (Ch 907),LIMPIEZA</t>
  </si>
  <si>
    <t>5G72PO</t>
  </si>
  <si>
    <t>EXPLOT,MANUEL,Tj 900 NE (Ch 907),SERVICIO</t>
  </si>
  <si>
    <t>5G72PP</t>
  </si>
  <si>
    <t>EXPLOT,MANUEL,Tj 900 NE (Ch 907),PERFORACION</t>
  </si>
  <si>
    <t>5G72PR</t>
  </si>
  <si>
    <t>EXPLOT,MANUEL,Tj 900 NE (Ch 907),RELLENO</t>
  </si>
  <si>
    <t>5G72PS</t>
  </si>
  <si>
    <t>EXPLOT,MANUEL,Tj 900 NE (Ch 907),SOSTENIMIENTO</t>
  </si>
  <si>
    <t>5G72PV</t>
  </si>
  <si>
    <t>EXPLOT,MANUEL,Tj 900 NE (Ch 907),VOLADURA</t>
  </si>
  <si>
    <t>5G72QL</t>
  </si>
  <si>
    <t>EXPLOT,MANUEL,Tj 018 NE (Ch 877),LIMPIEZA</t>
  </si>
  <si>
    <t>5G72QO</t>
  </si>
  <si>
    <t>EXPLOT,MANUEL,Tj 018 NE (Ch 877),SERVICIO</t>
  </si>
  <si>
    <t>5G72QP</t>
  </si>
  <si>
    <t>EXPLOT,MANUEL,Tj 018 NE (Ch 877),PERFORACION</t>
  </si>
  <si>
    <t>5G72QR</t>
  </si>
  <si>
    <t>EXPLOT,MANUEL,Tj 018 NE (Ch 877),RELLENO</t>
  </si>
  <si>
    <t>5G72QS</t>
  </si>
  <si>
    <t>EXPLOT,MANUEL,Tj 018 NE (Ch 877),SOSTENIMIENTO</t>
  </si>
  <si>
    <t>5G72QV</t>
  </si>
  <si>
    <t>EXPLOT,MANUEL,Tj 018 NE (Ch 877),VOLADURA</t>
  </si>
  <si>
    <t>5G72VL</t>
  </si>
  <si>
    <t>EXPLOT,MANUEL,Tj 019 SW (Ch 907),LIMPIEZA</t>
  </si>
  <si>
    <t>5G72VO</t>
  </si>
  <si>
    <t>EXPLOT,MANUEL,Tj 019 SW (Ch 907),SERVICIO</t>
  </si>
  <si>
    <t>5G72VP</t>
  </si>
  <si>
    <t>EXPLOT,MANUEL,Tj 019 SW (Ch 907),PERFORACION</t>
  </si>
  <si>
    <t>5G72VR</t>
  </si>
  <si>
    <t>EXPLOT,MANUEL,Tj 019 SW (Ch 907),RELLENO</t>
  </si>
  <si>
    <t>5G72VS</t>
  </si>
  <si>
    <t>EXPLOT,MANUEL,Tj 019 SW (Ch 907),SOSTENIMIENTO</t>
  </si>
  <si>
    <t>5G72VV</t>
  </si>
  <si>
    <t>EXPLOT,MANUEL,Tj 019 SW (Ch 907),VOLADURA</t>
  </si>
  <si>
    <t>5G72WL</t>
  </si>
  <si>
    <t>EXPLOT,MANUEL,Tj 019 NE (Ch 907),LIMPIEZA</t>
  </si>
  <si>
    <t>5G72WO</t>
  </si>
  <si>
    <t>EXPLOT,MANUEL,Tj 019 NE (Ch 907),SERVICIO</t>
  </si>
  <si>
    <t>5G72WP</t>
  </si>
  <si>
    <t>EXPLOT,MANUEL,Tj 019 NE (Ch 907),PERFORACION</t>
  </si>
  <si>
    <t>5G72WR</t>
  </si>
  <si>
    <t>EXPLOT,MANUEL,Tj 019 NE (Ch 907),RELLENO</t>
  </si>
  <si>
    <t>5G72WS</t>
  </si>
  <si>
    <t>EXPLOT,MANUEL,Tj 019 NE (Ch 907),SOSTENIMIENTO</t>
  </si>
  <si>
    <t>5G72WV</t>
  </si>
  <si>
    <t>EXPLOT,MANUEL,Tj 019 NE (Ch 907),VOLADURA</t>
  </si>
  <si>
    <t>5G7501</t>
  </si>
  <si>
    <t>EXPLO,MANUEL,TJ 100,SUMINISTROS</t>
  </si>
  <si>
    <t>5G7502</t>
  </si>
  <si>
    <t>EXPLO,MANUEL,TJ 100,SOSTENIMIENTO</t>
  </si>
  <si>
    <t>5G7781</t>
  </si>
  <si>
    <t>EXPLO,MANUEL,Tj 152 NE (Ch 152),SUMINISTROS</t>
  </si>
  <si>
    <t>5G7782</t>
  </si>
  <si>
    <t>EXPLO,MANUEL,Tj 152 NE (Ch 152),SOSTENIMIENTO</t>
  </si>
  <si>
    <t>5G7783</t>
  </si>
  <si>
    <t>EXPLO,MANUEL,Tj 152 NE (Ch 152),SERVICIO</t>
  </si>
  <si>
    <t>5G7784</t>
  </si>
  <si>
    <t>EXPLO,MANUEL,Tj 152 NE (Ch 152),REHABILITACION</t>
  </si>
  <si>
    <t>5G7791</t>
  </si>
  <si>
    <t>EXPLO,MANUEL,Tj 152 SW (Ch 152),SUMINISTROS</t>
  </si>
  <si>
    <t>5G7792</t>
  </si>
  <si>
    <t>EXPLO,MANUEL,Tj 152 SW (Ch 152),SOSTENIMIENTO</t>
  </si>
  <si>
    <t>5G7793</t>
  </si>
  <si>
    <t>EXPLO,MANUEL,Tj 152 SW (Ch 152),SERVICIO</t>
  </si>
  <si>
    <t>5G7794</t>
  </si>
  <si>
    <t>EXPLO,MANUEL,Tj 152 SW (Ch 152),REHABILITACION</t>
  </si>
  <si>
    <t>5G792L</t>
  </si>
  <si>
    <t>EXPLOT,MANUEL,Tj 940 SW (Ch 931),LIMPIEZA</t>
  </si>
  <si>
    <t>5G792O</t>
  </si>
  <si>
    <t>EXPLOT,MANUEL,Tj 940 SW (Ch 931),SERVICIO</t>
  </si>
  <si>
    <t>5G792P</t>
  </si>
  <si>
    <t>EXPLOT,MANUEL,Tj 940 SW (Ch 931),PERFORACION</t>
  </si>
  <si>
    <t>5G792S</t>
  </si>
  <si>
    <t>EXPLOT,MANUEL,Tj 940 SW (Ch 931),SOSTENIMIENTO</t>
  </si>
  <si>
    <t>5G792V</t>
  </si>
  <si>
    <t>EXPLOT,MANUEL,Tj 940 SW (Ch 931),VOLADURA</t>
  </si>
  <si>
    <t>5G793L</t>
  </si>
  <si>
    <t>EXPLOT,MANUEL,Tj 940 NE (Ch 931),LIMPIEZA</t>
  </si>
  <si>
    <t>5G793O</t>
  </si>
  <si>
    <t>EXPLOT,MANUEL,Tj 940 NE (Ch 931),SERVICIO</t>
  </si>
  <si>
    <t>5G793P</t>
  </si>
  <si>
    <t>EXPLOT,MANUEL,Tj 940 NE (Ch 931),PERFORACION</t>
  </si>
  <si>
    <t>5G793S</t>
  </si>
  <si>
    <t>EXPLOT,MANUEL,Tj 940 NE (Ch 931),SOSTENIMIENTO</t>
  </si>
  <si>
    <t>5G793V</t>
  </si>
  <si>
    <t>EXPLOT,MANUEL,Tj 940 NE (Ch 931),VOLADURA</t>
  </si>
  <si>
    <t>5H71FL</t>
  </si>
  <si>
    <t>EXPLOT,SHOJO,Tj 710 SW (Gal 708 SW),LIMPIEZA</t>
  </si>
  <si>
    <t>5H71FO</t>
  </si>
  <si>
    <t>EXPLOT,SHOJO,Tj 710 SW (Gal 708 SW),SERVICIO</t>
  </si>
  <si>
    <t>5H71FP</t>
  </si>
  <si>
    <t>EXPLOT,SHOJO,Tj 710 SW (Gal 708 SW),PERFORACION</t>
  </si>
  <si>
    <t>5H71FS</t>
  </si>
  <si>
    <t>EXPLOT,SHOJO,Tj 710 SW (Gal 708 SW),SOSTENIMIENTO</t>
  </si>
  <si>
    <t>5H71FV</t>
  </si>
  <si>
    <t>EXPLOT,SHOJO,Tj 710 SW (Gal 708 SW),VOLADURA</t>
  </si>
  <si>
    <t>5H71GL</t>
  </si>
  <si>
    <t>EXPLOT,SHOJO,Tj 710 NE (Gal 708 SW),LIMPIEZA</t>
  </si>
  <si>
    <t>EXPLOT,SHOJO,Tj 710 NE (Gal 708 NE),LIMPIEZA</t>
  </si>
  <si>
    <t>5H71GO</t>
  </si>
  <si>
    <t>EXPLOT,SHOJO,Tj 710 NE (Gal 708 SW),SERVICIO</t>
  </si>
  <si>
    <t>EXPLOT,SHOJO,Tj 710 NE (Gal 708 NE),SERVICIO</t>
  </si>
  <si>
    <t>5H71GP</t>
  </si>
  <si>
    <t>EXPLOT,SHOJO,Tj 710 NE (Gal 708 SW),PERFORACION</t>
  </si>
  <si>
    <t>EXPLOT,SHOJO,Tj 710 NE (Gal 708 NE),PERFORACION</t>
  </si>
  <si>
    <t>5H71GR</t>
  </si>
  <si>
    <t>EXPLOT,SHOJO,Tj 710 NE (Gal 708 NE),RELLENO</t>
  </si>
  <si>
    <t>5H71GS</t>
  </si>
  <si>
    <t>EXPLOT,SHOJO,Tj 710 NE (Gal 708 SW),SOSTENIMIENTO</t>
  </si>
  <si>
    <t>EXPLOT,SHOJO,Tj 710 NE (Gal 708 NE),SOSTENIMIENTO</t>
  </si>
  <si>
    <t>5H71GV</t>
  </si>
  <si>
    <t>EXPLOT,SHOJO,Tj 710 NE (Gal 708 SW),VOLADURA</t>
  </si>
  <si>
    <t>EXPLOT,SHOJO,Tj 710 NE (Gal 708 NE),VOLADURA</t>
  </si>
  <si>
    <t>5H71ML</t>
  </si>
  <si>
    <t>EXPLOT,SHOJO,Tj 715 SW (Ch 669) ,LIMPIEZA</t>
  </si>
  <si>
    <t>5H71MO</t>
  </si>
  <si>
    <t>EXPLOT,SHOJO,Tj 715 SW (Ch 669) ,SERVICIO</t>
  </si>
  <si>
    <t>5H71MP</t>
  </si>
  <si>
    <t>EXPLOT,SHOJO,Tj 715 SW (Ch 669) ,PERFORACION</t>
  </si>
  <si>
    <t>5H71MR</t>
  </si>
  <si>
    <t>EXPLOT,SHOJO,Tj 715 SW (Ch 669) ,RELLENO</t>
  </si>
  <si>
    <t>5H71MS</t>
  </si>
  <si>
    <t>EXPLOT,SHOJO,Tj 715 SW (Ch 669) ,SOSTENIMIENTO</t>
  </si>
  <si>
    <t>5H71MV</t>
  </si>
  <si>
    <t>EXPLOT,SHOJO,Tj 715 SW (Ch 669) ,VOLADURA</t>
  </si>
  <si>
    <t>5H71NL</t>
  </si>
  <si>
    <t>EXPLOT,SHOJO,Tj 715 NE (Ch 669),LIMPIEZA</t>
  </si>
  <si>
    <t>5H71NO</t>
  </si>
  <si>
    <t>EXPLOT,SHOJO,Tj 715 NE (Ch 669),SERVICIO</t>
  </si>
  <si>
    <t>5H71NP</t>
  </si>
  <si>
    <t>EXPLOT,SHOJO,Tj 715 NE (Ch 669),PERFORACION</t>
  </si>
  <si>
    <t>5H71NR</t>
  </si>
  <si>
    <t>EXPLOT,SHOJO,Tj 715 NE (Ch 669),RELLENO</t>
  </si>
  <si>
    <t>5H71NS</t>
  </si>
  <si>
    <t>EXPLOT,SHOJO,Tj 715 NE (Ch 669),SOSTENIMIENTO</t>
  </si>
  <si>
    <t>5H71NV</t>
  </si>
  <si>
    <t>EXPLOT,SHOJO,Tj 715 NE (Ch 669),VOLADURA</t>
  </si>
  <si>
    <t>5J1141</t>
  </si>
  <si>
    <t>EXPLO,PAMELA,CX 995 NW (GAL 980 SW),SUMINISTROS</t>
  </si>
  <si>
    <t>5J1142</t>
  </si>
  <si>
    <t>EXPLO,PAMELA,CX 995 NW (GAL 980 SW),SOSTENIMIENTO</t>
  </si>
  <si>
    <t>5J1143</t>
  </si>
  <si>
    <t>EXPLO,PAMELA,CX 995 NW (GAL 980 SW),SERVICIO</t>
  </si>
  <si>
    <t>5J1144</t>
  </si>
  <si>
    <t>EXPLO,PAMELA,CX 995 NW (GAL 980 SW),REHABILITACION</t>
  </si>
  <si>
    <t>5J7641</t>
  </si>
  <si>
    <t>EXPLO,PAMELA,TJ 800  (CH 994),SUMINISTROS</t>
  </si>
  <si>
    <t>5J7642</t>
  </si>
  <si>
    <t>EXPLO,PAMELA,TJ 800  (CH 994),SOSTENIMIENTO</t>
  </si>
  <si>
    <t>5J7643</t>
  </si>
  <si>
    <t>EXPLO,PAMELA,TJ 800  (CH 994),SERVICIO</t>
  </si>
  <si>
    <t>5J7644</t>
  </si>
  <si>
    <t>EXPLO,PAMELA,TJ 800  (CH 994),REHABILITACION</t>
  </si>
  <si>
    <t>5J7711</t>
  </si>
  <si>
    <t>EXPLO,PAMELA,Tj 790 SW (Ch 994),SUMINISTROS</t>
  </si>
  <si>
    <t>5J7712</t>
  </si>
  <si>
    <t>EXPLO,PAMELA,Tj 790 SW (Ch 994),SOSTENIMIENTO</t>
  </si>
  <si>
    <t>5J7713</t>
  </si>
  <si>
    <t>EXPLO,PAMELA,Tj 790 SW (Ch 994),SERVICIO</t>
  </si>
  <si>
    <t>5J7714</t>
  </si>
  <si>
    <t>EXPLO,PAMELA,Tj 790 SW (Ch 994),REHABILITACION</t>
  </si>
  <si>
    <t>5L675L</t>
  </si>
  <si>
    <t>EXPLOT,ANDREA,Est 950 NW (Snv 152 NE) ,LIMPIEZA</t>
  </si>
  <si>
    <t>5L675O</t>
  </si>
  <si>
    <t>EXPLOT,ANDREA,Est 950 NW (Snv 152 NE) ,SERVICIO</t>
  </si>
  <si>
    <t>5L675P</t>
  </si>
  <si>
    <t>EXPLOT,ANDREA,Est 950 NW (Snv 152 NE) ,PERFORACION</t>
  </si>
  <si>
    <t>5L675S</t>
  </si>
  <si>
    <t>EXPLOT,ANDREA,Est 950 NW (Snv 152 NE) ,SOSTENIMIENTO</t>
  </si>
  <si>
    <t>5L675V</t>
  </si>
  <si>
    <t>EXPLOT,ANDREA,Est 950 NW (Snv 152 NE) ,VOLADURA</t>
  </si>
  <si>
    <t>5L71AL</t>
  </si>
  <si>
    <t>EXPLOT,ANDREA,Tj 795 SW (Ch 998),LIMPIEZA</t>
  </si>
  <si>
    <t>5L71AO</t>
  </si>
  <si>
    <t>EXPLOT,ANDREA,Tj 795 SW (Ch 998),SERVICIO</t>
  </si>
  <si>
    <t>5L71AP</t>
  </si>
  <si>
    <t>EXPLOT,ANDREA,Tj 795 SW (Ch 998),PERFORACION</t>
  </si>
  <si>
    <t>5L71AS</t>
  </si>
  <si>
    <t>EXPLOT,ANDREA,Tj 795 SW (Ch 998),SOSTENIMIENTO</t>
  </si>
  <si>
    <t>5L71AV</t>
  </si>
  <si>
    <t>EXPLOT,ANDREA,Tj 795 SW (Ch 998),VOLADURA</t>
  </si>
  <si>
    <t>5L71BL</t>
  </si>
  <si>
    <t>EXPLOT,ANDREA,Tj 795 NE (Ch 998),LIMPIEZA</t>
  </si>
  <si>
    <t>5L71BO</t>
  </si>
  <si>
    <t>EXPLOT,ANDREA,Tj 795 NE (Ch 998),SERVICIO</t>
  </si>
  <si>
    <t>5L71BP</t>
  </si>
  <si>
    <t>EXPLOT,ANDREA,Tj 795 NE (Ch 998),PERFORACION</t>
  </si>
  <si>
    <t>5L71BS</t>
  </si>
  <si>
    <t>EXPLOT,ANDREA,Tj 795 NE (Ch 998),SOSTENIMIENTO</t>
  </si>
  <si>
    <t>5L71BV</t>
  </si>
  <si>
    <t>EXPLOT,ANDREA,Tj 795 NE (Ch 998),VOLADURA</t>
  </si>
  <si>
    <t>5L71CL</t>
  </si>
  <si>
    <t>EXPLOT,ANDREA,Tj 030 SW (CH 003),LIMPIEZA</t>
  </si>
  <si>
    <t>5L71CO</t>
  </si>
  <si>
    <t>EXPLOT,ANDREA,Tj 030 SW (CH 003),SERVICIO</t>
  </si>
  <si>
    <t>5L71CP</t>
  </si>
  <si>
    <t>EXPLOT,ANDREA,Tj 030 SW (CH 003),PERFORACION</t>
  </si>
  <si>
    <t>5L71CS</t>
  </si>
  <si>
    <t>EXPLOT,ANDREA,Tj 030 SW (CH 003),SOSTENIMIENTO</t>
  </si>
  <si>
    <t>5L71CV</t>
  </si>
  <si>
    <t>EXPLOT,ANDREA,Tj 030 SW (CH 003),VOLADURA</t>
  </si>
  <si>
    <t>5L71DL</t>
  </si>
  <si>
    <t>EXPLOT,ANDREA,Tj 029 SW (Snv 029 SW),LIMPIEZA</t>
  </si>
  <si>
    <t>5L71DO</t>
  </si>
  <si>
    <t>EXPLOT,ANDREA,Tj 029 SW (Snv 029 SW),SERVICIO</t>
  </si>
  <si>
    <t>5L71DP</t>
  </si>
  <si>
    <t>EXPLOT,ANDREA,Tj 029 SW (Snv 029 SW),PERFORACION</t>
  </si>
  <si>
    <t>5L71DS</t>
  </si>
  <si>
    <t>EXPLOT,ANDREA,Tj 029 SW (Snv 029 SW),SOSTENIMIENTO</t>
  </si>
  <si>
    <t>5L71DV</t>
  </si>
  <si>
    <t>EXPLOT,ANDREA,Tj 029 SW (Snv 029 SW),VOLADURA</t>
  </si>
  <si>
    <t>5L71EL</t>
  </si>
  <si>
    <t>EXPLOT,ANDREA, Tj 030 NE (Ch 003),LIMPIEZA</t>
  </si>
  <si>
    <t>5L71EO</t>
  </si>
  <si>
    <t>EXPLOT,ANDREA, Tj 030 NE (Ch 003),SERVICIO</t>
  </si>
  <si>
    <t>5L71EP</t>
  </si>
  <si>
    <t>EXPLOT,ANDREA, Tj 030 NE (Ch 003),PERFORACION</t>
  </si>
  <si>
    <t>5L71ES</t>
  </si>
  <si>
    <t>EXPLOT,ANDREA, Tj 030 NE (Ch 003),SOSTENIMIENTO</t>
  </si>
  <si>
    <t>5L71EV</t>
  </si>
  <si>
    <t>EXPLOT,ANDREA, Tj 030 NE (Ch 003),VOLADURA</t>
  </si>
  <si>
    <t>5L71OL</t>
  </si>
  <si>
    <t>EXPLOT,ANDREA,Tj 004 SW (Snv 002 SW),LIMPIEZA</t>
  </si>
  <si>
    <t>5L71OO</t>
  </si>
  <si>
    <t>EXPLOT,ANDREA,Tj 004 SW (Snv 002 SW),SERVICIO</t>
  </si>
  <si>
    <t>5L71OP</t>
  </si>
  <si>
    <t>EXPLOT,ANDREA,Tj 004 SW (Snv 002 SW),PERFORACION</t>
  </si>
  <si>
    <t>5L71OR</t>
  </si>
  <si>
    <t>EXPLOT,ANDREA,Tj 004 SW (Snv 002 SW),RELLENO</t>
  </si>
  <si>
    <t>5L71OS</t>
  </si>
  <si>
    <t>EXPLOT,ANDREA,Tj 004 SW (Snv 002 SW),SOSTENIMIENTO</t>
  </si>
  <si>
    <t>5L71OV</t>
  </si>
  <si>
    <t>EXPLOT,ANDREA,Tj 004 SW (Snv 002 SW),VOLADURA</t>
  </si>
  <si>
    <t>5L71PL</t>
  </si>
  <si>
    <t>EXPLOT,ANDREA,Tj 157 SW (Ch 921),LIMPIEZA</t>
  </si>
  <si>
    <t>5L71PO</t>
  </si>
  <si>
    <t>EXPLOT,ANDREA,Tj 157 SW (Ch 921),SERVICIO</t>
  </si>
  <si>
    <t>5L71PP</t>
  </si>
  <si>
    <t>EXPLOT,ANDREA,Tj 157 SW (Ch 921),PERFORACION</t>
  </si>
  <si>
    <t>5L71PR</t>
  </si>
  <si>
    <t>EXPLOT,ANDREA,Tj 157 SW (Ch 921),RELLENO</t>
  </si>
  <si>
    <t>5L71PS</t>
  </si>
  <si>
    <t>EXPLOT,ANDREA,Tj 157 SW (Ch 921),SOSTENIMIENTO</t>
  </si>
  <si>
    <t>5L71PV</t>
  </si>
  <si>
    <t>EXPLOT,ANDREA,Tj 157 SW (Ch 921),VOLADURA</t>
  </si>
  <si>
    <t>5L71QL</t>
  </si>
  <si>
    <t>EXPLOT,ANDREA,Tj 157 NE (Ch 921),LIMPIEZA</t>
  </si>
  <si>
    <t>5L71QO</t>
  </si>
  <si>
    <t>EXPLOT,ANDREA,Tj 157 NE (Ch 921),SERVICIO</t>
  </si>
  <si>
    <t>5L71QP</t>
  </si>
  <si>
    <t>EXPLOT,ANDREA,Tj 157 NE (Ch 921),PERFORACION</t>
  </si>
  <si>
    <t>5L71QR</t>
  </si>
  <si>
    <t>EXPLOT,ANDREA,Tj 157 NE (Ch 921),RELLENO</t>
  </si>
  <si>
    <t>5L71QS</t>
  </si>
  <si>
    <t>EXPLOT,ANDREA,Tj 157 NE (Ch 921),SOSTENIMIENTO</t>
  </si>
  <si>
    <t>5L71QV</t>
  </si>
  <si>
    <t>EXPLOT,ANDREA,Tj 157 NE (Ch 921),VOLADURA</t>
  </si>
  <si>
    <t>5L71XL</t>
  </si>
  <si>
    <t>EXPLOT,ANDREA,Tj 009 SW (Snv 029 SW),LIMPIEZA</t>
  </si>
  <si>
    <t>5L71XO</t>
  </si>
  <si>
    <t>EXPLOT,ANDREA,Tj 009 SW (Snv 029 SW),SERVICIO</t>
  </si>
  <si>
    <t>5L71XP</t>
  </si>
  <si>
    <t>EXPLOT,ANDREA,Tj 009 SW (Snv 029 SW),PERFORACION</t>
  </si>
  <si>
    <t>5L71XR</t>
  </si>
  <si>
    <t>EXPLOT,ANDREA,Tj 009 SW (Snv 029 SW),RELLENO</t>
  </si>
  <si>
    <t>5L71XS</t>
  </si>
  <si>
    <t>EXPLOT,ANDREA,Tj 009 SW (Snv 029 SW),SOSTENIMIENTO</t>
  </si>
  <si>
    <t>5L71XV</t>
  </si>
  <si>
    <t>EXPLOT,ANDREA,Tj 009 SW (Snv 029 SW),VOLADURA</t>
  </si>
  <si>
    <t>5L72EL</t>
  </si>
  <si>
    <t>EXPLOT,ANDREA,Tj 157 SW (Ch 973),LIMPIEZA</t>
  </si>
  <si>
    <t>5L72EO</t>
  </si>
  <si>
    <t>EXPLOT,ANDREA,Tj 157 SW (Ch 973),SERVICIO</t>
  </si>
  <si>
    <t>5L72EP</t>
  </si>
  <si>
    <t>EXPLOT,ANDREA,Tj 157 SW (Ch 973),PERFORACION</t>
  </si>
  <si>
    <t>5L72ER</t>
  </si>
  <si>
    <t>EXPLOT,ANDREA,Tj 157 SW (Ch 973),RELLENO</t>
  </si>
  <si>
    <t>5L72ES</t>
  </si>
  <si>
    <t>EXPLOT,ANDREA,Tj 157 SW (Ch 973),SOSTENIMIENTO</t>
  </si>
  <si>
    <t>5L72EV</t>
  </si>
  <si>
    <t>EXPLOT,ANDREA,Tj 157 SW (Ch 973),VOLADURA</t>
  </si>
  <si>
    <t>5L72FL</t>
  </si>
  <si>
    <t>EXPLOT,ANDREA,Tj 157 NE (Ch 973),LIMPIEZA</t>
  </si>
  <si>
    <t>5L72FO</t>
  </si>
  <si>
    <t>EXPLOT,ANDREA,Tj 157 NE (Ch 973),SERVICIO</t>
  </si>
  <si>
    <t>5L72FP</t>
  </si>
  <si>
    <t>EXPLOT,ANDREA,Tj 157 NE (Ch 973),PERFORACION</t>
  </si>
  <si>
    <t>5L72FR</t>
  </si>
  <si>
    <t>EXPLOT,ANDREA,Tj 157 NE (Ch 973),RELLENO</t>
  </si>
  <si>
    <t>5L72FS</t>
  </si>
  <si>
    <t>EXPLOT,ANDREA,Tj 157 NE (Ch 973),SOSTENIMIENTO</t>
  </si>
  <si>
    <t>5L72FV</t>
  </si>
  <si>
    <t>EXPLOT,ANDREA,Tj 157 NE (Ch 973),VOLADURA</t>
  </si>
  <si>
    <t>5L72JL</t>
  </si>
  <si>
    <t>EXPLOT,ANDREA,Tj 938 NE (Ch 944),LIMPIEZA</t>
  </si>
  <si>
    <t>5L72JO</t>
  </si>
  <si>
    <t>EXPLOT,ANDREA,Tj 938 NE (Ch 944),SERVICIO</t>
  </si>
  <si>
    <t>5L72JP</t>
  </si>
  <si>
    <t>EXPLOT,ANDREA,Tj 938 NE (Ch 944),PERFORACION</t>
  </si>
  <si>
    <t>5L72JS</t>
  </si>
  <si>
    <t>EXPLOT,ANDREA,Tj 938 NE (Ch 944),SOSTENIMIENTO</t>
  </si>
  <si>
    <t>5L72JV</t>
  </si>
  <si>
    <t>EXPLOT,ANDREA,Tj 938 NE (Ch 944),VOLADURA</t>
  </si>
  <si>
    <t>5L72KL</t>
  </si>
  <si>
    <t>EXPLOT,ANDREA,Tj 938 SW (Ch 944),LIMPIEZA</t>
  </si>
  <si>
    <t>5L72KO</t>
  </si>
  <si>
    <t>EXPLOT,ANDREA,Tj 938 SW (Ch 944),SERVICIO</t>
  </si>
  <si>
    <t>5L72KP</t>
  </si>
  <si>
    <t>EXPLOT,ANDREA,Tj 938 SW (Ch 944),PERFORACION</t>
  </si>
  <si>
    <t>5L72KS</t>
  </si>
  <si>
    <t>EXPLOT,ANDREA,Tj 938 SW (Ch 944),SOSTENIMIENTO</t>
  </si>
  <si>
    <t>5L72KV</t>
  </si>
  <si>
    <t>EXPLOT,ANDREA,Tj 938 SW (Ch 944),VOLADURA</t>
  </si>
  <si>
    <t>5L72LL</t>
  </si>
  <si>
    <t>EXPLOT,ANDREA,Tj 177 SW (Ch 921),LIMPIEZA</t>
  </si>
  <si>
    <t>5L72LO</t>
  </si>
  <si>
    <t>EXPLOT,ANDREA,Tj 177 SW (Ch 921),SERVICIO</t>
  </si>
  <si>
    <t>5L72LP</t>
  </si>
  <si>
    <t>EXPLOT,ANDREA,Tj 177 SW (Ch 921),PERFORACION</t>
  </si>
  <si>
    <t>5L72LR</t>
  </si>
  <si>
    <t>EXPLOT,ANDREA,Tj 177 SW (Ch 921),RELLENO</t>
  </si>
  <si>
    <t>5L72LS</t>
  </si>
  <si>
    <t>EXPLOT,ANDREA,Tj 177 SW (Ch 921),SOSTENIMIENTO</t>
  </si>
  <si>
    <t>5L72LV</t>
  </si>
  <si>
    <t>EXPLOT,ANDREA,Tj 177 SW (Ch 921),VOLADURA</t>
  </si>
  <si>
    <t>5L72ML</t>
  </si>
  <si>
    <t>EXPLOT,ANDREA,Tj 177 NE (Ch 921),LIMPIEZA</t>
  </si>
  <si>
    <t>5L72MO</t>
  </si>
  <si>
    <t>EXPLOT,ANDREA,Tj 177 NE (Ch 921),SERVICIO</t>
  </si>
  <si>
    <t>5L72MP</t>
  </si>
  <si>
    <t>EXPLOT,ANDREA,Tj 177 NE (Ch 921),PERFORACION</t>
  </si>
  <si>
    <t>5L72MR</t>
  </si>
  <si>
    <t>EXPLOT,ANDREA,Tj 177 NE (Ch 921),RELLENO</t>
  </si>
  <si>
    <t>5L72MS</t>
  </si>
  <si>
    <t>EXPLOT,ANDREA,Tj 177 NE (Ch 921),SOSTENIMIENTO</t>
  </si>
  <si>
    <t>5L72MV</t>
  </si>
  <si>
    <t>EXPLOT,ANDREA,Tj 177 NE (Ch 921),VOLADURA</t>
  </si>
  <si>
    <t>5L72OL</t>
  </si>
  <si>
    <t>EXPLOT,ANDREA,Tj 157 NE (Ch 948),LIMPIEZA</t>
  </si>
  <si>
    <t>5L72OO</t>
  </si>
  <si>
    <t>EXPLOT,ANDREA,Tj 157 NE (Ch 948),SERVICIO</t>
  </si>
  <si>
    <t>5L72OP</t>
  </si>
  <si>
    <t>EXPLOT,ANDREA,Tj 157 NE (Ch 948),PERFORACION</t>
  </si>
  <si>
    <t>5L72OR</t>
  </si>
  <si>
    <t>EXPLOT,ANDREA,Tj 157 NE (Ch 948),RELLENO</t>
  </si>
  <si>
    <t>5L72OS</t>
  </si>
  <si>
    <t>EXPLOT,ANDREA,Tj 157 NE (Ch 948),SOSTENIMIENTO</t>
  </si>
  <si>
    <t>5L72OV</t>
  </si>
  <si>
    <t>EXPLOT,ANDREA,Tj 157 NE (Ch 948),VOLADURA</t>
  </si>
  <si>
    <t>5L7751</t>
  </si>
  <si>
    <t>EXPLO,ANDREA,Tj 256 SW (Snv 256 SW),SUMINISTROS</t>
  </si>
  <si>
    <t>5L7752</t>
  </si>
  <si>
    <t>EXPLO,ANDREA,Tj 256 SW (Snv 256 SW),SOSTENIMIENTO</t>
  </si>
  <si>
    <t>5L7753</t>
  </si>
  <si>
    <t>EXPLO,ANDREA,Tj 256 SW (Snv 256 SW),SERVICIO</t>
  </si>
  <si>
    <t>5L7754</t>
  </si>
  <si>
    <t>EXPLO,ANDREA,Tj 256 SW (Snv 256 SW),REHABILITACION</t>
  </si>
  <si>
    <t>5L794L</t>
  </si>
  <si>
    <t>EXPLOT,ANDREA,Tj 017 SW (Snv 015 SW),LIMPIEZA</t>
  </si>
  <si>
    <t>5L794O</t>
  </si>
  <si>
    <t>EXPLOT,ANDREA,Tj 017 SW (Snv 015 SW),SERVICIO</t>
  </si>
  <si>
    <t>5L794P</t>
  </si>
  <si>
    <t>EXPLOT,ANDREA,Tj 017 SW (Snv 015 SW),PERFORACION</t>
  </si>
  <si>
    <t>5L794S</t>
  </si>
  <si>
    <t>EXPLOT,ANDREA,Tj 017 SW (Snv 015 SW),SOSTENIMIENTO</t>
  </si>
  <si>
    <t>5L794V</t>
  </si>
  <si>
    <t>EXPLOT,ANDREA,Tj 017 SW (Snv 015 SW),VOLADURA</t>
  </si>
  <si>
    <t>5L795L</t>
  </si>
  <si>
    <t>EXPLOT,ANDREA,Tj 017 NE (Snv 015 SW),LIMPIEZA</t>
  </si>
  <si>
    <t>5L795O</t>
  </si>
  <si>
    <t>EXPLOT,ANDREA,Tj 017 NE (Snv 015 SW),SERVICIO</t>
  </si>
  <si>
    <t>5L795P</t>
  </si>
  <si>
    <t>EXPLOT,ANDREA,Tj 017 NE (Snv 015 SW),PERFORACION</t>
  </si>
  <si>
    <t>5L795S</t>
  </si>
  <si>
    <t>EXPLOT,ANDREA,Tj 017 NE (Snv 015 SW),SOSTENIMIENTO</t>
  </si>
  <si>
    <t>5L795V</t>
  </si>
  <si>
    <t>EXPLOT,ANDREA,Tj 017 NE (Snv 015 SW),VOLADURA</t>
  </si>
  <si>
    <t>5M71HL</t>
  </si>
  <si>
    <t>EXPLOT,JACKY,Tj 642 SW (Gal 639 SW),LIMPIEZA</t>
  </si>
  <si>
    <t>5M71HO</t>
  </si>
  <si>
    <t>EXPLOT,JACKY,Tj 642 SW (Gal 639 SW),SERVICIO</t>
  </si>
  <si>
    <t>5M71HP</t>
  </si>
  <si>
    <t>EXPLOT,JACKY,Tj 642 SW (Gal 639 SW),PERFORACION</t>
  </si>
  <si>
    <t>5M71HS</t>
  </si>
  <si>
    <t>EXPLOT,JACKY,Tj 642 SW (Gal 639 SW),SOSTENIMIENTO</t>
  </si>
  <si>
    <t>5M71HV</t>
  </si>
  <si>
    <t>EXPLOT,JACKY,Tj 642 SW (Gal 639 SW),VOLADURA</t>
  </si>
  <si>
    <t>5M71LL</t>
  </si>
  <si>
    <t>EXPLOT,JACKY,Tj 642 NE (Gal 639 NE),LIMPIEZA</t>
  </si>
  <si>
    <t>5M71LO</t>
  </si>
  <si>
    <t>EXPLOT,JACKY,Tj 642 NE (Gal 639 NE),SERVICIO</t>
  </si>
  <si>
    <t>5M71LP</t>
  </si>
  <si>
    <t>EXPLOT,JACKY,Tj 642 NE (Gal 639 NE),PERFORACION</t>
  </si>
  <si>
    <t>5M71LR</t>
  </si>
  <si>
    <t>EXPLOT,JACKY,Tj 642 NE (Gal 639 NE),RELLENO</t>
  </si>
  <si>
    <t>5M71LS</t>
  </si>
  <si>
    <t>EXPLOT,JACKY,Tj 642 NE (Gal 639 NE),SOSTENIMIENTO</t>
  </si>
  <si>
    <t>5M71LV</t>
  </si>
  <si>
    <t>EXPLOT,JACKY,Tj 642 NE (Gal 639 NE),VOLADURA</t>
  </si>
  <si>
    <t>5M72GL</t>
  </si>
  <si>
    <t>EXPLOT,JACKY,Tj 619 SW (Ch 619),LIMPIEZA</t>
  </si>
  <si>
    <t>5M72GO</t>
  </si>
  <si>
    <t>EXPLOT,JACKY,Tj 619 SW (Ch 619),SERVICIO</t>
  </si>
  <si>
    <t>5M72GP</t>
  </si>
  <si>
    <t>EXPLOT,JACKY,Tj 619 SW (Ch 619),PERFORACION</t>
  </si>
  <si>
    <t>5M72GR</t>
  </si>
  <si>
    <t>EXPLOT,JACKY,Tj 619 SW (Ch 619),RELLENO</t>
  </si>
  <si>
    <t>5M72GS</t>
  </si>
  <si>
    <t>EXPLOT,JACKY,Tj 619 SW (Ch 619),SOSTENIMIENTO</t>
  </si>
  <si>
    <t>5M72GV</t>
  </si>
  <si>
    <t>EXPLOT,JACKY,Tj 619 SW (Ch 619),VOLADURA</t>
  </si>
  <si>
    <t>5M72HL</t>
  </si>
  <si>
    <t>EXPLOT,JACKY,Tj 619 NE (Ch 619),LIMPIEZA</t>
  </si>
  <si>
    <t>5M72HO</t>
  </si>
  <si>
    <t>EXPLOT,JACKY,Tj 619 NE (Ch 619),SERVICIO</t>
  </si>
  <si>
    <t>5M72HP</t>
  </si>
  <si>
    <t>EXPLOT,JACKY,Tj 619 NE (Ch 619),PERFORACION</t>
  </si>
  <si>
    <t>5M72HR</t>
  </si>
  <si>
    <t>EXPLOT,JACKY,Tj 619 NE (Ch 619),RELLENO</t>
  </si>
  <si>
    <t>5M72HS</t>
  </si>
  <si>
    <t>EXPLOT,JACKY,Tj 619 NE (Ch 619),SOSTENIMIENTO</t>
  </si>
  <si>
    <t>5M72HV</t>
  </si>
  <si>
    <t>EXPLOT,JACKY,Tj 619 NE (Ch 619),VOLADURA</t>
  </si>
  <si>
    <t>61003A</t>
  </si>
  <si>
    <t xml:space="preserve">EXPLO,VANESSA,GAL 150 SW (CX 150 NW),VOLADURA     </t>
  </si>
  <si>
    <t>61003B</t>
  </si>
  <si>
    <t xml:space="preserve">EXPLO,VANESSA,GAL 150 SW (CX 150 NW),CAMINOS      </t>
  </si>
  <si>
    <t>61003C</t>
  </si>
  <si>
    <t>EXPLO,VANESSA,GAL 150 SW (CX 150 NW),INST.DE RIELE</t>
  </si>
  <si>
    <t>61003D</t>
  </si>
  <si>
    <t>EXPLO,VANESSA,GAL 150 SW (CX 150 NW),REHAB DE LABO</t>
  </si>
  <si>
    <t>61004A</t>
  </si>
  <si>
    <t xml:space="preserve">EXPLO,VANESSA,GAL 150 NE (CX 150 NW),VOLADURA     </t>
  </si>
  <si>
    <t>61004B</t>
  </si>
  <si>
    <t xml:space="preserve">EXPLO,VANESSA,GAL 150 NE (CX 150 NW),CAMINOS      </t>
  </si>
  <si>
    <t>61004C</t>
  </si>
  <si>
    <t>EXPLO,VANESSA,GAL 150 NE (CX 150 NW),INST.DE RIELE</t>
  </si>
  <si>
    <t>61004D</t>
  </si>
  <si>
    <t>EXPLO,VANESSA,GAL 150 NE (CX 150 NW),REHAB DE LABO</t>
  </si>
  <si>
    <t>61103A</t>
  </si>
  <si>
    <t xml:space="preserve">EXPLO,VANESSA,CX 150 NW (GAL 170 SW),VOLADURA     </t>
  </si>
  <si>
    <t>61103B</t>
  </si>
  <si>
    <t xml:space="preserve">EXPLO,VANESSA,CX 150 NW (GAL 170 SW),CAMINOS      </t>
  </si>
  <si>
    <t>61103C</t>
  </si>
  <si>
    <t>EXPLO,VANESSA,CX 150 NW (GAL 170 SW),INST.DE RIELE</t>
  </si>
  <si>
    <t>61103D</t>
  </si>
  <si>
    <t>EXPLO,VANESSA,CX 150 NW (GAL 170 SW),REHAB DE LABO</t>
  </si>
  <si>
    <t>61107A</t>
  </si>
  <si>
    <t xml:space="preserve">EXPLO,VANESSA,CX 074 SW (CX 150 NW ),VOLADURA     </t>
  </si>
  <si>
    <t>61107B</t>
  </si>
  <si>
    <t xml:space="preserve">EXPLO,VANESSA,CX 074 SW (CX 150 NW ),CAMINOS      </t>
  </si>
  <si>
    <t>61107C</t>
  </si>
  <si>
    <t>EXPLO,VANESSA,CX 074 SW (CX 150 NW ),INST.DE RIELE</t>
  </si>
  <si>
    <t>61107D</t>
  </si>
  <si>
    <t>EXPLO,VANESSA,CX 074 SW (CX 150 NW ),REHAB DE LABO</t>
  </si>
  <si>
    <t>61219A</t>
  </si>
  <si>
    <t xml:space="preserve">EXPLO,VANESSA,CH 125 (CX 150 NW),VOLADURA         </t>
  </si>
  <si>
    <t>61219B</t>
  </si>
  <si>
    <t xml:space="preserve">EXPLO,VANESSA,CH 125 (CX 150 NW),CAMINOS          </t>
  </si>
  <si>
    <t>61219C</t>
  </si>
  <si>
    <t xml:space="preserve">EXPLO,VANESSA,CH 125 (CX 150 NW),INST.DE RIELES   </t>
  </si>
  <si>
    <t>61219D</t>
  </si>
  <si>
    <t xml:space="preserve">EXPLO,VANESSA,CH 125 (CX 150 NW),REHAB DE LABORES </t>
  </si>
  <si>
    <t>61222A</t>
  </si>
  <si>
    <t xml:space="preserve">EXPLO,VANESSA,CH 080 (GAL 150 SW),VOLADURA        </t>
  </si>
  <si>
    <t>61222B</t>
  </si>
  <si>
    <t xml:space="preserve">EXPLO,VANESSA,CH 080 (GAL 150 SW),CAMINOS         </t>
  </si>
  <si>
    <t>61222C</t>
  </si>
  <si>
    <t xml:space="preserve">EXPLO,VANESSA,CH 080 (GAL 150 SW),INST.DE RIELES  </t>
  </si>
  <si>
    <t>61222D</t>
  </si>
  <si>
    <t>EXPLO,VANESSA,CH 080 (GAL 150 SW),REHAB DE LABORES</t>
  </si>
  <si>
    <t>61222E</t>
  </si>
  <si>
    <t xml:space="preserve">EXPLO,VANESSA,CH 080 (GAL 150 SW),CICLO COMPLETO  </t>
  </si>
  <si>
    <t>61435A</t>
  </si>
  <si>
    <t xml:space="preserve">EXPLO,VANESSA,SNV 125 NE (CX 150 NW),VOLADURA     </t>
  </si>
  <si>
    <t>61435B</t>
  </si>
  <si>
    <t xml:space="preserve">EXPLO,VANESSA,SNV 125 NE (CX 150 NW),CAMINOS      </t>
  </si>
  <si>
    <t>61435C</t>
  </si>
  <si>
    <t>EXPLO,VANESSA,SNV 125 NE (CX 150 NW),INST.DE RIELE</t>
  </si>
  <si>
    <t>61435D</t>
  </si>
  <si>
    <t>EXPLO,VANESSA,SNV 125 NE (CX 150 NW),REHAB DE LABO</t>
  </si>
  <si>
    <t>61436A</t>
  </si>
  <si>
    <t xml:space="preserve">EXPLO,VANESSA,SNV 125 SW (CX 150 NW),VOLADURA     </t>
  </si>
  <si>
    <t>61436B</t>
  </si>
  <si>
    <t xml:space="preserve">EXPLO,VANESSA,SNV 125 SW (CX 150 NW),CAMINOS      </t>
  </si>
  <si>
    <t>61436C</t>
  </si>
  <si>
    <t>EXPLO,VANESSA,SNV 125 SW (CX 150 NW),INST.DE RIELE</t>
  </si>
  <si>
    <t>61436D</t>
  </si>
  <si>
    <t>EXPLO,VANESSA,SNV 125 SW (CX 150 NW),REHAB DE LABO</t>
  </si>
  <si>
    <t>61437A</t>
  </si>
  <si>
    <t xml:space="preserve">EXPLO,VANESSA,SNV 103 SW (CX 150 NW),VOLADURA     </t>
  </si>
  <si>
    <t>61437B</t>
  </si>
  <si>
    <t xml:space="preserve">EXPLO,VANESSA,SNV 103 SW (CX 150 NW),CAMINOS      </t>
  </si>
  <si>
    <t>61437C</t>
  </si>
  <si>
    <t>EXPLO,VANESSA,SNV 103 SW (CX 150 NW),INST.DE RIELE</t>
  </si>
  <si>
    <t>61437D</t>
  </si>
  <si>
    <t>EXPLO,VANESSA,SNV 103 SW (CX 150 NW),REHAB DE LABO</t>
  </si>
  <si>
    <t>61438A</t>
  </si>
  <si>
    <t xml:space="preserve">EXPLO,VANESSA,SNV 103 NE (CX 150 NW),VOLADURA     </t>
  </si>
  <si>
    <t>61438B</t>
  </si>
  <si>
    <t xml:space="preserve">EXPLO,VANESSA,SNV 103 NE (CX 150 NW),CAMINOS      </t>
  </si>
  <si>
    <t>61438C</t>
  </si>
  <si>
    <t>EXPLO,VANESSA,SNV 103 NE (CX 150 NW),INST.DE RIELE</t>
  </si>
  <si>
    <t>61438D</t>
  </si>
  <si>
    <t>EXPLO,VANESSA,SNV 103 NE (CX 150 NW),REHAB DE LABO</t>
  </si>
  <si>
    <t>61442A</t>
  </si>
  <si>
    <t xml:space="preserve">EXPLO,VANESSA,SNV 103 SW (CH044),VOLADURA         </t>
  </si>
  <si>
    <t>61442B</t>
  </si>
  <si>
    <t xml:space="preserve">EXPLO,VANESSA,SNV 103 SW (CH044),CAMINOS          </t>
  </si>
  <si>
    <t>61442C</t>
  </si>
  <si>
    <t xml:space="preserve">EXPLO,VANESSA,SNV 103 SW (CH044),INST.DE RIELES   </t>
  </si>
  <si>
    <t>61442D</t>
  </si>
  <si>
    <t xml:space="preserve">EXPLO,VANESSA,SNV 103 SW (CH044),REHAB DE LABORES </t>
  </si>
  <si>
    <t>61442E</t>
  </si>
  <si>
    <t xml:space="preserve">EXPLO,VANESSA,SNV 103 SW (CH044),CICLO COMPLETO   </t>
  </si>
  <si>
    <t>61443A</t>
  </si>
  <si>
    <t xml:space="preserve">EXPLO,VANESSA,SNV 123-1 SW (SNV.123 SW),VOLADURA  </t>
  </si>
  <si>
    <t>61443B</t>
  </si>
  <si>
    <t xml:space="preserve">EXPLO,VANESSA,SNV 123-1 SW (SNV.123 SW),CAMINOS   </t>
  </si>
  <si>
    <t>61443C</t>
  </si>
  <si>
    <t>EXPLO,VANESSA,SNV 123-1 SW (SNV.123 SW),INST.DE RI</t>
  </si>
  <si>
    <t>61443D</t>
  </si>
  <si>
    <t>EXPLO,VANESSA,SNV 123-1 SW (SNV.123 SW),REHAB DE L</t>
  </si>
  <si>
    <t>61443E</t>
  </si>
  <si>
    <t>EXPLO,VANESSA,SNV 123-1 SW (SNV.123 SW),CICLO COMP</t>
  </si>
  <si>
    <t>61444A</t>
  </si>
  <si>
    <t xml:space="preserve">EXPLO,VANESSA,SNV 123 SW (CH 044),VOLADURA        </t>
  </si>
  <si>
    <t>61444B</t>
  </si>
  <si>
    <t xml:space="preserve">EXPLO,VANESSA,SNV 123 SW (CH 044),CAMINOS         </t>
  </si>
  <si>
    <t>61444C</t>
  </si>
  <si>
    <t xml:space="preserve">EXPLO,VANESSA,SNV 123 SW (CH 044),INST.DE RIELES  </t>
  </si>
  <si>
    <t>61444D</t>
  </si>
  <si>
    <t>EXPLO,VANESSA,SNV 123 SW (CH 044),REHAB DE LABORES</t>
  </si>
  <si>
    <t>61444E</t>
  </si>
  <si>
    <t xml:space="preserve">EXPLO,VANESSA,SNV 123 SW (CH 044),CICLO COMPLETO  </t>
  </si>
  <si>
    <t>61445A</t>
  </si>
  <si>
    <t xml:space="preserve">EXPLO,VANESSA,SNV 123 NE (CH 044),VOLADURA        </t>
  </si>
  <si>
    <t>61445B</t>
  </si>
  <si>
    <t xml:space="preserve">EXPLO,VANESSA,SNV 123 NE (CH 044),CAMINOS         </t>
  </si>
  <si>
    <t>61445C</t>
  </si>
  <si>
    <t xml:space="preserve">EXPLO,VANESSA,SNV 123 NE (CH 044),INST.DE RIELES  </t>
  </si>
  <si>
    <t>61445D</t>
  </si>
  <si>
    <t>EXPLO,VANESSA,SNV 123 NE (CH 044),REHAB DE LABORES</t>
  </si>
  <si>
    <t>61445E</t>
  </si>
  <si>
    <t xml:space="preserve">EXPLO,VANESSA,SNV 123 NE (CH 044),CICLO COMPLETO  </t>
  </si>
  <si>
    <t>61520A</t>
  </si>
  <si>
    <t xml:space="preserve">EXPLO,VANESSA,EST. 094 NW (GAL 150 SW),VOLADURA   </t>
  </si>
  <si>
    <t>61520B</t>
  </si>
  <si>
    <t xml:space="preserve">EXPLO,VANESSA,EST. 094 NW (GAL 150 SW),CAMINOS    </t>
  </si>
  <si>
    <t>61520C</t>
  </si>
  <si>
    <t>EXPLO,VANESSA,EST. 094 NW (GAL 150 SW),INST.DE RIE</t>
  </si>
  <si>
    <t>61520D</t>
  </si>
  <si>
    <t>EXPLO,VANESSA,EST. 094 NW (GAL 150 SW),REHAB DE LA</t>
  </si>
  <si>
    <t>61520E</t>
  </si>
  <si>
    <t>EXPLO,VANESSA,EST. 094 NW (GAL 150 SW),CICLO COMPL</t>
  </si>
  <si>
    <t>61521A</t>
  </si>
  <si>
    <t xml:space="preserve">EXPLO,VANESSA,EST. 089NW (GAL 150 SW),VOLADURA    </t>
  </si>
  <si>
    <t>61521B</t>
  </si>
  <si>
    <t xml:space="preserve">EXPLO,VANESSA,EST. 089NW (GAL 150 SW),CAMINOS     </t>
  </si>
  <si>
    <t>61521C</t>
  </si>
  <si>
    <t>EXPLO,VANESSA,EST. 089NW (GAL 150 SW),INST.DE RIEL</t>
  </si>
  <si>
    <t>61521D</t>
  </si>
  <si>
    <t>EXPLO,VANESSA,EST. 089NW (GAL 150 SW),REHAB DE LAB</t>
  </si>
  <si>
    <t>61521E</t>
  </si>
  <si>
    <t>EXPLO,VANESSA,EST. 089NW (GAL 150 SW),CICLO COMPLE</t>
  </si>
  <si>
    <t>61B061</t>
  </si>
  <si>
    <t xml:space="preserve">EXPLO,VANESSA,CAM 09 (CX 074 SW),DESQUINCHE       </t>
  </si>
  <si>
    <t>61B062</t>
  </si>
  <si>
    <t xml:space="preserve">EXPLO,VANESSA,CAM 09 (CX 074 SW),ENMADERADO       </t>
  </si>
  <si>
    <t>61B063</t>
  </si>
  <si>
    <t xml:space="preserve">EXPLO,VANESSA,CAM 09 (CX 074 SW),LIMPIEZA         </t>
  </si>
  <si>
    <t>61B064</t>
  </si>
  <si>
    <t xml:space="preserve">EXPLO,VANESSA,CAM 09 (CX 074 SW),SERVICIOS        </t>
  </si>
  <si>
    <t>61B065</t>
  </si>
  <si>
    <t xml:space="preserve">EXPLO,VANESSA,CAM 09 (CX 074 SW),EXTRACCION       </t>
  </si>
  <si>
    <t>61B066</t>
  </si>
  <si>
    <t xml:space="preserve">EXPLO,VANESSA,CAM 09 (CX 074 SW),SPLIT SET        </t>
  </si>
  <si>
    <t>61B067</t>
  </si>
  <si>
    <t xml:space="preserve">EXPLO,VANESSA,CAM 09 (CX 074 SW),SPLIT CON MALLA  </t>
  </si>
  <si>
    <t>61B068</t>
  </si>
  <si>
    <t xml:space="preserve">EXPLO,VANESSA,CAM 09 (CX 074 SW),IZAJE Y DESCENSO </t>
  </si>
  <si>
    <t>61B069</t>
  </si>
  <si>
    <t xml:space="preserve">EXPLO,VANESSA,CAM 09 (CX 074 SW),PERFORACION      </t>
  </si>
  <si>
    <t>61B06A</t>
  </si>
  <si>
    <t xml:space="preserve">EXPLO,VANESSA,CAM 09 (CX 074 SW),VOLADURA         </t>
  </si>
  <si>
    <t>61B06B</t>
  </si>
  <si>
    <t xml:space="preserve">EXPLO,VANESSA,CAM 09 (CX 074 SW),CAMINOS          </t>
  </si>
  <si>
    <t>61B06C</t>
  </si>
  <si>
    <t xml:space="preserve">EXPLO,VANESSA,CAM 09 (CX 074 SW),INST.DE RIELES   </t>
  </si>
  <si>
    <t>61B06D</t>
  </si>
  <si>
    <t xml:space="preserve">EXPLO,VANESSA,CAM 09 (CX 074 SW),REHAB DE LABORES </t>
  </si>
  <si>
    <t>61B06E</t>
  </si>
  <si>
    <t xml:space="preserve">EXPLO,VANESSA,CAM 09 (CX 074 SW),CICLO COMPLETO   </t>
  </si>
  <si>
    <t>62220A</t>
  </si>
  <si>
    <t xml:space="preserve">PREPA,VANESSA,CH 107 (GAL 150 NE),VOLADURA        </t>
  </si>
  <si>
    <t>62220B</t>
  </si>
  <si>
    <t xml:space="preserve">PREPA,VANESSA,CH 107 (GAL 150 NE),CAMINOS         </t>
  </si>
  <si>
    <t>62220C</t>
  </si>
  <si>
    <t xml:space="preserve">PREPA,VANESSA,CH 107 (GAL 150 NE),INST.DE RIELES  </t>
  </si>
  <si>
    <t>62220D</t>
  </si>
  <si>
    <t>PREPA,VANESSA,CH 107 (GAL 150 NE),REHAB DE LABORES</t>
  </si>
  <si>
    <t>62220E</t>
  </si>
  <si>
    <t xml:space="preserve">PREPA,VANESSA,CH 107 (GAL 150 NE),CICLO COMPLETO  </t>
  </si>
  <si>
    <t>63439A</t>
  </si>
  <si>
    <t xml:space="preserve">DESAR,VANESSA,SNV 123 SW (CH 107),VOLADURA        </t>
  </si>
  <si>
    <t>63439B</t>
  </si>
  <si>
    <t xml:space="preserve">DESAR,VANESSA,SNV 123 SW (CH 107),CAMINOS         </t>
  </si>
  <si>
    <t>63439C</t>
  </si>
  <si>
    <t xml:space="preserve">DESAR,VANESSA,SNV 123 SW (CH 107),INST.DE RIELES  </t>
  </si>
  <si>
    <t>63439D</t>
  </si>
  <si>
    <t>DESAR,VANESSA,SNV 123 SW (CH 107),REHAB DE LABORES</t>
  </si>
  <si>
    <t>63439E</t>
  </si>
  <si>
    <t xml:space="preserve">DESAR,VANESSA,SNV 123 SW (CH 107),CICLO COMPLETO  </t>
  </si>
  <si>
    <t>63440A</t>
  </si>
  <si>
    <t xml:space="preserve">DESAR,VANESSA,SNV 123 NE (CH 107),VOLADURA        </t>
  </si>
  <si>
    <t>63440B</t>
  </si>
  <si>
    <t xml:space="preserve">DESAR,VANESSA,SNV 123 NE (CH 107),CAMINOS         </t>
  </si>
  <si>
    <t>63440C</t>
  </si>
  <si>
    <t xml:space="preserve">DESAR,VANESSA,SNV 123 NE (CH 107),INST.DE RIELES  </t>
  </si>
  <si>
    <t>63440D</t>
  </si>
  <si>
    <t>DESAR,VANESSA,SNV 123 NE (CH 107),REHAB DE LABORES</t>
  </si>
  <si>
    <t>63440E</t>
  </si>
  <si>
    <t xml:space="preserve">DESAR,VANESSA,SNV 123 NE (CH 107),CICLO COMPLETO  </t>
  </si>
  <si>
    <t>64522A</t>
  </si>
  <si>
    <t xml:space="preserve">OPERA,VANESSA,EST. 088 SE (GAL 150 SW),VOLADURA   </t>
  </si>
  <si>
    <t>64522B</t>
  </si>
  <si>
    <t xml:space="preserve">OPERA,VANESSA,EST. 088 SE (GAL 150 SW),CAMINOS    </t>
  </si>
  <si>
    <t>64522C</t>
  </si>
  <si>
    <t>OPERA,VANESSA,EST. 088 SE (GAL 150 SW),INST.DE RIE</t>
  </si>
  <si>
    <t>64522D</t>
  </si>
  <si>
    <t>OPERA,VANESSA,EST. 088 SE (GAL 150 SW),REHAB DE LA</t>
  </si>
  <si>
    <t>64522E</t>
  </si>
  <si>
    <t>OPERA,VANESSA,EST. 088 SE (GAL 150 SW),CICLO COMPL</t>
  </si>
  <si>
    <t>65321A</t>
  </si>
  <si>
    <t xml:space="preserve">PRODU,VANESSA,TJ 125 NE (CH 125),VOLADURA         </t>
  </si>
  <si>
    <t>65321B</t>
  </si>
  <si>
    <t xml:space="preserve">PRODU,VANESSA,TJ 125 NE (CH 125),CAMINOS          </t>
  </si>
  <si>
    <t>65321C</t>
  </si>
  <si>
    <t xml:space="preserve">PRODU,VANESSA,TJ 125 NE (CH 125),INST.DE RIELES   </t>
  </si>
  <si>
    <t>65321D</t>
  </si>
  <si>
    <t xml:space="preserve">PRODU,VANESSA,TJ 125 NE (CH 125),REHAB DE LABORES </t>
  </si>
  <si>
    <t>65321E</t>
  </si>
  <si>
    <t xml:space="preserve">PRODU,VANESSA,TJ 125 NE (CH 125),CICLO COMPLETO   </t>
  </si>
  <si>
    <t>65322A</t>
  </si>
  <si>
    <t xml:space="preserve">PRODU,VANESSA,TJ 125 SW (CH 125),VOLADURA         </t>
  </si>
  <si>
    <t>65322B</t>
  </si>
  <si>
    <t xml:space="preserve">PRODU,VANESSA,TJ 125 SW (CH 125),CAMINOS          </t>
  </si>
  <si>
    <t>65322C</t>
  </si>
  <si>
    <t xml:space="preserve">PRODU,VANESSA,TJ 125 SW (CH 125),INST.DE RIELES   </t>
  </si>
  <si>
    <t>65322D</t>
  </si>
  <si>
    <t xml:space="preserve">PRODU,VANESSA,TJ 125 SW (CH 125),REHAB DE LABORES </t>
  </si>
  <si>
    <t>65322E</t>
  </si>
  <si>
    <t xml:space="preserve">PRODU,VANESSA,TJ 125 SW (CH 125),CICLO COMPLETO   </t>
  </si>
  <si>
    <t>65324A</t>
  </si>
  <si>
    <t xml:space="preserve">PRODU,VANESSA,TJ 150 (GAL 150 NE),VOLADURA        </t>
  </si>
  <si>
    <t>65324B</t>
  </si>
  <si>
    <t xml:space="preserve">PRODU,VANESSA,TJ 150 (GAL 150 NE),CAMINOS         </t>
  </si>
  <si>
    <t>65324C</t>
  </si>
  <si>
    <t xml:space="preserve">PRODU,VANESSA,TJ 150 (GAL 150 NE),INST.DE RIELES  </t>
  </si>
  <si>
    <t>65324D</t>
  </si>
  <si>
    <t>PRODU,VANESSA,TJ 150 (GAL 150 NE),REHAB DE LABORES</t>
  </si>
  <si>
    <t>65324E</t>
  </si>
  <si>
    <t xml:space="preserve">PRODU,VANESSA,TJ 150 (GAL 150 NE),CICLO COMPLETO  </t>
  </si>
  <si>
    <t>5D73BP</t>
  </si>
  <si>
    <t>EXPLOT,CACHORRO,Tj  885 SW (Inc 822 NE),PERFORACION</t>
  </si>
  <si>
    <t>5D73BV</t>
  </si>
  <si>
    <t>EXPLOT,CACHORRO,Tj  885 SW (Inc 822 NE),VOLADURA</t>
  </si>
  <si>
    <t>5D73BL</t>
  </si>
  <si>
    <t>EXPLOT,CACHORRO,Tj  885 SW (Inc 822 NE),LIMPIEZA</t>
  </si>
  <si>
    <t>5D73BS</t>
  </si>
  <si>
    <t>EXPLOT,CACHORRO,Tj  885 SW (Inc 822 NE),SOSTENIMIENTO</t>
  </si>
  <si>
    <t>5D73BO</t>
  </si>
  <si>
    <t>EXPLOT,CACHORRO,Tj  885 SW (Inc 822 NE),SERVICIO</t>
  </si>
  <si>
    <t>5D73BR</t>
  </si>
  <si>
    <t>EXPLOT,CACHORRO,Tj  885 SW (Inc 822 NE),RELLENO</t>
  </si>
  <si>
    <t>5D73CP</t>
  </si>
  <si>
    <t>EXPLOT,CACHORRO,Tj  885 NE (Inc 822 NE),PERFORACION</t>
  </si>
  <si>
    <t>5D73CV</t>
  </si>
  <si>
    <t>EXPLOT,CACHORRO,Tj  885 NE (Inc 822 NE),VOLADURA</t>
  </si>
  <si>
    <t>5D73CL</t>
  </si>
  <si>
    <t>EXPLOT,CACHORRO,Tj  885 NE (Inc 822 NE),LIMPIEZA</t>
  </si>
  <si>
    <t>5D73CS</t>
  </si>
  <si>
    <t>EXPLOT,CACHORRO,Tj  885 NE (Inc 822 NE),SOSTENIMIENTO</t>
  </si>
  <si>
    <t>5D73CO</t>
  </si>
  <si>
    <t>EXPLOT,CACHORRO,Tj  885 NE (Inc 822 NE),SERVICIO</t>
  </si>
  <si>
    <t>5D73CR</t>
  </si>
  <si>
    <t>EXPLOT,CACHORRO,Tj  885 NE (Inc 822 NE),RELLENO</t>
  </si>
  <si>
    <t>3G31WP</t>
  </si>
  <si>
    <t>PREPAR,MANUEL,Ch 934 (Snv 025 NE),PERFORACION</t>
  </si>
  <si>
    <t>3G31WV</t>
  </si>
  <si>
    <t>PREPAR,MANUEL,Ch 934 (Snv 025 NE),VOLADURA</t>
  </si>
  <si>
    <t>3G31WL</t>
  </si>
  <si>
    <t>PREPAR,MANUEL,Ch 934 (Snv 025 NE),LIMPIEZA</t>
  </si>
  <si>
    <t>3G31WS</t>
  </si>
  <si>
    <t>PREPAR,MANUEL,Ch 934 (Snv 025 NE),SOSTENIMIENTO</t>
  </si>
  <si>
    <t>3G31WO</t>
  </si>
  <si>
    <t>PREPAR,MANUEL,Ch 934 (Snv 025 NE),SERVICIO</t>
  </si>
  <si>
    <t>5D73DP</t>
  </si>
  <si>
    <t>EXPLOT,CACHORRO,Tj 929 SW (Snv 929 SW) ,PERFORACION</t>
  </si>
  <si>
    <t>5D73DV</t>
  </si>
  <si>
    <t>EXPLOT,CACHORRO,Tj 929 SW (Snv 929 SW) ,VOLADURA</t>
  </si>
  <si>
    <t>5D73DL</t>
  </si>
  <si>
    <t>EXPLOT,CACHORRO,Tj 929 SW (Snv 929 SW) ,LIMPIEZA</t>
  </si>
  <si>
    <t>5D73DS</t>
  </si>
  <si>
    <t>EXPLOT,CACHORRO,Tj 929 SW (Snv 929 SW) ,SOSTENIMIENTO</t>
  </si>
  <si>
    <t>5D73DO</t>
  </si>
  <si>
    <t>EXPLOT,CACHORRO,Tj 929 SW (Snv 929 SW) ,SERVICIO</t>
  </si>
  <si>
    <t>5D73DR</t>
  </si>
  <si>
    <t>EXPLOT,CACHORRO,Tj 929 SW (Snv 929 SW) ,RELLENO</t>
  </si>
  <si>
    <t>3E56GP</t>
  </si>
  <si>
    <t>PREPAR,VANESSA,Snv 034 SW (Tj 030 SW),PERFORACION</t>
  </si>
  <si>
    <t>3E56GV</t>
  </si>
  <si>
    <t>PREPAR,VANESSA,Snv 034 SW (Tj 030 SW),VOLADURA</t>
  </si>
  <si>
    <t>3E56GL</t>
  </si>
  <si>
    <t>PREPAR,VANESSA,Snv 034 SW (Tj 030 SW),LIMPIEZA</t>
  </si>
  <si>
    <t>3E56GS</t>
  </si>
  <si>
    <t>PREPAR,VANESSA,Snv 034 SW (Tj 030 SW),SOSTENIMIENTO</t>
  </si>
  <si>
    <t>3E56GO</t>
  </si>
  <si>
    <t>PREPAR,VANESSA,Snv 034 SW (Tj 030 SW),SERVICIO</t>
  </si>
  <si>
    <t>1D691P</t>
  </si>
  <si>
    <t>EXPLOR,CACHORRO,Est 955 NW (Snv 885 NE) ,PERFORACION</t>
  </si>
  <si>
    <t>1D691V</t>
  </si>
  <si>
    <t>EXPLOR,CACHORRO,Est 955 NW (Snv 885 NE) ,VOLADURA</t>
  </si>
  <si>
    <t>1D691L</t>
  </si>
  <si>
    <t>EXPLOR,CACHORRO,Est 955 NW (Snv 885 NE) ,LIMPIEZA</t>
  </si>
  <si>
    <t>1D691S</t>
  </si>
  <si>
    <t>EXPLOR,CACHORRO,Est 955 NW (Snv 885 NE) ,SOSTENIMIENTO</t>
  </si>
  <si>
    <t>1D691O</t>
  </si>
  <si>
    <t>EXPLOR,CACHORRO,Est 955 NW (Snv 885 NE) ,SERVICIO</t>
  </si>
  <si>
    <t>1D692P</t>
  </si>
  <si>
    <t>EXPLOR,CACHORRO,Est 934 NW (Snv 885 SW) ,PERFORACION</t>
  </si>
  <si>
    <t>1D692V</t>
  </si>
  <si>
    <t>EXPLOR,CACHORRO,Est 934 NW (Snv 885 SW) ,VOLADURA</t>
  </si>
  <si>
    <t>1D692L</t>
  </si>
  <si>
    <t>EXPLOR,CACHORRO,Est 934 NW (Snv 885 SW) ,LIMPIEZA</t>
  </si>
  <si>
    <t>1D692S</t>
  </si>
  <si>
    <t>EXPLOR,CACHORRO,Est 934 NW (Snv 885 SW) ,SOSTENIMIENTO</t>
  </si>
  <si>
    <t>1D692O</t>
  </si>
  <si>
    <t>EXPLOR,CACHORRO,Est 934 NW (Snv 885 SW) ,SERVICIO</t>
  </si>
  <si>
    <t>1D693P</t>
  </si>
  <si>
    <t>EXPLOR,CACHORRO,Est 925 NW (Snv 885 SW),PERFORACION</t>
  </si>
  <si>
    <t>1D693V</t>
  </si>
  <si>
    <t>EXPLOR,CACHORRO,Est 925 NW (Snv 885 SW),VOLADURA</t>
  </si>
  <si>
    <t>1D693L</t>
  </si>
  <si>
    <t>EXPLOR,CACHORRO,Est 925 NW (Snv 885 SW),LIMPIEZA</t>
  </si>
  <si>
    <t>1D693S</t>
  </si>
  <si>
    <t>EXPLOR,CACHORRO,Est 925 NW (Snv 885 SW),SOSTENIMIENTO</t>
  </si>
  <si>
    <t>1D693O</t>
  </si>
  <si>
    <t>EXPLOR,CACHORRO,Est 925 NW (Snv 885 SW),SERVICIO</t>
  </si>
  <si>
    <t>1D694P</t>
  </si>
  <si>
    <t>EXPLOR,CACHORRO,Est 919 NW (Snv 885 SW),PERFORACION</t>
  </si>
  <si>
    <t>1D694V</t>
  </si>
  <si>
    <t>EXPLOR,CACHORRO,Est 919 NW (Snv 885 SW),VOLADURA</t>
  </si>
  <si>
    <t>1D694L</t>
  </si>
  <si>
    <t>EXPLOR,CACHORRO,Est 919 NW (Snv 885 SW),LIMPIEZA</t>
  </si>
  <si>
    <t>1D694S</t>
  </si>
  <si>
    <t>EXPLOR,CACHORRO,Est 919 NW (Snv 885 SW),SOSTENIMIENTO</t>
  </si>
  <si>
    <t>1D694O</t>
  </si>
  <si>
    <t>EXPLOR,CACHORRO,Est 919 NW (Snv 885 SW),SERVICIO</t>
  </si>
  <si>
    <t>1D695P</t>
  </si>
  <si>
    <t>EXPLOR,CACHORRO,Est 910 NW (Snv 885 SW),PERFORACION</t>
  </si>
  <si>
    <t>1D695V</t>
  </si>
  <si>
    <t>EXPLOR,CACHORRO,Est 910 NW (Snv 885 SW),VOLADURA</t>
  </si>
  <si>
    <t>1D695L</t>
  </si>
  <si>
    <t>EXPLOR,CACHORRO,Est 910 NW (Snv 885 SW),LIMPIEZA</t>
  </si>
  <si>
    <t>1D695S</t>
  </si>
  <si>
    <t>EXPLOR,CACHORRO,Est 910 NW (Snv 885 SW),SOSTENIMIENTO</t>
  </si>
  <si>
    <t>1D695O</t>
  </si>
  <si>
    <t>EXPLOR,CACHORRO,Est 910 NW (Snv 885 SW),SERVICIO</t>
  </si>
  <si>
    <t>1D31XP</t>
  </si>
  <si>
    <t>EXPLOR,CACHORRO,Ch 929 (Bp 940 NW),PERFORACION</t>
  </si>
  <si>
    <t>1D31XV</t>
  </si>
  <si>
    <t>EXPLOR,CACHORRO,Ch 929 (Bp 940 NW),VOLADURA</t>
  </si>
  <si>
    <t>1D31XL</t>
  </si>
  <si>
    <t>EXPLOR,CACHORRO,Ch 929 (Bp 940 NW),LIMPIEZA</t>
  </si>
  <si>
    <t>1D31XS</t>
  </si>
  <si>
    <t>EXPLOR,CACHORRO,Ch 929 (Bp 940 NW),SOSTENIMIENTO</t>
  </si>
  <si>
    <t>1D31XO</t>
  </si>
  <si>
    <t>EXPLOR,CACHORRO,Ch 929 (Bp 940 NW),SERVICIO</t>
  </si>
  <si>
    <t>1D56HP</t>
  </si>
  <si>
    <t>EXPLOR,CACHORRO,Snv 959 SW (Est 955 NW),PERFORACION</t>
  </si>
  <si>
    <t>1D56HV</t>
  </si>
  <si>
    <t>EXPLOR,CACHORRO,Snv 959 SW (Est 955 NW),VOLADURA</t>
  </si>
  <si>
    <t>1D56HL</t>
  </si>
  <si>
    <t>EXPLOR,CACHORRO,Snv 959 SW (Est 955 NW),LIMPIEZA</t>
  </si>
  <si>
    <t>1D56HS</t>
  </si>
  <si>
    <t>EXPLOR,CACHORRO,Snv 959 SW (Est 955 NW),SOSTENIMIENTO</t>
  </si>
  <si>
    <t>1D56HO</t>
  </si>
  <si>
    <t>EXPLOR,CACHORRO,Snv 959 SW (Est 955 NW),SERVICIO</t>
  </si>
  <si>
    <t>1D56IP</t>
  </si>
  <si>
    <t>EXPLOR,CACHORRO,Snv 925 NE (Est 925 NW),PERFORACION</t>
  </si>
  <si>
    <t>1D56IV</t>
  </si>
  <si>
    <t>EXPLOR,CACHORRO,Snv 925 NE (Est 925 NW),VOLADURA</t>
  </si>
  <si>
    <t>1D56IL</t>
  </si>
  <si>
    <t>EXPLOR,CACHORRO,Snv 925 NE (Est 925 NW),LIMPIEZA</t>
  </si>
  <si>
    <t>1D56IS</t>
  </si>
  <si>
    <t>EXPLOR,CACHORRO,Snv 925 NE (Est 925 NW),SOSTENIMIENTO</t>
  </si>
  <si>
    <t>1D56IO</t>
  </si>
  <si>
    <t>EXPLOR,CACHORRO,Snv 925 NE (Est 925 NW),SERVICIO</t>
  </si>
  <si>
    <t>1D56JP</t>
  </si>
  <si>
    <t>EXPLOR,CACHORRO,Snv 925 SW (Est 925 NW),PERFORACION</t>
  </si>
  <si>
    <t>1D56JV</t>
  </si>
  <si>
    <t>EXPLOR,CACHORRO,Snv 925 SW (Est 925 NW),VOLADURA</t>
  </si>
  <si>
    <t>1D56JL</t>
  </si>
  <si>
    <t>EXPLOR,CACHORRO,Snv 925 SW (Est 925 NW),LIMPIEZA</t>
  </si>
  <si>
    <t>1D56JS</t>
  </si>
  <si>
    <t>EXPLOR,CACHORRO,Snv 925 SW (Est 925 NW),SOSTENIMIENTO</t>
  </si>
  <si>
    <t>1D56JO</t>
  </si>
  <si>
    <t>EXPLOR,CACHORRO,Snv 925 SW (Est 925 NW),SERVICIO</t>
  </si>
  <si>
    <t>1D56KP</t>
  </si>
  <si>
    <t>EXPLOR,CACHORRO,Snv 850 NE (Snv 010 NE),PERFORACION</t>
  </si>
  <si>
    <t>1D56KV</t>
  </si>
  <si>
    <t>EXPLOR,CACHORRO,Snv 850 NE (Snv 010 NE),VOLADURA</t>
  </si>
  <si>
    <t>1D56KL</t>
  </si>
  <si>
    <t>EXPLOR,CACHORRO,Snv 850 NE (Snv 010 NE),LIMPIEZA</t>
  </si>
  <si>
    <t>1D56KS</t>
  </si>
  <si>
    <t>EXPLOR,CACHORRO,Snv 850 NE (Snv 010 NE),SOSTENIMIENTO</t>
  </si>
  <si>
    <t>1D56KO</t>
  </si>
  <si>
    <t>EXPLOR,CACHORRO,Snv 850 NE (Snv 010 NE),SERVICIO</t>
  </si>
  <si>
    <t>3G31YP</t>
  </si>
  <si>
    <t>PREPAR,MANUEL,Ch 877 (Snv 010 NE),PERFORACION</t>
  </si>
  <si>
    <t>3G31YV</t>
  </si>
  <si>
    <t>PREPAR,MANUEL,Ch 877 (Snv 010 NE),VOLADURA</t>
  </si>
  <si>
    <t>3G31YL</t>
  </si>
  <si>
    <t>PREPAR,MANUEL,Ch 877 (Snv 010 NE),LIMPIEZA</t>
  </si>
  <si>
    <t>3G31YS</t>
  </si>
  <si>
    <t>PREPAR,MANUEL,Ch 877 (Snv 010 NE),SOSTENIMIENTO</t>
  </si>
  <si>
    <t>3G31YO</t>
  </si>
  <si>
    <t>PREPAR,MANUEL,Ch 877 (Snv 010 NE),SERVICIO</t>
  </si>
  <si>
    <t>3G31ZP</t>
  </si>
  <si>
    <t>PREPAR,MANUEL,Ch 907 (Snv 850 NE),PERFORACION</t>
  </si>
  <si>
    <t>3G31ZV</t>
  </si>
  <si>
    <t>PREPAR,MANUEL,Ch 907 (Snv 850 NE),VOLADURA</t>
  </si>
  <si>
    <t>3G31ZL</t>
  </si>
  <si>
    <t>PREPAR,MANUEL,Ch 907 (Snv 850 NE),LIMPIEZA</t>
  </si>
  <si>
    <t>3G31ZS</t>
  </si>
  <si>
    <t>PREPAR,MANUEL,Ch 907 (Snv 850 NE),SOSTENIMIENTO</t>
  </si>
  <si>
    <t>3G31ZO</t>
  </si>
  <si>
    <t>PREPAR,MANUEL,Ch 907 (Snv 850 NE),SERVICIO</t>
  </si>
  <si>
    <t>3D56LP</t>
  </si>
  <si>
    <t>PREPAR,CACHORRO,Snv 890 SW (Ch 914) ,PERFORACION</t>
  </si>
  <si>
    <t>3D56LV</t>
  </si>
  <si>
    <t>PREPAR,CACHORRO,Snv 890 SW (Ch 914) ,VOLADURA</t>
  </si>
  <si>
    <t>3D56LL</t>
  </si>
  <si>
    <t>PREPAR,CACHORRO,Snv 890 SW (Ch 914) ,LIMPIEZA</t>
  </si>
  <si>
    <t>3D56LS</t>
  </si>
  <si>
    <t>PREPAR,CACHORRO,Snv 890 SW (Ch 914) ,SOSTENIMIENTO</t>
  </si>
  <si>
    <t>3D56LO</t>
  </si>
  <si>
    <t>PREPAR,CACHORRO,Snv 890 SW (Ch 914) ,SERVICIO</t>
  </si>
  <si>
    <t>3D56MP</t>
  </si>
  <si>
    <t>PREPAR,CACHORRO,Snv 944 SW (Ch 929),PERFORACION</t>
  </si>
  <si>
    <t>3D56MV</t>
  </si>
  <si>
    <t>PREPAR,CACHORRO,Snv 944 SW (Ch 929),VOLADURA</t>
  </si>
  <si>
    <t>3D56ML</t>
  </si>
  <si>
    <t>PREPAR,CACHORRO,Snv 944 SW (Ch 929),LIMPIEZA</t>
  </si>
  <si>
    <t>3D56MS</t>
  </si>
  <si>
    <t>PREPAR,CACHORRO,Snv 944 SW (Ch 929),SOSTENIMIENTO</t>
  </si>
  <si>
    <t>3D56MO</t>
  </si>
  <si>
    <t>PREPAR,CACHORRO,Snv 944 SW (Ch 929),SERVICIO</t>
  </si>
  <si>
    <t>3D32AP</t>
  </si>
  <si>
    <t>PREPAR,CACHORRO,Ch 905 (Tj 929 SW),PERFORACION</t>
  </si>
  <si>
    <t>3D32AV</t>
  </si>
  <si>
    <t>PREPAR,CACHORRO,Ch 905 (Tj 929 SW),VOLADURA</t>
  </si>
  <si>
    <t>3D32AL</t>
  </si>
  <si>
    <t>PREPAR,CACHORRO,Ch 905 (Tj 929 SW),LIMPIEZA</t>
  </si>
  <si>
    <t>3D32AS</t>
  </si>
  <si>
    <t>PREPAR,CACHORRO,Ch 905 (Tj 929 SW),SOSTENIMIENTO</t>
  </si>
  <si>
    <t>3D32AO</t>
  </si>
  <si>
    <t>PREPAR,CACHORRO,Ch 905 (Tj 929 SW),SERVICIO</t>
  </si>
  <si>
    <t>3D696P</t>
  </si>
  <si>
    <t>PREPAR,CACHORRO,Est 925 NW (Ch 929),PERFORACION</t>
  </si>
  <si>
    <t>3D696V</t>
  </si>
  <si>
    <t>PREPAR,CACHORRO,Est 925 NW (Ch 929),VOLADURA</t>
  </si>
  <si>
    <t>3D696L</t>
  </si>
  <si>
    <t>PREPAR,CACHORRO,Est 925 NW (Ch 929),LIMPIEZA</t>
  </si>
  <si>
    <t>3D696S</t>
  </si>
  <si>
    <t>PREPAR,CACHORRO,Est 925 NW (Ch 929),SOSTENIMIENTO</t>
  </si>
  <si>
    <t>3D696O</t>
  </si>
  <si>
    <t>PREPAR,CACHORRO,Est 925 NW (Ch 929),SERVICIO</t>
  </si>
  <si>
    <t>3D56NP</t>
  </si>
  <si>
    <t>PREPAR,CACHORRO,Snv 949 SW (Ch 929),PERFORACION</t>
  </si>
  <si>
    <t>3D56NV</t>
  </si>
  <si>
    <t>PREPAR,CACHORRO,Snv 949 SW (Ch 929),VOLADURA</t>
  </si>
  <si>
    <t>3D56NL</t>
  </si>
  <si>
    <t>PREPAR,CACHORRO,Snv 949 SW (Ch 929),LIMPIEZA</t>
  </si>
  <si>
    <t>3D56NS</t>
  </si>
  <si>
    <t>PREPAR,CACHORRO,Snv 949 SW (Ch 929),SOSTENIMIENTO</t>
  </si>
  <si>
    <t>3D56NO</t>
  </si>
  <si>
    <t>PREPAR,CACHORRO,Snv 949 SW (Ch 929),SERVICIO</t>
  </si>
  <si>
    <t>3E73EP</t>
  </si>
  <si>
    <t>PREPAR,VANESSA,Tj 063 NE (Ch 066),PERFORACION</t>
  </si>
  <si>
    <t>3E73EV</t>
  </si>
  <si>
    <t>PREPAR,VANESSA,Tj 063 NE (Ch 066),VOLADURA</t>
  </si>
  <si>
    <t>3E73EL</t>
  </si>
  <si>
    <t>PREPAR,VANESSA,Tj 063 NE (Ch 066),LIMPIEZA</t>
  </si>
  <si>
    <t>3E73ES</t>
  </si>
  <si>
    <t>PREPAR,VANESSA,Tj 063 NE (Ch 066),SOSTENIMIENTO</t>
  </si>
  <si>
    <t>3E73EO</t>
  </si>
  <si>
    <t>PREPAR,VANESSA,Tj 063 NE (Ch 066),SERVICIO</t>
  </si>
  <si>
    <t>2D135P</t>
  </si>
  <si>
    <t>DESARR,CACHORRO,Cx 444 NE (Cx 128 NE),PERFORACION</t>
  </si>
  <si>
    <t>2D135V</t>
  </si>
  <si>
    <t>DESARR,CACHORRO,Cx 444 NE (Cx 128 NE),VOLADURA</t>
  </si>
  <si>
    <t>2D135L</t>
  </si>
  <si>
    <t>DESARR,CACHORRO,Cx 444 NE (Cx 128 NE),LIMPIEZA</t>
  </si>
  <si>
    <t>2D135S</t>
  </si>
  <si>
    <t>DESARR,CACHORRO,Cx 444 NE (Cx 128 NE),SOSTENIMIENTO</t>
  </si>
  <si>
    <t>2D135O</t>
  </si>
  <si>
    <t>DESARR,CACHORRO,Cx 444 NE (Cx 128 NE),SERVICIO</t>
  </si>
  <si>
    <t>1D221P</t>
  </si>
  <si>
    <t>EXPLOR,CACHORRO,Gal 900 NE (Cx 444 NE),PERFORACION</t>
  </si>
  <si>
    <t>1D221V</t>
  </si>
  <si>
    <t>EXPLOR,CACHORRO,Gal 900 NE (Cx 444 NE),VOLADURA</t>
  </si>
  <si>
    <t>1D221L</t>
  </si>
  <si>
    <t>EXPLOR,CACHORRO,Gal 900 NE (Cx 444 NE),LIMPIEZA</t>
  </si>
  <si>
    <t>1D221S</t>
  </si>
  <si>
    <t>EXPLOR,CACHORRO,Gal 900 NE (Cx 444 NE),SOSTENIMIENTO</t>
  </si>
  <si>
    <t>1D221O</t>
  </si>
  <si>
    <t>EXPLOR,CACHORRO,Gal 900 NE (Cx 444 NE),SERVICIO</t>
  </si>
  <si>
    <t>1E823P</t>
  </si>
  <si>
    <t>EXPLOR,VANESSA,Cam 021 SE (Snv 829 SW),PERFORACION</t>
  </si>
  <si>
    <t>1E823V</t>
  </si>
  <si>
    <t>EXPLOR,VANESSA,Cam 021 SE (Snv 829 SW),VOLADURA</t>
  </si>
  <si>
    <t>1E823L</t>
  </si>
  <si>
    <t>EXPLOR,VANESSA,Cam 021 SE (Snv 829 SW),LIMPIEZA</t>
  </si>
  <si>
    <t>1E823S</t>
  </si>
  <si>
    <t>EXPLOR,VANESSA,Cam 021 SE (Snv 829 SW),SOSTENIMIENTO</t>
  </si>
  <si>
    <t>1E823O</t>
  </si>
  <si>
    <t>EXPLOR,VANESSA,Cam 021 SE (Snv 829 SW),SERVICIO</t>
  </si>
  <si>
    <t>3E32BP</t>
  </si>
  <si>
    <t>PREPAR,VANESSA,Ch 091 (Snv 010 NE),PERFORACION</t>
  </si>
  <si>
    <t>3E32BV</t>
  </si>
  <si>
    <t>PREPAR,VANESSA,Ch 091 (Snv 010 NE),VOLADURA</t>
  </si>
  <si>
    <t>3E32BL</t>
  </si>
  <si>
    <t>PREPAR,VANESSA,Ch 091 (Snv 010 NE),LIMPIEZA</t>
  </si>
  <si>
    <t>3E32BS</t>
  </si>
  <si>
    <t>PREPAR,VANESSA,Ch 091 (Snv 010 NE),SOSTENIMIENTO</t>
  </si>
  <si>
    <t>3E32BO</t>
  </si>
  <si>
    <t>PREPAR,VANESSA,Ch 091 (Snv 010 NE),SERVICIO</t>
  </si>
  <si>
    <t>3D56OP</t>
  </si>
  <si>
    <t>PREPAR,CACHORRO,Snv 886 NE (Tj 885 NE),PERFORACION</t>
  </si>
  <si>
    <t>3D56OV</t>
  </si>
  <si>
    <t>PREPAR,CACHORRO,Snv 886 NE (Tj 885 NE),VOLADURA</t>
  </si>
  <si>
    <t>3D56OL</t>
  </si>
  <si>
    <t>PREPAR,CACHORRO,Snv 886 NE (Tj 885 NE),LIMPIEZA</t>
  </si>
  <si>
    <t>3D56OS</t>
  </si>
  <si>
    <t>PREPAR,CACHORRO,Snv 886 NE (Tj 885 NE),SOSTENIMIENTO</t>
  </si>
  <si>
    <t>3D56OO</t>
  </si>
  <si>
    <t>PREPAR,CACHORRO,Snv 886 NE (Tj 885 NE),SERVICIO</t>
  </si>
  <si>
    <t>3DA05P</t>
  </si>
  <si>
    <t>PREPAR,CACHORRO,Bp 961 NW (Cx 444 NE),PERFORACION</t>
  </si>
  <si>
    <t>3DA05V</t>
  </si>
  <si>
    <t>PREPAR,CACHORRO,Bp 961 NW (Cx 444 NE),VOLADURA</t>
  </si>
  <si>
    <t>3DA05L</t>
  </si>
  <si>
    <t>PREPAR,CACHORRO,Bp 961 NW (Cx 444 NE),LIMPIEZA</t>
  </si>
  <si>
    <t>3DA05S</t>
  </si>
  <si>
    <t>PREPAR,CACHORRO,Bp 961 NW (Cx 444 NE),SOSTENIMIENTO</t>
  </si>
  <si>
    <t>3DA05O</t>
  </si>
  <si>
    <t>PREPAR,CACHORRO,Bp 961 NW (Cx 444 NE),SERVICIO</t>
  </si>
  <si>
    <t>1ED06P</t>
  </si>
  <si>
    <t>EXPLOR,VANESSA,Inc 863 SE (Est 075-4 SE),PERFORACION</t>
  </si>
  <si>
    <t>1ED06V</t>
  </si>
  <si>
    <t>EXPLOR,VANESSA,Inc 863 SE (Est 075-4 SE),VOLADURA</t>
  </si>
  <si>
    <t>1ED06L</t>
  </si>
  <si>
    <t>EXPLOR,VANESSA,Inc 863 SE (Est 075-4 SE),LIMPIEZA</t>
  </si>
  <si>
    <t>1ED06S</t>
  </si>
  <si>
    <t>EXPLOR,VANESSA,Inc 863 SE (Est 075-4 SE),SOSTENIMIENTO</t>
  </si>
  <si>
    <t>1ED06O</t>
  </si>
  <si>
    <t>EXPLOR,VANESSA,Inc 863 SE (Est 075-4 SE),SERVICIO</t>
  </si>
  <si>
    <t>1D56PP</t>
  </si>
  <si>
    <t>EXPLOR,CACHORRO,Snv 810 SW (Gal 170 SW),PERFORACION</t>
  </si>
  <si>
    <t>1D56PV</t>
  </si>
  <si>
    <t>EXPLOR,CACHORRO,Snv 810 SW (Gal 170 SW),VOLADURA</t>
  </si>
  <si>
    <t>1D56PL</t>
  </si>
  <si>
    <t>EXPLOR,CACHORRO,Snv 810 SW (Gal 170 SW),LIMPIEZA</t>
  </si>
  <si>
    <t>1D56PS</t>
  </si>
  <si>
    <t>EXPLOR,CACHORRO,Snv 810 SW (Gal 170 SW),SOSTENIMIENTO</t>
  </si>
  <si>
    <t>1D56PO</t>
  </si>
  <si>
    <t>EXPLOR,CACHORRO,Snv 810 SW (Gal 170 SW),SERVICIO</t>
  </si>
  <si>
    <t>1D697P</t>
  </si>
  <si>
    <t>EXPLOR,CACHORRO,Est 859 SE (Snv 087 SW),PERFORACION</t>
  </si>
  <si>
    <t>1D697V</t>
  </si>
  <si>
    <t>EXPLOR,CACHORRO,Est 859 SE (Snv 087 SW),VOLADURA</t>
  </si>
  <si>
    <t>1D697L</t>
  </si>
  <si>
    <t>EXPLOR,CACHORRO,Est 859 SE (Snv 087 SW),LIMPIEZA</t>
  </si>
  <si>
    <t>1D697S</t>
  </si>
  <si>
    <t>EXPLOR,CACHORRO,Est 859 SE (Snv 087 SW),SOSTENIMIENTO</t>
  </si>
  <si>
    <t>1D697O</t>
  </si>
  <si>
    <t>EXPLOR,CACHORRO,Est 859 SE (Snv 087 SW),SERVICIO</t>
  </si>
  <si>
    <t>1L56QP</t>
  </si>
  <si>
    <t>EXPLOR,ANDREA,Snv 943 NE (Cx 169 NE),PERFORACION</t>
  </si>
  <si>
    <t>1L56QV</t>
  </si>
  <si>
    <t>EXPLOR,ANDREA,Snv 943 NE (Cx 169 NE),VOLADURA</t>
  </si>
  <si>
    <t>1L56QL</t>
  </si>
  <si>
    <t>EXPLOR,ANDREA,Snv 943 NE (Cx 169 NE),LIMPIEZA</t>
  </si>
  <si>
    <t>1L56QS</t>
  </si>
  <si>
    <t>EXPLOR,ANDREA,Snv 943 NE (Cx 169 NE),SOSTENIMIENTO</t>
  </si>
  <si>
    <t>1L56QO</t>
  </si>
  <si>
    <t>EXPLOR,ANDREA,Snv 943 NE (Cx 169 NE),SERVICIO</t>
  </si>
  <si>
    <t>3E32CP</t>
  </si>
  <si>
    <t>PREPAR,VANESSA,Ch 863 (Est 075-4 SE),PERFORACION</t>
  </si>
  <si>
    <t>3E32CV</t>
  </si>
  <si>
    <t>PREPAR,VANESSA,Ch 863 (Est 075-4 SE),VOLADURA</t>
  </si>
  <si>
    <t>3E32CL</t>
  </si>
  <si>
    <t>PREPAR,VANESSA,Ch 863 (Est 075-4 SE),LIMPIEZA</t>
  </si>
  <si>
    <t>3E32CS</t>
  </si>
  <si>
    <t>PREPAR,VANESSA,Ch 863 (Est 075-4 SE),SOSTENIMIENTO</t>
  </si>
  <si>
    <t>3E32CO</t>
  </si>
  <si>
    <t>PREPAR,VANESSA,Ch 863 (Est 075-4 SE),SERVICIO</t>
  </si>
  <si>
    <t>5E73EP</t>
  </si>
  <si>
    <t>EXPLOT,VANESSA,Tj 810 SW (Snv 810 SW),PERFORACION</t>
  </si>
  <si>
    <t>5E73EV</t>
  </si>
  <si>
    <t>EXPLOT,VANESSA,Tj 810 SW (Snv 810 SW),VOLADURA</t>
  </si>
  <si>
    <t>5E73EL</t>
  </si>
  <si>
    <t>EXPLOT,VANESSA,Tj 810 SW (Snv 810 SW),LIMPIEZA</t>
  </si>
  <si>
    <t>5E73ES</t>
  </si>
  <si>
    <t>EXPLOT,VANESSA,Tj 810 SW (Snv 810 SW),SOSTENIMIENTO</t>
  </si>
  <si>
    <t>5E73EO</t>
  </si>
  <si>
    <t>EXPLOT,VANESSA,Tj 810 SW (Snv 810 SW),SERVICIO</t>
  </si>
  <si>
    <t>5E73ER</t>
  </si>
  <si>
    <t>EXPLOT,VANESSA,Tj 810 SW (Snv 810 SW),RELLENO</t>
  </si>
  <si>
    <t>1E698P</t>
  </si>
  <si>
    <t>EXPLOR,VANESSA,Est 784 NW (Gal 170 SW),PERFORACION</t>
  </si>
  <si>
    <t>1E698V</t>
  </si>
  <si>
    <t>EXPLOR,VANESSA,Est 784 NW (Gal 170 SW),VOLADURA</t>
  </si>
  <si>
    <t>1E698L</t>
  </si>
  <si>
    <t>EXPLOR,VANESSA,Est 784 NW (Gal 170 SW),LIMPIEZA</t>
  </si>
  <si>
    <t>1E698S</t>
  </si>
  <si>
    <t>EXPLOR,VANESSA,Est 784 NW (Gal 170 SW),SOSTENIMIENTO</t>
  </si>
  <si>
    <t>1E698O</t>
  </si>
  <si>
    <t>EXPLOR,VANESSA,Est 784 NW (Gal 170 SW),SERVICIO</t>
  </si>
  <si>
    <t>1L699P</t>
  </si>
  <si>
    <t>EXPLOR,ANDREA,Est 985 SE(Snv 255 SW),PERFORACION</t>
  </si>
  <si>
    <t>1L699V</t>
  </si>
  <si>
    <t>EXPLOR,ANDREA,Est 985 SE(Snv 255 SW),VOLADURA</t>
  </si>
  <si>
    <t>1L699L</t>
  </si>
  <si>
    <t>EXPLOR,ANDREA,Est 985 SE(Snv 255 SW),LIMPIEZA</t>
  </si>
  <si>
    <t>1L699S</t>
  </si>
  <si>
    <t>EXPLOR,ANDREA,Est 985 SE(Snv 255 SW),SOSTENIMIENTO</t>
  </si>
  <si>
    <t>1L699O</t>
  </si>
  <si>
    <t>EXPLOR,ANDREA,Est 985 SE(Snv 255 SW),SERVICIO</t>
  </si>
  <si>
    <t>3L56RP</t>
  </si>
  <si>
    <t>PREPAR,ANDREA,Snv 985 SW(Est 985 SE),PERFORACION</t>
  </si>
  <si>
    <t>3L56RV</t>
  </si>
  <si>
    <t>PREPAR,ANDREA,Snv 985 SW(Est 985 SE),VOLADURA</t>
  </si>
  <si>
    <t>3L56RL</t>
  </si>
  <si>
    <t>PREPAR,ANDREA,Snv 985 SW(Est 985 SE),LIMPIEZA</t>
  </si>
  <si>
    <t>3L56RS</t>
  </si>
  <si>
    <t>PREPAR,ANDREA,Snv 985 SW(Est 985 SE),SOSTENIMIENTO</t>
  </si>
  <si>
    <t>3L56RO</t>
  </si>
  <si>
    <t>PREPAR,ANDREA,Snv 985 SW(Est 985 SE),SERVICIO</t>
  </si>
  <si>
    <t>3L56SP</t>
  </si>
  <si>
    <t>PREPAR,ANDREA,Snv 985 NE(Est 985 SE),PERFORACION</t>
  </si>
  <si>
    <t>3L56SV</t>
  </si>
  <si>
    <t>PREPAR,ANDREA,Snv 985 NE(Est 985 SE),VOLADURA</t>
  </si>
  <si>
    <t>3L56SL</t>
  </si>
  <si>
    <t>PREPAR,ANDREA,Snv 985 NE(Est 985 SE),LIMPIEZA</t>
  </si>
  <si>
    <t>3L56SS</t>
  </si>
  <si>
    <t>PREPAR,ANDREA,Snv 985 NE(Est 985 SE),SOSTENIMIENTO</t>
  </si>
  <si>
    <t>3L56SO</t>
  </si>
  <si>
    <t>PREPAR,ANDREA,Snv 985 NE(Est 985 SE),SERVICIO</t>
  </si>
  <si>
    <t>3D56TP</t>
  </si>
  <si>
    <t>PREPAR,CACHORRO,Snv 859 SW (Est 859 SE),PERFORACION</t>
  </si>
  <si>
    <t>3D56TV</t>
  </si>
  <si>
    <t>PREPAR,CACHORRO,Snv 859 SW (Est 859 SE),VOLADURA</t>
  </si>
  <si>
    <t>3D56TL</t>
  </si>
  <si>
    <t>PREPAR,CACHORRO,Snv 859 SW (Est 859 SE),LIMPIEZA</t>
  </si>
  <si>
    <t>3D56TS</t>
  </si>
  <si>
    <t>PREPAR,CACHORRO,Snv 859 SW (Est 859 SE),SOSTENIMIENTO</t>
  </si>
  <si>
    <t>3D56TO</t>
  </si>
  <si>
    <t>PREPAR,CACHORRO,Snv 859 SW (Est 859 SE),SERVICIO</t>
  </si>
  <si>
    <t>3D56UP</t>
  </si>
  <si>
    <t>PREPAR,CACHORRO,Snv 859 NE (Est 859 SE),PERFORACION</t>
  </si>
  <si>
    <t>3D56UV</t>
  </si>
  <si>
    <t>PREPAR,CACHORRO,Snv 859 NE (Est 859 SE),VOLADURA</t>
  </si>
  <si>
    <t>3D56UL</t>
  </si>
  <si>
    <t>PREPAR,CACHORRO,Snv 859 NE (Est 859 SE),LIMPIEZA</t>
  </si>
  <si>
    <t>3D56US</t>
  </si>
  <si>
    <t>PREPAR,CACHORRO,Snv 859 NE (Est 859 SE),SOSTENIMIENTO</t>
  </si>
  <si>
    <t>3D56UO</t>
  </si>
  <si>
    <t>PREPAR,CACHORRO,Snv 859 NE (Est 859 SE),SERVICIO</t>
  </si>
  <si>
    <t>1L56VP</t>
  </si>
  <si>
    <t>EXPLOR,ANDREA,Snv 980 NE (Cx 169 NE),PERFORACION</t>
  </si>
  <si>
    <t>1L56VV</t>
  </si>
  <si>
    <t>EXPLOR,ANDREA,Snv 980 NE (Cx 169 NE),VOLADURA</t>
  </si>
  <si>
    <t>1L56VL</t>
  </si>
  <si>
    <t>EXPLOR,ANDREA,Snv 980 NE (Cx 169 NE),LIMPIEZA</t>
  </si>
  <si>
    <t>1L56VS</t>
  </si>
  <si>
    <t>EXPLOR,ANDREA,Snv 980 NE (Cx 169 NE),SOSTENIMIENTO</t>
  </si>
  <si>
    <t>1L56VO</t>
  </si>
  <si>
    <t>EXPLOR,ANDREA,Snv 980 NE (Cx 169 NE),SERVICIO</t>
  </si>
  <si>
    <t>1D222P</t>
  </si>
  <si>
    <t>EXPLOR,CACHORRO,Gal 962 SE (Cx 444 NE),PERFORACION</t>
  </si>
  <si>
    <t>1D222V</t>
  </si>
  <si>
    <t>EXPLOR,CACHORRO,Gal 962 SE (Cx 444 NE),VOLADURA</t>
  </si>
  <si>
    <t>1D222L</t>
  </si>
  <si>
    <t>EXPLOR,CACHORRO,Gal 962 SE (Cx 444 NE),LIMPIEZA</t>
  </si>
  <si>
    <t>1D222S</t>
  </si>
  <si>
    <t>EXPLOR,CACHORRO,Gal 962 SE (Cx 444 NE),SOSTENIMIENTO</t>
  </si>
  <si>
    <t>1D222O</t>
  </si>
  <si>
    <t>EXPLOR,CACHORRO,Gal 962 SE (Cx 444 NE),SERVICIO</t>
  </si>
  <si>
    <t>1D223P</t>
  </si>
  <si>
    <t>EXPLOR,CACHORRO,Gal 962 NW (Cx 444 NE),PERFORACION</t>
  </si>
  <si>
    <t>1D223V</t>
  </si>
  <si>
    <t>EXPLOR,CACHORRO,Gal 962 NW (Cx 444 NE),VOLADURA</t>
  </si>
  <si>
    <t>1D223L</t>
  </si>
  <si>
    <t>EXPLOR,CACHORRO,Gal 962 NW (Cx 444 NE),LIMPIEZA</t>
  </si>
  <si>
    <t>1D223S</t>
  </si>
  <si>
    <t>EXPLOR,CACHORRO,Gal 962 NW (Cx 444 NE),SOSTENIMIENTO</t>
  </si>
  <si>
    <t>1D223O</t>
  </si>
  <si>
    <t>EXPLOR,CACHORRO,Gal 962 NW (Cx 444 NE),SERVICIO</t>
  </si>
  <si>
    <t>5L73FP</t>
  </si>
  <si>
    <t>EXPLOT,ANDREA,Tj 985 NE (Snv 985 SW),PERFORACION</t>
  </si>
  <si>
    <t>5L73FV</t>
  </si>
  <si>
    <t>EXPLOT,ANDREA,Tj 985 NE (Snv 985 SW),VOLADURA</t>
  </si>
  <si>
    <t>5L73FL</t>
  </si>
  <si>
    <t>EXPLOT,ANDREA,Tj 985 NE (Snv 985 SW),LIMPIEZA</t>
  </si>
  <si>
    <t>5L73FS</t>
  </si>
  <si>
    <t>EXPLOT,ANDREA,Tj 985 NE (Snv 985 SW),SOSTENIMIENTO</t>
  </si>
  <si>
    <t>5L73FO</t>
  </si>
  <si>
    <t>EXPLOT,ANDREA,Tj 985 NE (Snv 985 SW),SERVICIO</t>
  </si>
  <si>
    <t>5L73FR</t>
  </si>
  <si>
    <t>EXPLOT,ANDREA,Tj 985 NE (Snv 985 SW),RELLENO</t>
  </si>
  <si>
    <t>TIPO</t>
  </si>
  <si>
    <t>RMR</t>
  </si>
  <si>
    <t>CLASE</t>
  </si>
  <si>
    <t>S. ROTURA</t>
  </si>
  <si>
    <t>MATERIAL</t>
  </si>
  <si>
    <t>DENSIDAD</t>
  </si>
  <si>
    <t>HUMEDAD</t>
  </si>
  <si>
    <t>Fc</t>
  </si>
  <si>
    <t>ABR</t>
  </si>
  <si>
    <t>SECCION</t>
  </si>
  <si>
    <t>BASE_M</t>
  </si>
  <si>
    <t>ALTURA_M</t>
  </si>
  <si>
    <t>AREA_M2</t>
  </si>
  <si>
    <t>SEMANA</t>
  </si>
  <si>
    <t>FECHA_INI</t>
  </si>
  <si>
    <t>FECHA_FIN</t>
  </si>
  <si>
    <t>FIN_MES</t>
  </si>
  <si>
    <t>INI_MES</t>
  </si>
  <si>
    <t>CIERRE</t>
  </si>
  <si>
    <t>MES</t>
  </si>
  <si>
    <t>N_DIAS</t>
  </si>
  <si>
    <t>I</t>
  </si>
  <si>
    <t>81-100</t>
  </si>
  <si>
    <t>Muy buena</t>
  </si>
  <si>
    <t>MIN</t>
  </si>
  <si>
    <t>Cx</t>
  </si>
  <si>
    <t>CRUCERO</t>
  </si>
  <si>
    <t>7*8</t>
  </si>
  <si>
    <t>SEM-01</t>
  </si>
  <si>
    <t>ENERO</t>
  </si>
  <si>
    <t>II</t>
  </si>
  <si>
    <t>61-80</t>
  </si>
  <si>
    <t>Buena</t>
  </si>
  <si>
    <t>DES</t>
  </si>
  <si>
    <t>Gal</t>
  </si>
  <si>
    <t>GALERIA</t>
  </si>
  <si>
    <t>SEM-02</t>
  </si>
  <si>
    <t>FEBRERO</t>
  </si>
  <si>
    <t>III</t>
  </si>
  <si>
    <t>41-60</t>
  </si>
  <si>
    <t>Regular</t>
  </si>
  <si>
    <t>CONVERSION</t>
  </si>
  <si>
    <t>Ch</t>
  </si>
  <si>
    <t>CHIMENEA DOBLE</t>
  </si>
  <si>
    <t>8*4</t>
  </si>
  <si>
    <t>SEM-03</t>
  </si>
  <si>
    <t>MARZO</t>
  </si>
  <si>
    <t>IV</t>
  </si>
  <si>
    <t>21-40</t>
  </si>
  <si>
    <t>Mala</t>
  </si>
  <si>
    <t>CHIMENEA SIMPLE</t>
  </si>
  <si>
    <t>4*6</t>
  </si>
  <si>
    <t>SEM-04</t>
  </si>
  <si>
    <t>ABRIL</t>
  </si>
  <si>
    <t>V</t>
  </si>
  <si>
    <t>&lt;20</t>
  </si>
  <si>
    <t>Muy mala</t>
  </si>
  <si>
    <t>Pq</t>
  </si>
  <si>
    <t>PIQUE</t>
  </si>
  <si>
    <t>10*6</t>
  </si>
  <si>
    <t>SEM-05</t>
  </si>
  <si>
    <t>MAYO</t>
  </si>
  <si>
    <t>TIPO_SEMANA</t>
  </si>
  <si>
    <t>Snv</t>
  </si>
  <si>
    <t>SUBNIVEL</t>
  </si>
  <si>
    <t>SEM-06</t>
  </si>
  <si>
    <t>JUNIO</t>
  </si>
  <si>
    <t>BASE_P</t>
  </si>
  <si>
    <t>ALTURA_P</t>
  </si>
  <si>
    <t>INICIO</t>
  </si>
  <si>
    <t>Est</t>
  </si>
  <si>
    <t>ESTOCADA</t>
  </si>
  <si>
    <t>SEM-07</t>
  </si>
  <si>
    <t>JULIO</t>
  </si>
  <si>
    <t>4*4</t>
  </si>
  <si>
    <t>DURANTE</t>
  </si>
  <si>
    <t>Tj</t>
  </si>
  <si>
    <t>TAJO</t>
  </si>
  <si>
    <t>SEM-08</t>
  </si>
  <si>
    <t>AGOSTO</t>
  </si>
  <si>
    <t>FIN</t>
  </si>
  <si>
    <t>Cam</t>
  </si>
  <si>
    <t>CAMARA</t>
  </si>
  <si>
    <t>6*6</t>
  </si>
  <si>
    <t>SEM-09</t>
  </si>
  <si>
    <t>SETIEMBRE</t>
  </si>
  <si>
    <t>Ven</t>
  </si>
  <si>
    <t>VENTANA</t>
  </si>
  <si>
    <t>SEM-10</t>
  </si>
  <si>
    <t>OCTUBRE</t>
  </si>
  <si>
    <t>7*6</t>
  </si>
  <si>
    <t>T_ROTURA</t>
  </si>
  <si>
    <t>Bp</t>
  </si>
  <si>
    <t>BYPASS</t>
  </si>
  <si>
    <t>SEM-11</t>
  </si>
  <si>
    <t>NOVIEMBRE</t>
  </si>
  <si>
    <t>Hp</t>
  </si>
  <si>
    <t>HUECO DE PERRO</t>
  </si>
  <si>
    <t>SEM-12</t>
  </si>
  <si>
    <t>DICIEMBRE</t>
  </si>
  <si>
    <t>LINEAL</t>
  </si>
  <si>
    <t>Cor</t>
  </si>
  <si>
    <t>CORTADA</t>
  </si>
  <si>
    <t>SEM-13</t>
  </si>
  <si>
    <t>PALLAQUEO</t>
  </si>
  <si>
    <t>Inc</t>
  </si>
  <si>
    <t>INCLINADO</t>
  </si>
  <si>
    <t>SEM-14</t>
  </si>
  <si>
    <t>DESMONTE</t>
  </si>
  <si>
    <t>Pz</t>
  </si>
  <si>
    <t>POZA</t>
  </si>
  <si>
    <t>SEM-15</t>
  </si>
  <si>
    <t>SEM-16</t>
  </si>
  <si>
    <t>SEM-17</t>
  </si>
  <si>
    <t>EXPLOTACIÓN</t>
  </si>
  <si>
    <t>SEM-18</t>
  </si>
  <si>
    <t>EXPLORACIÓN</t>
  </si>
  <si>
    <t>SEM-19</t>
  </si>
  <si>
    <t>PREPARACIÓN</t>
  </si>
  <si>
    <t>SEM-20</t>
  </si>
  <si>
    <t>DESARROLLO</t>
  </si>
  <si>
    <t>SEM-21</t>
  </si>
  <si>
    <t>SEM-22</t>
  </si>
  <si>
    <t>PROGRAMA</t>
  </si>
  <si>
    <t>SEM-23</t>
  </si>
  <si>
    <t>PROG-ROTURA</t>
  </si>
  <si>
    <t>SEM-24</t>
  </si>
  <si>
    <t>NOPR-ROTURA</t>
  </si>
  <si>
    <t>SEM-25</t>
  </si>
  <si>
    <t>PROG-EXPLOR</t>
  </si>
  <si>
    <t>SEM-26</t>
  </si>
  <si>
    <t>NOPR-EXPLOR</t>
  </si>
  <si>
    <t>SEM-27</t>
  </si>
  <si>
    <t>PROG-PRE-DES</t>
  </si>
  <si>
    <t>SEM-28</t>
  </si>
  <si>
    <t>NOPR-PRE-DES</t>
  </si>
  <si>
    <t>SEM-29</t>
  </si>
  <si>
    <t>SEM-30</t>
  </si>
  <si>
    <t>SEM-31</t>
  </si>
  <si>
    <t>SEM-32</t>
  </si>
  <si>
    <t>SEM-33</t>
  </si>
  <si>
    <t>SEM-34</t>
  </si>
  <si>
    <t>SEM-35</t>
  </si>
  <si>
    <t>SEM-36</t>
  </si>
  <si>
    <t>SEM-37</t>
  </si>
  <si>
    <t>SEM-38</t>
  </si>
  <si>
    <t>SEM-39</t>
  </si>
  <si>
    <t>SEM-40</t>
  </si>
  <si>
    <t>SEM-41</t>
  </si>
  <si>
    <t>SEM-42</t>
  </si>
  <si>
    <t>CON PROGRAMA</t>
  </si>
  <si>
    <t>SEM-43</t>
  </si>
  <si>
    <t>SIN PROGRAMA</t>
  </si>
  <si>
    <t>SEM-44</t>
  </si>
  <si>
    <t>SEM-45</t>
  </si>
  <si>
    <t>SEM-46</t>
  </si>
  <si>
    <t>SEM-47</t>
  </si>
  <si>
    <t>SEM-48</t>
  </si>
  <si>
    <t>SEM-49</t>
  </si>
  <si>
    <t>SEM-50</t>
  </si>
  <si>
    <t>SEM-51</t>
  </si>
  <si>
    <t>SEM-52</t>
  </si>
  <si>
    <t>FECHA</t>
  </si>
  <si>
    <t>TURNO</t>
  </si>
  <si>
    <t>GUARDIA</t>
  </si>
  <si>
    <t>ACTIVIDAD</t>
  </si>
  <si>
    <t>TIPO LABOR</t>
  </si>
  <si>
    <t>NIVEL</t>
  </si>
  <si>
    <t>TIPO AVANCE</t>
  </si>
  <si>
    <t>CCOSTOS</t>
  </si>
  <si>
    <t>DNI</t>
  </si>
  <si>
    <t>DNI 2</t>
  </si>
  <si>
    <t>DNI 3</t>
  </si>
  <si>
    <t>DNI 4</t>
  </si>
  <si>
    <t>4TO HOMBRE</t>
  </si>
  <si>
    <t>HG</t>
  </si>
  <si>
    <t>LIMP</t>
  </si>
  <si>
    <t>PV</t>
  </si>
  <si>
    <t>STTO</t>
  </si>
  <si>
    <t>SERV</t>
  </si>
  <si>
    <t>TAREOS</t>
  </si>
  <si>
    <t>M o D</t>
  </si>
  <si>
    <t>PRINCIPAL TAREA</t>
  </si>
  <si>
    <t>AREA</t>
  </si>
  <si>
    <t>FAMILIA</t>
  </si>
  <si>
    <t>CODIGO</t>
  </si>
  <si>
    <t>SERIE</t>
  </si>
  <si>
    <t>ESTADO</t>
  </si>
  <si>
    <t>MINA</t>
  </si>
  <si>
    <t>MARTILLO NEUMATICO</t>
  </si>
  <si>
    <t>PS_04</t>
  </si>
  <si>
    <t>OPERATIVO</t>
  </si>
  <si>
    <t>PALA NEUMATICA P12A</t>
  </si>
  <si>
    <t>PN_01</t>
  </si>
  <si>
    <t>12-218 /6993 / P-12 / 01</t>
  </si>
  <si>
    <t>WINCHES DE ARRASTRE 10HP</t>
  </si>
  <si>
    <t>Wch_Artr_01</t>
  </si>
  <si>
    <t>10 HP</t>
  </si>
  <si>
    <t>PA_20</t>
  </si>
  <si>
    <t>MHN 027574</t>
  </si>
  <si>
    <t>PN_02</t>
  </si>
  <si>
    <t>NO SE NOTA</t>
  </si>
  <si>
    <t>WINCHES DE ARRASTRE 20 HP</t>
  </si>
  <si>
    <t>Wch_Artr_02</t>
  </si>
  <si>
    <t>20 HP NUEVO</t>
  </si>
  <si>
    <t>PA_30</t>
  </si>
  <si>
    <t>MHN155827</t>
  </si>
  <si>
    <t>PN_03</t>
  </si>
  <si>
    <t>12-455 / 9465 / P12A</t>
  </si>
  <si>
    <t>REPARACION</t>
  </si>
  <si>
    <t>WINCHES DE ARRASTRE 15 HP</t>
  </si>
  <si>
    <t>Wch_Artr_03</t>
  </si>
  <si>
    <t>PA_36</t>
  </si>
  <si>
    <t>PN_04</t>
  </si>
  <si>
    <t>12-701/9166/P-12A</t>
  </si>
  <si>
    <t>Wch_Artr_04</t>
  </si>
  <si>
    <t>RNP_01</t>
  </si>
  <si>
    <t>Wch_Artr_05</t>
  </si>
  <si>
    <t xml:space="preserve"> FF211-621-2016</t>
  </si>
  <si>
    <t>RNP_02</t>
  </si>
  <si>
    <t>RNE 393-25784</t>
  </si>
  <si>
    <t>Avance</t>
  </si>
  <si>
    <t>Día</t>
  </si>
  <si>
    <t>2 Voladura</t>
  </si>
  <si>
    <t>WINCHES DE IZAJE 6.6HP WI-02</t>
  </si>
  <si>
    <t>Wch_Izj_02</t>
  </si>
  <si>
    <t>No tiene placa</t>
  </si>
  <si>
    <t>RNP_03</t>
  </si>
  <si>
    <t>BN14K03003</t>
  </si>
  <si>
    <t>Realce</t>
  </si>
  <si>
    <t>Noche</t>
  </si>
  <si>
    <t>3 Limpieza</t>
  </si>
  <si>
    <t>WINCHES DE IZAJE 15HP WI-04</t>
  </si>
  <si>
    <t>Wch_Izj_04</t>
  </si>
  <si>
    <t>RNP_04</t>
  </si>
  <si>
    <t>BN14102112</t>
  </si>
  <si>
    <t>Breasting</t>
  </si>
  <si>
    <t>4 Sostenimiento</t>
  </si>
  <si>
    <t>WINCHES DE IZAJE 15HP WI-05</t>
  </si>
  <si>
    <t>Wch_Izj_05</t>
  </si>
  <si>
    <t>114 LF111E 2012</t>
  </si>
  <si>
    <t>RNP_05</t>
  </si>
  <si>
    <t>Recarga</t>
  </si>
  <si>
    <t>A</t>
  </si>
  <si>
    <t>5 Servicios</t>
  </si>
  <si>
    <t>RNP_06</t>
  </si>
  <si>
    <t>Reperforación</t>
  </si>
  <si>
    <t>B</t>
  </si>
  <si>
    <t>6 Rehabilitacion</t>
  </si>
  <si>
    <t>WINCHES DE IZAJE 20HP WI-06</t>
  </si>
  <si>
    <t>Wch_Izj_06</t>
  </si>
  <si>
    <t>119 LF 111E 2012</t>
  </si>
  <si>
    <t>PS_05</t>
  </si>
  <si>
    <t>GT 2077</t>
  </si>
  <si>
    <t>Desquinche</t>
  </si>
  <si>
    <t>C</t>
  </si>
  <si>
    <t>WINCHES DE IZAJE 20HP WI-07</t>
  </si>
  <si>
    <t>Wch_Izj_07</t>
  </si>
  <si>
    <t>117 LF 111E 2012</t>
  </si>
  <si>
    <t>PS_06</t>
  </si>
  <si>
    <t>GT 2115</t>
  </si>
  <si>
    <t>Relleno</t>
  </si>
  <si>
    <t>D</t>
  </si>
  <si>
    <t>WINCHES DE IZAJE 20HP WI-08</t>
  </si>
  <si>
    <t>Wch_Izj_08</t>
  </si>
  <si>
    <t>123 LF 111E 2013</t>
  </si>
  <si>
    <t>PS_07</t>
  </si>
  <si>
    <t>WINCHES DE IZAJE 40HP WI-09</t>
  </si>
  <si>
    <t>Wch_Izj_09</t>
  </si>
  <si>
    <t>40 HP</t>
  </si>
  <si>
    <t>PSS_01</t>
  </si>
  <si>
    <t>GT-1816</t>
  </si>
  <si>
    <t>WINCHE NEUMATICO</t>
  </si>
  <si>
    <t>Wch_Neu_02</t>
  </si>
  <si>
    <t>PERFORADORA NEUMATICA</t>
  </si>
  <si>
    <t>PT_03</t>
  </si>
  <si>
    <t>MHN078859</t>
  </si>
  <si>
    <t>Wch_Neu_03</t>
  </si>
  <si>
    <t>PT_04</t>
  </si>
  <si>
    <t>Wch_Artr_06</t>
  </si>
  <si>
    <t>PSECAN_01</t>
  </si>
  <si>
    <t>S250</t>
  </si>
  <si>
    <t>NUEVO</t>
  </si>
  <si>
    <t>PSECAN_02</t>
  </si>
  <si>
    <t>PSECAN_03</t>
  </si>
  <si>
    <t>RNP_07</t>
  </si>
  <si>
    <t>PRINCIPAL ACT</t>
  </si>
  <si>
    <t>DINAMITA EMULNOR 1000 1" X 7"</t>
  </si>
  <si>
    <t xml:space="preserve">DINAMITA PULVERULENTA 65 7/8" X 7 </t>
  </si>
  <si>
    <t>DINAMITA EMULNOR 3000 1" X 7"</t>
  </si>
  <si>
    <t>EXPLOSIVO</t>
  </si>
  <si>
    <t>PE</t>
  </si>
  <si>
    <t>BODEGUERO</t>
  </si>
  <si>
    <t>6A19</t>
  </si>
  <si>
    <t>6A1B</t>
  </si>
  <si>
    <t>SERVIC,INKA,MOTORISTAS,SERVICIOS</t>
  </si>
  <si>
    <t>SERVIC,CACHORRO,BODEGUERO,SERVICIOS</t>
  </si>
  <si>
    <t>SERVIC,INKA,HERRERIA,SERVICIOS</t>
  </si>
  <si>
    <t>SERVIC,INKA,CARRILANO,SERVICIOS</t>
  </si>
  <si>
    <t>TIPO_LABOR</t>
  </si>
  <si>
    <t>N° VALE</t>
  </si>
  <si>
    <t>N° DISP</t>
  </si>
  <si>
    <t>PERFORADORA</t>
  </si>
  <si>
    <t>BARRA</t>
  </si>
  <si>
    <t>N° TALADROS</t>
  </si>
  <si>
    <t>N° TAL. VACIOS</t>
  </si>
  <si>
    <t>N°  TOTAL TALADROS</t>
  </si>
  <si>
    <t>PULVERULENTA (N° CART.)</t>
  </si>
  <si>
    <t>MECHA RAPIDA Z18</t>
  </si>
  <si>
    <t>FULMINANTE N° 08</t>
  </si>
  <si>
    <t>CARMEX 7'</t>
  </si>
  <si>
    <t>MECHA DE SEGURIDAD</t>
  </si>
  <si>
    <t>CONECTOR P/ MECHA</t>
  </si>
  <si>
    <t>PIES PERF REALES</t>
  </si>
  <si>
    <t>KG EXPLO EMULN 1000</t>
  </si>
  <si>
    <t>KG EXPLO PULVE</t>
  </si>
  <si>
    <t>KG EXPLO EMULN 3000</t>
  </si>
  <si>
    <t>MINERAL (U-35)</t>
  </si>
  <si>
    <t>DESMONTE (U-35)</t>
  </si>
  <si>
    <t>MINERAL (TON)</t>
  </si>
  <si>
    <t>DESMONTE (TON)</t>
  </si>
  <si>
    <t>Cuadro en Gal y Cx</t>
  </si>
  <si>
    <t>Cuadro en Snv y Tj</t>
  </si>
  <si>
    <t>Cuadro en Ch</t>
  </si>
  <si>
    <t>Cuadro cojo en Gal / Cx / Inc y Ch</t>
  </si>
  <si>
    <t>Cuadro cojo en Snv y Tj</t>
  </si>
  <si>
    <t>Poste</t>
  </si>
  <si>
    <t>Tirante</t>
  </si>
  <si>
    <t>Puntal de seguridad</t>
  </si>
  <si>
    <t>Puntal en línea</t>
  </si>
  <si>
    <t>Puntal de caja</t>
  </si>
  <si>
    <t>Puntal de guardacabeza</t>
  </si>
  <si>
    <t>Puntal de avance</t>
  </si>
  <si>
    <t>Puntal de 5"</t>
  </si>
  <si>
    <t>Entablado</t>
  </si>
  <si>
    <t>Encribado</t>
  </si>
  <si>
    <t>Anillado</t>
  </si>
  <si>
    <t>Guardacabeza</t>
  </si>
  <si>
    <t>Embolillado</t>
  </si>
  <si>
    <t>Barrera</t>
  </si>
  <si>
    <t>Enrrejado</t>
  </si>
  <si>
    <t>Plataforma Winche</t>
  </si>
  <si>
    <t>Split Set 2'</t>
  </si>
  <si>
    <t>Split Set 4' S/P</t>
  </si>
  <si>
    <t>Split Set 4' C/P</t>
  </si>
  <si>
    <t>Split Set 6' S/P</t>
  </si>
  <si>
    <t>Split Set 6' C/P</t>
  </si>
  <si>
    <t>Malla electrosoldada</t>
  </si>
  <si>
    <t>Riel 30 lb/yd</t>
  </si>
  <si>
    <t>Escalera</t>
  </si>
  <si>
    <t>Descanso</t>
  </si>
  <si>
    <t>Durmiente</t>
  </si>
  <si>
    <t>Tolva americana en Snv y Tj</t>
  </si>
  <si>
    <t>Tolva colgante en Snv y Tj</t>
  </si>
  <si>
    <t>Taladros de servicio</t>
  </si>
  <si>
    <t>PUNTAL 4"</t>
  </si>
  <si>
    <t>PUNTAL 5"</t>
  </si>
  <si>
    <t>PUNTAL 6"</t>
  </si>
  <si>
    <t>PUNTAL 7"</t>
  </si>
  <si>
    <t>PUNTAL 8"</t>
  </si>
  <si>
    <t>TOTAL REDONDOS</t>
  </si>
  <si>
    <t>PUNTAL 7"_4m</t>
  </si>
  <si>
    <t>PUNTAL 8"_4m</t>
  </si>
  <si>
    <t>CANTONERA</t>
  </si>
  <si>
    <t>DURMIENTE2</t>
  </si>
  <si>
    <t>ESCALERA 4m</t>
  </si>
  <si>
    <t>LISTONES</t>
  </si>
  <si>
    <t>TABLA 1"x8"x3m</t>
  </si>
  <si>
    <t>TABLA 2"x8"x3m</t>
  </si>
  <si>
    <t>CAÑAS UND.</t>
  </si>
  <si>
    <t>KG. MADERA REDONDA</t>
  </si>
  <si>
    <t>PIE2 MADERA ASERRADA</t>
  </si>
  <si>
    <t>KG MADERA ASERRADA</t>
  </si>
  <si>
    <t>KG MADERA TOTAL</t>
  </si>
  <si>
    <t>COSTO MADERA</t>
  </si>
  <si>
    <t>PALA</t>
  </si>
  <si>
    <t>WINCHE</t>
  </si>
  <si>
    <t>HRS. PALA</t>
  </si>
  <si>
    <t>HRS. WINCHE</t>
  </si>
  <si>
    <t>EMULNOR 1000 (N° CART.)</t>
  </si>
  <si>
    <t>EMULNOR 3000 (N° CART.)</t>
  </si>
  <si>
    <t>5G73GP</t>
  </si>
  <si>
    <t>EXPLOT,MANUEL,Tj 015 NE (Snv 015 NE),PERFORACION</t>
  </si>
  <si>
    <t>5G73GV</t>
  </si>
  <si>
    <t>EXPLOT,MANUEL,Tj 015 NE (Snv 015 NE),VOLADURA</t>
  </si>
  <si>
    <t>5G73GL</t>
  </si>
  <si>
    <t>EXPLOT,MANUEL,Tj 015 NE (Snv 015 NE),LIMPIEZA</t>
  </si>
  <si>
    <t>5G73GS</t>
  </si>
  <si>
    <t>EXPLOT,MANUEL,Tj 015 NE (Snv 015 NE),SOSTENIMIENTO</t>
  </si>
  <si>
    <t>5G73GO</t>
  </si>
  <si>
    <t>EXPLOT,MANUEL,Tj 015 NE (Snv 015 NE),SERVICIO</t>
  </si>
  <si>
    <t>5G73GR</t>
  </si>
  <si>
    <t>EXPLOT,MANUEL,Tj 015 NE (Snv 015 NE),RELLENO</t>
  </si>
  <si>
    <t>3G56XP</t>
  </si>
  <si>
    <t>PREPAR,MANUEL,Snv 015 NE (Snv 010 NE),PERFORACION</t>
  </si>
  <si>
    <t>3G56XV</t>
  </si>
  <si>
    <t>PREPAR,MANUEL,Snv 015 NE (Snv 010 NE),VOLADURA</t>
  </si>
  <si>
    <t>3G56XL</t>
  </si>
  <si>
    <t>PREPAR,MANUEL,Snv 015 NE (Snv 010 NE),LIMPIEZA</t>
  </si>
  <si>
    <t>3G56XS</t>
  </si>
  <si>
    <t>PREPAR,MANUEL,Snv 015 NE (Snv 010 NE),SOSTENIMIENTO</t>
  </si>
  <si>
    <t>3G56XO</t>
  </si>
  <si>
    <t>PREPAR,MANUEL,Snv 015 NE (Snv 010 NE),SERVICIO</t>
  </si>
  <si>
    <t>3E32DP</t>
  </si>
  <si>
    <t>PREPAR,VANESSA,Ch  032 (Tj 020 NE),PERFORACION</t>
  </si>
  <si>
    <t>3E32DV</t>
  </si>
  <si>
    <t>PREPAR,VANESSA,Ch  032 (Tj 020 NE),VOLADURA</t>
  </si>
  <si>
    <t>3E32DL</t>
  </si>
  <si>
    <t>PREPAR,VANESSA,Ch  032 (Tj 020 NE),LIMPIEZA</t>
  </si>
  <si>
    <t>3E32DS</t>
  </si>
  <si>
    <t>PREPAR,VANESSA,Ch  032 (Tj 020 NE),SOSTENIMIENTO</t>
  </si>
  <si>
    <t>3E32DO</t>
  </si>
  <si>
    <t>PREPAR,VANESSA,Ch  032 (Tj 020 NE),SERVICIO</t>
  </si>
  <si>
    <t>3L32EP</t>
  </si>
  <si>
    <t>PREPAR,ANDREA,Ch 079 (Cx 199 NE),PERFORACION</t>
  </si>
  <si>
    <t>3L32EV</t>
  </si>
  <si>
    <t>PREPAR,ANDREA,Ch 079 (Cx 199 NE),VOLADURA</t>
  </si>
  <si>
    <t>3L32EL</t>
  </si>
  <si>
    <t>PREPAR,ANDREA,Ch 079 (Cx 199 NE),LIMPIEZA</t>
  </si>
  <si>
    <t>3L32ES</t>
  </si>
  <si>
    <t>PREPAR,ANDREA,Ch 079 (Cx 199 NE),SOSTENIMIENTO</t>
  </si>
  <si>
    <t>3L32EO</t>
  </si>
  <si>
    <t>PREPAR,ANDREA,Ch 079 (Cx 199 NE),SERVICIO</t>
  </si>
  <si>
    <t>1D32FP</t>
  </si>
  <si>
    <t>EXPLOR,CACHORRO,Ch 972 (Gal 962 NE),PERFORACION</t>
  </si>
  <si>
    <t>1D32FV</t>
  </si>
  <si>
    <t>EXPLOR,CACHORRO,Ch 972 (Gal 962 NE),VOLADURA</t>
  </si>
  <si>
    <t>1D32FL</t>
  </si>
  <si>
    <t>EXPLOR,CACHORRO,Ch 972 (Gal 962 NE),LIMPIEZA</t>
  </si>
  <si>
    <t>1D32FS</t>
  </si>
  <si>
    <t>EXPLOR,CACHORRO,Ch 972 (Gal 962 NE),SOSTENIMIENTO</t>
  </si>
  <si>
    <t>1D32FO</t>
  </si>
  <si>
    <t>EXPLOR,CACHORRO,Ch 972 (Gal 962 NE),SERVICIO</t>
  </si>
  <si>
    <t>3G56YP</t>
  </si>
  <si>
    <t>PREPAR,MANUEL,Snv 947 NE (Cx 128 NE),PERFORACION</t>
  </si>
  <si>
    <t>3G56YV</t>
  </si>
  <si>
    <t>PREPAR,MANUEL,Snv 947 NE (Cx 128 NE),VOLADURA</t>
  </si>
  <si>
    <t>3G56YL</t>
  </si>
  <si>
    <t>PREPAR,MANUEL,Snv 947 NE (Cx 128 NE),LIMPIEZA</t>
  </si>
  <si>
    <t>3G56YS</t>
  </si>
  <si>
    <t>PREPAR,MANUEL,Snv 947 NE (Cx 128 NE),SOSTENIMIENTO</t>
  </si>
  <si>
    <t>3G56YO</t>
  </si>
  <si>
    <t>PREPAR,MANUEL,Snv 947 NE (Cx 128 NE),SERVICIO</t>
  </si>
  <si>
    <t>3L56ZP</t>
  </si>
  <si>
    <t>PREPAR,ANDREA,Snv 989 NE (Tj 985 NE),PERFORACION</t>
  </si>
  <si>
    <t>3L56ZV</t>
  </si>
  <si>
    <t>PREPAR,ANDREA,Snv 989 NE (Tj 985 NE),VOLADURA</t>
  </si>
  <si>
    <t>3L56ZL</t>
  </si>
  <si>
    <t>PREPAR,ANDREA,Snv 989 NE (Tj 985 NE),LIMPIEZA</t>
  </si>
  <si>
    <t>3L56ZS</t>
  </si>
  <si>
    <t>PREPAR,ANDREA,Snv 989 NE (Tj 985 NE),SOSTENIMIENTO</t>
  </si>
  <si>
    <t>3L56ZO</t>
  </si>
  <si>
    <t>PREPAR,ANDREA,Snv 989 NE (Tj 985 NE),SERVICIO</t>
  </si>
  <si>
    <t>1D57AP</t>
  </si>
  <si>
    <t>EXPLOR,CACHORRO,Snv 968 NW (Ch 972),PERFORACION</t>
  </si>
  <si>
    <t>1D57AV</t>
  </si>
  <si>
    <t>EXPLOR,CACHORRO,Snv 968 NW (Ch 972),VOLADURA</t>
  </si>
  <si>
    <t>1D57AL</t>
  </si>
  <si>
    <t>EXPLOR,CACHORRO,Snv 968 NW (Ch 972),LIMPIEZA</t>
  </si>
  <si>
    <t>1D57AS</t>
  </si>
  <si>
    <t>EXPLOR,CACHORRO,Snv 968 NW (Ch 972),SOSTENIMIENTO</t>
  </si>
  <si>
    <t>1D57AO</t>
  </si>
  <si>
    <t>EXPLOR,CACHORRO,Snv 968 NW (Ch 972),SERVICIO</t>
  </si>
  <si>
    <t>1D57BP</t>
  </si>
  <si>
    <t>EXPLOR,CACHORRO,Snv 968 SE (Ch 972),PERFORACION</t>
  </si>
  <si>
    <t>1D57BV</t>
  </si>
  <si>
    <t>EXPLOR,CACHORRO,Snv 968 SE (Ch 972),VOLADURA</t>
  </si>
  <si>
    <t>1D57BL</t>
  </si>
  <si>
    <t>EXPLOR,CACHORRO,Snv 968 SE (Ch 972),LIMPIEZA</t>
  </si>
  <si>
    <t>1D57BS</t>
  </si>
  <si>
    <t>EXPLOR,CACHORRO,Snv 968 SE (Ch 972),SOSTENIMIENTO</t>
  </si>
  <si>
    <t>1D57BO</t>
  </si>
  <si>
    <t>EXPLOR,CACHORRO,Snv 968 SE (Ch 972),SERVICIO</t>
  </si>
  <si>
    <t>5D73HP</t>
  </si>
  <si>
    <t>EXPLOT,CACHORRO,Tj 949 SW (Snv 949 SW),PERFORACION</t>
  </si>
  <si>
    <t>5D73HV</t>
  </si>
  <si>
    <t>EXPLOT,CACHORRO,Tj 949 SW (Snv 949 SW),VOLADURA</t>
  </si>
  <si>
    <t>5D73HL</t>
  </si>
  <si>
    <t>EXPLOT,CACHORRO,Tj 949 SW (Snv 949 SW),LIMPIEZA</t>
  </si>
  <si>
    <t>5D73HS</t>
  </si>
  <si>
    <t>EXPLOT,CACHORRO,Tj 949 SW (Snv 949 SW),SOSTENIMIENTO</t>
  </si>
  <si>
    <t>5D73HO</t>
  </si>
  <si>
    <t>EXPLOT,CACHORRO,Tj 949 SW (Snv 949 SW),SERVICIO</t>
  </si>
  <si>
    <t>5D73HR</t>
  </si>
  <si>
    <t>EXPLOT,CACHORRO,Tj 949 SW (Snv 949 SW),RELLENO</t>
  </si>
  <si>
    <t>1D57CP</t>
  </si>
  <si>
    <t>EXPLOR,CACHORRO,Snv 969 SW (Ch 929),PERFORACION</t>
  </si>
  <si>
    <t>1D57CV</t>
  </si>
  <si>
    <t>EXPLOR,CACHORRO,Snv 969 SW (Ch 929),VOLADURA</t>
  </si>
  <si>
    <t>1D57CL</t>
  </si>
  <si>
    <t>EXPLOR,CACHORRO,Snv 969 SW (Ch 929),LIMPIEZA</t>
  </si>
  <si>
    <t>1D57CS</t>
  </si>
  <si>
    <t>EXPLOR,CACHORRO,Snv 969 SW (Ch 929),SOSTENIMIENTO</t>
  </si>
  <si>
    <t>1D57CO</t>
  </si>
  <si>
    <t>EXPLOR,CACHORRO,Snv 969 SW (Ch 929),SERVICIO</t>
  </si>
  <si>
    <t>1L6100P</t>
  </si>
  <si>
    <t>EXPLOR,ANDREA,Est 888 SE (Snv 172 SW),PERFORACION</t>
  </si>
  <si>
    <t>1L6100V</t>
  </si>
  <si>
    <t>EXPLOR,ANDREA,Est 888 SE (Snv 172 SW),VOLADURA</t>
  </si>
  <si>
    <t>1L6100L</t>
  </si>
  <si>
    <t>EXPLOR,ANDREA,Est 888 SE (Snv 172 SW),LIMPIEZA</t>
  </si>
  <si>
    <t>1L6100S</t>
  </si>
  <si>
    <t>EXPLOR,ANDREA,Est 888 SE (Snv 172 SW),SOSTENIMIENTO</t>
  </si>
  <si>
    <t>1L6100O</t>
  </si>
  <si>
    <t>EXPLOR,ANDREA,Est 888 SE (Snv 172 SW),SERVICIO</t>
  </si>
  <si>
    <t>ANCHO LABOR</t>
  </si>
  <si>
    <t>L2/Altura</t>
  </si>
  <si>
    <t>AVANCE TEÓRICO</t>
  </si>
  <si>
    <t>LONG. CORTE</t>
  </si>
  <si>
    <t>AV*LC</t>
  </si>
  <si>
    <t>ROTURA TMH TEORICO</t>
  </si>
  <si>
    <t>ROTURA TMH</t>
  </si>
  <si>
    <t>ROTURA (m3)</t>
  </si>
  <si>
    <t>AVANCE (m)</t>
  </si>
  <si>
    <t>KG EXPLO TOTAL</t>
  </si>
  <si>
    <t>1L57DP</t>
  </si>
  <si>
    <t>EXPLOR,ANDREA,Snv 979 SW (Tj 985 NE),PERFORACION</t>
  </si>
  <si>
    <t>1L57DV</t>
  </si>
  <si>
    <t>EXPLOR,ANDREA,Snv 979 SW (Tj 985 NE),VOLADURA</t>
  </si>
  <si>
    <t>1L57DL</t>
  </si>
  <si>
    <t>EXPLOR,ANDREA,Snv 979 SW (Tj 985 NE),LIMPIEZA</t>
  </si>
  <si>
    <t>1L57DS</t>
  </si>
  <si>
    <t>EXPLOR,ANDREA,Snv 979 SW (Tj 985 NE),SOSTENIMIENTO</t>
  </si>
  <si>
    <t>1L57DO</t>
  </si>
  <si>
    <t>EXPLOR,ANDREA,Snv 979 SW (Tj 985 NE),SERVICIO</t>
  </si>
  <si>
    <t>M</t>
  </si>
  <si>
    <t>Inc 822 NE (Est 912 SE)</t>
  </si>
  <si>
    <t>Inc 863 SE (Est 075-4 SE)</t>
  </si>
  <si>
    <t>Pq 075 (Cx 075 SW)</t>
  </si>
  <si>
    <t>MOTORISTAS</t>
  </si>
  <si>
    <t>SEMIGELATINA (N° CART.)</t>
  </si>
  <si>
    <t>KG EXPLO SEMIGEL</t>
  </si>
  <si>
    <t>Split Set 5' S/P</t>
  </si>
  <si>
    <t>Split Set 5' C/P</t>
  </si>
  <si>
    <t>ABREV</t>
  </si>
  <si>
    <t xml:space="preserve">PRODUC,ESPERANZA, TJ 610 NE,DESQUINCHE           </t>
  </si>
  <si>
    <t xml:space="preserve">PRODUC, ESPERANZA, TJ 610 NE, ENMADERADO           </t>
  </si>
  <si>
    <t xml:space="preserve">PRODUC, ESPERANZA, TJ 610 NE, SERVICIOS            </t>
  </si>
  <si>
    <t xml:space="preserve">PRODUC, ESPERANZA, TJ 610 NE, LIMPIEZA             </t>
  </si>
  <si>
    <t xml:space="preserve">PRODUC, ESPERANZA, TJ 610 NE, EXTRACCION           </t>
  </si>
  <si>
    <t xml:space="preserve">PRODUC, ESPERANZA, TJ 610 NE, SPLIT SET            </t>
  </si>
  <si>
    <t xml:space="preserve">PRODUC, ESPERANZA, TJ 610 NE, SPLIT CON MALLA      </t>
  </si>
  <si>
    <t xml:space="preserve">PRODUC, ESPERANZA, TJ 610 NE, IZAJE Y DESCENSO W   </t>
  </si>
  <si>
    <t xml:space="preserve">PRODUC, ESPERANZA, TJ 610 NE, PERFORACION          </t>
  </si>
  <si>
    <t xml:space="preserve">PRODUC, ESPERANZA, TJ 070 CH 105, DESQUINCHE       </t>
  </si>
  <si>
    <t xml:space="preserve">PRODUC, ESPERANZA, TJ 070 CH 105, ENMADERADO       </t>
  </si>
  <si>
    <t xml:space="preserve">PRODUC, ESPERANZA, TJ 070 CH 105, LIMPIEZA         </t>
  </si>
  <si>
    <t xml:space="preserve">PRODUC, ESPERANZA, TJ 070 CH 105, SERVICIOS        </t>
  </si>
  <si>
    <t xml:space="preserve">PRODUC, ESPERANZA, TJ 070 CH 105, EXTRACCION       </t>
  </si>
  <si>
    <t xml:space="preserve">PRODUC, ESPERANZA, TJ 070 CH 105, SPLIT SET        </t>
  </si>
  <si>
    <t xml:space="preserve">PRODUC, ESPERANZA, TJ 070 CH 105, SPLIT CON MALLA  </t>
  </si>
  <si>
    <t xml:space="preserve">PRODUC, ESPERANZA, TJ 070 CH 105, IZAJE Y DESCENSO </t>
  </si>
  <si>
    <t xml:space="preserve">PRODUC, ESPERANZA, TJ 070 CH 105, PERFORACION      </t>
  </si>
  <si>
    <t xml:space="preserve">PRODUC, ESPERANZA, TJ 610 NE, VOLADURA             </t>
  </si>
  <si>
    <t xml:space="preserve">PRODUC, ESPERANZA, TJ 610 NE, CAMINOS              </t>
  </si>
  <si>
    <t xml:space="preserve">PRODUC, ESPERANZA, TJ 610 NE, INST.DE RIELES       </t>
  </si>
  <si>
    <t xml:space="preserve">PRODUC, ESPERANZA, TJ 610 NE, CICLO COMPLETO       </t>
  </si>
  <si>
    <t xml:space="preserve">PRODUC, ESPERANZA, TJ 610 NE, REHAB DE LABORES     </t>
  </si>
  <si>
    <t xml:space="preserve">PRODUC, ESPERANZA, TJ 070 CH 105, VOLADURA         </t>
  </si>
  <si>
    <t xml:space="preserve">PRODUC, ESPERANZA, TJ 070 CH 105, CAMINOS          </t>
  </si>
  <si>
    <t xml:space="preserve">PRODUC, ESPERANZA, TJ 070 CH 105, INST.DE RIELES   </t>
  </si>
  <si>
    <t xml:space="preserve">PRODUC, ESPERANZA, TJ 070 CH 105, REHAB DE LABORES </t>
  </si>
  <si>
    <t xml:space="preserve">PRODUC, ESPERANZA, TJ 070 CH 105, CICLO COMPLETO   </t>
  </si>
  <si>
    <t>1L61BP</t>
  </si>
  <si>
    <t>EXPLOR,ANDREA,Est 998 SW (Est 224 SW),PERFORACION</t>
  </si>
  <si>
    <t>1L61BV</t>
  </si>
  <si>
    <t>EXPLOR,ANDREA,Est 998 SW (Est 224 SW),VOLADURA</t>
  </si>
  <si>
    <t>1L61BL</t>
  </si>
  <si>
    <t>EXPLOR,ANDREA,Est 998 SW (Est 224 SW),LIMPIEZA</t>
  </si>
  <si>
    <t>1L61BS</t>
  </si>
  <si>
    <t>EXPLOR,ANDREA,Est 998 SW (Est 224 SW),SOSTENIMIENTO</t>
  </si>
  <si>
    <t>1L61BO</t>
  </si>
  <si>
    <t>EXPLOR,ANDREA,Est 998 SW (Est 224 SW),SERVICIO</t>
  </si>
  <si>
    <t>1E61CP</t>
  </si>
  <si>
    <t>EXPLOR,VANESSA,Est 872 SW (Inc 863 SE),PERFORACION</t>
  </si>
  <si>
    <t>1E61CV</t>
  </si>
  <si>
    <t>EXPLOR,VANESSA,Est 872 SW (Inc 863 SE),VOLADURA</t>
  </si>
  <si>
    <t>1E61CL</t>
  </si>
  <si>
    <t>EXPLOR,VANESSA,Est 872 SW (Inc 863 SE),LIMPIEZA</t>
  </si>
  <si>
    <t>1E61CS</t>
  </si>
  <si>
    <t>EXPLOR,VANESSA,Est 872 SW (Inc 863 SE),SOSTENIMIENTO</t>
  </si>
  <si>
    <t>1E61CO</t>
  </si>
  <si>
    <t>EXPLOR,VANESSA,Est 872 SW (Inc 863 SE),SERVICIO</t>
  </si>
  <si>
    <t>1E61DP</t>
  </si>
  <si>
    <t>EXPLOR,VANESSA,Est 867 SW (Inc 863 SE),PERFORACION</t>
  </si>
  <si>
    <t>1E61DV</t>
  </si>
  <si>
    <t>EXPLOR,VANESSA,Est 867 SW (Inc 863 SE),VOLADURA</t>
  </si>
  <si>
    <t>1E61DL</t>
  </si>
  <si>
    <t>EXPLOR,VANESSA,Est 867 SW (Inc 863 SE),LIMPIEZA</t>
  </si>
  <si>
    <t>1E61DS</t>
  </si>
  <si>
    <t>EXPLOR,VANESSA,Est 867 SW (Inc 863 SE),SOSTENIMIENTO</t>
  </si>
  <si>
    <t>1E61DO</t>
  </si>
  <si>
    <t>EXPLOR,VANESSA,Est 867 SW (Inc 863 SE),SERVICIO</t>
  </si>
  <si>
    <t>1L57EP</t>
  </si>
  <si>
    <t>EXPLOR,ANDREA,Snv 998 SW (Est 998 SW),PERFORACION</t>
  </si>
  <si>
    <t>1L57EV</t>
  </si>
  <si>
    <t>EXPLOR,ANDREA,Snv 998 SW (Est 998 SW),VOLADURA</t>
  </si>
  <si>
    <t>1L57EL</t>
  </si>
  <si>
    <t>EXPLOR,ANDREA,Snv 998 SW (Est 998 SW),LIMPIEZA</t>
  </si>
  <si>
    <t>1L57ES</t>
  </si>
  <si>
    <t>EXPLOR,ANDREA,Snv 998 SW (Est 998 SW),SOSTENIMIENTO</t>
  </si>
  <si>
    <t>1L57EO</t>
  </si>
  <si>
    <t>EXPLOR,ANDREA,Snv 998 SW (Est 998 SW),SERVICIO</t>
  </si>
  <si>
    <t>2DP05P</t>
  </si>
  <si>
    <t>DESARR,CACHORRO,Pz 943 (Snv 885 SW),PERFORACION</t>
  </si>
  <si>
    <t>2DP05V</t>
  </si>
  <si>
    <t>DESARR,CACHORRO,Pz 943 (Snv 885 SW),VOLADURA</t>
  </si>
  <si>
    <t>2DP05L</t>
  </si>
  <si>
    <t>DESARR,CACHORRO,Pz 943 (Snv 885 SW),LIMPIEZA</t>
  </si>
  <si>
    <t>2DP05S</t>
  </si>
  <si>
    <t>DESARR,CACHORRO,Pz 943 (Snv 885 SW),SOSTENIMIENTO</t>
  </si>
  <si>
    <t>2DP05O</t>
  </si>
  <si>
    <t>DESARR,CACHORRO,Pz 943 (Snv 885 SW),SERVICIO</t>
  </si>
  <si>
    <t>2E414P</t>
  </si>
  <si>
    <t>DESARR,VANESSA,Pq 877 (Snv 030 NE) ,PERFORACION</t>
  </si>
  <si>
    <t>2E414V</t>
  </si>
  <si>
    <t>DESARR,VANESSA,Pq 877 (Snv 030 NE) ,VOLADURA</t>
  </si>
  <si>
    <t>2E414L</t>
  </si>
  <si>
    <t>DESARR,VANESSA,Pq 877 (Snv 030 NE) ,LIMPIEZA</t>
  </si>
  <si>
    <t>2E414S</t>
  </si>
  <si>
    <t>DESARR,VANESSA,Pq 877 (Snv 030 NE) ,SOSTENIMIENTO</t>
  </si>
  <si>
    <t>2E414O</t>
  </si>
  <si>
    <t>DESARR,VANESSA,Pq 877 (Snv 030 NE) ,SERVICIO</t>
  </si>
  <si>
    <t>1D61EP</t>
  </si>
  <si>
    <t>EXPLOR,CACHORRO,Est 954 SE (Inc 822 NE),PERFORACION</t>
  </si>
  <si>
    <t>1D61EV</t>
  </si>
  <si>
    <t>EXPLOR,CACHORRO,Est 954 SE (Inc 822 NE),VOLADURA</t>
  </si>
  <si>
    <t>1D61EL</t>
  </si>
  <si>
    <t>EXPLOR,CACHORRO,Est 954 SE (Inc 822 NE),LIMPIEZA</t>
  </si>
  <si>
    <t>1D61ES</t>
  </si>
  <si>
    <t>EXPLOR,CACHORRO,Est 954 SE (Inc 822 NE),SOSTENIMIENTO</t>
  </si>
  <si>
    <t>1D61EO</t>
  </si>
  <si>
    <t>EXPLOR,CACHORRO,Est 954 SE (Inc 822 NE),SERVICIO</t>
  </si>
  <si>
    <t>1E61FP</t>
  </si>
  <si>
    <t>EXPLOR,VANESSA,Est 868 SW (Inc 863 SE) ,PERFORACION</t>
  </si>
  <si>
    <t>1E61FV</t>
  </si>
  <si>
    <t>EXPLOR,VANESSA,Est 868 SW (Inc 863 SE) ,VOLADURA</t>
  </si>
  <si>
    <t>1E61FL</t>
  </si>
  <si>
    <t>EXPLOR,VANESSA,Est 868 SW (Inc 863 SE) ,LIMPIEZA</t>
  </si>
  <si>
    <t>1E61FS</t>
  </si>
  <si>
    <t>EXPLOR,VANESSA,Est 868 SW (Inc 863 SE) ,SOSTENIMIENTO</t>
  </si>
  <si>
    <t>1E61FO</t>
  </si>
  <si>
    <t>EXPLOR,VANESSA,Est 868 SW (Inc 863 SE) ,SERVICIO</t>
  </si>
  <si>
    <t>3L61GP</t>
  </si>
  <si>
    <t>PREPAR,ANDREA,Est 994 SW (Tj 985 NE) ,PERFORACION</t>
  </si>
  <si>
    <t>3L61GV</t>
  </si>
  <si>
    <t>PREPAR,ANDREA,Est 994 SW (Tj 985 NE) ,VOLADURA</t>
  </si>
  <si>
    <t>3L61GL</t>
  </si>
  <si>
    <t>PREPAR,ANDREA,Est 994 SW (Tj 985 NE) ,LIMPIEZA</t>
  </si>
  <si>
    <t>3L61GS</t>
  </si>
  <si>
    <t>PREPAR,ANDREA,Est 994 SW (Tj 985 NE) ,SOSTENIMIENTO</t>
  </si>
  <si>
    <t>3L61GO</t>
  </si>
  <si>
    <t>PREPAR,ANDREA,Est 994 SW (Tj 985 NE) ,SERVICIO</t>
  </si>
  <si>
    <t>1L32GP</t>
  </si>
  <si>
    <t>EXPLOR,ANDREA,Ch 953 (Tj 938 NE),PERFORACION</t>
  </si>
  <si>
    <t>1L32GV</t>
  </si>
  <si>
    <t>EXPLOR,ANDREA,Ch 953 (Tj 938 NE),VOLADURA</t>
  </si>
  <si>
    <t>1L32GL</t>
  </si>
  <si>
    <t>EXPLOR,ANDREA,Ch 953 (Tj 938 NE),LIMPIEZA</t>
  </si>
  <si>
    <t>1L32GS</t>
  </si>
  <si>
    <t>EXPLOR,ANDREA,Ch 953 (Tj 938 NE),SOSTENIMIENTO</t>
  </si>
  <si>
    <t>1L32GO</t>
  </si>
  <si>
    <t>EXPLOR,ANDREA,Ch 953 (Tj 938 NE),SERVICIO</t>
  </si>
  <si>
    <t>3D57FP</t>
  </si>
  <si>
    <t>PREPAR,CACHORRO,Snv  865 SW (Est 945 SE),PERFORACION</t>
  </si>
  <si>
    <t>3D57FV</t>
  </si>
  <si>
    <t>PREPAR,CACHORRO,Snv  865 SW (Est 945 SE),VOLADURA</t>
  </si>
  <si>
    <t>3D57FL</t>
  </si>
  <si>
    <t>PREPAR,CACHORRO,Snv  865 SW (Est 945 SE),LIMPIEZA</t>
  </si>
  <si>
    <t>3D57FS</t>
  </si>
  <si>
    <t>PREPAR,CACHORRO,Snv  865 SW (Est 945 SE),SOSTENIMIENTO</t>
  </si>
  <si>
    <t>3D57FO</t>
  </si>
  <si>
    <t>PREPAR,CACHORRO,Snv  865 SW (Est 945 SE),SERVICIO</t>
  </si>
  <si>
    <t>1D61HP</t>
  </si>
  <si>
    <t>EXPLOR,CACHORRO,Est 966 S (Inc 822 NE),PERFORACION</t>
  </si>
  <si>
    <t>1D61HV</t>
  </si>
  <si>
    <t>EXPLOR,CACHORRO,Est 966 S (Inc 822 NE),VOLADURA</t>
  </si>
  <si>
    <t>1D61HL</t>
  </si>
  <si>
    <t>EXPLOR,CACHORRO,Est 966 S (Inc 822 NE),LIMPIEZA</t>
  </si>
  <si>
    <t>1D61HS</t>
  </si>
  <si>
    <t>EXPLOR,CACHORRO,Est 966 S (Inc 822 NE),SOSTENIMIENTO</t>
  </si>
  <si>
    <t>1D61HO</t>
  </si>
  <si>
    <t>EXPLOR,CACHORRO,Est 966 S (Inc 822 NE),SERVICIO</t>
  </si>
  <si>
    <t>1E61IP</t>
  </si>
  <si>
    <t>EXPLOR,VANESSA,Est 816 SE (Snv 030 SW),PERFORACION</t>
  </si>
  <si>
    <t>1E61IV</t>
  </si>
  <si>
    <t>EXPLOR,VANESSA,Est 816 SE (Snv 030 SW),VOLADURA</t>
  </si>
  <si>
    <t>1E61IL</t>
  </si>
  <si>
    <t>EXPLOR,VANESSA,Est 816 SE (Snv 030 SW),LIMPIEZA</t>
  </si>
  <si>
    <t>1E61IS</t>
  </si>
  <si>
    <t>EXPLOR,VANESSA,Est 816 SE (Snv 030 SW),SOSTENIMIENTO</t>
  </si>
  <si>
    <t>1E61IO</t>
  </si>
  <si>
    <t>EXPLOR,VANESSA,Est 816 SE (Snv 030 SW),SERVICIO</t>
  </si>
  <si>
    <t>1D57GP</t>
  </si>
  <si>
    <t>EXPLOR,CACHORRO,Snv  865 SW (Est 966 S),PERFORACION</t>
  </si>
  <si>
    <t>1D57GV</t>
  </si>
  <si>
    <t>EXPLOR,CACHORRO,Snv  865 SW (Est 966 S),VOLADURA</t>
  </si>
  <si>
    <t>1D57GL</t>
  </si>
  <si>
    <t>EXPLOR,CACHORRO,Snv  865 SW (Est 966 S),LIMPIEZA</t>
  </si>
  <si>
    <t>1D57GS</t>
  </si>
  <si>
    <t>EXPLOR,CACHORRO,Snv  865 SW (Est 966 S),SOSTENIMIENTO</t>
  </si>
  <si>
    <t>1D57GO</t>
  </si>
  <si>
    <t>EXPLOR,CACHORRO,Snv  865 SW (Est 966 S),SERVICIO</t>
  </si>
  <si>
    <t>1D57HP</t>
  </si>
  <si>
    <t>EXPLOR,CACHORRO,Snv  865 NE (Est 966 S),PERFORACION</t>
  </si>
  <si>
    <t>1D57HV</t>
  </si>
  <si>
    <t>EXPLOR,CACHORRO,Snv  865 NE (Est 966 S),VOLADURA</t>
  </si>
  <si>
    <t>1D57HL</t>
  </si>
  <si>
    <t>EXPLOR,CACHORRO,Snv  865 NE (Est 966 S),LIMPIEZA</t>
  </si>
  <si>
    <t>1D57HS</t>
  </si>
  <si>
    <t>EXPLOR,CACHORRO,Snv  865 NE (Est 966 S),SOSTENIMIENTO</t>
  </si>
  <si>
    <t>1D57HO</t>
  </si>
  <si>
    <t>EXPLOR,CACHORRO,Snv  865 NE (Est 966 S),SERVICIO</t>
  </si>
  <si>
    <t>2E61JP</t>
  </si>
  <si>
    <t>DESARR,VANESSA,Est 869 SW (Inc 863 SE),PERFORACION</t>
  </si>
  <si>
    <t>2E61JV</t>
  </si>
  <si>
    <t>DESARR,VANESSA,Est 869 SW (Inc 863 SE),VOLADURA</t>
  </si>
  <si>
    <t>2E61JL</t>
  </si>
  <si>
    <t>DESARR,VANESSA,Est 869 SW (Inc 863 SE),LIMPIEZA</t>
  </si>
  <si>
    <t>2E61JS</t>
  </si>
  <si>
    <t>DESARR,VANESSA,Est 869 SW (Inc 863 SE),SOSTENIMIENTO</t>
  </si>
  <si>
    <t>2E61JO</t>
  </si>
  <si>
    <t>DESARR,VANESSA,Est 869 SW (Inc 863 SE),SERVICIO</t>
  </si>
  <si>
    <t>Etiquetas de fila</t>
  </si>
  <si>
    <t>Total general</t>
  </si>
  <si>
    <t>Suma de Escalera</t>
  </si>
  <si>
    <t xml:space="preserve"> Cuadro en Snv y Tj</t>
  </si>
  <si>
    <t xml:space="preserve"> Cuadro en Ch</t>
  </si>
  <si>
    <t xml:space="preserve"> Cuadro cojo en Gal / Cx / Inc y Ch</t>
  </si>
  <si>
    <t xml:space="preserve"> Cuadro cojo en Snv y Tj</t>
  </si>
  <si>
    <t xml:space="preserve"> Tirante</t>
  </si>
  <si>
    <t xml:space="preserve"> Poste</t>
  </si>
  <si>
    <t xml:space="preserve"> Puntal de seguridad</t>
  </si>
  <si>
    <t xml:space="preserve"> Puntal en línea</t>
  </si>
  <si>
    <t xml:space="preserve"> Puntal de caja</t>
  </si>
  <si>
    <t xml:space="preserve"> Puntal de guardacabeza</t>
  </si>
  <si>
    <t xml:space="preserve"> Puntal de avance</t>
  </si>
  <si>
    <t xml:space="preserve"> Puntal de 5"</t>
  </si>
  <si>
    <t xml:space="preserve"> Entablado</t>
  </si>
  <si>
    <t xml:space="preserve"> Encribado</t>
  </si>
  <si>
    <t xml:space="preserve"> Anillado</t>
  </si>
  <si>
    <t xml:space="preserve"> Guardacabeza</t>
  </si>
  <si>
    <t xml:space="preserve"> Embolillado</t>
  </si>
  <si>
    <t xml:space="preserve"> Barrera</t>
  </si>
  <si>
    <t xml:space="preserve"> Enrrejado</t>
  </si>
  <si>
    <t xml:space="preserve"> Plataforma Winche</t>
  </si>
  <si>
    <t xml:space="preserve"> Split Set 2'</t>
  </si>
  <si>
    <t xml:space="preserve"> Split Set 4' S/P</t>
  </si>
  <si>
    <t xml:space="preserve"> Split Set 4' C/P</t>
  </si>
  <si>
    <t xml:space="preserve"> Split Set 5' S/P</t>
  </si>
  <si>
    <t xml:space="preserve"> Split Set 5' C/P</t>
  </si>
  <si>
    <t xml:space="preserve"> Split Set 6' S/P</t>
  </si>
  <si>
    <t xml:space="preserve"> Split Set 6' C/P</t>
  </si>
  <si>
    <t xml:space="preserve"> Malla electrosoldada</t>
  </si>
  <si>
    <t xml:space="preserve"> Riel 30 lb/yd</t>
  </si>
  <si>
    <t xml:space="preserve"> Descanso</t>
  </si>
  <si>
    <t xml:space="preserve"> Durmiente</t>
  </si>
  <si>
    <t xml:space="preserve"> Tolva americana en Snv y Tj</t>
  </si>
  <si>
    <t xml:space="preserve"> Tolva colgante en Snv y Tj</t>
  </si>
  <si>
    <t>1D61KP</t>
  </si>
  <si>
    <t>EXPLOR,CACHORRO,Est 966 N (Inc 822 SE),PERFORACION</t>
  </si>
  <si>
    <t>1D61KV</t>
  </si>
  <si>
    <t>EXPLOR,CACHORRO,Est 966 N (Inc 822 SE),VOLADURA</t>
  </si>
  <si>
    <t>1D61KL</t>
  </si>
  <si>
    <t>EXPLOR,CACHORRO,Est 966 N (Inc 822 SE),LIMPIEZA</t>
  </si>
  <si>
    <t>1D61KS</t>
  </si>
  <si>
    <t>EXPLOR,CACHORRO,Est 966 N (Inc 822 SE),SOSTENIMIENTO</t>
  </si>
  <si>
    <t>1D61KO</t>
  </si>
  <si>
    <t>EXPLOR,CACHORRO,Est 966 N (Inc 822 SE),SERVICIO</t>
  </si>
  <si>
    <t>1L32HP</t>
  </si>
  <si>
    <t>EXPLOR,ANDREA,Ch 980 (Tj 985 NE),PERFORACION</t>
  </si>
  <si>
    <t>1L32HV</t>
  </si>
  <si>
    <t>EXPLOR,ANDREA,Ch 980 (Tj 985 NE),VOLADURA</t>
  </si>
  <si>
    <t>1L32HL</t>
  </si>
  <si>
    <t>EXPLOR,ANDREA,Ch 980 (Tj 985 NE),LIMPIEZA</t>
  </si>
  <si>
    <t>1L32HS</t>
  </si>
  <si>
    <t>EXPLOR,ANDREA,Ch 980 (Tj 985 NE),SOSTENIMIENTO</t>
  </si>
  <si>
    <t>1L32HO</t>
  </si>
  <si>
    <t>EXPLOR,ANDREA,Ch 980 (Tj 985 NE),SERVICIO</t>
  </si>
  <si>
    <t>1L32IP</t>
  </si>
  <si>
    <t>EXPLOR,ANDREA,Ch 993 (Tj 985 NE),PERFORACION</t>
  </si>
  <si>
    <t>1L32IV</t>
  </si>
  <si>
    <t>EXPLOR,ANDREA,Ch 993 (Tj 985 NE),VOLADURA</t>
  </si>
  <si>
    <t>1L32IL</t>
  </si>
  <si>
    <t>EXPLOR,ANDREA,Ch 993 (Tj 985 NE),LIMPIEZA</t>
  </si>
  <si>
    <t>1L32IS</t>
  </si>
  <si>
    <t>EXPLOR,ANDREA,Ch 993 (Tj 985 NE),SOSTENIMIENTO</t>
  </si>
  <si>
    <t>1L32IO</t>
  </si>
  <si>
    <t>EXPLOR,ANDREA,Ch 993 (Tj 985 NE),SERVICIO</t>
  </si>
  <si>
    <t>1L32JP</t>
  </si>
  <si>
    <t>EXPLOR,ANDREA,Ch 936 (Tj 938 SW),PERFORACION</t>
  </si>
  <si>
    <t>1L32JV</t>
  </si>
  <si>
    <t>EXPLOR,ANDREA,Ch 936 (Tj 938 SW),VOLADURA</t>
  </si>
  <si>
    <t>1L32JL</t>
  </si>
  <si>
    <t>EXPLOR,ANDREA,Ch 936 (Tj 938 SW),LIMPIEZA</t>
  </si>
  <si>
    <t>1L32JS</t>
  </si>
  <si>
    <t>EXPLOR,ANDREA,Ch 936 (Tj 938 SW),SOSTENIMIENTO</t>
  </si>
  <si>
    <t>1L32JO</t>
  </si>
  <si>
    <t>EXPLOR,ANDREA,Ch 936 (Tj 938 SW),SERVICIO</t>
  </si>
  <si>
    <t>1L32KP</t>
  </si>
  <si>
    <t>EXPLOR,ANDREA,Ch 960 (Tj 938 NE),PERFORACION</t>
  </si>
  <si>
    <t>1L32KV</t>
  </si>
  <si>
    <t>EXPLOR,ANDREA,Ch 960 (Tj 938 NE),VOLADURA</t>
  </si>
  <si>
    <t>1L32KL</t>
  </si>
  <si>
    <t>EXPLOR,ANDREA,Ch 960 (Tj 938 NE),LIMPIEZA</t>
  </si>
  <si>
    <t>1L32KS</t>
  </si>
  <si>
    <t>EXPLOR,ANDREA,Ch 960 (Tj 938 NE),SOSTENIMIENTO</t>
  </si>
  <si>
    <t>1L32KO</t>
  </si>
  <si>
    <t>EXPLOR,ANDREA,Ch 960 (Tj 938 NE),SERVICIO</t>
  </si>
  <si>
    <t>2EP06P</t>
  </si>
  <si>
    <t>DESARR,VANESSA,Pz 872 (Est 872 SW) ,PERFORACION</t>
  </si>
  <si>
    <t>2EP06V</t>
  </si>
  <si>
    <t>DESARR,VANESSA,Pz 872 (Est 872 SW) ,VOLADURA</t>
  </si>
  <si>
    <t>2EP06L</t>
  </si>
  <si>
    <t>DESARR,VANESSA,Pz 872 (Est 872 SW) ,LIMPIEZA</t>
  </si>
  <si>
    <t>2EP06S</t>
  </si>
  <si>
    <t>DESARR,VANESSA,Pz 872 (Est 872 SW) ,SOSTENIMIENTO</t>
  </si>
  <si>
    <t>2EP06O</t>
  </si>
  <si>
    <t>DESARR,VANESSA,Pz 872 (Est 872 SW) ,SERVICIO</t>
  </si>
  <si>
    <t>1D32LP</t>
  </si>
  <si>
    <t>EXPLOR,CACHORRO,Ch 909 (Est 905 SE) ,PERFORACION</t>
  </si>
  <si>
    <t>1D32LV</t>
  </si>
  <si>
    <t>EXPLOR,CACHORRO,Ch 909 (Est 905 SE) ,VOLADURA</t>
  </si>
  <si>
    <t>1D32LL</t>
  </si>
  <si>
    <t>EXPLOR,CACHORRO,Ch 909 (Est 905 SE) ,LIMPIEZA</t>
  </si>
  <si>
    <t>1D32LS</t>
  </si>
  <si>
    <t>EXPLOR,CACHORRO,Ch 909 (Est 905 SE) ,SOSTENIMIENTO</t>
  </si>
  <si>
    <t>1D32LO</t>
  </si>
  <si>
    <t>EXPLOR,CACHORRO,Ch 909 (Est 905 SE) ,SERVICIO</t>
  </si>
  <si>
    <t>5E61LP</t>
  </si>
  <si>
    <t>EXPLOT,VANESSA,Est 804 NE (Snv 829 SW) ,PERFORACION</t>
  </si>
  <si>
    <t>5E61LV</t>
  </si>
  <si>
    <t>EXPLOT,VANESSA,Est 804 NE (Snv 829 SW) ,VOLADURA</t>
  </si>
  <si>
    <t>5E61LL</t>
  </si>
  <si>
    <t>EXPLOT,VANESSA,Est 804 NE (Snv 829 SW) ,LIMPIEZA</t>
  </si>
  <si>
    <t>5E61LS</t>
  </si>
  <si>
    <t>EXPLOT,VANESSA,Est 804 NE (Snv 829 SW) ,SOSTENIMIENTO</t>
  </si>
  <si>
    <t>5E61LO</t>
  </si>
  <si>
    <t>EXPLOT,VANESSA,Est 804 NE (Snv 829 SW) ,SERVICIO</t>
  </si>
  <si>
    <t>1D61MP</t>
  </si>
  <si>
    <t>EXPLOR,CACHORRO,Est 907 NW (Ch 909),PERFORACION</t>
  </si>
  <si>
    <t>1D61MV</t>
  </si>
  <si>
    <t>EXPLOR,CACHORRO,Est 907 NW (Ch 909),VOLADURA</t>
  </si>
  <si>
    <t>1D61ML</t>
  </si>
  <si>
    <t>EXPLOR,CACHORRO,Est 907 NW (Ch 909),LIMPIEZA</t>
  </si>
  <si>
    <t>1D61MS</t>
  </si>
  <si>
    <t>EXPLOR,CACHORRO,Est 907 NW (Ch 909),SOSTENIMIENTO</t>
  </si>
  <si>
    <t>1D61MO</t>
  </si>
  <si>
    <t>EXPLOR,CACHORRO,Est 907 NW (Ch 909),SERVICIO</t>
  </si>
  <si>
    <t>1D61NP</t>
  </si>
  <si>
    <t>EXPLOR,CACHORRO,Est 907 SE (Ch 909),PERFORACION</t>
  </si>
  <si>
    <t>1D61NV</t>
  </si>
  <si>
    <t>EXPLOR,CACHORRO,Est 907 SE (Ch 909),VOLADURA</t>
  </si>
  <si>
    <t>1D61NL</t>
  </si>
  <si>
    <t>EXPLOR,CACHORRO,Est 907 SE (Ch 909),LIMPIEZA</t>
  </si>
  <si>
    <t>1D61NS</t>
  </si>
  <si>
    <t>EXPLOR,CACHORRO,Est 907 SE (Ch 909),SOSTENIMIENTO</t>
  </si>
  <si>
    <t>1D61NO</t>
  </si>
  <si>
    <t>EXPLOR,CACHORRO,Est 907 SE (Ch 909),SERVICIO</t>
  </si>
  <si>
    <t>1E61OP</t>
  </si>
  <si>
    <t>EXPLOR,VANESSA, Est 854 NW (Snv 070 SW) ,PERFORACION</t>
  </si>
  <si>
    <t>1E61OV</t>
  </si>
  <si>
    <t>EXPLOR,VANESSA, Est 854 NW (Snv 070 SW) ,VOLADURA</t>
  </si>
  <si>
    <t>1E61OL</t>
  </si>
  <si>
    <t>EXPLOR,VANESSA, Est 854 NW (Snv 070 SW) ,LIMPIEZA</t>
  </si>
  <si>
    <t>1E61OS</t>
  </si>
  <si>
    <t>EXPLOR,VANESSA, Est 854 NW (Snv 070 SW) ,SOSTENIMIENTO</t>
  </si>
  <si>
    <t>1E61OO</t>
  </si>
  <si>
    <t>EXPLOR,VANESSA, Est 854 NW (Snv 070 SW) ,SERVICIO</t>
  </si>
  <si>
    <t>1E57IP</t>
  </si>
  <si>
    <t>EXPLOR,VANESSA,Snv 836 SW (Est 854 NW),PERFORACION</t>
  </si>
  <si>
    <t>1E57IV</t>
  </si>
  <si>
    <t>EXPLOR,VANESSA,Snv 836 SW (Est 854 NW),VOLADURA</t>
  </si>
  <si>
    <t>1E57IL</t>
  </si>
  <si>
    <t>EXPLOR,VANESSA,Snv 836 SW (Est 854 NW),LIMPIEZA</t>
  </si>
  <si>
    <t>1E57IS</t>
  </si>
  <si>
    <t>EXPLOR,VANESSA,Snv 836 SW (Est 854 NW),SOSTENIMIENTO</t>
  </si>
  <si>
    <t>1E57IO</t>
  </si>
  <si>
    <t>EXPLOR,VANESSA,Snv 836 SW (Est 854 NW),SERVICIO</t>
  </si>
  <si>
    <t>1E57JP</t>
  </si>
  <si>
    <t>EXPLOR,VANESSA,Snv 836 NE (Est 854 NW),PERFORACION</t>
  </si>
  <si>
    <t>1E57JV</t>
  </si>
  <si>
    <t>EXPLOR,VANESSA,Snv 836 NE (Est 854 NW),VOLADURA</t>
  </si>
  <si>
    <t>1E57JL</t>
  </si>
  <si>
    <t>EXPLOR,VANESSA,Snv 836 NE (Est 854 NW),LIMPIEZA</t>
  </si>
  <si>
    <t>1E57JS</t>
  </si>
  <si>
    <t>EXPLOR,VANESSA,Snv 836 NE (Est 854 NW),SOSTENIMIENTO</t>
  </si>
  <si>
    <t>1E57JO</t>
  </si>
  <si>
    <t>EXPLOR,VANESSA,Snv 836 NE (Est 854 NW),SERVICIO</t>
  </si>
  <si>
    <t>Cuenta de Cuadro en Gal y Cx2</t>
  </si>
  <si>
    <t>Cuenta de Cuadro en Gal y Cx</t>
  </si>
  <si>
    <t>1E57KP</t>
  </si>
  <si>
    <t>EXPLOR,VANESSA,Snv 883 SW (Est 877 SE),PERFORACION</t>
  </si>
  <si>
    <t>1E57KV</t>
  </si>
  <si>
    <t>EXPLOR,VANESSA,Snv 883 SW (Est 877 SE),VOLADURA</t>
  </si>
  <si>
    <t>1E57KL</t>
  </si>
  <si>
    <t>EXPLOR,VANESSA,Snv 883 SW (Est 877 SE),LIMPIEZA</t>
  </si>
  <si>
    <t>1E57KS</t>
  </si>
  <si>
    <t>EXPLOR,VANESSA,Snv 883 SW (Est 877 SE),SOSTENIMIENTO</t>
  </si>
  <si>
    <t>1E57KO</t>
  </si>
  <si>
    <t>EXPLOR,VANESSA,Snv 883 SW (Est 877 SE),SERVICIO</t>
  </si>
  <si>
    <t>1E57LP</t>
  </si>
  <si>
    <t>EXPLOR,VANESSA,Snv 883 NE (Est 877 SE),PERFORACION</t>
  </si>
  <si>
    <t>1E57LV</t>
  </si>
  <si>
    <t>EXPLOR,VANESSA,Snv 883 NE (Est 877 SE),VOLADURA</t>
  </si>
  <si>
    <t>1E57LL</t>
  </si>
  <si>
    <t>EXPLOR,VANESSA,Snv 883 NE (Est 877 SE),LIMPIEZA</t>
  </si>
  <si>
    <t>1E57LS</t>
  </si>
  <si>
    <t>EXPLOR,VANESSA,Snv 883 NE (Est 877 SE),SOSTENIMIENTO</t>
  </si>
  <si>
    <t>1E57LO</t>
  </si>
  <si>
    <t>EXPLOR,VANESSA,Snv 883 NE (Est 877 SE),SERVICIO</t>
  </si>
  <si>
    <t>1E61PP</t>
  </si>
  <si>
    <t>EXPLOR,VANESSA,Est 877 SE (Est 873 NE),PERFORACION</t>
  </si>
  <si>
    <t>1E61PV</t>
  </si>
  <si>
    <t>EXPLOR,VANESSA,Est 877 SE (Est 873 NE),VOLADURA</t>
  </si>
  <si>
    <t>1E61PL</t>
  </si>
  <si>
    <t>EXPLOR,VANESSA,Est 877 SE (Est 873 NE),LIMPIEZA</t>
  </si>
  <si>
    <t>1E61PS</t>
  </si>
  <si>
    <t>EXPLOR,VANESSA,Est 877 SE (Est 873 NE),SOSTENIMIENTO</t>
  </si>
  <si>
    <t>1E61PO</t>
  </si>
  <si>
    <t>EXPLOR,VANESSA,Est 877 SE (Est 873 NE),SERVICIO</t>
  </si>
  <si>
    <t>1E61QP</t>
  </si>
  <si>
    <t>EXPLOR,VANESSA,Est 877 NW (Est 873 NE),PERFORACION</t>
  </si>
  <si>
    <t>1E61QV</t>
  </si>
  <si>
    <t>EXPLOR,VANESSA,Est 877 NW (Est 873 NE),VOLADURA</t>
  </si>
  <si>
    <t>1E61QL</t>
  </si>
  <si>
    <t>EXPLOR,VANESSA,Est 877 NW (Est 873 NE),LIMPIEZA</t>
  </si>
  <si>
    <t>1E61QS</t>
  </si>
  <si>
    <t>EXPLOR,VANESSA,Est 877 NW (Est 873 NE),SOSTENIMIENTO</t>
  </si>
  <si>
    <t>1E61QO</t>
  </si>
  <si>
    <t>EXPLOR,VANESSA,Est 877 NW (Est 873 NE),SERVICIO</t>
  </si>
  <si>
    <t>1E61RP</t>
  </si>
  <si>
    <t>EXPLOR,VANESSA,Est 873 NE (Inc 863 SE),PERFORACION</t>
  </si>
  <si>
    <t>1E61RV</t>
  </si>
  <si>
    <t>EXPLOR,VANESSA,Est 873 NE (Inc 863 SE),VOLADURA</t>
  </si>
  <si>
    <t>1E61RL</t>
  </si>
  <si>
    <t>EXPLOR,VANESSA,Est 873 NE (Inc 863 SE),LIMPIEZA</t>
  </si>
  <si>
    <t>1E61RS</t>
  </si>
  <si>
    <t>EXPLOR,VANESSA,Est 873 NE (Inc 863 SE),SOSTENIMIENTO</t>
  </si>
  <si>
    <t>1E61RO</t>
  </si>
  <si>
    <t>EXPLOR,VANESSA,Est 873 NE (Inc 863 SE),SERVICIO</t>
  </si>
  <si>
    <t>1E57MP</t>
  </si>
  <si>
    <t>EXPLOR,VANESSA,Snv 820 NE (Est 820 SE),PERFORACION</t>
  </si>
  <si>
    <t>1E57MV</t>
  </si>
  <si>
    <t>EXPLOR,VANESSA,Snv 820 NE (Est 820 SE),VOLADURA</t>
  </si>
  <si>
    <t>1E57ML</t>
  </si>
  <si>
    <t>EXPLOR,VANESSA,Snv 820 NE (Est 820 SE),LIMPIEZA</t>
  </si>
  <si>
    <t>1E57MS</t>
  </si>
  <si>
    <t>EXPLOR,VANESSA,Snv 820 NE (Est 820 SE),SOSTENIMIENTO</t>
  </si>
  <si>
    <t>1E57MO</t>
  </si>
  <si>
    <t>EXPLOR,VANESSA,Snv 820 NE (Est 820 SE),SERVICIO</t>
  </si>
  <si>
    <t>1E57NP</t>
  </si>
  <si>
    <t>EXPLOR,VANESSA,Snv 820 SW (Est 820 SE),PERFORACION</t>
  </si>
  <si>
    <t>1E57NV</t>
  </si>
  <si>
    <t>EXPLOR,VANESSA,Snv 820 SW (Est 820 SE),VOLADURA</t>
  </si>
  <si>
    <t>1E57NL</t>
  </si>
  <si>
    <t>EXPLOR,VANESSA,Snv 820 SW (Est 820 SE),LIMPIEZA</t>
  </si>
  <si>
    <t>1E57NS</t>
  </si>
  <si>
    <t>EXPLOR,VANESSA,Snv 820 SW (Est 820 SE),SOSTENIMIENTO</t>
  </si>
  <si>
    <t>1E57NO</t>
  </si>
  <si>
    <t>EXPLOR,VANESSA,Snv 820 SW (Est 820 SE),SERVICIO</t>
  </si>
  <si>
    <t>1E61SP</t>
  </si>
  <si>
    <t>1E61SV</t>
  </si>
  <si>
    <t>1E61SL</t>
  </si>
  <si>
    <t>1E61SS</t>
  </si>
  <si>
    <t>1E61SO</t>
  </si>
  <si>
    <t>1E61TP</t>
  </si>
  <si>
    <t>EXPLOR,VANESSA,Est 820 SE (Ch 044),PERFORACION</t>
  </si>
  <si>
    <t>1E61TV</t>
  </si>
  <si>
    <t>EXPLOR,VANESSA,Est 820 SE (Ch 044),VOLADURA</t>
  </si>
  <si>
    <t>1E61TL</t>
  </si>
  <si>
    <t>EXPLOR,VANESSA,Est 820 SE (Ch 044),LIMPIEZA</t>
  </si>
  <si>
    <t>1E61TS</t>
  </si>
  <si>
    <t>EXPLOR,VANESSA,Est 820 SE (Ch 044),SOSTENIMIENTO</t>
  </si>
  <si>
    <t>1E61TO</t>
  </si>
  <si>
    <t>EXPLOR,VANESSA,Est 820 SE (Ch 044),SERVICIO</t>
  </si>
  <si>
    <t>1E32MP</t>
  </si>
  <si>
    <t>EXPLOR,VANESSA,Ch 044 (Cam 021),PERFORACION</t>
  </si>
  <si>
    <t>1E32MV</t>
  </si>
  <si>
    <t>EXPLOR,VANESSA,Ch 044 (Cam 021),VOLADURA</t>
  </si>
  <si>
    <t>1E32ML</t>
  </si>
  <si>
    <t>EXPLOR,VANESSA,Ch 044 (Cam 021),LIMPIEZA</t>
  </si>
  <si>
    <t>1E32MS</t>
  </si>
  <si>
    <t>EXPLOR,VANESSA,Ch 044 (Cam 021),SOSTENIMIENTO</t>
  </si>
  <si>
    <t>1E32MO</t>
  </si>
  <si>
    <t>EXPLOR,VANESSA,Ch 044 (Cam 021),SERVICIO</t>
  </si>
  <si>
    <t xml:space="preserve">DINAMITA SEMIGELATINA 65 7/8" X 7 </t>
  </si>
  <si>
    <t>1E57OP</t>
  </si>
  <si>
    <t>EXPLOR,VANESSA,Snv 876 NE (Est 877 NW),PERFORACION</t>
  </si>
  <si>
    <t>1E57OV</t>
  </si>
  <si>
    <t>EXPLOR,VANESSA,Snv 876 NE (Est 877 NW),VOLADURA</t>
  </si>
  <si>
    <t>1E57OL</t>
  </si>
  <si>
    <t>EXPLOR,VANESSA,Snv 876 NE (Est 877 NW),LIMPIEZA</t>
  </si>
  <si>
    <t>1E57OS</t>
  </si>
  <si>
    <t>EXPLOR,VANESSA,Snv 876 NE (Est 877 NW),SOSTENIMIENTO</t>
  </si>
  <si>
    <t>1E57OO</t>
  </si>
  <si>
    <t>EXPLOR,VANESSA,Snv 876 NE (Est 877 NW),SERVICIO</t>
  </si>
  <si>
    <t>1D61UP</t>
  </si>
  <si>
    <t>EXPLOR,CACHORRO,Est 928 NW (Snv 865 SW),PERFORACION</t>
  </si>
  <si>
    <t>1D61UV</t>
  </si>
  <si>
    <t>EXPLOR,CACHORRO,Est 928 NW (Snv 865 SW),VOLADURA</t>
  </si>
  <si>
    <t>1D61UL</t>
  </si>
  <si>
    <t>EXPLOR,CACHORRO,Est 928 NW (Snv 865 SW),LIMPIEZA</t>
  </si>
  <si>
    <t>1D61US</t>
  </si>
  <si>
    <t>EXPLOR,CACHORRO,Est 928 NW (Snv 865 SW),SOSTENIMIENTO</t>
  </si>
  <si>
    <t>1D61UO</t>
  </si>
  <si>
    <t>EXPLOR,CACHORRO,Est 928 NW (Snv 865 SW),SERVICIO</t>
  </si>
  <si>
    <t>3E57PP</t>
  </si>
  <si>
    <t>PREPAR,VANESSA,Snv 820 SW (Ch 044) ,PERFORACION</t>
  </si>
  <si>
    <t>3E57PV</t>
  </si>
  <si>
    <t>PREPAR,VANESSA,Snv 820 SW (Ch 044) ,VOLADURA</t>
  </si>
  <si>
    <t>3E57PL</t>
  </si>
  <si>
    <t>PREPAR,VANESSA,Snv 820 SW (Ch 044) ,LIMPIEZA</t>
  </si>
  <si>
    <t>3E57PS</t>
  </si>
  <si>
    <t>PREPAR,VANESSA,Snv 820 SW (Ch 044) ,SOSTENIMIENTO</t>
  </si>
  <si>
    <t>3E57PO</t>
  </si>
  <si>
    <t>PREPAR,VANESSA,Snv 820 SW (Ch 044) ,SERVICIO</t>
  </si>
  <si>
    <t>3E57QP</t>
  </si>
  <si>
    <t>PREPAR,VANESSA,Snv 820 NE (Ch 044),PERFORACION</t>
  </si>
  <si>
    <t>3E57QV</t>
  </si>
  <si>
    <t>PREPAR,VANESSA,Snv 820 NE (Ch 044),VOLADURA</t>
  </si>
  <si>
    <t>3E57QL</t>
  </si>
  <si>
    <t>PREPAR,VANESSA,Snv 820 NE (Ch 044),LIMPIEZA</t>
  </si>
  <si>
    <t>3E57QS</t>
  </si>
  <si>
    <t>PREPAR,VANESSA,Snv 820 NE (Ch 044),SOSTENIMIENTO</t>
  </si>
  <si>
    <t>3E57QO</t>
  </si>
  <si>
    <t>PREPAR,VANESSA,Snv 820 NE (Ch 044),SERVICIO</t>
  </si>
  <si>
    <t>1D57RP</t>
  </si>
  <si>
    <t>EXPLOR,CACHORRO,Snv 962 SW (Est 966 N),PERFORACION</t>
  </si>
  <si>
    <t>1D57RV</t>
  </si>
  <si>
    <t>EXPLOR,CACHORRO,Snv 962 SW (Est 966 N),VOLADURA</t>
  </si>
  <si>
    <t>1D57RL</t>
  </si>
  <si>
    <t>EXPLOR,CACHORRO,Snv 962 SW (Est 966 N),LIMPIEZA</t>
  </si>
  <si>
    <t>1D57RS</t>
  </si>
  <si>
    <t>EXPLOR,CACHORRO,Snv 962 SW (Est 966 N),SOSTENIMIENTO</t>
  </si>
  <si>
    <t>1D57RO</t>
  </si>
  <si>
    <t>EXPLOR,CACHORRO,Snv 962 SW (Est 966 N),SERVICIO</t>
  </si>
  <si>
    <t>1D57SP</t>
  </si>
  <si>
    <t>EXPLOR,CACHORRO,Snv 962 NE (Est 966 N),PERFORACION</t>
  </si>
  <si>
    <t>1D57SV</t>
  </si>
  <si>
    <t>EXPLOR,CACHORRO,Snv 962 NE (Est 966 N),VOLADURA</t>
  </si>
  <si>
    <t>1D57SL</t>
  </si>
  <si>
    <t>EXPLOR,CACHORRO,Snv 962 NE (Est 966 N),LIMPIEZA</t>
  </si>
  <si>
    <t>1D57SS</t>
  </si>
  <si>
    <t>EXPLOR,CACHORRO,Snv 962 NE (Est 966 N),SOSTENIMIENTO</t>
  </si>
  <si>
    <t>1D57SO</t>
  </si>
  <si>
    <t>EXPLOR,CACHORRO,Snv 962 NE (Est 966 N),SERVICIO</t>
  </si>
  <si>
    <t>1D57TP</t>
  </si>
  <si>
    <t>EXPLOR,CACHORRO,Snv 962 SE (Est 966 N),PERFORACION</t>
  </si>
  <si>
    <t>1D57TV</t>
  </si>
  <si>
    <t>EXPLOR,CACHORRO,Snv 962 SE (Est 966 N),VOLADURA</t>
  </si>
  <si>
    <t>1D57TL</t>
  </si>
  <si>
    <t>EXPLOR,CACHORRO,Snv 962 SE (Est 966 N),LIMPIEZA</t>
  </si>
  <si>
    <t>1D57TS</t>
  </si>
  <si>
    <t>EXPLOR,CACHORRO,Snv 962 SE (Est 966 N),SOSTENIMIENTO</t>
  </si>
  <si>
    <t>1D57TO</t>
  </si>
  <si>
    <t>EXPLOR,CACHORRO,Snv 962 SE (Est 966 N),SERVICIO</t>
  </si>
  <si>
    <t>1D57UP</t>
  </si>
  <si>
    <t>EXPLOR,CACHORRO,Snv 962 NW (Est 966 N),PERFORACION</t>
  </si>
  <si>
    <t>1D57UV</t>
  </si>
  <si>
    <t>EXPLOR,CACHORRO,Snv 962 NW (Est 966 N),VOLADURA</t>
  </si>
  <si>
    <t>1D57UL</t>
  </si>
  <si>
    <t>EXPLOR,CACHORRO,Snv 962 NW (Est 966 N),LIMPIEZA</t>
  </si>
  <si>
    <t>1D57US</t>
  </si>
  <si>
    <t>EXPLOR,CACHORRO,Snv 962 NW (Est 966 N),SOSTENIMIENTO</t>
  </si>
  <si>
    <t>1D57UO</t>
  </si>
  <si>
    <t>EXPLOR,CACHORRO,Snv 962 NW (Est 966 N),SERVICIO</t>
  </si>
  <si>
    <t>Pq 122 (Snv 102 SW)</t>
  </si>
  <si>
    <t>1N57VP</t>
  </si>
  <si>
    <t>EXPLOR,ESCONDIDA,Snv 898 NE (Est 873 NE) ,PERFORACION</t>
  </si>
  <si>
    <t>1N57VV</t>
  </si>
  <si>
    <t>EXPLOR,ESCONDIDA,Snv 898 NE (Est 873 NE) ,VOLADURA</t>
  </si>
  <si>
    <t>1N57VL</t>
  </si>
  <si>
    <t>EXPLOR,ESCONDIDA,Snv 898 NE (Est 873 NE) ,LIMPIEZA</t>
  </si>
  <si>
    <t>1N57VS</t>
  </si>
  <si>
    <t>EXPLOR,ESCONDIDA,Snv 898 NE (Est 873 NE) ,SOSTENIMIENTO</t>
  </si>
  <si>
    <t>1N57VO</t>
  </si>
  <si>
    <t>EXPLOR,ESCONDIDA,Snv 898 NE (Est 873 NE) ,SERVICIO</t>
  </si>
  <si>
    <t>Cuadro en Pq y Inc y Est</t>
  </si>
  <si>
    <t>1D32NP</t>
  </si>
  <si>
    <t>EXPLOR,CACHORRO,Ch 914 (Snv 865 SW) ,PERFORACION</t>
  </si>
  <si>
    <t>1D32NV</t>
  </si>
  <si>
    <t>EXPLOR,CACHORRO,Ch 914 (Snv 865 SW) ,VOLADURA</t>
  </si>
  <si>
    <t>1D32NL</t>
  </si>
  <si>
    <t>EXPLOR,CACHORRO,Ch 914 (Snv 865 SW) ,LIMPIEZA</t>
  </si>
  <si>
    <t>1D32NS</t>
  </si>
  <si>
    <t>EXPLOR,CACHORRO,Ch 914 (Snv 865 SW) ,SOSTENIMIENTO</t>
  </si>
  <si>
    <t>1D32NO</t>
  </si>
  <si>
    <t>EXPLOR,CACHORRO,Ch 914 (Snv 865 SW) ,SERVICIO</t>
  </si>
  <si>
    <t>1D57WP</t>
  </si>
  <si>
    <t>EXPLOR,CACHORRO,Snv 925 NE (Est 928 NW) ,PERFORACION</t>
  </si>
  <si>
    <t>1D57WV</t>
  </si>
  <si>
    <t>EXPLOR,CACHORRO,Snv 925 NE (Est 928 NW) ,VOLADURA</t>
  </si>
  <si>
    <t>1D57WL</t>
  </si>
  <si>
    <t>EXPLOR,CACHORRO,Snv 925 NE (Est 928 NW) ,LIMPIEZA</t>
  </si>
  <si>
    <t>1D57WS</t>
  </si>
  <si>
    <t>EXPLOR,CACHORRO,Snv 925 NE (Est 928 NW) ,SOSTENIMIENTO</t>
  </si>
  <si>
    <t>1D57WO</t>
  </si>
  <si>
    <t>EXPLOR,CACHORRO,Snv 925 NE (Est 928 NW) ,SERVICIO</t>
  </si>
  <si>
    <t>1D57XP</t>
  </si>
  <si>
    <t>EXPLOR,CACHORRO,Snv 925 SW (Est 928 NW,PERFORACION</t>
  </si>
  <si>
    <t>1D57XV</t>
  </si>
  <si>
    <t>EXPLOR,CACHORRO,Snv 925 SW (Est 928 NW,VOLADURA</t>
  </si>
  <si>
    <t>1D57XL</t>
  </si>
  <si>
    <t>EXPLOR,CACHORRO,Snv 925 SW (Est 928 NW,LIMPIEZA</t>
  </si>
  <si>
    <t>1D57XS</t>
  </si>
  <si>
    <t>EXPLOR,CACHORRO,Snv 925 SW (Est 928 NW,SOSTENIMIENTO</t>
  </si>
  <si>
    <t>1D57XO</t>
  </si>
  <si>
    <t>EXPLOR,CACHORRO,Snv 925 SW (Est 928 NW,SERVICIO</t>
  </si>
  <si>
    <t>1E61VP</t>
  </si>
  <si>
    <t>EXPLOR,VANESSA,Est 870 SE (Est 869 SW),PERFORACION</t>
  </si>
  <si>
    <t>1E61VV</t>
  </si>
  <si>
    <t>EXPLOR,VANESSA,Est 870 SE (Est 869 SW),VOLADURA</t>
  </si>
  <si>
    <t>1E61VL</t>
  </si>
  <si>
    <t>EXPLOR,VANESSA,Est 870 SE (Est 869 SW),LIMPIEZA</t>
  </si>
  <si>
    <t>1E61VS</t>
  </si>
  <si>
    <t>EXPLOR,VANESSA,Est 870 SE (Est 869 SW),SOSTENIMIENTO</t>
  </si>
  <si>
    <t>1E61VO</t>
  </si>
  <si>
    <t>EXPLOR,VANESSA,Est 870 SE (Est 869 SW),SERVICIO</t>
  </si>
  <si>
    <t>Cuenta de Cuadro en Pq y Inc y Est</t>
  </si>
  <si>
    <t>1N57YP</t>
  </si>
  <si>
    <t>EXPLOR,ESCONDIDA,Snv 874 SW (Est 870 SE),PERFORACION</t>
  </si>
  <si>
    <t>1N57YV</t>
  </si>
  <si>
    <t>EXPLOR,ESCONDIDA,Snv 874 SW (Est 870 SE),VOLADURA</t>
  </si>
  <si>
    <t>1N57YL</t>
  </si>
  <si>
    <t>EXPLOR,ESCONDIDA,Snv 874 SW (Est 870 SE),LIMPIEZA</t>
  </si>
  <si>
    <t>1N57YS</t>
  </si>
  <si>
    <t>EXPLOR,ESCONDIDA,Snv 874 SW (Est 870 SE),SOSTENIMIENTO</t>
  </si>
  <si>
    <t>1N57YO</t>
  </si>
  <si>
    <t>EXPLOR,ESCONDIDA,Snv 874 SW (Est 870 SE),SERVICIO</t>
  </si>
  <si>
    <t>1N57ZP</t>
  </si>
  <si>
    <t>EXPLOR,ESCONDIDA,Snv 874 NE (Est 870 SE),PERFORACION</t>
  </si>
  <si>
    <t>1N57ZV</t>
  </si>
  <si>
    <t>EXPLOR,ESCONDIDA,Snv 874 NE (Est 870 SE),VOLADURA</t>
  </si>
  <si>
    <t>1N57ZL</t>
  </si>
  <si>
    <t>EXPLOR,ESCONDIDA,Snv 874 NE (Est 870 SE),LIMPIEZA</t>
  </si>
  <si>
    <t>1N57ZS</t>
  </si>
  <si>
    <t>EXPLOR,ESCONDIDA,Snv 874 NE (Est 870 SE),SOSTENIMIENTO</t>
  </si>
  <si>
    <t>1N57ZO</t>
  </si>
  <si>
    <t>EXPLOR,ESCONDIDA,Snv 874 NE (Est 870 SE),SERVICIO</t>
  </si>
  <si>
    <t>1D32OP</t>
  </si>
  <si>
    <t>EXPLOR,CACHORRO,Ch 944 (Snv 865 SW),PERFORACION</t>
  </si>
  <si>
    <t>1D32OV</t>
  </si>
  <si>
    <t>EXPLOR,CACHORRO,Ch 944 (Snv 865 SW),VOLADURA</t>
  </si>
  <si>
    <t>1D32OL</t>
  </si>
  <si>
    <t>EXPLOR,CACHORRO,Ch 944 (Snv 865 SW),LIMPIEZA</t>
  </si>
  <si>
    <t>1D32OS</t>
  </si>
  <si>
    <t>EXPLOR,CACHORRO,Ch 944 (Snv 865 SW),SOSTENIMIENTO</t>
  </si>
  <si>
    <t>1D32OO</t>
  </si>
  <si>
    <t>EXPLOR,CACHORRO,Ch 944 (Snv 865 SW),SERVICIO</t>
  </si>
  <si>
    <t>Snv 874 SW (Est 870 SE)</t>
  </si>
  <si>
    <t>Snv 874 NE (Est 870 SE)</t>
  </si>
  <si>
    <t>Snv 886 NE (Tj 097 NE) </t>
  </si>
  <si>
    <t>2E58CP</t>
  </si>
  <si>
    <t>2E58CV</t>
  </si>
  <si>
    <t>2E58CL</t>
  </si>
  <si>
    <t>2E58CS</t>
  </si>
  <si>
    <t>2E58CO</t>
  </si>
  <si>
    <t>DESARR,VANESSA,Snv 886 NE (Tj 097 NE) ,PERFORACION</t>
  </si>
  <si>
    <t>DESARR,VANESSA,Snv 886 NE (Tj 097 NE) ,VOLADURA</t>
  </si>
  <si>
    <t>DESARR,VANESSA,Snv 886 NE (Tj 097 NE) ,LIMPIEZA</t>
  </si>
  <si>
    <t>DESARR,VANESSA,Snv 886 NE (Tj 097 NE) ,SOSTENIMIENTO</t>
  </si>
  <si>
    <t>DESARR,VANESSA,Snv 886 NE (Tj 097 NE) ,SERVICIO</t>
  </si>
  <si>
    <t>1N32PP</t>
  </si>
  <si>
    <t>1N32PV</t>
  </si>
  <si>
    <t>1N32PL</t>
  </si>
  <si>
    <t>1N32PS</t>
  </si>
  <si>
    <t>1N32PO</t>
  </si>
  <si>
    <t xml:space="preserve">Snv 898 NE (Est 873 NE) </t>
  </si>
  <si>
    <t>Gal 028 NE (Cx 990 NE)</t>
  </si>
  <si>
    <t>Tj 874 NE (Snv 874 NE)</t>
  </si>
  <si>
    <t>EXPLOT,ESCONDIDA,Tj 874 NE (Snv 874 NE),PERFORACION</t>
  </si>
  <si>
    <t>EXPLOT,ESCONDIDA,Tj 874 NE (Snv 874 NE),VOLADURA</t>
  </si>
  <si>
    <t>EXPLOT,ESCONDIDA,Tj 874 NE (Snv 874 NE),LIMPIEZA</t>
  </si>
  <si>
    <t>EXPLOT,ESCONDIDA,Tj 874 NE (Snv 874 NE),SOSTENIMIENTO</t>
  </si>
  <si>
    <t>EXPLOT,ESCONDIDA,Tj 874 NE (Snv 874 NE),SERVICIO</t>
  </si>
  <si>
    <t>EXPLOT,ESCONDIDA,Tj 874 NE (Snv 874 NE),RELLENO</t>
  </si>
  <si>
    <t>5N73IP</t>
  </si>
  <si>
    <t>5N73IV</t>
  </si>
  <si>
    <t>5N73IL</t>
  </si>
  <si>
    <t>5N73IS</t>
  </si>
  <si>
    <t>5N73IO</t>
  </si>
  <si>
    <t>5N73IR</t>
  </si>
  <si>
    <t>Est 923 NW (Ch 914) </t>
  </si>
  <si>
    <t>EXPLOR,CACHORRO,Est 923 NW (Ch 914) ,PERFORACION</t>
  </si>
  <si>
    <t>EXPLOR,CACHORRO,Est 923 NW (Ch 914) ,VOLADURA</t>
  </si>
  <si>
    <t>EXPLOR,CACHORRO,Est 923 NW (Ch 914) ,LIMPIEZA</t>
  </si>
  <si>
    <t>EXPLOR,CACHORRO,Est 923 NW (Ch 914) ,SOSTENIMIENTO</t>
  </si>
  <si>
    <t>EXPLOR,CACHORRO,Est 923 NW (Ch 914) ,SERVICIO</t>
  </si>
  <si>
    <t>1D61XP</t>
  </si>
  <si>
    <t>1D61XV</t>
  </si>
  <si>
    <t>1D61XL</t>
  </si>
  <si>
    <t>1D61XS</t>
  </si>
  <si>
    <t>1D61XO</t>
  </si>
  <si>
    <t>3D58DP</t>
  </si>
  <si>
    <t>3D58DV</t>
  </si>
  <si>
    <t>3D58DL</t>
  </si>
  <si>
    <t>3D58DS</t>
  </si>
  <si>
    <t>3D58DO</t>
  </si>
  <si>
    <t>3D58EP</t>
  </si>
  <si>
    <t>3D58EV</t>
  </si>
  <si>
    <t>3D58EL</t>
  </si>
  <si>
    <t>3D58ES</t>
  </si>
  <si>
    <t>3D58EO</t>
  </si>
  <si>
    <t>PREPAR,CACHORRO,Snv 870 SW (Ch 944) ,PERFORACION</t>
  </si>
  <si>
    <t>PREPAR,CACHORRO,Snv 870 SW (Ch 944) ,VOLADURA</t>
  </si>
  <si>
    <t>PREPAR,CACHORRO,Snv 870 SW (Ch 944) ,LIMPIEZA</t>
  </si>
  <si>
    <t>PREPAR,CACHORRO,Snv 870 SW (Ch 944) ,SOSTENIMIENTO</t>
  </si>
  <si>
    <t>PREPAR,CACHORRO,Snv 870 SW (Ch 944) ,SERVICIO</t>
  </si>
  <si>
    <t>PREPAR,CACHORRO,Snv 870 NE (Ch 944),PERFORACION</t>
  </si>
  <si>
    <t>PREPAR,CACHORRO,Snv 870 NE (Ch 944),VOLADURA</t>
  </si>
  <si>
    <t>PREPAR,CACHORRO,Snv 870 NE (Ch 944),LIMPIEZA</t>
  </si>
  <si>
    <t>PREPAR,CACHORRO,Snv 870 NE (Ch 944),SOSTENIMIENTO</t>
  </si>
  <si>
    <t>PREPAR,CACHORRO,Snv 870 NE (Ch 944),SERVICIO</t>
  </si>
  <si>
    <t>Snv 870 NE (Ch 944)</t>
  </si>
  <si>
    <t>Snv 870 SW (Ch 944)</t>
  </si>
  <si>
    <t>EXPLOT,CACHORRO,Tj 870 SW (Ch 944),PERFORACION</t>
  </si>
  <si>
    <t>EXPLOT,CACHORRO,Tj 870 SW (Ch 944),VOLADURA</t>
  </si>
  <si>
    <t>EXPLOT,CACHORRO,Tj 870 SW (Ch 944),LIMPIEZA</t>
  </si>
  <si>
    <t>EXPLOT,CACHORRO,Tj 870 SW (Ch 944),SOSTENIMIENTO</t>
  </si>
  <si>
    <t>EXPLOT,CACHORRO,Tj 870 SW (Ch 944),SERVICIO</t>
  </si>
  <si>
    <t>EXPLOT,CACHORRO,Tj 870 SW (Ch 944),RELLENO</t>
  </si>
  <si>
    <t>EXPLOT,CACHORRO,Tj 870 NE (Ch 944),PERFORACION</t>
  </si>
  <si>
    <t>EXPLOT,CACHORRO,Tj 870 NE (Ch 944),VOLADURA</t>
  </si>
  <si>
    <t>EXPLOT,CACHORRO,Tj 870 NE (Ch 944),LIMPIEZA</t>
  </si>
  <si>
    <t>EXPLOT,CACHORRO,Tj 870 NE (Ch 944),SOSTENIMIENTO</t>
  </si>
  <si>
    <t>EXPLOT,CACHORRO,Tj 870 NE (Ch 944),SERVICIO</t>
  </si>
  <si>
    <t>EXPLOT,CACHORRO,Tj 870 NE (Ch 944),RELLENO</t>
  </si>
  <si>
    <t>PREPAR,VANESSA,Snv 033 SW (Ch 091),PERFORACION</t>
  </si>
  <si>
    <t>PREPAR,VANESSA,Snv 033 SW (Ch 091),VOLADURA</t>
  </si>
  <si>
    <t>PREPAR,VANESSA,Snv 033 SW (Ch 091),LIMPIEZA</t>
  </si>
  <si>
    <t>PREPAR,VANESSA,Snv 033 SW (Ch 091),SOSTENIMIENTO</t>
  </si>
  <si>
    <t>PREPAR,VANESSA,Snv 033 SW (Ch 091),SERVICIO</t>
  </si>
  <si>
    <t>EXPLOR,VANESSA,Est 875 SW (Inc 863 SE),PERFORACION</t>
  </si>
  <si>
    <t>EXPLOR,VANESSA,Est 875 SW (Inc 863 SE),VOLADURA</t>
  </si>
  <si>
    <t>EXPLOR,VANESSA,Est 875 SW (Inc 863 SE),LIMPIEZA</t>
  </si>
  <si>
    <t>EXPLOR,VANESSA,Est 875 SW (Inc 863 SE),SOSTENIMIENTO</t>
  </si>
  <si>
    <t>EXPLOR,VANESSA,Est 875 SW (Inc 863 SE),SERVICIO</t>
  </si>
  <si>
    <t>5D73JP</t>
  </si>
  <si>
    <t>5D73JV</t>
  </si>
  <si>
    <t>5D73JL</t>
  </si>
  <si>
    <t>5D73JS</t>
  </si>
  <si>
    <t>5D73JO</t>
  </si>
  <si>
    <t>5D73JR</t>
  </si>
  <si>
    <t>5D73KP</t>
  </si>
  <si>
    <t>5D73KV</t>
  </si>
  <si>
    <t>5D73KL</t>
  </si>
  <si>
    <t>5D73KS</t>
  </si>
  <si>
    <t>5D73KO</t>
  </si>
  <si>
    <t>5D73KR</t>
  </si>
  <si>
    <t>3E58FP</t>
  </si>
  <si>
    <t>3E58FV</t>
  </si>
  <si>
    <t>3E58FL</t>
  </si>
  <si>
    <t>3E58FS</t>
  </si>
  <si>
    <t>3E58FO</t>
  </si>
  <si>
    <t>1E61YP</t>
  </si>
  <si>
    <t>1E61YV</t>
  </si>
  <si>
    <t>1E61YL</t>
  </si>
  <si>
    <t>1E61YS</t>
  </si>
  <si>
    <t>1E61YO</t>
  </si>
  <si>
    <t>Tj 870 SW (Ch 944)</t>
  </si>
  <si>
    <t>DESARR,VANESSA,Est  866 SE (Tj 097 NE),PERFORACION</t>
  </si>
  <si>
    <t>DESARR,VANESSA,Est  866 SE (Tj 097 NE),VOLADURA</t>
  </si>
  <si>
    <t>DESARR,VANESSA,Est  866 SE (Tj 097 NE),LIMPIEZA</t>
  </si>
  <si>
    <t>DESARR,VANESSA,Est  866 SE (Tj 097 NE),SOSTENIMIENTO</t>
  </si>
  <si>
    <t>DESARR,VANESSA,Est  866 SE (Tj 097 NE),SERVICIO</t>
  </si>
  <si>
    <t>2E61ZP</t>
  </si>
  <si>
    <t>2E61ZV</t>
  </si>
  <si>
    <t>2E61ZL</t>
  </si>
  <si>
    <t>2E61ZS</t>
  </si>
  <si>
    <t>2E61ZO</t>
  </si>
  <si>
    <t>5E73LP</t>
  </si>
  <si>
    <t>5E73LV</t>
  </si>
  <si>
    <t>5E73LL</t>
  </si>
  <si>
    <t>5E73LS</t>
  </si>
  <si>
    <t>5E73LO</t>
  </si>
  <si>
    <t>5E73LR</t>
  </si>
  <si>
    <t>EXPLOT,VANESSA,Tj  876 NE (Snv 876 NE),PERFORACION</t>
  </si>
  <si>
    <t>EXPLOT,VANESSA,Tj  876 NE (Snv 876 NE),VOLADURA</t>
  </si>
  <si>
    <t>EXPLOT,VANESSA,Tj  876 NE (Snv 876 NE),LIMPIEZA</t>
  </si>
  <si>
    <t>EXPLOT,VANESSA,Tj  876 NE (Snv 876 NE),SOSTENIMIENTO</t>
  </si>
  <si>
    <t>EXPLOT,VANESSA,Tj  876 NE (Snv 876 NE),SERVICIO</t>
  </si>
  <si>
    <t>EXPLOT,VANESSA,Tj  876 NE (Snv 876 NE),RELLENO</t>
  </si>
  <si>
    <t>EXPLOR,ESCONDIDA,Ch 880 (Est 877 SE),PERFORACION</t>
  </si>
  <si>
    <t>EXPLOR,ESCONDIDA,Ch 880 (Est 877 SE),VOLADURA</t>
  </si>
  <si>
    <t>EXPLOR,ESCONDIDA,Ch 880 (Est 877 SE),LIMPIEZA</t>
  </si>
  <si>
    <t>EXPLOR,ESCONDIDA,Ch 880 (Est 877 SE),SOSTENIMIENTO</t>
  </si>
  <si>
    <t>EXPLOR,ESCONDIDA,Ch 880 (Est 877 SE),SERVICIO</t>
  </si>
  <si>
    <t>2N62AP</t>
  </si>
  <si>
    <t>2N62AV</t>
  </si>
  <si>
    <t>2N62AL</t>
  </si>
  <si>
    <t>2N62AS</t>
  </si>
  <si>
    <t>2N62AO</t>
  </si>
  <si>
    <t>2NP07P</t>
  </si>
  <si>
    <t>2NP07V</t>
  </si>
  <si>
    <t>2NP07L</t>
  </si>
  <si>
    <t>2NP07S</t>
  </si>
  <si>
    <t>2NP07O</t>
  </si>
  <si>
    <t>DESARR,ESCONDIDA,Est 878 NE (Est 877 NW),PERFORACION</t>
  </si>
  <si>
    <t>DESARR,ESCONDIDA,Est 878 NE (Est 877 NW),VOLADURA</t>
  </si>
  <si>
    <t>DESARR,ESCONDIDA,Est 878 NE (Est 877 NW),LIMPIEZA</t>
  </si>
  <si>
    <t>DESARR,ESCONDIDA,Est 878 NE (Est 877 NW),SOSTENIMIENTO</t>
  </si>
  <si>
    <t>DESARR,ESCONDIDA,Est 878 NE (Est 877 NW),SERVICIO</t>
  </si>
  <si>
    <t>DESARR,ESCONDIDA,Pz 878 (Est 878 NE),PERFORACION</t>
  </si>
  <si>
    <t>DESARR,ESCONDIDA,Pz 878 (Est 878 NE),VOLADURA</t>
  </si>
  <si>
    <t>DESARR,ESCONDIDA,Pz 878 (Est 878 NE),LIMPIEZA</t>
  </si>
  <si>
    <t>DESARR,ESCONDIDA,Pz 878 (Est 878 NE),SOSTENIMIENTO</t>
  </si>
  <si>
    <t>DESARR,ESCONDIDA,Pz 878 (Est 878 NE),SERVICIO</t>
  </si>
  <si>
    <t>EXPLOR,CACHORRO,Snv 865 SW (Est 966 S),SERVICIO</t>
  </si>
  <si>
    <t>EXPLOR,CACHORRO,Snv 865 SW (Est 966 S),SOSTENIMIENTO</t>
  </si>
  <si>
    <t>EXPLOR,CACHORRO,Snv 865 SW (Est 966 S),LIMPIEZA</t>
  </si>
  <si>
    <t>EXPLOR,CACHORRO,Snv 865 SW (Est 966 S),VOLADURA</t>
  </si>
  <si>
    <t>EXPLOR,CACHORRO,Snv 865 SW (Est 966 S),PERFORACION</t>
  </si>
  <si>
    <t>PREPAR,CACHORRO,Snv 865 SW (Est 945 SE),SERVICIO</t>
  </si>
  <si>
    <t>PREPAR,CACHORRO,Snv 865 SW (Est 945 SE),SOSTENIMIENTO</t>
  </si>
  <si>
    <t>PREPAR,CACHORRO,Snv 865 SW (Est 945 SE),LIMPIEZA</t>
  </si>
  <si>
    <t>DESARR,ESCONDIDA,Pz 878 (Est 878 NE) ,PERFORACION</t>
  </si>
  <si>
    <t>DESARR,ESCONDIDA,Pz 878 (Est 878 NE) ,VOLADURA</t>
  </si>
  <si>
    <t>DESARR,ESCONDIDA,Pz 878 (Est 878 NE) ,LIMPIEZA</t>
  </si>
  <si>
    <t>DESARR,ESCONDIDA,Pz 878 (Est 878 NE) ,SOSTENIMIENTO</t>
  </si>
  <si>
    <t>DESARR,ESCONDIDA,Pz 878 (Est 878 NE) ,SERVICIO</t>
  </si>
  <si>
    <t>Tj 870 NE (Ch 944)</t>
  </si>
  <si>
    <t>PREPAR,CACHORRO,Snv 945 NE (Snv 865 SW),PERFORACION</t>
  </si>
  <si>
    <t>PREPAR,CACHORRO,Snv 945 NE (Snv 865 SW),VOLADURA</t>
  </si>
  <si>
    <t>PREPAR,CACHORRO,Snv 945 NE (Snv 865 SW),LIMPIEZA</t>
  </si>
  <si>
    <t>PREPAR,CACHORRO,Snv 945 NE (Snv 865 SW),SOSTENIMIENTO</t>
  </si>
  <si>
    <t>PREPAR,CACHORRO,Snv 945 NE (Snv 865 SW),SERVICIO</t>
  </si>
  <si>
    <t>3D58GP</t>
  </si>
  <si>
    <t>3D58GV</t>
  </si>
  <si>
    <t>3D58GL</t>
  </si>
  <si>
    <t>3D58GS</t>
  </si>
  <si>
    <t>3D58GO</t>
  </si>
  <si>
    <t>EXPLOT,VANESSA,Tj  876 NE (Snv 876 NE) ,PERFORACION</t>
  </si>
  <si>
    <t>EXPLOT,VANESSA,Tj  876 NE (Snv 876 NE) ,VOLADURA</t>
  </si>
  <si>
    <t>EXPLOT,VANESSA,Tj  876 NE (Snv 876 NE) ,LIMPIEZA</t>
  </si>
  <si>
    <t>EXPLOT,VANESSA,Tj  876 NE (Snv 876 NE) ,SOSTENIMIENTO</t>
  </si>
  <si>
    <t>EXPLOT,VANESSA,Tj  876 NE (Snv 876 NE) ,SERVICIO</t>
  </si>
  <si>
    <t>EXPLOT,VANESSA,Tj  876 NE (Snv 876 NE) ,RELLENO</t>
  </si>
  <si>
    <t>EXPLOT,ESCONDIDA,Tj 898 NE (Snv 898 NE),PERFORACION</t>
  </si>
  <si>
    <t>EXPLOT,ESCONDIDA,Tj 898 NE (Snv 898 NE),VOLADURA</t>
  </si>
  <si>
    <t>EXPLOT,ESCONDIDA,Tj 898 NE (Snv 898 NE),LIMPIEZA</t>
  </si>
  <si>
    <t>EXPLOT,ESCONDIDA,Tj 898 NE (Snv 898 NE),SOSTENIMIENTO</t>
  </si>
  <si>
    <t>EXPLOT,ESCONDIDA,Tj 898 NE (Snv 898 NE),SERVICIO</t>
  </si>
  <si>
    <t>EXPLOT,ESCONDIDA,Tj 898 NE (Snv 898 NE),RELLENO</t>
  </si>
  <si>
    <t>5N73MP</t>
  </si>
  <si>
    <t>5N73MV</t>
  </si>
  <si>
    <t>5N73ML</t>
  </si>
  <si>
    <t>5N73MS</t>
  </si>
  <si>
    <t>5N73MO</t>
  </si>
  <si>
    <t>5N73MR</t>
  </si>
  <si>
    <t>Snv 865 SW (Est 945 SE)</t>
  </si>
  <si>
    <t>EXPLOR,VANESSA,Est 874 NW (Snv 874 NE),PERFORACION</t>
  </si>
  <si>
    <t>EXPLOR,VANESSA,Est 874 NW (Snv 874 NE),VOLADURA</t>
  </si>
  <si>
    <t>EXPLOR,VANESSA,Est 874 NW (Snv 874 NE),LIMPIEZA</t>
  </si>
  <si>
    <t>EXPLOR,VANESSA,Est 874 NW (Snv 874 NE),SOSTENIMIENTO</t>
  </si>
  <si>
    <t>EXPLOR,VANESSA,Est 874 NW (Snv 874 NE),SERVICIO</t>
  </si>
  <si>
    <t>1E62DP</t>
  </si>
  <si>
    <t>1E62DV</t>
  </si>
  <si>
    <t>1E62DL</t>
  </si>
  <si>
    <t>1E62DS</t>
  </si>
  <si>
    <t>1E62DO</t>
  </si>
  <si>
    <t>EXPLOR,VANESSA,Est 879 SW (Inc 863 SE),PERFORACION</t>
  </si>
  <si>
    <t>EXPLOR,VANESSA,Est 879 SW (Inc 863 SE),VOLADURA</t>
  </si>
  <si>
    <t>EXPLOR,VANESSA,Est 879 SW (Inc 863 SE),LIMPIEZA</t>
  </si>
  <si>
    <t>EXPLOR,VANESSA,Est 879 SW (Inc 863 SE),SOSTENIMIENTO</t>
  </si>
  <si>
    <t>EXPLOR,VANESSA,Est 879 SW (Inc 863 SE),SERVICIO</t>
  </si>
  <si>
    <t>1E62BP</t>
  </si>
  <si>
    <t>1E62BV</t>
  </si>
  <si>
    <t>1E62BL</t>
  </si>
  <si>
    <t>1E62BS</t>
  </si>
  <si>
    <t>1E62BO</t>
  </si>
  <si>
    <t>EXPLOR,VANESSA,Est 879 NE (Inc 863 SE),PERFORACION</t>
  </si>
  <si>
    <t>EXPLOR,VANESSA,Est 879 NE (Inc 863 SE),VOLADURA</t>
  </si>
  <si>
    <t>EXPLOR,VANESSA,Est 879 NE (Inc 863 SE),LIMPIEZA</t>
  </si>
  <si>
    <t>EXPLOR,VANESSA,Est 879 NE (Inc 863 SE),SOSTENIMIENTO</t>
  </si>
  <si>
    <t>EXPLOR,VANESSA,Est 879 NE (Inc 863 SE),SERVICIO</t>
  </si>
  <si>
    <t>1E62EP</t>
  </si>
  <si>
    <t>1E62EV</t>
  </si>
  <si>
    <t>1E62EL</t>
  </si>
  <si>
    <t>1E62ES</t>
  </si>
  <si>
    <t>1E62EO</t>
  </si>
  <si>
    <t>CX 128-1 NE GAL 028 NE</t>
  </si>
  <si>
    <t>EXPLOR,VANESSA,Est 870 NW (Est 869 SW),PERFORACION</t>
  </si>
  <si>
    <t>EXPLOR,VANESSA,Est 870 NW (Est 869 SW),VOLADURA</t>
  </si>
  <si>
    <t>EXPLOR,VANESSA,Est 870 NW (Est 869 SW),LIMPIEZA</t>
  </si>
  <si>
    <t>EXPLOR,VANESSA,Est 870 NW (Est 869 SW),SOSTENIMIENTO</t>
  </si>
  <si>
    <t>EXPLOR,VANESSA,Est 870 NW (Est 869 SW),SERVICIO</t>
  </si>
  <si>
    <t>1E62FP</t>
  </si>
  <si>
    <t>1E62FV</t>
  </si>
  <si>
    <t>1E62FL</t>
  </si>
  <si>
    <t>1E62FS</t>
  </si>
  <si>
    <t>1E62FO</t>
  </si>
  <si>
    <t>1D62HP</t>
  </si>
  <si>
    <t>1D62HV</t>
  </si>
  <si>
    <t>1D62HL</t>
  </si>
  <si>
    <t>1D62HS</t>
  </si>
  <si>
    <t>1D62HO</t>
  </si>
  <si>
    <t>EXPLOR,CACHORRO,Est 924 SE (Tj 870 SW),SERVICIO</t>
  </si>
  <si>
    <t>EXPLOR,CACHORRO,Est 924 SE (Tj 870 SW),SOSTENIMIENTO</t>
  </si>
  <si>
    <t>EXPLOR,CACHORRO,Est 924 SE (Tj 870 SW),LIMPIEZA</t>
  </si>
  <si>
    <t>EXPLOR,CACHORRO,Est 924 SE (Tj 870 SW),VOLADURA</t>
  </si>
  <si>
    <t>EXPLOR,CACHORRO,Est 924 SE (Tj 870 SW),PERFORACION</t>
  </si>
  <si>
    <t>Tj  876 NE (Snv 876 NE)</t>
  </si>
  <si>
    <t>Est 879 NE (Inc 863 SE)</t>
  </si>
  <si>
    <t>EXPLOT,VANESSA,Tj 874 NE (Snv 874 NE),PERFORACION</t>
  </si>
  <si>
    <t>EXPLOT,VANESSA,Tj 874 NE (Snv 874 NE),VOLADURA</t>
  </si>
  <si>
    <t>EXPLOT,VANESSA,Tj 874 NE (Snv 874 NE),LIMPIEZA</t>
  </si>
  <si>
    <t>EXPLOT,VANESSA,Tj 874 NE (Snv 874 NE),SOSTENIMIENTO</t>
  </si>
  <si>
    <t>EXPLOT,VANESSA,Tj 874 NE (Snv 874 NE),SERVICIO</t>
  </si>
  <si>
    <t>EXPLOT,VANESSA,Tj 874 NE (Snv 874 NE),RELLENO</t>
  </si>
  <si>
    <t>5E73NP</t>
  </si>
  <si>
    <t>5E73NV</t>
  </si>
  <si>
    <t>5E73NL</t>
  </si>
  <si>
    <t>5E73NS</t>
  </si>
  <si>
    <t>5E73NO</t>
  </si>
  <si>
    <t>5E73NR</t>
  </si>
  <si>
    <t>DESARR,VANESSA,Est 880 NW (Est 879 NE),PERFORACION</t>
  </si>
  <si>
    <t>DESARR,VANESSA,Est 880 NW (Est 879 NE),VOLADURA</t>
  </si>
  <si>
    <t>DESARR,VANESSA,Est 880 NW (Est 879 NE),LIMPIEZA</t>
  </si>
  <si>
    <t>DESARR,VANESSA,Est 880 NW (Est 879 NE),SOSTENIMIENTO</t>
  </si>
  <si>
    <t>DESARR,VANESSA,Est 880 NW (Est 879 NE),SERVICIO</t>
  </si>
  <si>
    <t>2E62GP</t>
  </si>
  <si>
    <t>2E62GV</t>
  </si>
  <si>
    <t>2E62GL</t>
  </si>
  <si>
    <t>2E62GS</t>
  </si>
  <si>
    <t>2E62GO</t>
  </si>
  <si>
    <t>Est 880 NW (Est 879 NE)</t>
  </si>
  <si>
    <t>DESARR,CACHORRO,Pq 925 (Snv 925 SW),PERFORACION</t>
  </si>
  <si>
    <t>DESARR,CACHORRO,Pq 925 (Snv 925 SW),VOLADURA</t>
  </si>
  <si>
    <t>DESARR,CACHORRO,Pq 925 (Snv 925 SW),LIMPIEZA</t>
  </si>
  <si>
    <t>DESARR,CACHORRO,Pq 925 (Snv 925 SW),SOSTENIMIENTO</t>
  </si>
  <si>
    <t>DESARR,CACHORRO,Pq 925 (Snv 925 SW),SERVICIO</t>
  </si>
  <si>
    <t>2D415P</t>
  </si>
  <si>
    <t>2D415V</t>
  </si>
  <si>
    <t>2D415L</t>
  </si>
  <si>
    <t>2D415S</t>
  </si>
  <si>
    <t>2D415O</t>
  </si>
  <si>
    <t>EXPLOR,ESCONDIDA,Snv 879 NE (Est 879 NE),PERFORACION</t>
  </si>
  <si>
    <t>EXPLOR,ESCONDIDA,Snv 879 NE (Est 879 NE),VOLADURA</t>
  </si>
  <si>
    <t>EXPLOR,ESCONDIDA,Snv 879 NE (Est 879 NE),LIMPIEZA</t>
  </si>
  <si>
    <t>EXPLOR,ESCONDIDA,Snv 879 NE (Est 879 NE),SOSTENIMIENTO</t>
  </si>
  <si>
    <t>EXPLOR,ESCONDIDA,Snv 879 NE (Est 879 NE),SERVICIO</t>
  </si>
  <si>
    <t>1N58HP</t>
  </si>
  <si>
    <t>1N58HV</t>
  </si>
  <si>
    <t>1N58HL</t>
  </si>
  <si>
    <t>1N58HS</t>
  </si>
  <si>
    <t>1N58HO</t>
  </si>
  <si>
    <t>PQ 075 (CX 074 SW)</t>
  </si>
  <si>
    <t>1N58JP</t>
  </si>
  <si>
    <t>1N58JV</t>
  </si>
  <si>
    <t>1N58JL</t>
  </si>
  <si>
    <t>1N58JS</t>
  </si>
  <si>
    <t>1N58JO</t>
  </si>
  <si>
    <t>EXPLOR,ESCONDIDA,Snv 899 SW (Tj 898 NE) ,PERFORACION</t>
  </si>
  <si>
    <t>EXPLOR,ESCONDIDA,Snv 899 SW (Tj 898 NE) ,VOLADURA</t>
  </si>
  <si>
    <t>EXPLOR,ESCONDIDA,Snv 899 SW (Tj 898 NE) ,LIMPIEZA</t>
  </si>
  <si>
    <t>EXPLOR,ESCONDIDA,Snv 899 SW (Tj 898 NE) ,SOSTENIMIENTO</t>
  </si>
  <si>
    <t>EXPLOR,ESCONDIDA,Snv 899 SW (Tj 898 NE) ,SERVICIO</t>
  </si>
  <si>
    <t>1N62IP</t>
  </si>
  <si>
    <t>EXPLOR,ESCONDIDA,Est 879 SE (Snv 879 NE),PERFORACION</t>
  </si>
  <si>
    <t>1N62IV</t>
  </si>
  <si>
    <t>EXPLOR,ESCONDIDA,Est 879 SE (Snv 879 NE),VOLADURA</t>
  </si>
  <si>
    <t>1N62IL</t>
  </si>
  <si>
    <t>EXPLOR,ESCONDIDA,Est 879 SE (Snv 879 NE),LIMPIEZA</t>
  </si>
  <si>
    <t>1N62IS</t>
  </si>
  <si>
    <t>EXPLOR,ESCONDIDA,Est 879 SE (Snv 879 NE),SOSTENIMIENTO</t>
  </si>
  <si>
    <t>1N62IO</t>
  </si>
  <si>
    <t>EXPLOR,ESCONDIDA,Est 879 SE (Snv 879 NE),SERVICIO</t>
  </si>
  <si>
    <t>1D62JP</t>
  </si>
  <si>
    <t>EXPLOR,CACHORRO,Est 970 NE (Snv 885 NE) ,PERFORACION</t>
  </si>
  <si>
    <t>1D62JV</t>
  </si>
  <si>
    <t>EXPLOR,CACHORRO,Est 970 NE (Snv 885 NE) ,VOLADURA</t>
  </si>
  <si>
    <t>1D62JL</t>
  </si>
  <si>
    <t>EXPLOR,CACHORRO,Est 970 NE (Snv 885 NE) ,LIMPIEZA</t>
  </si>
  <si>
    <t>1D62JS</t>
  </si>
  <si>
    <t>EXPLOR,CACHORRO,Est 970 NE (Snv 885 NE) ,SOSTENIMIENTO</t>
  </si>
  <si>
    <t>1D62JO</t>
  </si>
  <si>
    <t>EXPLOR,CACHORRO,Est 970 NE (Snv 885 NE) ,SERVICIO</t>
  </si>
  <si>
    <t xml:space="preserve">Est 970 NE (Snv 885 NE) </t>
  </si>
  <si>
    <t>45005900</t>
  </si>
  <si>
    <t>28809427</t>
  </si>
  <si>
    <t>29580249</t>
  </si>
  <si>
    <t>71211301</t>
  </si>
  <si>
    <t>40211240</t>
  </si>
  <si>
    <t>48009811</t>
  </si>
  <si>
    <t>43908406</t>
  </si>
  <si>
    <t>44636322</t>
  </si>
  <si>
    <t>74927770</t>
  </si>
  <si>
    <t>71011238</t>
  </si>
  <si>
    <t>1N32QP</t>
  </si>
  <si>
    <t>EXPLOR,ESCONDIDA,Ch 911 (Snv 879 NE) ,PERFORACION</t>
  </si>
  <si>
    <t>1N32QV</t>
  </si>
  <si>
    <t>EXPLOR,ESCONDIDA,Ch 911 (Snv 879 NE) ,VOLADURA</t>
  </si>
  <si>
    <t>1N32QL</t>
  </si>
  <si>
    <t>EXPLOR,ESCONDIDA,Ch 911 (Snv 879 NE) ,LIMPIEZA</t>
  </si>
  <si>
    <t>1N32QS</t>
  </si>
  <si>
    <t>EXPLOR,ESCONDIDA,Ch 911 (Snv 879 NE) ,SOSTENIMIENTO</t>
  </si>
  <si>
    <t>1N32QO</t>
  </si>
  <si>
    <t>EXPLOR,ESCONDIDA,Ch 911 (Snv 879 NE) ,SERVICIO</t>
  </si>
  <si>
    <t>48073315</t>
  </si>
  <si>
    <t>74477215</t>
  </si>
  <si>
    <t>75693016</t>
  </si>
  <si>
    <t>Tj 888 NE (Ch 911)</t>
  </si>
  <si>
    <t>Tj 888 SW (Ch 911)</t>
  </si>
  <si>
    <t>EXPLOT,ESCONDIDA,Tj 888 NE (Ch 911),PERFORACION</t>
  </si>
  <si>
    <t>EXPLOT,ESCONDIDA,Tj 888 NE (Ch 911),VOLADURA</t>
  </si>
  <si>
    <t>EXPLOT,ESCONDIDA,Tj 888 NE (Ch 911),LIMPIEZA</t>
  </si>
  <si>
    <t>EXPLOT,ESCONDIDA,Tj 888 NE (Ch 911),SOSTENIMIENTO</t>
  </si>
  <si>
    <t>EXPLOT,ESCONDIDA,Tj 888 NE (Ch 911),SERVICIO</t>
  </si>
  <si>
    <t>EXPLOT,ESCONDIDA,Tj 888 NE (Ch 911),RELLENO</t>
  </si>
  <si>
    <t>EXPLOT,ESCONDIDA,Tj 888 SW (Ch 911),PERFORACION</t>
  </si>
  <si>
    <t>EXPLOT,ESCONDIDA,Tj 888 SW (Ch 911),VOLADURA</t>
  </si>
  <si>
    <t>EXPLOT,ESCONDIDA,Tj 888 SW (Ch 911),LIMPIEZA</t>
  </si>
  <si>
    <t>EXPLOT,ESCONDIDA,Tj 888 SW (Ch 911),SOSTENIMIENTO</t>
  </si>
  <si>
    <t>EXPLOT,ESCONDIDA,Tj 888 SW (Ch 911),SERVICIO</t>
  </si>
  <si>
    <t>EXPLOT,ESCONDIDA,Tj 888 SW (Ch 911),RELLENO</t>
  </si>
  <si>
    <t>5N73OP</t>
  </si>
  <si>
    <t>5N73OV</t>
  </si>
  <si>
    <t>5N73OL</t>
  </si>
  <si>
    <t>5N73OS</t>
  </si>
  <si>
    <t>5N73OO</t>
  </si>
  <si>
    <t>5N73OR</t>
  </si>
  <si>
    <t>5N73PP</t>
  </si>
  <si>
    <t>5N73PV</t>
  </si>
  <si>
    <t>5N73PL</t>
  </si>
  <si>
    <t>5N73PS</t>
  </si>
  <si>
    <t>5N73PO</t>
  </si>
  <si>
    <t>5N73PR</t>
  </si>
  <si>
    <t>Snv 890 SW (Tj 888 SW)</t>
  </si>
  <si>
    <t>EXPLOR,ESCONDIDA,Snv 890 SW (Tj 888 SW),PERFORACION</t>
  </si>
  <si>
    <t>EXPLOR,ESCONDIDA,Snv 890 SW (Tj 888 SW),VOLADURA</t>
  </si>
  <si>
    <t>EXPLOR,ESCONDIDA,Snv 890 SW (Tj 888 SW),LIMPIEZA</t>
  </si>
  <si>
    <t>EXPLOR,ESCONDIDA,Snv 890 SW (Tj 888 SW),SOSTENIMIENTO</t>
  </si>
  <si>
    <t>EXPLOR,ESCONDIDA,Snv 890 SW (Tj 888 SW),SERVICIO</t>
  </si>
  <si>
    <t>1N58LP</t>
  </si>
  <si>
    <t>1N58LV</t>
  </si>
  <si>
    <t>1N58LL</t>
  </si>
  <si>
    <t>1N58LS</t>
  </si>
  <si>
    <t>1N58LO</t>
  </si>
  <si>
    <t>1N32RP</t>
  </si>
  <si>
    <t>1N32RV</t>
  </si>
  <si>
    <t>1N32RL</t>
  </si>
  <si>
    <t>1N32RS</t>
  </si>
  <si>
    <t>1N32RO</t>
  </si>
  <si>
    <t>EXPLOR,ESCONDIDA,Ch 890 (Tj 888 SW) ,PERFORACION</t>
  </si>
  <si>
    <t>EXPLOR,ESCONDIDA,Ch 890 (Tj 888 SW) ,VOLADURA</t>
  </si>
  <si>
    <t>EXPLOR,ESCONDIDA,Ch 890 (Tj 888 SW) ,LIMPIEZA</t>
  </si>
  <si>
    <t>EXPLOR,ESCONDIDA,Ch 890 (Tj 888 SW) ,SOSTENIMIENTO</t>
  </si>
  <si>
    <t>EXPLOR,ESCONDIDA,Ch 890 (Tj 888 SW) ,SERVICIO</t>
  </si>
  <si>
    <t>1N32R</t>
  </si>
  <si>
    <t>Ch 890 (Tj 888 SW) </t>
  </si>
  <si>
    <t>45767528</t>
  </si>
  <si>
    <t>1D58MP</t>
  </si>
  <si>
    <t>EXPLOR,CACHORRO,Snv 970 SW (Est 970 NE) ,PERFORACION</t>
  </si>
  <si>
    <t>1D58MV</t>
  </si>
  <si>
    <t>EXPLOR,CACHORRO,Snv 970 SW (Est 970 NE) ,VOLADURA</t>
  </si>
  <si>
    <t>1D58ML</t>
  </si>
  <si>
    <t>EXPLOR,CACHORRO,Snv 970 SW (Est 970 NE) ,LIMPIEZA</t>
  </si>
  <si>
    <t>1D58MS</t>
  </si>
  <si>
    <t>EXPLOR,CACHORRO,Snv 970 SW (Est 970 NE) ,SOSTENIMIENTO</t>
  </si>
  <si>
    <t>1D58MO</t>
  </si>
  <si>
    <t>EXPLOR,CACHORRO,Snv 970 SW (Est 970 NE) ,SERVICIO</t>
  </si>
  <si>
    <t>1D58NP</t>
  </si>
  <si>
    <t>EXPLOR,CACHORRO,Snv 970 NE (Est 970 NE) ,PERFORACION</t>
  </si>
  <si>
    <t>1D58NV</t>
  </si>
  <si>
    <t>EXPLOR,CACHORRO,Snv 970 NE (Est 970 NE) ,VOLADURA</t>
  </si>
  <si>
    <t>1D58NL</t>
  </si>
  <si>
    <t>EXPLOR,CACHORRO,Snv 970 NE (Est 970 NE) ,LIMPIEZA</t>
  </si>
  <si>
    <t>1D58NS</t>
  </si>
  <si>
    <t>EXPLOR,CACHORRO,Snv 970 NE (Est 970 NE) ,SOSTENIMIENTO</t>
  </si>
  <si>
    <t>1D58NO</t>
  </si>
  <si>
    <t>EXPLOR,CACHORRO,Snv 970 NE (Est 970 NE) ,SERVICIO</t>
  </si>
  <si>
    <t>1D58OP</t>
  </si>
  <si>
    <t>EXPLOR,CACHORRO,Snv 995 NE (Est 970 NE),PERFORACION</t>
  </si>
  <si>
    <t>1D58OV</t>
  </si>
  <si>
    <t>EXPLOR,CACHORRO,Snv 995 NE (Est 970 NE),VOLADURA</t>
  </si>
  <si>
    <t>1D58OL</t>
  </si>
  <si>
    <t>EXPLOR,CACHORRO,Snv 995 NE (Est 970 NE),LIMPIEZA</t>
  </si>
  <si>
    <t>1D58OS</t>
  </si>
  <si>
    <t>EXPLOR,CACHORRO,Snv 995 NE (Est 970 NE),SOSTENIMIENTO</t>
  </si>
  <si>
    <t>1D58OO</t>
  </si>
  <si>
    <t>EXPLOR,CACHORRO,Snv 995 NE (Est 970 NE),SERVICIO</t>
  </si>
  <si>
    <t>1D58PP</t>
  </si>
  <si>
    <t>EXPLOR,CACHORRO,Snv 995 SW (Est 970 NE),PERFORACION</t>
  </si>
  <si>
    <t>1D58PV</t>
  </si>
  <si>
    <t>EXPLOR,CACHORRO,Snv 995 SW (Est 970 NE),VOLADURA</t>
  </si>
  <si>
    <t>1D58PL</t>
  </si>
  <si>
    <t>EXPLOR,CACHORRO,Snv 995 SW (Est 970 NE),LIMPIEZA</t>
  </si>
  <si>
    <t>1D58PS</t>
  </si>
  <si>
    <t>EXPLOR,CACHORRO,Snv 995 SW (Est 970 NE),SOSTENIMIENTO</t>
  </si>
  <si>
    <t>1D58PO</t>
  </si>
  <si>
    <t>EXPLOR,CACHORRO,Snv 995 SW (Est 970 NE),SERVICIO</t>
  </si>
  <si>
    <t>1E58SP</t>
  </si>
  <si>
    <t>EXPLOR,VANESSA,Snv 881 NE (Tj 876 NE) ,PERFORACION</t>
  </si>
  <si>
    <t>1E58SV</t>
  </si>
  <si>
    <t>EXPLOR,VANESSA,Snv 881 NE (Tj 876 NE) ,VOLADURA</t>
  </si>
  <si>
    <t>1E58SL</t>
  </si>
  <si>
    <t>EXPLOR,VANESSA,Snv 881 NE (Tj 876 NE) ,LIMPIEZA</t>
  </si>
  <si>
    <t>1E58SS</t>
  </si>
  <si>
    <t>EXPLOR,VANESSA,Snv 881 NE (Tj 876 NE) ,SOSTENIMIENTO</t>
  </si>
  <si>
    <t>1E58SO</t>
  </si>
  <si>
    <t>EXPLOR,VANESSA,Snv 881 NE (Tj 876 NE) ,SERVICIO</t>
  </si>
  <si>
    <t>1E58TP</t>
  </si>
  <si>
    <t>EXPLOR,VANESSA,Snv 881 SW (Tj 876 NE) ,PERFORACION</t>
  </si>
  <si>
    <t>1E58TV</t>
  </si>
  <si>
    <t>EXPLOR,VANESSA,Snv 881 SW (Tj 876 NE) ,VOLADURA</t>
  </si>
  <si>
    <t>1E58TL</t>
  </si>
  <si>
    <t>EXPLOR,VANESSA,Snv 881 SW (Tj 876 NE) ,LIMPIEZA</t>
  </si>
  <si>
    <t>1E58TS</t>
  </si>
  <si>
    <t>EXPLOR,VANESSA,Snv 881 SW (Tj 876 NE) ,SOSTENIMIENTO</t>
  </si>
  <si>
    <t>1E58TO</t>
  </si>
  <si>
    <t>EXPLOR,VANESSA,Snv 881 SW (Tj 876 NE) ,SERVICIO</t>
  </si>
  <si>
    <t>1D58UP</t>
  </si>
  <si>
    <t>EXPLOR,CACHORRO,Snv 880 SW (Tj 870 NE),PERFORACION</t>
  </si>
  <si>
    <t>1D58UV</t>
  </si>
  <si>
    <t>EXPLOR,CACHORRO,Snv 880 SW (Tj 870 NE),VOLADURA</t>
  </si>
  <si>
    <t>1D58UL</t>
  </si>
  <si>
    <t>EXPLOR,CACHORRO,Snv 880 SW (Tj 870 NE),LIMPIEZA</t>
  </si>
  <si>
    <t>1D58US</t>
  </si>
  <si>
    <t>EXPLOR,CACHORRO,Snv 880 SW (Tj 870 NE),SOSTENIMIENTO</t>
  </si>
  <si>
    <t>1D58UO</t>
  </si>
  <si>
    <t>EXPLOR,CACHORRO,Snv 880 SW (Tj 870 NE),SERVICIO</t>
  </si>
  <si>
    <t>1D58VP</t>
  </si>
  <si>
    <t>EXPLOR,CACHORRO,Snv 860 NE (Pq 925),PERFORACION</t>
  </si>
  <si>
    <t>1D58VV</t>
  </si>
  <si>
    <t>EXPLOR,CACHORRO,Snv 860 NE (Pq 925),VOLADURA</t>
  </si>
  <si>
    <t>1D58VL</t>
  </si>
  <si>
    <t>EXPLOR,CACHORRO,Snv 860 NE (Pq 925),LIMPIEZA</t>
  </si>
  <si>
    <t>1D58VS</t>
  </si>
  <si>
    <t>EXPLOR,CACHORRO,Snv 860 NE (Pq 925),SOSTENIMIENTO</t>
  </si>
  <si>
    <t>1D58VO</t>
  </si>
  <si>
    <t>EXPLOR,CACHORRO,Snv 860 NE (Pq 925),SERVICIO</t>
  </si>
  <si>
    <t>1D32SP</t>
  </si>
  <si>
    <t>EXPLOR,CACHORRO,Ch 995 (Snv 995 SW),PERFORACION</t>
  </si>
  <si>
    <t>1D32SV</t>
  </si>
  <si>
    <t>EXPLOR,CACHORRO,Ch 995 (Snv 995 SW),VOLADURA</t>
  </si>
  <si>
    <t>1D32SL</t>
  </si>
  <si>
    <t>EXPLOR,CACHORRO,Ch 995 (Snv 995 SW),LIMPIEZA</t>
  </si>
  <si>
    <t>1D32SS</t>
  </si>
  <si>
    <t>EXPLOR,CACHORRO,Ch 995 (Snv 995 SW),SOSTENIMIENTO</t>
  </si>
  <si>
    <t>1D32SO</t>
  </si>
  <si>
    <r>
      <t>EXPLOR,CACHORRO,Ch 995 (Snv 995 SW), SERVICIO</t>
    </r>
    <r>
      <rPr>
        <i/>
        <sz val="11"/>
        <color rgb="FF006FC9"/>
        <rFont val="Cambria"/>
        <family val="1"/>
      </rPr>
      <t> </t>
    </r>
  </si>
  <si>
    <t>2NP08P</t>
  </si>
  <si>
    <t>DESARR,ESCONDIDA,Pz 880 (Est 880 SE),PERFORACION</t>
  </si>
  <si>
    <t>2NP08V</t>
  </si>
  <si>
    <t>DESARR,ESCONDIDA,Pz 880 (Est 880 SE),VOLADURA</t>
  </si>
  <si>
    <t>2NP08L</t>
  </si>
  <si>
    <t>DESARR,ESCONDIDA,Pz 880 (Est 880 SE),LIMPIEZA</t>
  </si>
  <si>
    <t>2NP08S</t>
  </si>
  <si>
    <t>DESARR,ESCONDIDA,Pz 880 (Est 880 SE),SOSTENIMIENTO</t>
  </si>
  <si>
    <t>2NP08O</t>
  </si>
  <si>
    <t>DESARR,ESCONDIDA,Pz 880 (Est 880 SE),SERVICIO</t>
  </si>
  <si>
    <t>2N62KP</t>
  </si>
  <si>
    <t>DESARR,ESCONDIDA,Est 880 SE (Est 879 NE),PERFORACION</t>
  </si>
  <si>
    <t>2N62KV</t>
  </si>
  <si>
    <t>DESARR,ESCONDIDA,Est 880 SE (Est 879 NE),VOLADURA</t>
  </si>
  <si>
    <t>2N62KL</t>
  </si>
  <si>
    <t>DESARR,ESCONDIDA,Est 880 SE (Est 879 NE),LIMPIEZA</t>
  </si>
  <si>
    <t>2N62KS</t>
  </si>
  <si>
    <t>DESARR,ESCONDIDA,Est 880 SE (Est 879 NE),SOSTENIMIENTO</t>
  </si>
  <si>
    <t>2N62KO</t>
  </si>
  <si>
    <t>DESARR,ESCONDIDA,Est 880 SE (Est 879 NE),SERVICIO</t>
  </si>
  <si>
    <t>EFICIENCIA DE VOLADURA (%)</t>
  </si>
  <si>
    <t>48753734</t>
  </si>
  <si>
    <t>28855306</t>
  </si>
  <si>
    <t>44870112</t>
  </si>
  <si>
    <t>42908981</t>
  </si>
  <si>
    <t>47779767</t>
  </si>
  <si>
    <t>10657720</t>
  </si>
  <si>
    <t>41164398</t>
  </si>
  <si>
    <t>41779807</t>
  </si>
  <si>
    <t>43644482</t>
  </si>
  <si>
    <t>48399793</t>
  </si>
  <si>
    <t>19976729</t>
  </si>
  <si>
    <t>28818533</t>
  </si>
  <si>
    <t>71211286</t>
  </si>
  <si>
    <t>72646805</t>
  </si>
  <si>
    <t>74221112</t>
  </si>
  <si>
    <t>5D73QP</t>
  </si>
  <si>
    <t>EXPLOT,CACHORRO,Tj 860 SW (Pq 925)) ,PERFORACION</t>
  </si>
  <si>
    <t>5D73QV</t>
  </si>
  <si>
    <t>EXPLOT,CACHORRO,Tj 860 SW (Pq 925)) ,VOLADURA</t>
  </si>
  <si>
    <t>5D73QL</t>
  </si>
  <si>
    <t>EXPLOT,CACHORRO,Tj 860 SW (Pq 925)) ,LIMPIEZA</t>
  </si>
  <si>
    <t>5D73QS</t>
  </si>
  <si>
    <t>EXPLOT,CACHORRO,Tj 860 SW (Pq 925)) ,SOSTENIMIENTO</t>
  </si>
  <si>
    <t>5D73QO</t>
  </si>
  <si>
    <t>EXPLOT,CACHORRO,Tj 860 SW (Pq 925)) ,SERVICIO</t>
  </si>
  <si>
    <t>5D73QR</t>
  </si>
  <si>
    <t>EXPLOT,CACHORRO,Tj 860 SW (Pq 925)) ,RELLENO</t>
  </si>
  <si>
    <t xml:space="preserve">Tj 860 SW (Pq 925)) </t>
  </si>
  <si>
    <t>Cx 990 NE (Cor 990)</t>
  </si>
  <si>
    <t>80310895</t>
  </si>
  <si>
    <t>20439986</t>
  </si>
  <si>
    <t>TJ 030</t>
  </si>
  <si>
    <t>44746588</t>
  </si>
  <si>
    <t>169_1</t>
  </si>
  <si>
    <t>169_2</t>
  </si>
  <si>
    <t>28835306</t>
  </si>
  <si>
    <t>445844439</t>
  </si>
  <si>
    <t>46571584</t>
  </si>
  <si>
    <t>43791513</t>
  </si>
  <si>
    <t>170_1</t>
  </si>
  <si>
    <t>Tj 037 NE (Ch 091)</t>
  </si>
  <si>
    <t>1E62LP</t>
  </si>
  <si>
    <t>EXPLOR,VANESSA,Est 883 NE (Inc 863 SE),PERFORACION</t>
  </si>
  <si>
    <t>1E62LV</t>
  </si>
  <si>
    <t>EXPLOR,VANESSA,Est 883 NE (Inc 863 SE),VOLADURA</t>
  </si>
  <si>
    <t>1E62LL</t>
  </si>
  <si>
    <t>EXPLOR,VANESSA,Est 883 NE (Inc 863 SE),LIMPIEZA</t>
  </si>
  <si>
    <t>1E62LS</t>
  </si>
  <si>
    <t>EXPLOR,VANESSA,Est 883 NE (Inc 863 SE),SOSTENIMIENTO</t>
  </si>
  <si>
    <t>1E62LO</t>
  </si>
  <si>
    <t>EXPLOR,VANESSA,Est 883 NE (Inc 863 SE),SERVICIO</t>
  </si>
  <si>
    <t>1E62MP</t>
  </si>
  <si>
    <t>EXPLOR,VANESSA,Est 883 SW (Inc 863 SE),PERFORACION</t>
  </si>
  <si>
    <t>1E62MV</t>
  </si>
  <si>
    <t>EXPLOR,VANESSA,Est 883 SW (Inc 863 SE),VOLADURA</t>
  </si>
  <si>
    <t>1E62ML</t>
  </si>
  <si>
    <t>EXPLOR,VANESSA,Est 883 SW (Inc 863 SE),LIMPIEZA</t>
  </si>
  <si>
    <t>1E62MS</t>
  </si>
  <si>
    <t>EXPLOR,VANESSA,Est 883 SW (Inc 863 SE),SOSTENIMIENTO</t>
  </si>
  <si>
    <t>1E62MO</t>
  </si>
  <si>
    <t>EXPLOR,VANESSA,Est 883 SW (Inc 863 SE),SERVICIO</t>
  </si>
  <si>
    <t>Est 883 NE (Inc 863 SE)</t>
  </si>
  <si>
    <t>Est 883 SW (Inc 863 SE)</t>
  </si>
  <si>
    <t>44746388</t>
  </si>
  <si>
    <t>77439301</t>
  </si>
  <si>
    <t>170_2</t>
  </si>
  <si>
    <t>170_3</t>
  </si>
  <si>
    <t>170_4</t>
  </si>
  <si>
    <t>Pq 925 (Snv 925 SW)</t>
  </si>
  <si>
    <t>28835300</t>
  </si>
  <si>
    <t>45844439</t>
  </si>
  <si>
    <t>46571585</t>
  </si>
  <si>
    <t>73491513</t>
  </si>
  <si>
    <t>46944482</t>
  </si>
  <si>
    <t>71372838</t>
  </si>
  <si>
    <t>204399836</t>
  </si>
  <si>
    <t xml:space="preserve">Tj  876 NE (Snv 876 NE) </t>
  </si>
  <si>
    <t>43408406</t>
  </si>
  <si>
    <t>171_1</t>
  </si>
  <si>
    <t>171_2</t>
  </si>
  <si>
    <t>48844439</t>
  </si>
  <si>
    <t>43944482</t>
  </si>
  <si>
    <t>172_1</t>
  </si>
  <si>
    <t>28804427</t>
  </si>
  <si>
    <t>48573315</t>
  </si>
  <si>
    <t>173_1</t>
  </si>
  <si>
    <t>173_2</t>
  </si>
  <si>
    <t>173_3</t>
  </si>
  <si>
    <t>Snv 876 NE (Est 877 NW)</t>
  </si>
  <si>
    <t>43908496</t>
  </si>
  <si>
    <t>77434801</t>
  </si>
  <si>
    <t>174_1</t>
  </si>
  <si>
    <t>174_2</t>
  </si>
  <si>
    <t>Snv  865 SW (Est 966 S)</t>
  </si>
  <si>
    <t>19979729</t>
  </si>
  <si>
    <t>WI-10</t>
  </si>
  <si>
    <t>WI-09</t>
  </si>
  <si>
    <t>WI-06</t>
  </si>
  <si>
    <t>WI-08</t>
  </si>
  <si>
    <t>28808427</t>
  </si>
  <si>
    <t>80810895</t>
  </si>
  <si>
    <t>175_1</t>
  </si>
  <si>
    <t>45671585</t>
  </si>
  <si>
    <t>176_1</t>
  </si>
  <si>
    <t>44818503</t>
  </si>
  <si>
    <t>47038398</t>
  </si>
  <si>
    <t>46866629</t>
  </si>
  <si>
    <t>44830371</t>
  </si>
  <si>
    <t>71485405</t>
  </si>
  <si>
    <t>71115706</t>
  </si>
  <si>
    <t>40046071</t>
  </si>
  <si>
    <t>70830501</t>
  </si>
  <si>
    <t>74540459</t>
  </si>
  <si>
    <t>75604100</t>
  </si>
  <si>
    <t>47243781</t>
  </si>
  <si>
    <t>76954829</t>
  </si>
  <si>
    <t>7743901</t>
  </si>
  <si>
    <t>47038395</t>
  </si>
  <si>
    <t>76959824</t>
  </si>
  <si>
    <t>74540259</t>
  </si>
  <si>
    <t>41243821</t>
  </si>
  <si>
    <t>71379162</t>
  </si>
  <si>
    <t>710111238</t>
  </si>
  <si>
    <t>77439011</t>
  </si>
  <si>
    <t>177_1</t>
  </si>
  <si>
    <t>177_2</t>
  </si>
  <si>
    <t>178_1</t>
  </si>
  <si>
    <t>178_2</t>
  </si>
  <si>
    <t>179_1</t>
  </si>
  <si>
    <t>179_2</t>
  </si>
  <si>
    <t>180_1</t>
  </si>
  <si>
    <t>171_3</t>
  </si>
  <si>
    <t>76959829</t>
  </si>
  <si>
    <t>41243921</t>
  </si>
  <si>
    <t xml:space="preserve"> </t>
  </si>
  <si>
    <t>45767526</t>
  </si>
  <si>
    <t>181_1</t>
  </si>
  <si>
    <t>181_2</t>
  </si>
  <si>
    <t>470383395</t>
  </si>
  <si>
    <t>182_1</t>
  </si>
  <si>
    <t>28809423</t>
  </si>
  <si>
    <t>183_1</t>
  </si>
  <si>
    <t>183_2</t>
  </si>
  <si>
    <t>183_3</t>
  </si>
  <si>
    <t>182_2</t>
  </si>
  <si>
    <t>48274005</t>
  </si>
  <si>
    <t>70190476</t>
  </si>
  <si>
    <t>184_1</t>
  </si>
  <si>
    <t>184_3</t>
  </si>
  <si>
    <t>184_2</t>
  </si>
  <si>
    <t>WI_09</t>
  </si>
  <si>
    <t>WI_10</t>
  </si>
  <si>
    <t>2880927</t>
  </si>
  <si>
    <t>185_1</t>
  </si>
  <si>
    <t>185_2</t>
  </si>
  <si>
    <t>185_3</t>
  </si>
  <si>
    <t>CACHORRO</t>
  </si>
  <si>
    <t>Tj 885 SW (Inc 822 NE)</t>
  </si>
  <si>
    <t>VANESSA</t>
  </si>
  <si>
    <t>EXPLORACION</t>
  </si>
  <si>
    <t>Snv 883 NE (Inc 863 SE)</t>
  </si>
  <si>
    <t>EXPLOTACION</t>
  </si>
  <si>
    <t>186_1</t>
  </si>
  <si>
    <t>186_2</t>
  </si>
  <si>
    <t>WI_08</t>
  </si>
  <si>
    <t>Snv 881 NE (Tj 876 NE)</t>
  </si>
  <si>
    <t>ESCONDIDA</t>
  </si>
  <si>
    <t>PREPARACION</t>
  </si>
  <si>
    <t>MANUEL</t>
  </si>
  <si>
    <t>187_1</t>
  </si>
  <si>
    <t>187_2</t>
  </si>
  <si>
    <t>187_3</t>
  </si>
  <si>
    <t>187_4</t>
  </si>
  <si>
    <t>44830373</t>
  </si>
  <si>
    <t>188_1</t>
  </si>
  <si>
    <t>188_2</t>
  </si>
  <si>
    <t>188_3</t>
  </si>
  <si>
    <t>188_4</t>
  </si>
  <si>
    <t>188_5</t>
  </si>
  <si>
    <t>29380249</t>
  </si>
  <si>
    <t>189_1</t>
  </si>
  <si>
    <t>189_2</t>
  </si>
  <si>
    <t>189_3</t>
  </si>
  <si>
    <t>189_4</t>
  </si>
  <si>
    <t>189_5</t>
  </si>
  <si>
    <t>70830505</t>
  </si>
  <si>
    <t>190_1</t>
  </si>
  <si>
    <t>190_2</t>
  </si>
  <si>
    <t>190_3</t>
  </si>
  <si>
    <t>190_4</t>
  </si>
  <si>
    <t>190_5</t>
  </si>
  <si>
    <t>48673315</t>
  </si>
  <si>
    <t>191_1</t>
  </si>
  <si>
    <t>41293921</t>
  </si>
  <si>
    <t>74927776</t>
  </si>
  <si>
    <t>193_1</t>
  </si>
  <si>
    <t>192_1</t>
  </si>
  <si>
    <t xml:space="preserve">Tj </t>
  </si>
  <si>
    <t>46856629</t>
  </si>
  <si>
    <t>44930371</t>
  </si>
  <si>
    <t>194_1</t>
  </si>
  <si>
    <t>194_2</t>
  </si>
  <si>
    <t>WI_9</t>
  </si>
  <si>
    <t>195_1</t>
  </si>
  <si>
    <t>195_2</t>
  </si>
  <si>
    <t>74540251</t>
  </si>
  <si>
    <t>472443781</t>
  </si>
  <si>
    <t>196_1</t>
  </si>
  <si>
    <t>196_2</t>
  </si>
  <si>
    <t>196_3</t>
  </si>
  <si>
    <t>196_4</t>
  </si>
  <si>
    <t>196_5</t>
  </si>
  <si>
    <t>48000981</t>
  </si>
  <si>
    <t>197_1</t>
  </si>
  <si>
    <t>197_2</t>
  </si>
  <si>
    <t>197_3</t>
  </si>
  <si>
    <t>Ch 890 (Snv 883 NE)</t>
  </si>
  <si>
    <t>70291386</t>
  </si>
  <si>
    <t>41890317</t>
  </si>
  <si>
    <t>198_1</t>
  </si>
  <si>
    <t>198_2</t>
  </si>
  <si>
    <t>198_3</t>
  </si>
  <si>
    <t>198_4</t>
  </si>
  <si>
    <t>71293921</t>
  </si>
  <si>
    <t>76379162</t>
  </si>
  <si>
    <t>199_1</t>
  </si>
  <si>
    <t>199_2</t>
  </si>
  <si>
    <t>199_3</t>
  </si>
  <si>
    <t>199_4</t>
  </si>
  <si>
    <t>Snv 885 SW (Tj 888 SW)</t>
  </si>
  <si>
    <t>20437986</t>
  </si>
  <si>
    <t>200_1</t>
  </si>
  <si>
    <t>200_2</t>
  </si>
  <si>
    <t>200_3</t>
  </si>
  <si>
    <t>200_4</t>
  </si>
  <si>
    <t>74695055</t>
  </si>
  <si>
    <t>201_1</t>
  </si>
  <si>
    <t>201_2</t>
  </si>
  <si>
    <t>201_3</t>
  </si>
  <si>
    <t>26434986</t>
  </si>
  <si>
    <t>202_1</t>
  </si>
  <si>
    <t>202_2</t>
  </si>
  <si>
    <t>202_3</t>
  </si>
  <si>
    <t>202_4</t>
  </si>
  <si>
    <t>74221182</t>
  </si>
  <si>
    <t>48105203</t>
  </si>
  <si>
    <t>203_1</t>
  </si>
  <si>
    <t>203_2</t>
  </si>
  <si>
    <t>203_3</t>
  </si>
  <si>
    <t>203_4</t>
  </si>
  <si>
    <t>203_5</t>
  </si>
  <si>
    <t>Tj 883 NE (Snv 883 NE)</t>
  </si>
  <si>
    <t>58855306</t>
  </si>
  <si>
    <t>204_1</t>
  </si>
  <si>
    <t>204_2</t>
  </si>
  <si>
    <t>204_3</t>
  </si>
  <si>
    <t>204_4</t>
  </si>
  <si>
    <t>41213921</t>
  </si>
  <si>
    <t>205_1</t>
  </si>
  <si>
    <t>205_2</t>
  </si>
  <si>
    <t>205_3</t>
  </si>
  <si>
    <t>205_4</t>
  </si>
  <si>
    <t>206_1</t>
  </si>
  <si>
    <t>206_2</t>
  </si>
  <si>
    <t>206_3</t>
  </si>
  <si>
    <t>206_4</t>
  </si>
  <si>
    <t>206_6</t>
  </si>
  <si>
    <t>207_1</t>
  </si>
  <si>
    <t>207_2</t>
  </si>
  <si>
    <t>207_3</t>
  </si>
  <si>
    <t>207_4</t>
  </si>
  <si>
    <t>Snv 030 SW (Est 030 SW)</t>
  </si>
  <si>
    <t>45753734</t>
  </si>
  <si>
    <t>73570803</t>
  </si>
  <si>
    <t>208_1</t>
  </si>
  <si>
    <t>208_2</t>
  </si>
  <si>
    <t>40046171</t>
  </si>
  <si>
    <t>70190486</t>
  </si>
  <si>
    <t>209_1</t>
  </si>
  <si>
    <t>209_2</t>
  </si>
  <si>
    <t>209_3</t>
  </si>
  <si>
    <t>28825306</t>
  </si>
  <si>
    <t>210_1</t>
  </si>
  <si>
    <t>210_2</t>
  </si>
  <si>
    <t>210_3</t>
  </si>
  <si>
    <t>7190476</t>
  </si>
  <si>
    <t>41245921</t>
  </si>
  <si>
    <t>WI_07</t>
  </si>
  <si>
    <t>211_1</t>
  </si>
  <si>
    <t>211_2</t>
  </si>
  <si>
    <t>211_3</t>
  </si>
  <si>
    <t>211_4</t>
  </si>
  <si>
    <t>211_5</t>
  </si>
  <si>
    <t>28855606</t>
  </si>
  <si>
    <t>212_1</t>
  </si>
  <si>
    <t>212_2</t>
  </si>
  <si>
    <t>212_3</t>
  </si>
  <si>
    <t>212_4</t>
  </si>
  <si>
    <t>212_5</t>
  </si>
  <si>
    <t>212_6</t>
  </si>
  <si>
    <t>40646071</t>
  </si>
  <si>
    <t>213_1</t>
  </si>
  <si>
    <t>213_2</t>
  </si>
  <si>
    <t>213_3</t>
  </si>
  <si>
    <t>213_4</t>
  </si>
  <si>
    <t>213_5</t>
  </si>
  <si>
    <t>213_6</t>
  </si>
  <si>
    <t>73590803</t>
  </si>
  <si>
    <t>28825206</t>
  </si>
  <si>
    <t>214_1</t>
  </si>
  <si>
    <t>214_2</t>
  </si>
  <si>
    <t>214_3</t>
  </si>
  <si>
    <t>215_1</t>
  </si>
  <si>
    <t>215_2</t>
  </si>
  <si>
    <t>215_3</t>
  </si>
  <si>
    <t>215_4</t>
  </si>
  <si>
    <t>WI_7</t>
  </si>
  <si>
    <t xml:space="preserve"> 41779807</t>
  </si>
  <si>
    <t>456571585</t>
  </si>
  <si>
    <t>28553056</t>
  </si>
  <si>
    <t>216_1</t>
  </si>
  <si>
    <t>216_2</t>
  </si>
  <si>
    <t>216_3</t>
  </si>
  <si>
    <t>216_4</t>
  </si>
  <si>
    <t>44818502</t>
  </si>
  <si>
    <t>217_1</t>
  </si>
  <si>
    <t>217_2</t>
  </si>
  <si>
    <t>217_3</t>
  </si>
  <si>
    <t>217_4</t>
  </si>
  <si>
    <t>1E58ZP</t>
  </si>
  <si>
    <t>EXPLOR,VANESSA,Snv 861 SW (Est 880 NW) ,PERFORACION</t>
  </si>
  <si>
    <t>1E58ZV</t>
  </si>
  <si>
    <t>EXPLOR,VANESSA,Snv 861 SW (Est 880 NW) ,VOLADURA</t>
  </si>
  <si>
    <t>1E58ZL</t>
  </si>
  <si>
    <t>EXPLOR,VANESSA,Snv 861 SW (Est 880 NW) ,LIMPIEZA</t>
  </si>
  <si>
    <t>1E58ZS</t>
  </si>
  <si>
    <t>EXPLOR,VANESSA,Snv 861 SW (Est 880 NW) ,SOSTENIMIENTO</t>
  </si>
  <si>
    <t>1E58ZO</t>
  </si>
  <si>
    <t>EXPLOR,VANESSA,Snv 861 SW (Est 880 NW) ,SERVICIO</t>
  </si>
  <si>
    <t>1E58YP</t>
  </si>
  <si>
    <t>EXPLOR,VANESSA,Snv 861 NE (Est 880 NW) ,PERFORACION</t>
  </si>
  <si>
    <t>1E58YV</t>
  </si>
  <si>
    <t>EXPLOR,VANESSA,Snv 861 NE (Est 880 NW) ,VOLADURA</t>
  </si>
  <si>
    <t>1E58YL</t>
  </si>
  <si>
    <t>EXPLOR,VANESSA,Snv 861 NE (Est 880 NW) ,LIMPIEZA</t>
  </si>
  <si>
    <t>1E58YS</t>
  </si>
  <si>
    <t>EXPLOR,VANESSA,Snv 861 NE (Est 880 NW) ,SOSTENIMIENTO</t>
  </si>
  <si>
    <t>1E58YO</t>
  </si>
  <si>
    <t>EXPLOR,VANESSA,Snv 861 NE (Est 880 NW) ,SERVICIO</t>
  </si>
  <si>
    <t xml:space="preserve">Snv 861 NE (Est 880 NW) </t>
  </si>
  <si>
    <t>5N73RP</t>
  </si>
  <si>
    <t>EXPLOT,ESCONDIDA,Tj 883 NE (Snv 883 NE),PERFORACION</t>
  </si>
  <si>
    <t>5N73RV</t>
  </si>
  <si>
    <t>EXPLOT,ESCONDIDA,Tj 883 NE (Snv 883 NE),VOLADURA</t>
  </si>
  <si>
    <t>5N73RL</t>
  </si>
  <si>
    <t>EXPLOT,ESCONDIDA,Tj 883 NE (Snv 883 NE),LIMPIEZA</t>
  </si>
  <si>
    <t>5N73RS</t>
  </si>
  <si>
    <t>EXPLOT,ESCONDIDA,Tj 883 NE (Snv 883 NE),SOSTENIMIENTO</t>
  </si>
  <si>
    <t>5N73RO</t>
  </si>
  <si>
    <t>EXPLOT,ESCONDIDA,Tj 883 NE (Snv 883 NE),SERVICIO</t>
  </si>
  <si>
    <t>5N73RR</t>
  </si>
  <si>
    <t>EXPLOT,ESCONDIDA,Tj 883 NE (Snv 883 NE),RELLENO</t>
  </si>
  <si>
    <t>48399713</t>
  </si>
  <si>
    <t>28858306</t>
  </si>
  <si>
    <t>218_1</t>
  </si>
  <si>
    <t>218_2</t>
  </si>
  <si>
    <t>218_3</t>
  </si>
  <si>
    <t>48866629</t>
  </si>
  <si>
    <t>71115806</t>
  </si>
  <si>
    <t>49818503</t>
  </si>
  <si>
    <t>219_1</t>
  </si>
  <si>
    <t>219_2</t>
  </si>
  <si>
    <t>WI-07</t>
  </si>
  <si>
    <t>79221182</t>
  </si>
  <si>
    <t>220_1</t>
  </si>
  <si>
    <t>220_2</t>
  </si>
  <si>
    <t>Snv 885 SW (Est 945 SE)</t>
  </si>
  <si>
    <t xml:space="preserve">Snv 861 SW (Est 880 NW) </t>
  </si>
  <si>
    <t>77434011</t>
  </si>
  <si>
    <t>221_1</t>
  </si>
  <si>
    <t>221_2</t>
  </si>
  <si>
    <t>222_1</t>
  </si>
  <si>
    <t>222_2</t>
  </si>
  <si>
    <t>Cx 169 NE (Gal 127 NE)</t>
  </si>
  <si>
    <t>(en blanco)</t>
  </si>
  <si>
    <t>Ch 880 (Est 877 SE)</t>
  </si>
  <si>
    <t>Est 870 NW (Est 869 SW)</t>
  </si>
  <si>
    <t>CX 150 NW (GAL 170 SW)</t>
  </si>
  <si>
    <t>Est 924 SE (Tj 870 SW)</t>
  </si>
  <si>
    <t>Snv 915 NE (Est 912 SE)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</si>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</sst>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\ &quot;TM/m3&quot;"/>
    <numFmt numFmtId="165" formatCode="0.0%"/>
    <numFmt numFmtId="166" formatCode="#,##0.0000\ &quot;Tc/TM&quot;"/>
    <numFmt numFmtId="167" formatCode="#,##0.00\ &quot;m&quot;"/>
    <numFmt numFmtId="168" formatCode="#,##0.00\ &quot;m2&quot;"/>
    <numFmt numFmtId="169" formatCode="#,##0.00000\ &quot;pie/m&quot;"/>
    <numFmt numFmtId="170" formatCode="#,##0\ &quot;pies&quot;"/>
    <numFmt numFmtId="171" formatCode="0.0000"/>
    <numFmt numFmtId="172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rgb="FF006FC9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CC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10" borderId="0" applyNumberFormat="0" applyBorder="0" applyAlignment="0" applyProtection="0"/>
    <xf numFmtId="0" fontId="9" fillId="0" borderId="0"/>
  </cellStyleXfs>
  <cellXfs count="497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" fontId="0" fillId="0" borderId="0" xfId="0" applyNumberFormat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4" fillId="6" borderId="0" xfId="0" applyFont="1" applyFill="1" applyAlignment="1" applyProtection="1">
      <alignment horizontal="center" vertical="center"/>
    </xf>
    <xf numFmtId="0" fontId="4" fillId="7" borderId="0" xfId="0" applyFont="1" applyFill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2" fontId="0" fillId="0" borderId="0" xfId="0" applyNumberFormat="1" applyFont="1" applyAlignment="1" applyProtection="1">
      <alignment horizontal="center" vertical="center"/>
    </xf>
    <xf numFmtId="171" fontId="0" fillId="0" borderId="0" xfId="0" applyNumberFormat="1" applyAlignment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left" vertical="center" indent="1"/>
    </xf>
    <xf numFmtId="0" fontId="1" fillId="0" borderId="0" xfId="0" applyFont="1" applyAlignment="1" applyProtection="1">
      <alignment horizontal="center" vertical="center" wrapText="1"/>
    </xf>
    <xf numFmtId="0" fontId="4" fillId="3" borderId="0" xfId="0" applyFont="1" applyFill="1" applyAlignment="1" applyProtection="1">
      <alignment horizontal="center" vertical="center" wrapText="1"/>
    </xf>
    <xf numFmtId="0" fontId="1" fillId="4" borderId="0" xfId="0" applyFont="1" applyFill="1" applyAlignment="1" applyProtection="1">
      <alignment horizontal="center" vertical="center" wrapText="1"/>
    </xf>
    <xf numFmtId="2" fontId="1" fillId="4" borderId="0" xfId="0" applyNumberFormat="1" applyFont="1" applyFill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2" fontId="1" fillId="3" borderId="0" xfId="0" applyNumberFormat="1" applyFont="1" applyFill="1" applyAlignment="1" applyProtection="1">
      <alignment horizontal="center" wrapText="1"/>
    </xf>
    <xf numFmtId="0" fontId="0" fillId="0" borderId="0" xfId="0" applyNumberFormat="1" applyBorder="1"/>
    <xf numFmtId="0" fontId="2" fillId="5" borderId="2" xfId="0" applyFont="1" applyFill="1" applyBorder="1" applyAlignment="1" applyProtection="1">
      <alignment horizontal="center" vertical="center" wrapText="1"/>
    </xf>
    <xf numFmtId="0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NumberFormat="1" applyFont="1" applyAlignment="1" applyProtection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 applyProtection="1">
      <alignment horizontal="center" vertical="center"/>
    </xf>
    <xf numFmtId="0" fontId="0" fillId="0" borderId="0" xfId="0" applyFill="1" applyProtection="1"/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 wrapText="1"/>
    </xf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>
      <alignment horizontal="center" wrapText="1"/>
    </xf>
    <xf numFmtId="0" fontId="0" fillId="0" borderId="0" xfId="0" applyFont="1" applyAlignment="1" applyProtection="1">
      <alignment horizontal="left" vertical="center"/>
    </xf>
    <xf numFmtId="0" fontId="0" fillId="0" borderId="0" xfId="0" applyNumberFormat="1" applyFont="1" applyFill="1" applyAlignment="1" applyProtection="1">
      <alignment horizontal="center" vertical="center"/>
    </xf>
    <xf numFmtId="2" fontId="0" fillId="0" borderId="0" xfId="0" applyNumberFormat="1" applyFont="1" applyAlignment="1" applyProtection="1">
      <alignment horizontal="center" vertical="center" wrapText="1"/>
    </xf>
    <xf numFmtId="2" fontId="0" fillId="0" borderId="0" xfId="0" applyNumberFormat="1" applyAlignment="1" applyProtection="1">
      <alignment wrapText="1"/>
    </xf>
    <xf numFmtId="171" fontId="0" fillId="0" borderId="0" xfId="0" applyNumberFormat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 wrapText="1"/>
    </xf>
    <xf numFmtId="2" fontId="0" fillId="0" borderId="0" xfId="0" applyNumberFormat="1" applyFill="1" applyProtection="1"/>
    <xf numFmtId="0" fontId="0" fillId="0" borderId="0" xfId="0" applyFont="1" applyFill="1" applyAlignment="1" applyProtection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Font="1" applyFill="1" applyAlignment="1" applyProtection="1">
      <alignment horizontal="center" vertical="center" wrapText="1"/>
    </xf>
    <xf numFmtId="171" fontId="0" fillId="11" borderId="3" xfId="0" applyNumberFormat="1" applyFont="1" applyFill="1" applyBorder="1" applyAlignment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 textRotation="90" wrapText="1"/>
    </xf>
    <xf numFmtId="0" fontId="0" fillId="9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0" xfId="0" applyNumberFormat="1" applyAlignment="1">
      <alignment horizontal="left" vertical="center"/>
    </xf>
    <xf numFmtId="2" fontId="0" fillId="0" borderId="0" xfId="0" applyNumberFormat="1" applyFont="1" applyFill="1" applyAlignment="1" applyProtection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2" fontId="0" fillId="12" borderId="0" xfId="0" applyNumberFormat="1" applyFont="1" applyFill="1" applyBorder="1" applyAlignment="1" applyProtection="1">
      <alignment horizontal="center" vertical="center"/>
    </xf>
    <xf numFmtId="0" fontId="0" fillId="13" borderId="0" xfId="0" applyFill="1"/>
    <xf numFmtId="0" fontId="0" fillId="14" borderId="4" xfId="0" applyFill="1" applyBorder="1"/>
    <xf numFmtId="0" fontId="0" fillId="14" borderId="5" xfId="0" applyFill="1" applyBorder="1"/>
    <xf numFmtId="0" fontId="0" fillId="14" borderId="1" xfId="0" applyFill="1" applyBorder="1"/>
    <xf numFmtId="0" fontId="0" fillId="2" borderId="0" xfId="0" applyFill="1"/>
    <xf numFmtId="14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8" fillId="0" borderId="0" xfId="0" applyFont="1"/>
    <xf numFmtId="0" fontId="0" fillId="0" borderId="0" xfId="0" applyFont="1" applyBorder="1" applyAlignment="1">
      <alignment vertical="center"/>
    </xf>
    <xf numFmtId="172" fontId="0" fillId="0" borderId="0" xfId="0" applyNumberFormat="1" applyAlignment="1" applyProtection="1">
      <alignment horizontal="center" vertical="center"/>
    </xf>
    <xf numFmtId="172" fontId="0" fillId="0" borderId="0" xfId="0" applyNumberFormat="1" applyFill="1" applyBorder="1" applyAlignment="1" applyProtection="1">
      <alignment horizontal="center" vertical="center"/>
    </xf>
    <xf numFmtId="2" fontId="10" fillId="12" borderId="0" xfId="0" applyNumberFormat="1" applyFont="1" applyFill="1" applyBorder="1" applyAlignment="1" applyProtection="1">
      <alignment horizontal="center" vertical="center"/>
    </xf>
    <xf numFmtId="171" fontId="1" fillId="15" borderId="0" xfId="0" applyNumberFormat="1" applyFont="1" applyFill="1" applyAlignment="1" applyProtection="1">
      <alignment horizontal="center" wrapText="1"/>
    </xf>
    <xf numFmtId="0" fontId="0" fillId="16" borderId="0" xfId="0" applyFill="1" applyProtection="1"/>
    <xf numFmtId="0" fontId="0" fillId="15" borderId="0" xfId="0" applyFill="1" applyAlignment="1" applyProtection="1">
      <alignment horizontal="center" vertical="center"/>
    </xf>
    <xf numFmtId="0" fontId="0" fillId="0" borderId="0" xfId="0" applyFill="1" applyBorder="1"/>
    <xf numFmtId="0" fontId="0" fillId="0" borderId="0" xfId="0" applyFont="1" applyFill="1" applyAlignment="1"/>
    <xf numFmtId="0" fontId="0" fillId="0" borderId="0" xfId="0" applyFont="1" applyFill="1"/>
    <xf numFmtId="0" fontId="4" fillId="0" borderId="0" xfId="0" applyFont="1" applyFill="1" applyAlignment="1"/>
    <xf numFmtId="0" fontId="4" fillId="0" borderId="0" xfId="0" applyFont="1" applyFill="1"/>
    <xf numFmtId="0" fontId="11" fillId="17" borderId="6" xfId="0" applyFont="1" applyFill="1" applyBorder="1" applyAlignment="1">
      <alignment wrapText="1"/>
    </xf>
    <xf numFmtId="14" fontId="0" fillId="0" borderId="7" xfId="0" applyNumberFormat="1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wrapText="1"/>
    </xf>
    <xf numFmtId="0" fontId="0" fillId="0" borderId="7" xfId="0" applyFill="1" applyBorder="1" applyProtection="1"/>
    <xf numFmtId="0" fontId="0" fillId="0" borderId="8" xfId="0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wrapText="1"/>
    </xf>
    <xf numFmtId="0" fontId="0" fillId="0" borderId="8" xfId="0" applyFill="1" applyBorder="1" applyProtection="1"/>
    <xf numFmtId="10" fontId="12" fillId="0" borderId="0" xfId="0" applyNumberFormat="1" applyFont="1" applyFill="1" applyAlignment="1" applyProtection="1">
      <alignment horizontal="center" vertical="center" wrapText="1"/>
    </xf>
    <xf numFmtId="0" fontId="0" fillId="0" borderId="8" xfId="0" applyFont="1" applyFill="1" applyBorder="1" applyAlignment="1" applyProtection="1">
      <alignment horizontal="center" vertical="center"/>
    </xf>
    <xf numFmtId="0" fontId="0" fillId="0" borderId="8" xfId="0" applyFont="1" applyFill="1" applyBorder="1" applyAlignment="1" applyProtection="1">
      <alignment vertical="center"/>
    </xf>
    <xf numFmtId="0" fontId="0" fillId="0" borderId="8" xfId="0" applyNumberFormat="1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/>
    </xf>
    <xf numFmtId="49" fontId="0" fillId="0" borderId="8" xfId="0" applyNumberFormat="1" applyFont="1" applyFill="1" applyBorder="1" applyAlignment="1" applyProtection="1">
      <alignment horizontal="center" vertical="center"/>
    </xf>
    <xf numFmtId="49" fontId="0" fillId="0" borderId="8" xfId="0" applyNumberFormat="1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left" vertical="center"/>
    </xf>
    <xf numFmtId="2" fontId="0" fillId="0" borderId="8" xfId="0" applyNumberFormat="1" applyFont="1" applyBorder="1" applyAlignment="1" applyProtection="1">
      <alignment horizontal="center" vertical="center"/>
    </xf>
    <xf numFmtId="2" fontId="0" fillId="12" borderId="8" xfId="0" applyNumberFormat="1" applyFont="1" applyFill="1" applyBorder="1" applyAlignment="1" applyProtection="1">
      <alignment horizontal="center" vertical="center"/>
    </xf>
    <xf numFmtId="0" fontId="0" fillId="0" borderId="8" xfId="0" applyNumberFormat="1" applyFont="1" applyFill="1" applyBorder="1" applyAlignment="1" applyProtection="1">
      <alignment horizontal="center" vertical="center"/>
    </xf>
    <xf numFmtId="2" fontId="0" fillId="0" borderId="8" xfId="0" applyNumberFormat="1" applyFont="1" applyFill="1" applyBorder="1" applyAlignment="1" applyProtection="1">
      <alignment horizontal="center" vertical="center"/>
    </xf>
    <xf numFmtId="2" fontId="0" fillId="0" borderId="8" xfId="0" applyNumberFormat="1" applyFont="1" applyBorder="1" applyAlignment="1" applyProtection="1">
      <alignment horizontal="center" vertical="center" wrapText="1"/>
    </xf>
    <xf numFmtId="2" fontId="0" fillId="0" borderId="8" xfId="0" applyNumberFormat="1" applyFont="1" applyFill="1" applyBorder="1" applyAlignment="1" applyProtection="1">
      <alignment horizontal="center" vertical="center" wrapText="1"/>
    </xf>
    <xf numFmtId="14" fontId="0" fillId="0" borderId="8" xfId="0" applyNumberFormat="1" applyFont="1" applyFill="1" applyBorder="1" applyAlignment="1" applyProtection="1">
      <alignment horizontal="center" vertical="center"/>
    </xf>
    <xf numFmtId="0" fontId="11" fillId="17" borderId="0" xfId="0" applyFont="1" applyFill="1" applyBorder="1" applyAlignment="1">
      <alignment wrapText="1"/>
    </xf>
    <xf numFmtId="0" fontId="0" fillId="0" borderId="6" xfId="0" applyFill="1" applyBorder="1" applyAlignment="1"/>
    <xf numFmtId="0" fontId="0" fillId="0" borderId="6" xfId="0" applyFill="1" applyBorder="1"/>
    <xf numFmtId="0" fontId="0" fillId="0" borderId="0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wrapText="1"/>
    </xf>
    <xf numFmtId="0" fontId="0" fillId="0" borderId="0" xfId="0" applyFill="1" applyBorder="1" applyProtection="1"/>
    <xf numFmtId="0" fontId="14" fillId="0" borderId="0" xfId="0" applyFont="1" applyFill="1" applyBorder="1" applyAlignment="1" applyProtection="1">
      <alignment horizontal="center" vertical="center"/>
    </xf>
    <xf numFmtId="49" fontId="14" fillId="0" borderId="0" xfId="0" applyNumberFormat="1" applyFont="1" applyFill="1" applyBorder="1" applyAlignment="1" applyProtection="1">
      <alignment horizontal="center" vertical="center"/>
    </xf>
    <xf numFmtId="2" fontId="14" fillId="12" borderId="0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vertical="center"/>
    </xf>
    <xf numFmtId="0" fontId="14" fillId="0" borderId="0" xfId="0" applyNumberFormat="1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 vertical="center"/>
    </xf>
    <xf numFmtId="49" fontId="14" fillId="0" borderId="0" xfId="0" applyNumberFormat="1" applyFont="1" applyAlignment="1" applyProtection="1">
      <alignment horizontal="center" vertical="center"/>
    </xf>
    <xf numFmtId="0" fontId="14" fillId="0" borderId="0" xfId="0" applyFont="1" applyAlignment="1" applyProtection="1">
      <alignment horizontal="left" vertical="center"/>
    </xf>
    <xf numFmtId="2" fontId="14" fillId="0" borderId="0" xfId="0" applyNumberFormat="1" applyFont="1" applyAlignment="1" applyProtection="1">
      <alignment horizontal="center" vertical="center"/>
    </xf>
    <xf numFmtId="0" fontId="14" fillId="0" borderId="0" xfId="0" applyNumberFormat="1" applyFont="1" applyFill="1" applyAlignment="1" applyProtection="1">
      <alignment horizontal="center" vertical="center"/>
    </xf>
    <xf numFmtId="2" fontId="14" fillId="0" borderId="0" xfId="0" applyNumberFormat="1" applyFont="1" applyFill="1" applyAlignment="1" applyProtection="1">
      <alignment horizontal="center" vertical="center"/>
    </xf>
    <xf numFmtId="2" fontId="14" fillId="0" borderId="0" xfId="0" applyNumberFormat="1" applyFont="1" applyAlignment="1" applyProtection="1">
      <alignment horizontal="center" vertical="center" wrapText="1"/>
    </xf>
    <xf numFmtId="2" fontId="14" fillId="0" borderId="0" xfId="0" applyNumberFormat="1" applyFont="1" applyFill="1" applyAlignment="1" applyProtection="1">
      <alignment horizontal="center" vertical="center" wrapText="1"/>
    </xf>
    <xf numFmtId="0" fontId="14" fillId="0" borderId="7" xfId="0" applyFont="1" applyFill="1" applyBorder="1" applyAlignment="1" applyProtection="1">
      <alignment horizontal="center" vertical="center"/>
    </xf>
    <xf numFmtId="0" fontId="14" fillId="0" borderId="7" xfId="0" applyFont="1" applyFill="1" applyBorder="1" applyAlignment="1" applyProtection="1">
      <alignment vertical="center"/>
    </xf>
    <xf numFmtId="0" fontId="14" fillId="0" borderId="7" xfId="0" applyNumberFormat="1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49" fontId="14" fillId="0" borderId="7" xfId="0" applyNumberFormat="1" applyFont="1" applyFill="1" applyBorder="1" applyAlignment="1" applyProtection="1">
      <alignment horizontal="center" vertical="center"/>
    </xf>
    <xf numFmtId="49" fontId="14" fillId="0" borderId="7" xfId="0" applyNumberFormat="1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left" vertical="center"/>
    </xf>
    <xf numFmtId="2" fontId="14" fillId="0" borderId="7" xfId="0" applyNumberFormat="1" applyFont="1" applyBorder="1" applyAlignment="1" applyProtection="1">
      <alignment horizontal="center" vertical="center"/>
    </xf>
    <xf numFmtId="2" fontId="14" fillId="12" borderId="7" xfId="0" applyNumberFormat="1" applyFont="1" applyFill="1" applyBorder="1" applyAlignment="1" applyProtection="1">
      <alignment horizontal="center" vertical="center"/>
    </xf>
    <xf numFmtId="0" fontId="14" fillId="0" borderId="7" xfId="0" applyNumberFormat="1" applyFont="1" applyFill="1" applyBorder="1" applyAlignment="1" applyProtection="1">
      <alignment horizontal="center" vertical="center"/>
    </xf>
    <xf numFmtId="2" fontId="14" fillId="0" borderId="7" xfId="0" applyNumberFormat="1" applyFont="1" applyFill="1" applyBorder="1" applyAlignment="1" applyProtection="1">
      <alignment horizontal="center" vertical="center"/>
    </xf>
    <xf numFmtId="2" fontId="14" fillId="0" borderId="7" xfId="0" applyNumberFormat="1" applyFont="1" applyBorder="1" applyAlignment="1" applyProtection="1">
      <alignment horizontal="center" vertical="center" wrapText="1"/>
    </xf>
    <xf numFmtId="2" fontId="14" fillId="0" borderId="7" xfId="0" applyNumberFormat="1" applyFont="1" applyFill="1" applyBorder="1" applyAlignment="1" applyProtection="1">
      <alignment horizontal="center" vertical="center" wrapText="1"/>
    </xf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14" fontId="15" fillId="0" borderId="0" xfId="0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vertical="center"/>
    </xf>
    <xf numFmtId="0" fontId="15" fillId="0" borderId="0" xfId="0" applyNumberFormat="1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49" fontId="15" fillId="0" borderId="0" xfId="0" applyNumberFormat="1" applyFont="1" applyFill="1" applyBorder="1" applyAlignment="1" applyProtection="1">
      <alignment horizontal="center" vertical="center"/>
    </xf>
    <xf numFmtId="49" fontId="15" fillId="0" borderId="0" xfId="0" applyNumberFormat="1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left" vertical="center"/>
    </xf>
    <xf numFmtId="2" fontId="15" fillId="0" borderId="0" xfId="0" applyNumberFormat="1" applyFont="1" applyBorder="1" applyAlignment="1" applyProtection="1">
      <alignment horizontal="center" vertical="center"/>
    </xf>
    <xf numFmtId="2" fontId="15" fillId="12" borderId="0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2" fontId="15" fillId="0" borderId="0" xfId="0" applyNumberFormat="1" applyFont="1" applyFill="1" applyBorder="1" applyAlignment="1" applyProtection="1">
      <alignment horizontal="center" vertical="center"/>
    </xf>
    <xf numFmtId="2" fontId="15" fillId="0" borderId="0" xfId="0" applyNumberFormat="1" applyFont="1" applyBorder="1" applyAlignment="1" applyProtection="1">
      <alignment horizontal="center" vertical="center" wrapText="1"/>
    </xf>
    <xf numFmtId="2" fontId="15" fillId="0" borderId="0" xfId="0" applyNumberFormat="1" applyFont="1" applyFill="1" applyBorder="1" applyAlignment="1" applyProtection="1">
      <alignment horizontal="center" vertical="center" wrapText="1"/>
    </xf>
    <xf numFmtId="0" fontId="11" fillId="0" borderId="6" xfId="0" applyFont="1" applyBorder="1" applyAlignment="1">
      <alignment wrapText="1"/>
    </xf>
    <xf numFmtId="14" fontId="15" fillId="0" borderId="7" xfId="0" applyNumberFormat="1" applyFont="1" applyFill="1" applyBorder="1" applyAlignment="1" applyProtection="1">
      <alignment horizontal="center" vertical="center"/>
    </xf>
    <xf numFmtId="0" fontId="15" fillId="0" borderId="7" xfId="0" applyFont="1" applyFill="1" applyBorder="1" applyAlignment="1" applyProtection="1">
      <alignment horizontal="center" vertical="center"/>
    </xf>
    <xf numFmtId="0" fontId="15" fillId="0" borderId="7" xfId="0" applyFont="1" applyFill="1" applyBorder="1" applyAlignment="1" applyProtection="1">
      <alignment vertical="center"/>
    </xf>
    <xf numFmtId="0" fontId="15" fillId="0" borderId="7" xfId="0" applyNumberFormat="1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  <xf numFmtId="49" fontId="15" fillId="0" borderId="7" xfId="0" applyNumberFormat="1" applyFont="1" applyFill="1" applyBorder="1" applyAlignment="1" applyProtection="1">
      <alignment horizontal="center" vertical="center"/>
    </xf>
    <xf numFmtId="49" fontId="15" fillId="0" borderId="7" xfId="0" applyNumberFormat="1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left" vertical="center"/>
    </xf>
    <xf numFmtId="2" fontId="15" fillId="0" borderId="7" xfId="0" applyNumberFormat="1" applyFont="1" applyBorder="1" applyAlignment="1" applyProtection="1">
      <alignment horizontal="center" vertical="center"/>
    </xf>
    <xf numFmtId="2" fontId="15" fillId="12" borderId="7" xfId="0" applyNumberFormat="1" applyFont="1" applyFill="1" applyBorder="1" applyAlignment="1" applyProtection="1">
      <alignment horizontal="center" vertical="center"/>
    </xf>
    <xf numFmtId="0" fontId="15" fillId="0" borderId="7" xfId="0" applyNumberFormat="1" applyFont="1" applyFill="1" applyBorder="1" applyAlignment="1" applyProtection="1">
      <alignment horizontal="center" vertical="center"/>
    </xf>
    <xf numFmtId="2" fontId="15" fillId="0" borderId="7" xfId="0" applyNumberFormat="1" applyFont="1" applyFill="1" applyBorder="1" applyAlignment="1" applyProtection="1">
      <alignment horizontal="center" vertical="center"/>
    </xf>
    <xf numFmtId="2" fontId="15" fillId="0" borderId="7" xfId="0" applyNumberFormat="1" applyFont="1" applyBorder="1" applyAlignment="1" applyProtection="1">
      <alignment horizontal="center" vertical="center" wrapText="1"/>
    </xf>
    <xf numFmtId="2" fontId="15" fillId="0" borderId="7" xfId="0" applyNumberFormat="1" applyFont="1" applyFill="1" applyBorder="1" applyAlignment="1" applyProtection="1">
      <alignment horizontal="center" vertical="center" wrapText="1"/>
    </xf>
    <xf numFmtId="2" fontId="15" fillId="0" borderId="0" xfId="0" applyNumberFormat="1" applyFont="1" applyFill="1" applyAlignment="1" applyProtection="1">
      <alignment horizontal="center" vertical="center" wrapText="1"/>
    </xf>
    <xf numFmtId="14" fontId="15" fillId="0" borderId="8" xfId="0" applyNumberFormat="1" applyFont="1" applyFill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vertical="center"/>
    </xf>
    <xf numFmtId="0" fontId="15" fillId="0" borderId="8" xfId="0" applyNumberFormat="1" applyFont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horizontal="center" vertical="center"/>
    </xf>
    <xf numFmtId="49" fontId="15" fillId="0" borderId="8" xfId="0" applyNumberFormat="1" applyFont="1" applyFill="1" applyBorder="1" applyAlignment="1" applyProtection="1">
      <alignment horizontal="center" vertical="center"/>
    </xf>
    <xf numFmtId="49" fontId="15" fillId="0" borderId="8" xfId="0" applyNumberFormat="1" applyFont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horizontal="left" vertical="center"/>
    </xf>
    <xf numFmtId="2" fontId="15" fillId="0" borderId="8" xfId="0" applyNumberFormat="1" applyFont="1" applyBorder="1" applyAlignment="1" applyProtection="1">
      <alignment horizontal="center" vertical="center"/>
    </xf>
    <xf numFmtId="2" fontId="15" fillId="12" borderId="8" xfId="0" applyNumberFormat="1" applyFont="1" applyFill="1" applyBorder="1" applyAlignment="1" applyProtection="1">
      <alignment horizontal="center" vertical="center"/>
    </xf>
    <xf numFmtId="0" fontId="15" fillId="0" borderId="8" xfId="0" applyNumberFormat="1" applyFont="1" applyFill="1" applyBorder="1" applyAlignment="1" applyProtection="1">
      <alignment horizontal="center" vertical="center"/>
    </xf>
    <xf numFmtId="2" fontId="15" fillId="0" borderId="8" xfId="0" applyNumberFormat="1" applyFont="1" applyFill="1" applyBorder="1" applyAlignment="1" applyProtection="1">
      <alignment horizontal="center" vertical="center"/>
    </xf>
    <xf numFmtId="2" fontId="15" fillId="0" borderId="8" xfId="0" applyNumberFormat="1" applyFont="1" applyBorder="1" applyAlignment="1" applyProtection="1">
      <alignment horizontal="center" vertical="center" wrapText="1"/>
    </xf>
    <xf numFmtId="2" fontId="15" fillId="0" borderId="8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/>
    </xf>
    <xf numFmtId="0" fontId="15" fillId="0" borderId="0" xfId="0" applyFont="1" applyFill="1" applyAlignment="1" applyProtection="1">
      <alignment vertical="center"/>
    </xf>
    <xf numFmtId="0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49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2" fontId="15" fillId="0" borderId="0" xfId="0" applyNumberFormat="1" applyFont="1" applyAlignment="1" applyProtection="1">
      <alignment horizontal="center" vertical="center"/>
    </xf>
    <xf numFmtId="0" fontId="15" fillId="0" borderId="0" xfId="0" applyNumberFormat="1" applyFont="1" applyFill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center" vertical="center" wrapText="1"/>
    </xf>
    <xf numFmtId="14" fontId="15" fillId="0" borderId="1" xfId="0" applyNumberFormat="1" applyFont="1" applyFill="1" applyBorder="1" applyAlignment="1" applyProtection="1">
      <alignment horizontal="center" vertical="center"/>
    </xf>
    <xf numFmtId="14" fontId="15" fillId="0" borderId="9" xfId="0" applyNumberFormat="1" applyFont="1" applyFill="1" applyBorder="1" applyAlignment="1" applyProtection="1">
      <alignment horizontal="center" vertical="center"/>
    </xf>
    <xf numFmtId="14" fontId="15" fillId="0" borderId="10" xfId="0" applyNumberFormat="1" applyFont="1" applyFill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5" fillId="0" borderId="9" xfId="0" applyFont="1" applyBorder="1" applyAlignment="1" applyProtection="1">
      <alignment horizontal="center" vertical="center"/>
    </xf>
    <xf numFmtId="2" fontId="0" fillId="0" borderId="0" xfId="0" applyNumberFormat="1" applyFont="1" applyBorder="1" applyAlignment="1" applyProtection="1">
      <alignment horizontal="center" vertical="center" wrapText="1"/>
    </xf>
    <xf numFmtId="0" fontId="0" fillId="2" borderId="0" xfId="0" applyFont="1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 wrapText="1"/>
    </xf>
    <xf numFmtId="0" fontId="0" fillId="0" borderId="11" xfId="0" applyFill="1" applyBorder="1" applyAlignment="1" applyProtection="1">
      <alignment wrapText="1"/>
    </xf>
    <xf numFmtId="0" fontId="0" fillId="0" borderId="11" xfId="0" applyFill="1" applyBorder="1" applyProtection="1"/>
    <xf numFmtId="14" fontId="15" fillId="0" borderId="12" xfId="0" applyNumberFormat="1" applyFont="1" applyFill="1" applyBorder="1" applyAlignment="1" applyProtection="1">
      <alignment horizontal="center" vertical="center"/>
    </xf>
    <xf numFmtId="0" fontId="15" fillId="0" borderId="12" xfId="0" applyFont="1" applyFill="1" applyBorder="1" applyAlignment="1" applyProtection="1">
      <alignment horizontal="center" vertical="center"/>
    </xf>
    <xf numFmtId="0" fontId="15" fillId="0" borderId="12" xfId="0" applyFont="1" applyFill="1" applyBorder="1" applyAlignment="1" applyProtection="1">
      <alignment vertical="center"/>
    </xf>
    <xf numFmtId="0" fontId="15" fillId="0" borderId="12" xfId="0" applyNumberFormat="1" applyFont="1" applyBorder="1" applyAlignment="1" applyProtection="1">
      <alignment horizontal="center" vertical="center"/>
    </xf>
    <xf numFmtId="0" fontId="15" fillId="0" borderId="12" xfId="0" applyFont="1" applyBorder="1" applyAlignment="1" applyProtection="1">
      <alignment horizontal="center" vertical="center"/>
    </xf>
    <xf numFmtId="49" fontId="15" fillId="0" borderId="12" xfId="0" applyNumberFormat="1" applyFont="1" applyFill="1" applyBorder="1" applyAlignment="1" applyProtection="1">
      <alignment horizontal="center" vertical="center"/>
    </xf>
    <xf numFmtId="49" fontId="15" fillId="0" borderId="12" xfId="0" applyNumberFormat="1" applyFont="1" applyBorder="1" applyAlignment="1" applyProtection="1">
      <alignment horizontal="center" vertical="center"/>
    </xf>
    <xf numFmtId="0" fontId="15" fillId="0" borderId="12" xfId="0" applyFont="1" applyBorder="1" applyAlignment="1" applyProtection="1">
      <alignment horizontal="left" vertical="center"/>
    </xf>
    <xf numFmtId="2" fontId="15" fillId="0" borderId="12" xfId="0" applyNumberFormat="1" applyFont="1" applyBorder="1" applyAlignment="1" applyProtection="1">
      <alignment horizontal="center" vertical="center"/>
    </xf>
    <xf numFmtId="2" fontId="15" fillId="12" borderId="12" xfId="0" applyNumberFormat="1" applyFont="1" applyFill="1" applyBorder="1" applyAlignment="1" applyProtection="1">
      <alignment horizontal="center" vertical="center"/>
    </xf>
    <xf numFmtId="0" fontId="15" fillId="0" borderId="12" xfId="0" applyNumberFormat="1" applyFont="1" applyFill="1" applyBorder="1" applyAlignment="1" applyProtection="1">
      <alignment horizontal="center" vertical="center"/>
    </xf>
    <xf numFmtId="2" fontId="15" fillId="0" borderId="12" xfId="0" applyNumberFormat="1" applyFont="1" applyFill="1" applyBorder="1" applyAlignment="1" applyProtection="1">
      <alignment horizontal="center" vertical="center"/>
    </xf>
    <xf numFmtId="2" fontId="15" fillId="0" borderId="12" xfId="0" applyNumberFormat="1" applyFont="1" applyBorder="1" applyAlignment="1" applyProtection="1">
      <alignment horizontal="center" vertical="center" wrapText="1"/>
    </xf>
    <xf numFmtId="0" fontId="0" fillId="0" borderId="12" xfId="0" applyFont="1" applyBorder="1" applyAlignment="1" applyProtection="1">
      <alignment horizontal="center" vertical="center"/>
    </xf>
    <xf numFmtId="0" fontId="0" fillId="0" borderId="12" xfId="0" applyFont="1" applyFill="1" applyBorder="1" applyAlignment="1" applyProtection="1">
      <alignment horizontal="center" vertical="center"/>
    </xf>
    <xf numFmtId="49" fontId="0" fillId="0" borderId="7" xfId="0" applyNumberFormat="1" applyFont="1" applyFill="1" applyBorder="1" applyAlignment="1" applyProtection="1">
      <alignment horizontal="center" vertical="center"/>
    </xf>
    <xf numFmtId="49" fontId="15" fillId="0" borderId="0" xfId="0" applyNumberFormat="1" applyFont="1" applyFill="1" applyAlignment="1" applyProtection="1">
      <alignment horizontal="center" vertical="center"/>
    </xf>
    <xf numFmtId="14" fontId="16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Alignment="1" applyProtection="1">
      <alignment vertical="center"/>
    </xf>
    <xf numFmtId="0" fontId="16" fillId="0" borderId="0" xfId="0" applyNumberFormat="1" applyFont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Fill="1" applyAlignment="1" applyProtection="1">
      <alignment horizontal="center" vertical="center"/>
    </xf>
    <xf numFmtId="49" fontId="16" fillId="0" borderId="0" xfId="0" applyNumberFormat="1" applyFont="1" applyFill="1" applyBorder="1" applyAlignment="1" applyProtection="1">
      <alignment horizontal="center" vertical="center"/>
    </xf>
    <xf numFmtId="49" fontId="16" fillId="0" borderId="0" xfId="0" applyNumberFormat="1" applyFont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/>
    </xf>
    <xf numFmtId="2" fontId="16" fillId="0" borderId="0" xfId="0" applyNumberFormat="1" applyFont="1" applyAlignment="1" applyProtection="1">
      <alignment horizontal="center" vertical="center"/>
    </xf>
    <xf numFmtId="2" fontId="16" fillId="12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Alignment="1" applyProtection="1">
      <alignment horizontal="center" vertical="center"/>
    </xf>
    <xf numFmtId="2" fontId="16" fillId="0" borderId="0" xfId="0" applyNumberFormat="1" applyFont="1" applyFill="1" applyAlignment="1" applyProtection="1">
      <alignment horizontal="center" vertical="center"/>
    </xf>
    <xf numFmtId="2" fontId="16" fillId="0" borderId="0" xfId="0" applyNumberFormat="1" applyFont="1" applyAlignment="1" applyProtection="1">
      <alignment horizontal="center" vertical="center" wrapText="1"/>
    </xf>
    <xf numFmtId="2" fontId="16" fillId="0" borderId="0" xfId="0" applyNumberFormat="1" applyFont="1" applyFill="1" applyAlignment="1" applyProtection="1">
      <alignment horizontal="center" vertical="center" wrapText="1"/>
    </xf>
    <xf numFmtId="14" fontId="16" fillId="0" borderId="8" xfId="0" applyNumberFormat="1" applyFont="1" applyFill="1" applyBorder="1" applyAlignment="1" applyProtection="1">
      <alignment horizontal="center" vertical="center"/>
    </xf>
    <xf numFmtId="0" fontId="16" fillId="0" borderId="8" xfId="0" applyFont="1" applyFill="1" applyBorder="1" applyAlignment="1" applyProtection="1">
      <alignment horizontal="center" vertical="center"/>
    </xf>
    <xf numFmtId="0" fontId="16" fillId="0" borderId="8" xfId="0" applyFont="1" applyFill="1" applyBorder="1" applyAlignment="1" applyProtection="1">
      <alignment vertical="center"/>
    </xf>
    <xf numFmtId="0" fontId="16" fillId="0" borderId="8" xfId="0" applyNumberFormat="1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49" fontId="16" fillId="0" borderId="8" xfId="0" applyNumberFormat="1" applyFont="1" applyFill="1" applyBorder="1" applyAlignment="1" applyProtection="1">
      <alignment horizontal="center" vertical="center"/>
    </xf>
    <xf numFmtId="49" fontId="16" fillId="0" borderId="8" xfId="0" applyNumberFormat="1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left" vertical="center"/>
    </xf>
    <xf numFmtId="2" fontId="16" fillId="0" borderId="8" xfId="0" applyNumberFormat="1" applyFont="1" applyBorder="1" applyAlignment="1" applyProtection="1">
      <alignment horizontal="center" vertical="center"/>
    </xf>
    <xf numFmtId="2" fontId="16" fillId="12" borderId="8" xfId="0" applyNumberFormat="1" applyFont="1" applyFill="1" applyBorder="1" applyAlignment="1" applyProtection="1">
      <alignment horizontal="center" vertical="center"/>
    </xf>
    <xf numFmtId="0" fontId="16" fillId="0" borderId="8" xfId="0" applyNumberFormat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 applyProtection="1">
      <alignment horizontal="center" vertical="center"/>
    </xf>
    <xf numFmtId="2" fontId="16" fillId="0" borderId="8" xfId="0" applyNumberFormat="1" applyFont="1" applyBorder="1" applyAlignment="1" applyProtection="1">
      <alignment horizontal="center" vertical="center" wrapText="1"/>
    </xf>
    <xf numFmtId="2" fontId="16" fillId="0" borderId="8" xfId="0" applyNumberFormat="1" applyFont="1" applyFill="1" applyBorder="1" applyAlignment="1" applyProtection="1">
      <alignment horizontal="center" vertical="center" wrapText="1"/>
    </xf>
    <xf numFmtId="0" fontId="16" fillId="18" borderId="0" xfId="0" applyFont="1" applyFill="1" applyAlignment="1" applyProtection="1">
      <alignment vertical="center"/>
    </xf>
    <xf numFmtId="0" fontId="0" fillId="19" borderId="0" xfId="0" applyFill="1" applyAlignment="1" applyProtection="1">
      <alignment horizontal="center" vertical="center"/>
    </xf>
    <xf numFmtId="0" fontId="0" fillId="19" borderId="0" xfId="0" applyFill="1"/>
    <xf numFmtId="0" fontId="0" fillId="19" borderId="0" xfId="0" applyFill="1" applyProtection="1"/>
    <xf numFmtId="2" fontId="0" fillId="19" borderId="0" xfId="0" applyNumberFormat="1" applyFill="1" applyAlignment="1" applyProtection="1">
      <alignment horizontal="center" vertical="center"/>
    </xf>
    <xf numFmtId="0" fontId="17" fillId="20" borderId="0" xfId="0" applyFont="1" applyFill="1" applyAlignment="1" applyProtection="1">
      <alignment horizontal="center" vertical="center"/>
    </xf>
    <xf numFmtId="0" fontId="0" fillId="21" borderId="0" xfId="0" applyFill="1" applyAlignment="1" applyProtection="1">
      <alignment horizontal="center" vertical="center"/>
    </xf>
    <xf numFmtId="14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vertical="center"/>
    </xf>
    <xf numFmtId="0" fontId="18" fillId="0" borderId="0" xfId="0" applyNumberFormat="1" applyFont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Fill="1" applyAlignment="1" applyProtection="1">
      <alignment horizontal="center" vertical="center"/>
    </xf>
    <xf numFmtId="49" fontId="18" fillId="0" borderId="0" xfId="0" applyNumberFormat="1" applyFont="1" applyFill="1" applyBorder="1" applyAlignment="1" applyProtection="1">
      <alignment horizontal="center" vertical="center"/>
    </xf>
    <xf numFmtId="49" fontId="18" fillId="0" borderId="0" xfId="0" applyNumberFormat="1" applyFont="1" applyAlignment="1" applyProtection="1">
      <alignment horizontal="center" vertical="center"/>
    </xf>
    <xf numFmtId="0" fontId="18" fillId="0" borderId="0" xfId="0" applyFont="1" applyAlignment="1" applyProtection="1">
      <alignment horizontal="left" vertical="center"/>
    </xf>
    <xf numFmtId="2" fontId="18" fillId="0" borderId="0" xfId="0" applyNumberFormat="1" applyFont="1" applyAlignment="1" applyProtection="1">
      <alignment horizontal="center" vertical="center"/>
    </xf>
    <xf numFmtId="2" fontId="18" fillId="12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center" vertical="center"/>
    </xf>
    <xf numFmtId="2" fontId="18" fillId="0" borderId="0" xfId="0" applyNumberFormat="1" applyFont="1" applyFill="1" applyAlignment="1" applyProtection="1">
      <alignment horizontal="center" vertical="center"/>
    </xf>
    <xf numFmtId="2" fontId="18" fillId="0" borderId="0" xfId="0" applyNumberFormat="1" applyFont="1" applyAlignment="1" applyProtection="1">
      <alignment horizontal="center" vertical="center" wrapText="1"/>
    </xf>
    <xf numFmtId="2" fontId="18" fillId="0" borderId="0" xfId="0" applyNumberFormat="1" applyFont="1" applyFill="1" applyAlignment="1" applyProtection="1">
      <alignment horizontal="center" vertical="center" wrapText="1"/>
    </xf>
    <xf numFmtId="0" fontId="16" fillId="0" borderId="7" xfId="0" applyFont="1" applyFill="1" applyBorder="1" applyAlignment="1" applyProtection="1">
      <alignment horizontal="center" vertical="center"/>
    </xf>
    <xf numFmtId="0" fontId="16" fillId="0" borderId="7" xfId="0" applyFont="1" applyFill="1" applyBorder="1" applyAlignment="1" applyProtection="1">
      <alignment vertical="center"/>
    </xf>
    <xf numFmtId="0" fontId="16" fillId="0" borderId="7" xfId="0" applyNumberFormat="1" applyFont="1" applyBorder="1" applyAlignment="1" applyProtection="1">
      <alignment horizontal="center" vertical="center"/>
    </xf>
    <xf numFmtId="0" fontId="16" fillId="0" borderId="7" xfId="0" applyFont="1" applyBorder="1" applyAlignment="1" applyProtection="1">
      <alignment horizontal="center" vertical="center"/>
    </xf>
    <xf numFmtId="49" fontId="16" fillId="0" borderId="7" xfId="0" applyNumberFormat="1" applyFont="1" applyFill="1" applyBorder="1" applyAlignment="1" applyProtection="1">
      <alignment horizontal="center" vertical="center"/>
    </xf>
    <xf numFmtId="49" fontId="16" fillId="0" borderId="7" xfId="0" applyNumberFormat="1" applyFont="1" applyBorder="1" applyAlignment="1" applyProtection="1">
      <alignment horizontal="center" vertical="center"/>
    </xf>
    <xf numFmtId="0" fontId="16" fillId="0" borderId="7" xfId="0" applyFont="1" applyBorder="1" applyAlignment="1" applyProtection="1">
      <alignment horizontal="left" vertical="center"/>
    </xf>
    <xf numFmtId="2" fontId="16" fillId="0" borderId="7" xfId="0" applyNumberFormat="1" applyFont="1" applyBorder="1" applyAlignment="1" applyProtection="1">
      <alignment horizontal="center" vertical="center"/>
    </xf>
    <xf numFmtId="2" fontId="16" fillId="12" borderId="7" xfId="0" applyNumberFormat="1" applyFont="1" applyFill="1" applyBorder="1" applyAlignment="1" applyProtection="1">
      <alignment horizontal="center" vertical="center"/>
    </xf>
    <xf numFmtId="0" fontId="16" fillId="0" borderId="7" xfId="0" applyNumberFormat="1" applyFont="1" applyFill="1" applyBorder="1" applyAlignment="1" applyProtection="1">
      <alignment horizontal="center" vertical="center"/>
    </xf>
    <xf numFmtId="2" fontId="16" fillId="0" borderId="7" xfId="0" applyNumberFormat="1" applyFont="1" applyFill="1" applyBorder="1" applyAlignment="1" applyProtection="1">
      <alignment horizontal="center" vertical="center"/>
    </xf>
    <xf numFmtId="2" fontId="16" fillId="0" borderId="7" xfId="0" applyNumberFormat="1" applyFont="1" applyBorder="1" applyAlignment="1" applyProtection="1">
      <alignment horizontal="center" vertical="center" wrapText="1"/>
    </xf>
    <xf numFmtId="2" fontId="16" fillId="0" borderId="7" xfId="0" applyNumberFormat="1" applyFont="1" applyFill="1" applyBorder="1" applyAlignment="1" applyProtection="1">
      <alignment horizontal="center" vertical="center" wrapText="1"/>
    </xf>
    <xf numFmtId="14" fontId="18" fillId="0" borderId="8" xfId="0" applyNumberFormat="1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vertical="center"/>
    </xf>
    <xf numFmtId="0" fontId="18" fillId="0" borderId="8" xfId="0" applyNumberFormat="1" applyFont="1" applyBorder="1" applyAlignment="1" applyProtection="1">
      <alignment horizontal="center" vertical="center"/>
    </xf>
    <xf numFmtId="0" fontId="18" fillId="0" borderId="8" xfId="0" applyFont="1" applyBorder="1" applyAlignment="1" applyProtection="1">
      <alignment horizontal="center" vertical="center"/>
    </xf>
    <xf numFmtId="49" fontId="18" fillId="0" borderId="8" xfId="0" applyNumberFormat="1" applyFont="1" applyFill="1" applyBorder="1" applyAlignment="1" applyProtection="1">
      <alignment horizontal="center" vertical="center"/>
    </xf>
    <xf numFmtId="49" fontId="18" fillId="0" borderId="8" xfId="0" applyNumberFormat="1" applyFont="1" applyBorder="1" applyAlignment="1" applyProtection="1">
      <alignment horizontal="center" vertical="center"/>
    </xf>
    <xf numFmtId="0" fontId="18" fillId="0" borderId="8" xfId="0" applyFont="1" applyBorder="1" applyAlignment="1" applyProtection="1">
      <alignment horizontal="left" vertical="center"/>
    </xf>
    <xf numFmtId="2" fontId="18" fillId="0" borderId="8" xfId="0" applyNumberFormat="1" applyFont="1" applyBorder="1" applyAlignment="1" applyProtection="1">
      <alignment horizontal="center" vertical="center"/>
    </xf>
    <xf numFmtId="2" fontId="18" fillId="12" borderId="8" xfId="0" applyNumberFormat="1" applyFont="1" applyFill="1" applyBorder="1" applyAlignment="1" applyProtection="1">
      <alignment horizontal="center" vertical="center"/>
    </xf>
    <xf numFmtId="0" fontId="18" fillId="0" borderId="8" xfId="0" applyNumberFormat="1" applyFont="1" applyFill="1" applyBorder="1" applyAlignment="1" applyProtection="1">
      <alignment horizontal="center" vertical="center"/>
    </xf>
    <xf numFmtId="2" fontId="18" fillId="0" borderId="8" xfId="0" applyNumberFormat="1" applyFont="1" applyFill="1" applyBorder="1" applyAlignment="1" applyProtection="1">
      <alignment horizontal="center" vertical="center"/>
    </xf>
    <xf numFmtId="2" fontId="18" fillId="0" borderId="8" xfId="0" applyNumberFormat="1" applyFont="1" applyBorder="1" applyAlignment="1" applyProtection="1">
      <alignment horizontal="center" vertical="center" wrapText="1"/>
    </xf>
    <xf numFmtId="2" fontId="18" fillId="0" borderId="8" xfId="0" applyNumberFormat="1" applyFont="1" applyFill="1" applyBorder="1" applyAlignment="1" applyProtection="1">
      <alignment horizontal="center" vertical="center" wrapText="1"/>
    </xf>
    <xf numFmtId="14" fontId="19" fillId="0" borderId="0" xfId="0" applyNumberFormat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</xf>
    <xf numFmtId="0" fontId="19" fillId="0" borderId="0" xfId="0" applyNumberFormat="1" applyFont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</xf>
    <xf numFmtId="0" fontId="19" fillId="0" borderId="0" xfId="0" applyFont="1" applyFill="1" applyAlignment="1" applyProtection="1">
      <alignment horizontal="center" vertical="center"/>
    </xf>
    <xf numFmtId="49" fontId="19" fillId="0" borderId="0" xfId="0" applyNumberFormat="1" applyFont="1" applyFill="1" applyBorder="1" applyAlignment="1" applyProtection="1">
      <alignment horizontal="center" vertical="center"/>
    </xf>
    <xf numFmtId="49" fontId="19" fillId="0" borderId="0" xfId="0" applyNumberFormat="1" applyFont="1" applyAlignment="1" applyProtection="1">
      <alignment horizontal="center" vertical="center"/>
    </xf>
    <xf numFmtId="0" fontId="19" fillId="0" borderId="0" xfId="0" applyFont="1" applyAlignment="1" applyProtection="1">
      <alignment horizontal="left" vertical="center"/>
    </xf>
    <xf numFmtId="2" fontId="19" fillId="0" borderId="0" xfId="0" applyNumberFormat="1" applyFont="1" applyAlignment="1" applyProtection="1">
      <alignment horizontal="center" vertical="center"/>
    </xf>
    <xf numFmtId="2" fontId="19" fillId="12" borderId="0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center" vertical="center"/>
    </xf>
    <xf numFmtId="2" fontId="19" fillId="0" borderId="0" xfId="0" applyNumberFormat="1" applyFont="1" applyAlignment="1" applyProtection="1">
      <alignment horizontal="center" vertical="center" wrapText="1"/>
    </xf>
    <xf numFmtId="2" fontId="19" fillId="0" borderId="0" xfId="0" applyNumberFormat="1" applyFont="1" applyFill="1" applyAlignment="1" applyProtection="1">
      <alignment horizontal="center" vertical="center" wrapText="1"/>
    </xf>
    <xf numFmtId="0" fontId="19" fillId="0" borderId="0" xfId="0" applyFont="1" applyFill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0" fontId="19" fillId="0" borderId="0" xfId="0" applyNumberFormat="1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49" fontId="19" fillId="0" borderId="0" xfId="0" applyNumberFormat="1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 vertical="center"/>
    </xf>
    <xf numFmtId="2" fontId="19" fillId="0" borderId="0" xfId="0" applyNumberFormat="1" applyFont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2" fontId="19" fillId="0" borderId="0" xfId="0" applyNumberFormat="1" applyFont="1" applyFill="1" applyBorder="1" applyAlignment="1" applyProtection="1">
      <alignment horizontal="center" vertical="center"/>
    </xf>
    <xf numFmtId="2" fontId="19" fillId="0" borderId="0" xfId="0" applyNumberFormat="1" applyFont="1" applyBorder="1" applyAlignment="1" applyProtection="1">
      <alignment horizontal="center" vertical="center" wrapText="1"/>
    </xf>
    <xf numFmtId="14" fontId="19" fillId="0" borderId="8" xfId="0" applyNumberFormat="1" applyFont="1" applyFill="1" applyBorder="1" applyAlignment="1" applyProtection="1">
      <alignment horizontal="center" vertical="center"/>
    </xf>
    <xf numFmtId="0" fontId="19" fillId="0" borderId="8" xfId="0" applyFont="1" applyFill="1" applyBorder="1" applyAlignment="1" applyProtection="1">
      <alignment horizontal="center" vertical="center"/>
    </xf>
    <xf numFmtId="0" fontId="19" fillId="0" borderId="8" xfId="0" applyFont="1" applyFill="1" applyBorder="1" applyAlignment="1" applyProtection="1">
      <alignment vertical="center"/>
    </xf>
    <xf numFmtId="0" fontId="19" fillId="0" borderId="8" xfId="0" applyNumberFormat="1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/>
    </xf>
    <xf numFmtId="49" fontId="19" fillId="0" borderId="8" xfId="0" applyNumberFormat="1" applyFont="1" applyFill="1" applyBorder="1" applyAlignment="1" applyProtection="1">
      <alignment horizontal="center" vertical="center"/>
    </xf>
    <xf numFmtId="49" fontId="19" fillId="0" borderId="8" xfId="0" applyNumberFormat="1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left" vertical="center"/>
    </xf>
    <xf numFmtId="2" fontId="19" fillId="0" borderId="8" xfId="0" applyNumberFormat="1" applyFont="1" applyBorder="1" applyAlignment="1" applyProtection="1">
      <alignment horizontal="center" vertical="center"/>
    </xf>
    <xf numFmtId="2" fontId="19" fillId="12" borderId="8" xfId="0" applyNumberFormat="1" applyFont="1" applyFill="1" applyBorder="1" applyAlignment="1" applyProtection="1">
      <alignment horizontal="center" vertical="center"/>
    </xf>
    <xf numFmtId="0" fontId="19" fillId="0" borderId="8" xfId="0" applyNumberFormat="1" applyFont="1" applyFill="1" applyBorder="1" applyAlignment="1" applyProtection="1">
      <alignment horizontal="center" vertical="center"/>
    </xf>
    <xf numFmtId="2" fontId="19" fillId="0" borderId="8" xfId="0" applyNumberFormat="1" applyFont="1" applyFill="1" applyBorder="1" applyAlignment="1" applyProtection="1">
      <alignment horizontal="center" vertical="center"/>
    </xf>
    <xf numFmtId="2" fontId="19" fillId="0" borderId="8" xfId="0" applyNumberFormat="1" applyFont="1" applyBorder="1" applyAlignment="1" applyProtection="1">
      <alignment horizontal="center" vertical="center" wrapText="1"/>
    </xf>
    <xf numFmtId="2" fontId="19" fillId="0" borderId="8" xfId="0" applyNumberFormat="1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Alignment="1" applyProtection="1">
      <alignment horizontal="center" vertical="center"/>
    </xf>
    <xf numFmtId="2" fontId="19" fillId="0" borderId="0" xfId="0" applyNumberFormat="1" applyFont="1" applyFill="1" applyBorder="1" applyAlignment="1" applyProtection="1">
      <alignment horizontal="center" vertical="center" wrapText="1"/>
    </xf>
    <xf numFmtId="0" fontId="19" fillId="18" borderId="0" xfId="0" applyFont="1" applyFill="1" applyBorder="1" applyAlignment="1" applyProtection="1">
      <alignment vertical="center"/>
    </xf>
    <xf numFmtId="14" fontId="19" fillId="0" borderId="7" xfId="0" applyNumberFormat="1" applyFont="1" applyFill="1" applyBorder="1" applyAlignment="1" applyProtection="1">
      <alignment horizontal="center" vertical="center"/>
    </xf>
    <xf numFmtId="0" fontId="19" fillId="0" borderId="7" xfId="0" applyFont="1" applyFill="1" applyBorder="1" applyAlignment="1" applyProtection="1">
      <alignment horizontal="center" vertical="center"/>
    </xf>
    <xf numFmtId="0" fontId="19" fillId="0" borderId="7" xfId="0" applyFont="1" applyFill="1" applyBorder="1" applyAlignment="1" applyProtection="1">
      <alignment vertical="center"/>
    </xf>
    <xf numFmtId="0" fontId="19" fillId="0" borderId="7" xfId="0" applyNumberFormat="1" applyFont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/>
    </xf>
    <xf numFmtId="49" fontId="19" fillId="0" borderId="7" xfId="0" applyNumberFormat="1" applyFont="1" applyFill="1" applyBorder="1" applyAlignment="1" applyProtection="1">
      <alignment horizontal="center" vertical="center"/>
    </xf>
    <xf numFmtId="49" fontId="19" fillId="0" borderId="7" xfId="0" applyNumberFormat="1" applyFont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left" vertical="center"/>
    </xf>
    <xf numFmtId="2" fontId="19" fillId="0" borderId="7" xfId="0" applyNumberFormat="1" applyFont="1" applyBorder="1" applyAlignment="1" applyProtection="1">
      <alignment horizontal="center" vertical="center"/>
    </xf>
    <xf numFmtId="2" fontId="19" fillId="12" borderId="7" xfId="0" applyNumberFormat="1" applyFont="1" applyFill="1" applyBorder="1" applyAlignment="1" applyProtection="1">
      <alignment horizontal="center" vertical="center"/>
    </xf>
    <xf numFmtId="0" fontId="19" fillId="0" borderId="7" xfId="0" applyNumberFormat="1" applyFont="1" applyFill="1" applyBorder="1" applyAlignment="1" applyProtection="1">
      <alignment horizontal="center" vertical="center"/>
    </xf>
    <xf numFmtId="2" fontId="19" fillId="0" borderId="7" xfId="0" applyNumberFormat="1" applyFont="1" applyFill="1" applyBorder="1" applyAlignment="1" applyProtection="1">
      <alignment horizontal="center" vertical="center"/>
    </xf>
    <xf numFmtId="2" fontId="19" fillId="0" borderId="7" xfId="0" applyNumberFormat="1" applyFont="1" applyBorder="1" applyAlignment="1" applyProtection="1">
      <alignment horizontal="center" vertical="center" wrapText="1"/>
    </xf>
    <xf numFmtId="2" fontId="19" fillId="0" borderId="7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Border="1" applyAlignment="1" applyProtection="1">
      <alignment horizontal="center" vertical="center"/>
    </xf>
    <xf numFmtId="49" fontId="0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2" fontId="0" fillId="0" borderId="0" xfId="0" applyNumberFormat="1" applyFont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2" fontId="0" fillId="0" borderId="0" xfId="0" applyNumberFormat="1" applyFont="1" applyFill="1" applyBorder="1" applyAlignment="1" applyProtection="1">
      <alignment horizontal="center" vertical="center"/>
    </xf>
    <xf numFmtId="2" fontId="0" fillId="0" borderId="0" xfId="0" applyNumberFormat="1" applyFont="1" applyFill="1" applyBorder="1" applyAlignment="1" applyProtection="1">
      <alignment horizontal="center" vertical="center" wrapText="1"/>
    </xf>
    <xf numFmtId="0" fontId="0" fillId="0" borderId="7" xfId="0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horizontal="left" vertical="center"/>
    </xf>
    <xf numFmtId="15" fontId="0" fillId="0" borderId="0" xfId="0" applyNumberFormat="1" applyFill="1" applyProtection="1"/>
    <xf numFmtId="0" fontId="19" fillId="2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center"/>
    </xf>
    <xf numFmtId="0" fontId="20" fillId="0" borderId="0" xfId="0" applyNumberFormat="1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49" fontId="20" fillId="0" borderId="0" xfId="0" applyNumberFormat="1" applyFont="1" applyFill="1" applyBorder="1" applyAlignment="1" applyProtection="1">
      <alignment horizontal="center" vertical="center"/>
    </xf>
    <xf numFmtId="49" fontId="20" fillId="0" borderId="0" xfId="0" applyNumberFormat="1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left" vertical="center"/>
    </xf>
    <xf numFmtId="2" fontId="20" fillId="0" borderId="0" xfId="0" applyNumberFormat="1" applyFont="1" applyBorder="1" applyAlignment="1" applyProtection="1">
      <alignment horizontal="center" vertical="center"/>
    </xf>
    <xf numFmtId="2" fontId="20" fillId="12" borderId="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2" fontId="20" fillId="0" borderId="0" xfId="0" applyNumberFormat="1" applyFont="1" applyFill="1" applyBorder="1" applyAlignment="1" applyProtection="1">
      <alignment horizontal="center" vertical="center"/>
    </xf>
    <xf numFmtId="2" fontId="20" fillId="0" borderId="0" xfId="0" applyNumberFormat="1" applyFont="1" applyBorder="1" applyAlignment="1" applyProtection="1">
      <alignment horizontal="center" vertical="center" wrapText="1"/>
    </xf>
    <xf numFmtId="2" fontId="20" fillId="0" borderId="0" xfId="0" applyNumberFormat="1" applyFont="1" applyFill="1" applyBorder="1" applyAlignment="1" applyProtection="1">
      <alignment horizontal="center" vertical="center" wrapText="1"/>
    </xf>
    <xf numFmtId="14" fontId="0" fillId="0" borderId="12" xfId="0" applyNumberFormat="1" applyFont="1" applyFill="1" applyBorder="1" applyAlignment="1" applyProtection="1">
      <alignment horizontal="center" vertical="center"/>
    </xf>
    <xf numFmtId="0" fontId="20" fillId="0" borderId="8" xfId="0" applyFont="1" applyFill="1" applyBorder="1" applyAlignment="1" applyProtection="1">
      <alignment horizontal="center" vertical="center"/>
    </xf>
    <xf numFmtId="0" fontId="20" fillId="0" borderId="8" xfId="0" applyFont="1" applyFill="1" applyBorder="1" applyAlignment="1" applyProtection="1">
      <alignment vertical="center"/>
    </xf>
    <xf numFmtId="0" fontId="20" fillId="0" borderId="8" xfId="0" applyNumberFormat="1" applyFont="1" applyBorder="1" applyAlignment="1" applyProtection="1">
      <alignment horizontal="center" vertical="center"/>
    </xf>
    <xf numFmtId="0" fontId="20" fillId="0" borderId="8" xfId="0" applyFont="1" applyBorder="1" applyAlignment="1" applyProtection="1">
      <alignment horizontal="center" vertical="center"/>
    </xf>
    <xf numFmtId="49" fontId="20" fillId="0" borderId="8" xfId="0" applyNumberFormat="1" applyFont="1" applyFill="1" applyBorder="1" applyAlignment="1" applyProtection="1">
      <alignment horizontal="center" vertical="center"/>
    </xf>
    <xf numFmtId="49" fontId="20" fillId="0" borderId="8" xfId="0" applyNumberFormat="1" applyFont="1" applyBorder="1" applyAlignment="1" applyProtection="1">
      <alignment horizontal="center" vertical="center"/>
    </xf>
    <xf numFmtId="0" fontId="20" fillId="0" borderId="8" xfId="0" applyFont="1" applyBorder="1" applyAlignment="1" applyProtection="1">
      <alignment horizontal="left" vertical="center"/>
    </xf>
    <xf numFmtId="2" fontId="20" fillId="0" borderId="8" xfId="0" applyNumberFormat="1" applyFont="1" applyBorder="1" applyAlignment="1" applyProtection="1">
      <alignment horizontal="center" vertical="center"/>
    </xf>
    <xf numFmtId="2" fontId="20" fillId="12" borderId="8" xfId="0" applyNumberFormat="1" applyFont="1" applyFill="1" applyBorder="1" applyAlignment="1" applyProtection="1">
      <alignment horizontal="center" vertical="center"/>
    </xf>
    <xf numFmtId="0" fontId="20" fillId="0" borderId="8" xfId="0" applyNumberFormat="1" applyFont="1" applyFill="1" applyBorder="1" applyAlignment="1" applyProtection="1">
      <alignment horizontal="center" vertical="center"/>
    </xf>
    <xf numFmtId="2" fontId="20" fillId="0" borderId="8" xfId="0" applyNumberFormat="1" applyFont="1" applyFill="1" applyBorder="1" applyAlignment="1" applyProtection="1">
      <alignment horizontal="center" vertical="center"/>
    </xf>
    <xf numFmtId="2" fontId="20" fillId="0" borderId="8" xfId="0" applyNumberFormat="1" applyFont="1" applyBorder="1" applyAlignment="1" applyProtection="1">
      <alignment horizontal="center" vertical="center" wrapText="1"/>
    </xf>
    <xf numFmtId="2" fontId="20" fillId="0" borderId="8" xfId="0" applyNumberFormat="1" applyFont="1" applyFill="1" applyBorder="1" applyAlignment="1" applyProtection="1">
      <alignment horizontal="center" vertical="center" wrapText="1"/>
    </xf>
    <xf numFmtId="14" fontId="20" fillId="0" borderId="8" xfId="0" applyNumberFormat="1" applyFont="1" applyFill="1" applyBorder="1" applyAlignment="1" applyProtection="1">
      <alignment horizontal="center" vertical="center"/>
    </xf>
    <xf numFmtId="14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vertical="center"/>
    </xf>
    <xf numFmtId="0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49" fontId="21" fillId="0" borderId="0" xfId="0" applyNumberFormat="1" applyFont="1" applyFill="1" applyBorder="1" applyAlignment="1" applyProtection="1">
      <alignment horizontal="center" vertical="center"/>
    </xf>
    <xf numFmtId="49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 vertical="center"/>
    </xf>
    <xf numFmtId="2" fontId="21" fillId="0" borderId="0" xfId="0" applyNumberFormat="1" applyFont="1" applyBorder="1" applyAlignment="1" applyProtection="1">
      <alignment horizontal="center" vertical="center"/>
    </xf>
    <xf numFmtId="2" fontId="21" fillId="12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2" fontId="21" fillId="0" borderId="0" xfId="0" applyNumberFormat="1" applyFont="1" applyFill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 vertical="center" wrapText="1"/>
    </xf>
    <xf numFmtId="2" fontId="21" fillId="0" borderId="0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Border="1" applyAlignment="1" applyProtection="1">
      <alignment horizontal="center" vertical="center"/>
    </xf>
    <xf numFmtId="0" fontId="0" fillId="0" borderId="9" xfId="0" applyNumberFormat="1" applyFont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7" xfId="0" applyNumberFormat="1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49" fontId="0" fillId="0" borderId="7" xfId="0" applyNumberFormat="1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left" vertical="center"/>
    </xf>
    <xf numFmtId="2" fontId="0" fillId="0" borderId="7" xfId="0" applyNumberFormat="1" applyFont="1" applyBorder="1" applyAlignment="1" applyProtection="1">
      <alignment horizontal="center" vertical="center"/>
    </xf>
    <xf numFmtId="2" fontId="0" fillId="12" borderId="7" xfId="0" applyNumberFormat="1" applyFont="1" applyFill="1" applyBorder="1" applyAlignment="1" applyProtection="1">
      <alignment horizontal="center" vertical="center"/>
    </xf>
    <xf numFmtId="0" fontId="0" fillId="0" borderId="7" xfId="0" applyNumberFormat="1" applyFont="1" applyFill="1" applyBorder="1" applyAlignment="1" applyProtection="1">
      <alignment horizontal="center" vertical="center"/>
    </xf>
    <xf numFmtId="2" fontId="0" fillId="0" borderId="7" xfId="0" applyNumberFormat="1" applyFont="1" applyFill="1" applyBorder="1" applyAlignment="1" applyProtection="1">
      <alignment horizontal="center" vertical="center"/>
    </xf>
    <xf numFmtId="2" fontId="0" fillId="0" borderId="7" xfId="0" applyNumberFormat="1" applyFont="1" applyBorder="1" applyAlignment="1" applyProtection="1">
      <alignment horizontal="center" vertical="center" wrapText="1"/>
    </xf>
    <xf numFmtId="2" fontId="0" fillId="0" borderId="7" xfId="0" applyNumberFormat="1" applyFont="1" applyFill="1" applyBorder="1" applyAlignment="1" applyProtection="1">
      <alignment horizontal="center" vertical="center" wrapText="1"/>
    </xf>
    <xf numFmtId="0" fontId="21" fillId="0" borderId="7" xfId="0" applyFont="1" applyFill="1" applyBorder="1" applyAlignment="1" applyProtection="1">
      <alignment horizontal="center" vertical="center"/>
    </xf>
    <xf numFmtId="0" fontId="21" fillId="0" borderId="7" xfId="0" applyNumberFormat="1" applyFont="1" applyBorder="1" applyAlignment="1" applyProtection="1">
      <alignment horizontal="center" vertical="center"/>
    </xf>
    <xf numFmtId="0" fontId="21" fillId="0" borderId="7" xfId="0" applyFont="1" applyBorder="1" applyAlignment="1" applyProtection="1">
      <alignment horizontal="center" vertical="center"/>
    </xf>
    <xf numFmtId="49" fontId="21" fillId="0" borderId="7" xfId="0" applyNumberFormat="1" applyFont="1" applyFill="1" applyBorder="1" applyAlignment="1" applyProtection="1">
      <alignment horizontal="center" vertical="center"/>
    </xf>
    <xf numFmtId="49" fontId="21" fillId="0" borderId="7" xfId="0" applyNumberFormat="1" applyFont="1" applyBorder="1" applyAlignment="1" applyProtection="1">
      <alignment horizontal="center" vertical="center"/>
    </xf>
    <xf numFmtId="0" fontId="21" fillId="0" borderId="7" xfId="0" applyFont="1" applyBorder="1" applyAlignment="1" applyProtection="1">
      <alignment horizontal="left" vertical="center"/>
    </xf>
    <xf numFmtId="2" fontId="21" fillId="0" borderId="7" xfId="0" applyNumberFormat="1" applyFont="1" applyBorder="1" applyAlignment="1" applyProtection="1">
      <alignment horizontal="center" vertical="center"/>
    </xf>
    <xf numFmtId="2" fontId="21" fillId="12" borderId="7" xfId="0" applyNumberFormat="1" applyFont="1" applyFill="1" applyBorder="1" applyAlignment="1" applyProtection="1">
      <alignment horizontal="center" vertical="center"/>
    </xf>
    <xf numFmtId="0" fontId="21" fillId="0" borderId="7" xfId="0" applyNumberFormat="1" applyFont="1" applyFill="1" applyBorder="1" applyAlignment="1" applyProtection="1">
      <alignment horizontal="center" vertical="center"/>
    </xf>
    <xf numFmtId="2" fontId="21" fillId="0" borderId="7" xfId="0" applyNumberFormat="1" applyFont="1" applyFill="1" applyBorder="1" applyAlignment="1" applyProtection="1">
      <alignment horizontal="center" vertical="center"/>
    </xf>
    <xf numFmtId="2" fontId="21" fillId="0" borderId="7" xfId="0" applyNumberFormat="1" applyFont="1" applyBorder="1" applyAlignment="1" applyProtection="1">
      <alignment horizontal="center" vertical="center" wrapText="1"/>
    </xf>
    <xf numFmtId="2" fontId="21" fillId="0" borderId="7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14" fontId="21" fillId="0" borderId="1" xfId="0" applyNumberFormat="1" applyFont="1" applyFill="1" applyBorder="1" applyAlignment="1" applyProtection="1">
      <alignment horizontal="center" vertical="center"/>
    </xf>
    <xf numFmtId="0" fontId="21" fillId="0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vertical="center"/>
    </xf>
    <xf numFmtId="0" fontId="21" fillId="0" borderId="1" xfId="0" applyNumberFormat="1" applyFont="1" applyBorder="1" applyAlignment="1" applyProtection="1">
      <alignment horizontal="center" vertical="center"/>
    </xf>
    <xf numFmtId="14" fontId="21" fillId="0" borderId="10" xfId="0" applyNumberFormat="1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vertical="center"/>
    </xf>
    <xf numFmtId="0" fontId="21" fillId="0" borderId="10" xfId="0" applyNumberFormat="1" applyFont="1" applyBorder="1" applyAlignment="1" applyProtection="1">
      <alignment horizontal="center" vertical="center"/>
    </xf>
    <xf numFmtId="0" fontId="21" fillId="0" borderId="8" xfId="0" applyFont="1" applyBorder="1" applyAlignment="1" applyProtection="1">
      <alignment horizontal="center" vertical="center"/>
    </xf>
    <xf numFmtId="0" fontId="21" fillId="0" borderId="8" xfId="0" applyNumberFormat="1" applyFont="1" applyBorder="1" applyAlignment="1" applyProtection="1">
      <alignment horizontal="center" vertical="center"/>
    </xf>
    <xf numFmtId="0" fontId="21" fillId="0" borderId="8" xfId="0" applyFont="1" applyFill="1" applyBorder="1" applyAlignment="1" applyProtection="1">
      <alignment horizontal="center" vertical="center"/>
    </xf>
    <xf numFmtId="49" fontId="21" fillId="0" borderId="8" xfId="0" applyNumberFormat="1" applyFont="1" applyFill="1" applyBorder="1" applyAlignment="1" applyProtection="1">
      <alignment horizontal="center" vertical="center"/>
    </xf>
    <xf numFmtId="49" fontId="21" fillId="0" borderId="8" xfId="0" applyNumberFormat="1" applyFont="1" applyBorder="1" applyAlignment="1" applyProtection="1">
      <alignment horizontal="center" vertical="center"/>
    </xf>
    <xf numFmtId="0" fontId="21" fillId="0" borderId="8" xfId="0" applyFont="1" applyBorder="1" applyAlignment="1" applyProtection="1">
      <alignment horizontal="left" vertical="center"/>
    </xf>
    <xf numFmtId="2" fontId="21" fillId="0" borderId="8" xfId="0" applyNumberFormat="1" applyFont="1" applyBorder="1" applyAlignment="1" applyProtection="1">
      <alignment horizontal="center" vertical="center"/>
    </xf>
    <xf numFmtId="2" fontId="21" fillId="12" borderId="8" xfId="0" applyNumberFormat="1" applyFont="1" applyFill="1" applyBorder="1" applyAlignment="1" applyProtection="1">
      <alignment horizontal="center" vertical="center"/>
    </xf>
    <xf numFmtId="0" fontId="21" fillId="0" borderId="8" xfId="0" applyNumberFormat="1" applyFont="1" applyFill="1" applyBorder="1" applyAlignment="1" applyProtection="1">
      <alignment horizontal="center" vertical="center"/>
    </xf>
    <xf numFmtId="2" fontId="21" fillId="0" borderId="8" xfId="0" applyNumberFormat="1" applyFont="1" applyFill="1" applyBorder="1" applyAlignment="1" applyProtection="1">
      <alignment horizontal="center" vertical="center"/>
    </xf>
    <xf numFmtId="2" fontId="21" fillId="0" borderId="8" xfId="0" applyNumberFormat="1" applyFont="1" applyBorder="1" applyAlignment="1" applyProtection="1">
      <alignment horizontal="center" vertical="center" wrapText="1"/>
    </xf>
    <xf numFmtId="2" fontId="21" fillId="0" borderId="8" xfId="0" applyNumberFormat="1" applyFont="1" applyFill="1" applyBorder="1" applyAlignment="1" applyProtection="1">
      <alignment horizontal="center" vertical="center" wrapText="1"/>
    </xf>
    <xf numFmtId="10" fontId="12" fillId="0" borderId="8" xfId="0" applyNumberFormat="1" applyFont="1" applyFill="1" applyBorder="1" applyAlignment="1" applyProtection="1">
      <alignment horizontal="center" vertical="center" wrapText="1"/>
    </xf>
    <xf numFmtId="14" fontId="21" fillId="0" borderId="8" xfId="0" applyNumberFormat="1" applyFont="1" applyFill="1" applyBorder="1" applyAlignment="1" applyProtection="1">
      <alignment horizontal="center" vertical="center"/>
    </xf>
    <xf numFmtId="49" fontId="21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/>
    </xf>
    <xf numFmtId="14" fontId="21" fillId="0" borderId="9" xfId="0" applyNumberFormat="1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 applyProtection="1">
      <alignment horizontal="center" vertical="center"/>
    </xf>
    <xf numFmtId="0" fontId="0" fillId="0" borderId="0" xfId="0" applyFill="1" applyAlignment="1"/>
    <xf numFmtId="0" fontId="0" fillId="18" borderId="8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2" fontId="21" fillId="0" borderId="0" xfId="0" applyNumberFormat="1" applyFont="1" applyFill="1" applyAlignment="1" applyProtection="1">
      <alignment horizontal="center" vertical="center" wrapText="1"/>
    </xf>
    <xf numFmtId="14" fontId="21" fillId="0" borderId="13" xfId="0" applyNumberFormat="1" applyFont="1" applyFill="1" applyBorder="1" applyAlignment="1" applyProtection="1">
      <alignment horizontal="center" vertical="center"/>
    </xf>
    <xf numFmtId="0" fontId="21" fillId="0" borderId="13" xfId="0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 vertical="center"/>
    </xf>
  </cellXfs>
  <cellStyles count="3">
    <cellStyle name="Neutral 2" xfId="1" xr:uid="{00000000-0005-0000-0000-000000000000}"/>
    <cellStyle name="Normal" xfId="0" builtinId="0"/>
    <cellStyle name="Normal 5" xfId="2" xr:uid="{00000000-0005-0000-0000-000002000000}"/>
  </cellStyles>
  <dxfs count="534">
    <dxf>
      <alignment textRotation="90"/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ont>
        <color auto="1"/>
      </font>
    </dxf>
    <dxf>
      <font>
        <color auto="1"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color auto="1"/>
      </font>
    </dxf>
    <dxf>
      <font>
        <color auto="1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wrapText="1"/>
    </dxf>
    <dxf>
      <font>
        <color auto="1"/>
      </font>
      <fill>
        <patternFill patternType="solid">
          <fgColor indexed="64"/>
          <bgColor theme="3" tint="0.39997558519241921"/>
        </patternFill>
      </fill>
      <alignment horizontal="center" vertical="center" textRotation="9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ont>
        <color auto="1"/>
      </font>
      <fill>
        <patternFill patternType="solid">
          <fgColor indexed="64"/>
          <bgColor theme="3" tint="0.39997558519241921"/>
        </patternFill>
      </fill>
      <alignment horizontal="center" vertical="center" textRotation="90" wrapText="1"/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ont>
        <color auto="1"/>
      </font>
      <fill>
        <patternFill patternType="solid">
          <fgColor indexed="64"/>
          <bgColor theme="3" tint="0.39997558519241921"/>
        </patternFill>
      </fill>
      <alignment horizontal="center" vertical="center" textRotation="90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 patternType="solid">
          <fgColor indexed="64"/>
          <bgColor theme="3" tint="0.39997558519241921"/>
        </patternFill>
      </fill>
      <alignment horizontal="center" vertical="center" textRotation="90" wrapText="1"/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font>
        <color auto="1"/>
      </font>
      <fill>
        <patternFill patternType="solid">
          <fgColor indexed="64"/>
          <bgColor theme="3" tint="0.39997558519241921"/>
        </patternFill>
      </fill>
      <alignment horizontal="center" vertical="center" textRotation="90" wrapText="1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ont>
        <color auto="1"/>
      </font>
      <fill>
        <patternFill patternType="solid">
          <fgColor indexed="64"/>
          <bgColor theme="3" tint="0.39997558519241921"/>
        </patternFill>
      </fill>
      <alignment horizontal="center" vertical="center" textRotation="90"/>
    </dxf>
    <dxf>
      <alignment wrapText="1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color auto="1"/>
      </font>
    </dxf>
    <dxf>
      <font>
        <color auto="1"/>
      </font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textRotation="90"/>
    </dxf>
    <dxf>
      <alignment horizontal="general" vertical="bottom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protection locked="1" hidden="0"/>
    </dxf>
    <dxf>
      <numFmt numFmtId="2" formatCode="0.00"/>
      <alignment horizontal="general" vertical="bottom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protection locked="1" hidden="0"/>
    </dxf>
    <dxf>
      <numFmt numFmtId="2" formatCode="0.00"/>
      <alignment horizontal="general" vertical="bottom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protection locked="1" hidden="0"/>
    </dxf>
    <dxf>
      <numFmt numFmtId="2" formatCode="0.00"/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numFmt numFmtId="2" formatCode="0.0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numFmt numFmtId="2" formatCode="0.0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numFmt numFmtId="2" formatCode="0.0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numFmt numFmtId="2" formatCode="0.0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numFmt numFmtId="2" formatCode="0.0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numFmt numFmtId="2" formatCode="0.0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numFmt numFmtId="2" formatCode="0.0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numFmt numFmtId="2" formatCode="0.0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protection locked="1" hidden="0"/>
    </dxf>
    <dxf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protection locked="1" hidden="0"/>
    </dxf>
    <dxf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protection locked="1" hidden="0"/>
    </dxf>
    <dxf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1" formatCode="0.0000"/>
      <alignment horizontal="center" vertical="center" textRotation="0" wrapText="0" indent="0" justifyLastLine="0" shrinkToFit="0" readingOrder="0"/>
    </dxf>
    <dxf>
      <numFmt numFmtId="171" formatCode="0.0000"/>
      <alignment horizontal="center" vertical="center" textRotation="0" wrapText="0" indent="0" justifyLastLine="0" shrinkToFit="0" readingOrder="0"/>
    </dxf>
    <dxf>
      <numFmt numFmtId="171" formatCode="0.0000"/>
      <alignment horizontal="center" vertical="center" textRotation="0" wrapText="0" indent="0" justifyLastLine="0" shrinkToFit="0" readingOrder="0"/>
    </dxf>
    <dxf>
      <numFmt numFmtId="171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21" formatCode="d\-mmm"/>
    </dxf>
    <dxf>
      <numFmt numFmtId="21" formatCode="d\-mmm"/>
    </dxf>
    <dxf>
      <numFmt numFmtId="0" formatCode="General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168" formatCode="#,##0.00\ &quot;m2&quot;"/>
    </dxf>
    <dxf>
      <numFmt numFmtId="167" formatCode="#,##0.00\ &quot;m&quot;"/>
    </dxf>
    <dxf>
      <numFmt numFmtId="167" formatCode="#,##0.00\ &quot;m&quot;"/>
    </dxf>
    <dxf>
      <numFmt numFmtId="170" formatCode="#,##0\ &quot;pies&quot;"/>
    </dxf>
    <dxf>
      <numFmt numFmtId="170" formatCode="#,##0\ &quot;pies&quot;"/>
    </dxf>
    <dxf>
      <numFmt numFmtId="169" formatCode="#,##0.00000\ &quot;pie/m&quot;"/>
    </dxf>
    <dxf>
      <numFmt numFmtId="169" formatCode="#,##0.00000\ &quot;pie/m&quot;"/>
    </dxf>
    <dxf>
      <numFmt numFmtId="168" formatCode="#,##0.00\ &quot;m2&quot;"/>
    </dxf>
    <dxf>
      <numFmt numFmtId="167" formatCode="#,##0.00\ &quot;m&quot;"/>
    </dxf>
    <dxf>
      <numFmt numFmtId="167" formatCode="#,##0.00\ &quot;m&quot;"/>
    </dxf>
    <dxf>
      <numFmt numFmtId="166" formatCode="#,##0.0000\ &quot;Tc/TM&quot;"/>
    </dxf>
    <dxf>
      <numFmt numFmtId="165" formatCode="0.0%"/>
    </dxf>
    <dxf>
      <numFmt numFmtId="164" formatCode="#,##0.00\ &quot;TM/m3&quot;"/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 03" refreshedDate="44541.798033449071" createdVersion="6" refreshedVersion="6" minRefreshableVersion="3" recordCount="343" xr:uid="{00000000-000A-0000-FFFF-FFFF10000000}">
  <cacheSource type="worksheet">
    <worksheetSource name="BD_MO"/>
  </cacheSource>
  <cacheFields count="121">
    <cacheField name="FECHA" numFmtId="0">
      <sharedItems containsNonDate="0" containsDate="1" containsString="0" containsBlank="1" minDate="1900-01-16T00:00:00" maxDate="2021-12-11T00:00:00" count="178"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6T00:00:00"/>
        <d v="2021-12-07T00:00:00"/>
        <d v="2021-12-08T00:00:00"/>
        <d v="2021-12-09T00:00:00"/>
        <d v="2021-12-10T00:00:00"/>
        <m/>
        <d v="2021-08-07T00:00:00" u="1"/>
        <d v="2021-11-09T00:00:00" u="1"/>
        <d v="2021-07-22T00:00:00" u="1"/>
        <d v="2021-08-03T00:00:00" u="1"/>
        <d v="2021-11-05T00:00:00" u="1"/>
        <d v="2021-07-18T00:00:00" u="1"/>
        <d v="2021-10-20T00:00:00" u="1"/>
        <d v="2021-11-01T00:00:00" u="1"/>
        <d v="2021-07-14T00:00:00" u="1"/>
        <d v="2021-10-16T00:00:00" u="1"/>
        <d v="2021-06-29T00:00:00" u="1"/>
        <d v="2021-07-10T00:00:00" u="1"/>
        <d v="2021-10-12T00:00:00" u="1"/>
        <d v="2021-06-25T00:00:00" u="1"/>
        <d v="2021-07-06T00:00:00" u="1"/>
        <d v="2021-10-08T00:00:00" u="1"/>
        <d v="2021-06-21T00:00:00" u="1"/>
        <d v="2021-07-02T00:00:00" u="1"/>
        <d v="2021-10-04T00:00:00" u="1"/>
        <d v="2021-06-17T00:00:00" u="1"/>
        <d v="2021-06-13T00:00:00" u="1"/>
        <d v="2021-09-15T00:00:00" u="1"/>
        <d v="2021-05-28T00:00:00" u="1"/>
        <d v="2021-08-30T00:00:00" u="1"/>
        <d v="2021-06-09T00:00:00" u="1"/>
        <d v="2021-09-11T00:00:00" u="1"/>
        <d v="2021-08-26T00:00:00" u="1"/>
        <d v="2021-06-05T00:00:00" u="1"/>
        <d v="2021-09-07T00:00:00" u="1"/>
        <d v="2021-08-22T00:00:00" u="1"/>
        <d v="2021-06-01T00:00:00" u="1"/>
        <d v="2021-11-24T00:00:00" u="1"/>
        <d v="2021-09-03T00:00:00" u="1"/>
        <d v="2021-12-05T00:00:00" u="1"/>
        <d v="2021-08-18T00:00:00" u="1"/>
        <d v="2021-11-20T00:00:00" u="1"/>
        <d v="2021-08-14T00:00:00" u="1"/>
        <d v="2021-11-16T00:00:00" u="1"/>
        <d v="2021-07-29T00:00:00" u="1"/>
        <d v="2021-10-31T00:00:00" u="1"/>
        <d v="2021-08-10T00:00:00" u="1"/>
        <d v="2021-11-12T00:00:00" u="1"/>
        <d v="2021-07-25T00:00:00" u="1"/>
        <d v="2021-08-06T00:00:00" u="1"/>
        <d v="2021-11-08T00:00:00" u="1"/>
        <d v="2021-07-21T00:00:00" u="1"/>
        <d v="2021-08-02T00:00:00" u="1"/>
        <d v="2021-11-04T00:00:00" u="1"/>
        <d v="2021-07-17T00:00:00" u="1"/>
        <d v="2021-10-19T00:00:00" u="1"/>
        <d v="2021-07-13T00:00:00" u="1"/>
        <d v="2021-10-15T00:00:00" u="1"/>
        <d v="2021-06-28T00:00:00" u="1"/>
        <d v="2021-07-09T00:00:00" u="1"/>
        <d v="2021-10-11T00:00:00" u="1"/>
        <d v="2021-06-24T00:00:00" u="1"/>
        <d v="2021-07-05T00:00:00" u="1"/>
        <d v="2021-10-07T00:00:00" u="1"/>
        <d v="2021-06-20T00:00:00" u="1"/>
        <d v="2021-07-01T00:00:00" u="1"/>
        <d v="2021-10-03T00:00:00" u="1"/>
        <d v="2021-06-16T00:00:00" u="1"/>
        <d v="2021-05-31T00:00:00" u="1"/>
        <d v="2021-06-12T00:00:00" u="1"/>
        <d v="2021-09-14T00:00:00" u="1"/>
        <d v="2021-08-29T00:00:00" u="1"/>
        <d v="2021-06-08T00:00:00" u="1"/>
        <d v="2021-09-10T00:00:00" u="1"/>
        <d v="2021-08-25T00:00:00" u="1"/>
        <d v="2021-06-04T00:00:00" u="1"/>
        <d v="2021-09-06T00:00:00" u="1"/>
        <d v="2021-08-21T00:00:00" u="1"/>
        <d v="2021-11-23T00:00:00" u="1"/>
        <d v="2021-09-02T00:00:00" u="1"/>
        <d v="2021-08-17T00:00:00" u="1"/>
        <d v="2021-11-19T00:00:00" u="1"/>
        <d v="2021-08-13T00:00:00" u="1"/>
        <d v="2021-11-15T00:00:00" u="1"/>
        <d v="2021-07-28T00:00:00" u="1"/>
        <d v="2021-10-30T00:00:00" u="1"/>
        <d v="2021-08-09T00:00:00" u="1"/>
        <d v="2021-11-11T00:00:00" u="1"/>
        <d v="2021-07-24T00:00:00" u="1"/>
        <d v="2021-08-05T00:00:00" u="1"/>
        <d v="2021-11-07T00:00:00" u="1"/>
        <d v="2021-07-20T00:00:00" u="1"/>
        <d v="2021-10-22T00:00:00" u="1"/>
        <d v="2021-08-01T00:00:00" u="1"/>
        <d v="2021-11-03T00:00:00" u="1"/>
        <d v="2021-07-16T00:00:00" u="1"/>
        <d v="2021-10-18T00:00:00" u="1"/>
        <d v="2021-07-12T00:00:00" u="1"/>
        <d v="2021-10-14T00:00:00" u="1"/>
        <d v="2021-06-27T00:00:00" u="1"/>
        <d v="2021-07-08T00:00:00" u="1"/>
        <d v="2021-10-10T00:00:00" u="1"/>
        <d v="2021-06-23T00:00:00" u="1"/>
        <d v="2021-07-04T00:00:00" u="1"/>
        <d v="2021-10-06T00:00:00" u="1"/>
        <d v="2021-06-19T00:00:00" u="1"/>
        <d v="2021-10-02T00:00:00" u="1"/>
        <d v="2021-06-15T00:00:00" u="1"/>
        <d v="2021-09-17T00:00:00" u="1"/>
        <d v="2021-05-30T00:00:00" u="1"/>
        <d v="2021-06-11T00:00:00" u="1"/>
        <d v="2021-09-13T00:00:00" u="1"/>
        <d v="2021-08-28T00:00:00" u="1"/>
        <d v="2021-06-07T00:00:00" u="1"/>
        <d v="2021-09-09T00:00:00" u="1"/>
        <d v="2021-08-24T00:00:00" u="1"/>
        <d v="2021-06-03T00:00:00" u="1"/>
        <d v="2021-11-26T00:00:00" u="1"/>
        <d v="2021-09-05T00:00:00" u="1"/>
        <d v="2021-08-20T00:00:00" u="1"/>
        <d v="2021-11-22T00:00:00" u="1"/>
        <d v="2021-09-01T00:00:00" u="1"/>
        <d v="2021-08-16T00:00:00" u="1"/>
        <d v="2021-11-18T00:00:00" u="1"/>
        <d v="2021-07-31T00:00:00" u="1"/>
        <d v="2021-08-12T00:00:00" u="1"/>
        <d v="2021-11-14T00:00:00" u="1"/>
        <d v="2021-07-27T00:00:00" u="1"/>
        <d v="2021-08-08T00:00:00" u="1"/>
        <d v="2021-11-10T00:00:00" u="1"/>
        <d v="2021-07-23T00:00:00" u="1"/>
        <d v="2021-08-04T00:00:00" u="1"/>
        <d v="2021-11-06T00:00:00" u="1"/>
        <d v="2021-07-19T00:00:00" u="1"/>
        <d v="2021-10-21T00:00:00" u="1"/>
        <d v="2021-11-02T00:00:00" u="1"/>
        <d v="2021-07-15T00:00:00" u="1"/>
        <d v="2021-10-17T00:00:00" u="1"/>
        <d v="2021-06-30T00:00:00" u="1"/>
        <d v="2021-07-11T00:00:00" u="1"/>
        <d v="2021-10-13T00:00:00" u="1"/>
        <d v="2021-06-26T00:00:00" u="1"/>
        <d v="2021-07-07T00:00:00" u="1"/>
        <d v="2021-10-09T00:00:00" u="1"/>
        <d v="2021-06-22T00:00:00" u="1"/>
        <d v="2021-07-03T00:00:00" u="1"/>
        <d v="2021-10-05T00:00:00" u="1"/>
        <d v="2021-06-18T00:00:00" u="1"/>
        <d v="2021-06-14T00:00:00" u="1"/>
        <d v="2021-09-16T00:00:00" u="1"/>
        <d v="2021-05-29T00:00:00" u="1"/>
        <d v="2021-08-31T00:00:00" u="1"/>
        <d v="2021-06-10T00:00:00" u="1"/>
        <d v="2021-09-12T00:00:00" u="1"/>
        <d v="2021-08-27T00:00:00" u="1"/>
        <d v="2021-06-06T00:00:00" u="1"/>
        <d v="2021-09-08T00:00:00" u="1"/>
        <d v="2021-08-23T00:00:00" u="1"/>
        <d v="1900-01-16T00:00:00" u="1"/>
        <d v="2021-06-02T00:00:00" u="1"/>
        <d v="2021-11-25T00:00:00" u="1"/>
        <d v="2021-09-04T00:00:00" u="1"/>
        <d v="2021-08-19T00:00:00" u="1"/>
        <d v="2021-11-21T00:00:00" u="1"/>
        <d v="2021-08-15T00:00:00" u="1"/>
        <d v="2021-11-17T00:00:00" u="1"/>
        <d v="2021-07-30T00:00:00" u="1"/>
        <d v="2021-08-11T00:00:00" u="1"/>
        <d v="2021-11-13T00:00:00" u="1"/>
        <d v="2021-07-26T00:00:00" u="1"/>
      </sharedItems>
    </cacheField>
    <cacheField name="TURNO" numFmtId="0">
      <sharedItems containsBlank="1"/>
    </cacheField>
    <cacheField name="GUARDIA" numFmtId="0">
      <sharedItems containsBlank="1"/>
    </cacheField>
    <cacheField name="LABOR" numFmtId="0">
      <sharedItems containsBlank="1" count="117">
        <s v="Inc 863 SE (Est 075-4 SE)"/>
        <s v="Cx 169 NE (Gal 127 NE)"/>
        <s v="Est 870 NW (Est 869 SW)"/>
        <s v="Tj 870 NE (Ch 944)"/>
        <s v="CX 128-1 NE GAL 028 NE"/>
        <s v="Ch 880 (Est 877 SE)"/>
        <s v="Snv 865 SW (Est 945 SE)"/>
        <s v="Inc 822 NE (Est 912 SE)"/>
        <s v="Pq 122 (Snv 102 SW)"/>
        <s v="MOTORISTAS"/>
        <s v="BODEGUERO"/>
        <s v="CX 150 NW (GAL 170 SW)"/>
        <s v="Tj 870 SW (Ch 944)"/>
        <s v="Snv 874 NE (Est 870 SE)"/>
        <s v="Pq 075 (Cx 075 SW)"/>
        <s v="Est 924 SE (Tj 870 SW)"/>
        <s v="Snv 915 NE (Est 912 SE)"/>
        <s v="Tj  876 NE (Snv 876 NE)"/>
        <s v="Gal 028 NE (Cx 990 NE)"/>
        <s v="Est 879 NE (Inc 863 SE)"/>
        <s v="Tj 874 NE (Snv 874 NE)"/>
        <s v="Est 880 NW (Est 879 NE)"/>
        <m/>
        <s v="Tj 938 NE (Ch 944)" u="1"/>
        <s v="Tj 938 SW (Ch 944)" u="1"/>
        <s v="PQ 075 (CX 074 SW)" u="1"/>
        <s v="Ch 835 (Snv 042 SW)" u="1"/>
        <s v="Cx 990 NE (Cor 990)" u="1"/>
        <s v="Ch 980 (Tj 985 NE)" u="1"/>
        <s v="Snv 865 SW (Est 966 S)" u="1"/>
        <s v="Est 820 SE (Ch 044)" u="1"/>
        <s v="Gal 962 NW (Cx 444 NE)" u="1"/>
        <s v="Ch 044 (Cam 021)" u="1"/>
        <s v="HERRERIA" u="1"/>
        <s v="Snv 945 NE (Snv 865 SW)" u="1"/>
        <s v="Ch 091 (Snv 030 NE)" u="1"/>
        <s v="Snv 898 NE" u="1"/>
        <s v="Tj 037 NE (Ch 091)" u="1"/>
        <s v="Tj 037 SW (Ch 091)" u="1"/>
        <s v="TJ 091 SW (CH 091)" u="1"/>
        <s v="Tj 097 NE (Ch 091)" u="1"/>
        <s v="CH 091 (GAL 150 SW)" u="1"/>
        <s v="Pz 872 (Est 872 SW) " u="1"/>
        <s v="Ch 936 (Tj 938 SW)" u="1"/>
        <s v="Gal 028" u="1"/>
        <s v="Est 870 SE (Est 869 SW)" u="1"/>
        <s v="Snv 868 NE (Est 868 SE)" u="1"/>
        <s v="Snv 030 SW (Est 030 SW)" u="1"/>
        <s v="GAL 150 NE (CX 150 NW)" u="1"/>
        <s v="CH 150 GAL 170 SW" u="1"/>
        <s v="Snv 925 SW (Est 928 NW" u="1"/>
        <s v="Ch 914 (Snv 885 SW)" u="1"/>
        <s v="Est 804 NE (Snv 829 SW) " u="1"/>
        <s v="Snv  865 NE (Est 966 S)" u="1"/>
        <s v="Snv  865 SW (Est 966 S)" u="1"/>
        <s v="Est 877 NW (Est 873 NE)" u="1"/>
        <s v="Est 877 SE (Est 873 NE)" u="1"/>
        <s v="COR 990" u="1"/>
        <s v="SNV 092 NE (EST 075-1 SE)" u="1"/>
        <s v="Snv 827 SW (Est 092 SW)" u="1"/>
        <s v="Tj 829 SW (Snv 829 SW)" u="1"/>
        <s v="Tj  829 SW (Snv 868 SW)" u="1"/>
        <s v="Snv 886 NE (Tj 097 NE) " u="1"/>
        <s v="Tj 010 NE (Inc 870 SW)" u="1"/>
        <s v="Tj 010 SW (Inc 870 SW)" u="1"/>
        <s v="Tj 020 NE (Inc 870 SW)" u="1"/>
        <s v="Tj 020 SW (Inc 870 SW)" u="1"/>
        <s v="Tj 985 NE (Snv 985 SW)" u="1"/>
        <s v="Est 874 NW (Snv 874 NE)" u="1"/>
        <s v="Snv 873 NE (Est 870 SE)" u="1"/>
        <s v="Snv 874 SW (Est 870 SE)" u="1"/>
        <s v="Ch 091 (Snv 010 NE)" u="1"/>
        <s v="Est 966 N (Inc 822 SE)" u="1"/>
        <s v="Snv 829 SW (Est 830 SW)" u="1"/>
        <s v="Snv 898 NE (Est 873 NE) " u="1"/>
        <s v="Snv 870 NE (Ch 944)" u="1"/>
        <s v="Snv 870 SW (Ch 944)" u="1"/>
        <s v=" Est 854 NW (Snv 070 SW) " u="1"/>
        <s v="Tj 063 NE (Ch 066)" u="1"/>
        <s v="Ch 960 (Tj 938 NE)" u="1"/>
        <s v="Ch 914 (Snv 865 SW) " u="1"/>
        <s v="Pz 878 (Est 878 NE)" u="1"/>
        <s v="Snv 874 NE" u="1"/>
        <s v="Snv 836 NE (Est 854 NW)" u="1"/>
        <s v="Snv 836 SW (Est 854 NW)" u="1"/>
        <s v="Ch 877 (Snv 020 NE)" u="1"/>
        <s v="GA 170 SW Cx. 128 NE" u="1"/>
        <s v="Inc 870 SW (Snv 030 SW)" u="1"/>
        <s v="Ch 880 (Est 877 SE) " u="1"/>
        <s v="Est 907 NW (Ch 909)" u="1"/>
        <s v="Est 907 SE (Ch 909)" u="1"/>
        <s v="Est 878 NE (Est 877 NW)" u="1"/>
        <s v="Snv 152 SW (Ch 921)" u="1"/>
        <s v=" GAL 168 SW" u="1"/>
        <s v="Ch 909 (Est 905 SE) " u="1"/>
        <s v="Est 966 S (Inc 822 NE)" u="1"/>
        <s v="Snv 962 NW (Est 966 N)" u="1"/>
        <s v="Snv 962 SE (Est 966 N)" u="1"/>
        <s v="Snv 962 SW (Est 966 N)" u="1"/>
        <s v="Est 869 SW (Inc 863 SE)" u="1"/>
        <s v="Est 872 SW (Inc 863 SE)" u="1"/>
        <s v="Est 873 NE (Inc 863 SE)" u="1"/>
        <s v="Est 879 SW (Inc 863 SE)" u="1"/>
        <s v="Snv 820 SW (Ch 044) " u="1"/>
        <s v="Snv 885 SW (Est 945 SE)" u="1"/>
        <s v="Tj 898 NE (Snv 898 NE)" u="1"/>
        <s v="Snv 069 NE (Est 069 SE)" u="1"/>
        <s v="Snv 033 SW (Ch 091)" u="1"/>
        <s v="TJ 107 (CH 107)" u="1"/>
        <s v="Snv 030 NE (Est 075-4 SE)" u="1"/>
        <s v="Snv 030 SW (Est 075-4 SE)" u="1"/>
        <s v="Est 928 NW (Snv 865 SW)" u="1"/>
        <s v="Tj  876 NE (Snv 876 NE) " u="1"/>
        <s v="Tj 042 SW (Ch 835)" u="1"/>
        <s v="Cam 14 (Cx 225 SE)" u="1"/>
        <s v="Snv 876 NE (Est 877 NW)" u="1"/>
        <s v=" Cx.128 NE_GL.028 NE " u="1"/>
      </sharedItems>
    </cacheField>
    <cacheField name="ABREV" numFmtId="0">
      <sharedItems/>
    </cacheField>
    <cacheField name="M o D" numFmtId="0">
      <sharedItems containsBlank="1"/>
    </cacheField>
    <cacheField name="PRINCIPAL TAREA" numFmtId="0">
      <sharedItems containsBlank="1"/>
    </cacheField>
    <cacheField name="ACTIVIDAD" numFmtId="0">
      <sharedItems/>
    </cacheField>
    <cacheField name="ZONA" numFmtId="0">
      <sharedItems/>
    </cacheField>
    <cacheField name="TIPO LABOR" numFmtId="0">
      <sharedItems/>
    </cacheField>
    <cacheField name="ETAPA" numFmtId="0">
      <sharedItems/>
    </cacheField>
    <cacheField name="NIVEL" numFmtId="0">
      <sharedItems containsNonDate="0" containsString="0" containsBlank="1"/>
    </cacheField>
    <cacheField name="TIPO AVANCE" numFmtId="0">
      <sharedItems containsBlank="1"/>
    </cacheField>
    <cacheField name="CCOSTOS" numFmtId="0">
      <sharedItems containsNonDate="0" containsString="0" containsBlank="1"/>
    </cacheField>
    <cacheField name="DNI" numFmtId="49">
      <sharedItems containsBlank="1"/>
    </cacheField>
    <cacheField name="DNI 2" numFmtId="49">
      <sharedItems containsBlank="1"/>
    </cacheField>
    <cacheField name="DNI 3" numFmtId="49">
      <sharedItems containsBlank="1"/>
    </cacheField>
    <cacheField name="DNI 4" numFmtId="49">
      <sharedItems containsNonDate="0" containsString="0" containsBlank="1"/>
    </cacheField>
    <cacheField name="4TO HOMBRE" numFmtId="0">
      <sharedItems/>
    </cacheField>
    <cacheField name="HG" numFmtId="2">
      <sharedItems containsMixedTypes="1" containsNumber="1" containsInteger="1" minValue="1" maxValue="3"/>
    </cacheField>
    <cacheField name="LIMP" numFmtId="2">
      <sharedItems containsString="0" containsBlank="1" containsNumber="1" minValue="0.28000000000000003" maxValue="2"/>
    </cacheField>
    <cacheField name="PV" numFmtId="2">
      <sharedItems containsString="0" containsBlank="1" containsNumber="1" minValue="0.28000000000000003" maxValue="1.2"/>
    </cacheField>
    <cacheField name="STTO" numFmtId="2">
      <sharedItems containsString="0" containsBlank="1" containsNumber="1" minValue="0.28000000000000003" maxValue="1.9"/>
    </cacheField>
    <cacheField name="SERV" numFmtId="2">
      <sharedItems containsString="0" containsBlank="1" containsNumber="1" minValue="0.3" maxValue="3"/>
    </cacheField>
    <cacheField name="TAREOS" numFmtId="2">
      <sharedItems containsSemiMixedTypes="0" containsString="0" containsNumber="1" minValue="0" maxValue="3.0000000000000004"/>
    </cacheField>
    <cacheField name="N° VALE" numFmtId="0">
      <sharedItems containsBlank="1"/>
    </cacheField>
    <cacheField name="N° DISP" numFmtId="0">
      <sharedItems containsMixedTypes="1" containsNumber="1" containsInteger="1" minValue="1" maxValue="1"/>
    </cacheField>
    <cacheField name="PERFORADORA" numFmtId="0">
      <sharedItems containsBlank="1"/>
    </cacheField>
    <cacheField name="BARRA" numFmtId="0">
      <sharedItems containsString="0" containsBlank="1" containsNumber="1" containsInteger="1" minValue="3" maxValue="5"/>
    </cacheField>
    <cacheField name="N° TALADROS" numFmtId="0">
      <sharedItems containsMixedTypes="1" containsNumber="1" containsInteger="1" minValue="3" maxValue="35"/>
    </cacheField>
    <cacheField name="N° TAL. VACIOS" numFmtId="0">
      <sharedItems containsString="0" containsBlank="1" containsNumber="1" containsInteger="1" minValue="4" maxValue="4"/>
    </cacheField>
    <cacheField name="N°  TOTAL TALADROS" numFmtId="0">
      <sharedItems containsMixedTypes="1" containsNumber="1" containsInteger="1" minValue="3" maxValue="35"/>
    </cacheField>
    <cacheField name="EMULNOR 3000 (N° CART.)" numFmtId="0">
      <sharedItems containsString="0" containsBlank="1" containsNumber="1" containsInteger="1" minValue="6" maxValue="85"/>
    </cacheField>
    <cacheField name="EMULNOR 1000 (N° CART.)" numFmtId="0">
      <sharedItems containsString="0" containsBlank="1" containsNumber="1" containsInteger="1" minValue="9" maxValue="110"/>
    </cacheField>
    <cacheField name="PULVERULENTA (N° CART.)" numFmtId="0">
      <sharedItems containsNonDate="0" containsString="0" containsBlank="1"/>
    </cacheField>
    <cacheField name="SEMIGELATINA (N° CART.)" numFmtId="0">
      <sharedItems containsNonDate="0" containsString="0" containsBlank="1"/>
    </cacheField>
    <cacheField name="CARMEX 7'" numFmtId="0">
      <sharedItems containsString="0" containsBlank="1" containsNumber="1" containsInteger="1" minValue="3" maxValue="35"/>
    </cacheField>
    <cacheField name="MECHA RAPIDA Z18" numFmtId="0">
      <sharedItems containsString="0" containsBlank="1" containsNumber="1" containsInteger="1" minValue="1" maxValue="6"/>
    </cacheField>
    <cacheField name="FULMINANTE N° 08" numFmtId="0">
      <sharedItems containsNonDate="0" containsString="0" containsBlank="1"/>
    </cacheField>
    <cacheField name="MECHA DE SEGURIDAD" numFmtId="0">
      <sharedItems containsMixedTypes="1" containsNumber="1" containsInteger="1" minValue="0" maxValue="0"/>
    </cacheField>
    <cacheField name="CONECTOR P/ MECHA" numFmtId="0">
      <sharedItems containsMixedTypes="1" containsNumber="1" containsInteger="1" minValue="0" maxValue="0"/>
    </cacheField>
    <cacheField name="PIES PERF REALES" numFmtId="2">
      <sharedItems containsMixedTypes="1" containsNumber="1" minValue="8.5499999999999989" maxValue="142.5"/>
    </cacheField>
    <cacheField name="KG EXPLO EMULN 1000" numFmtId="2">
      <sharedItems containsMixedTypes="1" containsNumber="1" minValue="0.85230000000000006" maxValue="10.417000000000002"/>
    </cacheField>
    <cacheField name="KG EXPLO EMULN 3000" numFmtId="2">
      <sharedItems containsMixedTypes="1" containsNumber="1" minValue="0" maxValue="8.1730769230769269"/>
    </cacheField>
    <cacheField name="KG EXPLO PULVE" numFmtId="2">
      <sharedItems containsMixedTypes="1" containsNumber="1" containsInteger="1" minValue="0" maxValue="0"/>
    </cacheField>
    <cacheField name="KG EXPLO SEMIGEL" numFmtId="2">
      <sharedItems containsMixedTypes="1" containsNumber="1" containsInteger="1" minValue="0" maxValue="0"/>
    </cacheField>
    <cacheField name="KG EXPLO TOTAL" numFmtId="2">
      <sharedItems containsMixedTypes="1" containsNumber="1" minValue="0.85230000000000006" maxValue="17.147769230769235"/>
    </cacheField>
    <cacheField name="MINERAL (U-35)" numFmtId="0">
      <sharedItems containsString="0" containsBlank="1" containsNumber="1" containsInteger="1" minValue="2" maxValue="15"/>
    </cacheField>
    <cacheField name="DESMONTE (U-35)" numFmtId="0">
      <sharedItems containsString="0" containsBlank="1" containsNumber="1" containsInteger="1" minValue="1" maxValue="16"/>
    </cacheField>
    <cacheField name="MINERAL (TON)" numFmtId="0">
      <sharedItems containsMixedTypes="1" containsNumber="1" minValue="2.9" maxValue="21.75"/>
    </cacheField>
    <cacheField name="DESMONTE (TON)" numFmtId="0">
      <sharedItems containsMixedTypes="1" containsNumber="1" minValue="1.23" maxValue="19.68"/>
    </cacheField>
    <cacheField name="Cuadro en Gal y Cx" numFmtId="0">
      <sharedItems containsString="0" containsBlank="1" containsNumber="1" containsInteger="1" minValue="1" maxValue="2"/>
    </cacheField>
    <cacheField name="Cuadro en Snv y Tj" numFmtId="0">
      <sharedItems containsString="0" containsBlank="1" containsNumber="1" containsInteger="1" minValue="1" maxValue="2"/>
    </cacheField>
    <cacheField name="Cuadro en Ch" numFmtId="0">
      <sharedItems containsNonDate="0" containsString="0" containsBlank="1"/>
    </cacheField>
    <cacheField name="Cuadro en Pq y Inc y Est" numFmtId="0">
      <sharedItems containsString="0" containsBlank="1" containsNumber="1" containsInteger="1" minValue="1" maxValue="3"/>
    </cacheField>
    <cacheField name="Cuadro cojo en Gal / Cx / Inc y Ch" numFmtId="0">
      <sharedItems containsString="0" containsBlank="1" containsNumber="1" containsInteger="1" minValue="1" maxValue="1"/>
    </cacheField>
    <cacheField name="Cuadro cojo en Snv y Tj" numFmtId="0">
      <sharedItems containsNonDate="0" containsString="0" containsBlank="1"/>
    </cacheField>
    <cacheField name="Poste" numFmtId="0">
      <sharedItems containsString="0" containsBlank="1" containsNumber="1" containsInteger="1" minValue="1" maxValue="6"/>
    </cacheField>
    <cacheField name="Tirante" numFmtId="0">
      <sharedItems containsString="0" containsBlank="1" containsNumber="1" containsInteger="1" minValue="1" maxValue="2"/>
    </cacheField>
    <cacheField name="Puntal de seguridad" numFmtId="0">
      <sharedItems containsString="0" containsBlank="1" containsNumber="1" containsInteger="1" minValue="1" maxValue="2"/>
    </cacheField>
    <cacheField name="Puntal en línea" numFmtId="0">
      <sharedItems containsString="0" containsBlank="1" containsNumber="1" containsInteger="1" minValue="1" maxValue="2"/>
    </cacheField>
    <cacheField name="Puntal de caja" numFmtId="0">
      <sharedItems containsString="0" containsBlank="1" containsNumber="1" containsInteger="1" minValue="1" maxValue="2"/>
    </cacheField>
    <cacheField name="Puntal de guardacabeza" numFmtId="0">
      <sharedItems containsNonDate="0" containsString="0" containsBlank="1"/>
    </cacheField>
    <cacheField name="Puntal de avance" numFmtId="0">
      <sharedItems containsString="0" containsBlank="1" containsNumber="1" containsInteger="1" minValue="1" maxValue="1"/>
    </cacheField>
    <cacheField name="Puntal de 5&quot;" numFmtId="0">
      <sharedItems containsNonDate="0" containsString="0" containsBlank="1"/>
    </cacheField>
    <cacheField name="Entablado" numFmtId="0">
      <sharedItems containsString="0" containsBlank="1" containsNumber="1" minValue="1.68" maxValue="9.18"/>
    </cacheField>
    <cacheField name="Encribado" numFmtId="0">
      <sharedItems containsString="0" containsBlank="1" containsNumber="1" containsInteger="1" minValue="1" maxValue="4"/>
    </cacheField>
    <cacheField name="Anillado" numFmtId="0">
      <sharedItems containsNonDate="0" containsString="0" containsBlank="1"/>
    </cacheField>
    <cacheField name="Guardacabeza" numFmtId="0">
      <sharedItems containsString="0" containsBlank="1" containsNumber="1" minValue="1.5" maxValue="9"/>
    </cacheField>
    <cacheField name="Embolillado" numFmtId="0">
      <sharedItems containsString="0" containsBlank="1" containsNumber="1" minValue="3" maxValue="12"/>
    </cacheField>
    <cacheField name="Barrera" numFmtId="0">
      <sharedItems containsString="0" containsBlank="1" containsNumber="1" minValue="4.4000000000000004" maxValue="8.4"/>
    </cacheField>
    <cacheField name="Enrrejado" numFmtId="2">
      <sharedItems containsString="0" containsBlank="1" containsNumber="1" minValue="1.82" maxValue="15"/>
    </cacheField>
    <cacheField name="Plataforma Winche" numFmtId="0">
      <sharedItems containsNonDate="0" containsString="0" containsBlank="1"/>
    </cacheField>
    <cacheField name="Split Set 2'" numFmtId="0">
      <sharedItems containsNonDate="0" containsString="0" containsBlank="1"/>
    </cacheField>
    <cacheField name="Split Set 4' S/P" numFmtId="0">
      <sharedItems containsString="0" containsBlank="1" containsNumber="1" containsInteger="1" minValue="2" maxValue="11"/>
    </cacheField>
    <cacheField name="Split Set 4' C/P" numFmtId="0">
      <sharedItems containsString="0" containsBlank="1" containsNumber="1" containsInteger="1" minValue="2" maxValue="4"/>
    </cacheField>
    <cacheField name="Split Set 5' S/P" numFmtId="0">
      <sharedItems containsString="0" containsBlank="1" containsNumber="1" containsInteger="1" minValue="1" maxValue="6"/>
    </cacheField>
    <cacheField name="Split Set 5' C/P" numFmtId="0">
      <sharedItems containsString="0" containsBlank="1" containsNumber="1" containsInteger="1" minValue="1" maxValue="1"/>
    </cacheField>
    <cacheField name="Split Set 6' S/P" numFmtId="0">
      <sharedItems containsString="0" containsBlank="1" containsNumber="1" containsInteger="1" minValue="2" maxValue="2"/>
    </cacheField>
    <cacheField name="Split Set 6' C/P" numFmtId="0">
      <sharedItems containsNonDate="0" containsString="0" containsBlank="1"/>
    </cacheField>
    <cacheField name="Malla electrosoldada" numFmtId="0">
      <sharedItems containsString="0" containsBlank="1" containsNumber="1" containsInteger="1" minValue="8" maxValue="8"/>
    </cacheField>
    <cacheField name="Riel 30 lb/yd" numFmtId="0">
      <sharedItems containsNonDate="0" containsString="0" containsBlank="1"/>
    </cacheField>
    <cacheField name="Escalera" numFmtId="0">
      <sharedItems containsString="0" containsBlank="1" containsNumber="1" containsInteger="1" minValue="1" maxValue="1"/>
    </cacheField>
    <cacheField name="Descanso" numFmtId="0">
      <sharedItems containsString="0" containsBlank="1" containsNumber="1" containsInteger="1" minValue="1" maxValue="2"/>
    </cacheField>
    <cacheField name="Durmiente" numFmtId="0">
      <sharedItems containsNonDate="0" containsString="0" containsBlank="1"/>
    </cacheField>
    <cacheField name="Tolva americana en Snv y Tj" numFmtId="0">
      <sharedItems containsNonDate="0" containsString="0" containsBlank="1"/>
    </cacheField>
    <cacheField name="Tolva colgante en Snv y Tj" numFmtId="0">
      <sharedItems containsNonDate="0" containsString="0" containsBlank="1"/>
    </cacheField>
    <cacheField name="Taladros de servicio" numFmtId="0">
      <sharedItems containsString="0" containsBlank="1" containsNumber="1" containsInteger="1" minValue="3" maxValue="3"/>
    </cacheField>
    <cacheField name="PUNTAL 4&quot;" numFmtId="0">
      <sharedItems containsNonDate="0" containsString="0" containsBlank="1"/>
    </cacheField>
    <cacheField name="PUNTAL 5&quot;" numFmtId="0">
      <sharedItems containsString="0" containsBlank="1" containsNumber="1" containsInteger="1" minValue="1" maxValue="18"/>
    </cacheField>
    <cacheField name="PUNTAL 6&quot;" numFmtId="0">
      <sharedItems containsString="0" containsBlank="1" containsNumber="1" containsInteger="1" minValue="1" maxValue="10"/>
    </cacheField>
    <cacheField name="PUNTAL 7&quot;" numFmtId="0">
      <sharedItems containsString="0" containsBlank="1" containsNumber="1" containsInteger="1" minValue="1" maxValue="8"/>
    </cacheField>
    <cacheField name="PUNTAL 8&quot;" numFmtId="0">
      <sharedItems containsString="0" containsBlank="1" containsNumber="1" containsInteger="1" minValue="1" maxValue="4"/>
    </cacheField>
    <cacheField name="TOTAL REDONDOS" numFmtId="2">
      <sharedItems containsMixedTypes="1" containsNumber="1" containsInteger="1" minValue="0" maxValue="23"/>
    </cacheField>
    <cacheField name="PUNTAL 7&quot;_4m" numFmtId="0">
      <sharedItems containsString="0" containsBlank="1" containsNumber="1" containsInteger="1" minValue="1" maxValue="1"/>
    </cacheField>
    <cacheField name="PUNTAL 8&quot;_4m" numFmtId="0">
      <sharedItems containsNonDate="0" containsString="0" containsBlank="1"/>
    </cacheField>
    <cacheField name="CANTONERA" numFmtId="0">
      <sharedItems containsString="0" containsBlank="1" containsNumber="1" containsInteger="1" minValue="2" maxValue="27"/>
    </cacheField>
    <cacheField name="DURMIENTE2" numFmtId="0">
      <sharedItems containsNonDate="0" containsString="0" containsBlank="1"/>
    </cacheField>
    <cacheField name="ESCALERA 4m" numFmtId="0">
      <sharedItems containsString="0" containsBlank="1" containsNumber="1" containsInteger="1" minValue="1" maxValue="1"/>
    </cacheField>
    <cacheField name="LISTONES" numFmtId="0">
      <sharedItems containsString="0" containsBlank="1" containsNumber="1" containsInteger="1" minValue="4" maxValue="22"/>
    </cacheField>
    <cacheField name="TABLA 1&quot;x8&quot;x3m" numFmtId="0">
      <sharedItems containsString="0" containsBlank="1" containsNumber="1" containsInteger="1" minValue="8" maxValue="20"/>
    </cacheField>
    <cacheField name="TABLA 2&quot;x8&quot;x3m" numFmtId="0">
      <sharedItems containsString="0" containsBlank="1" containsNumber="1" containsInteger="1" minValue="2" maxValue="12"/>
    </cacheField>
    <cacheField name="CAÑAS UND." numFmtId="0">
      <sharedItems containsNonDate="0" containsString="0" containsBlank="1"/>
    </cacheField>
    <cacheField name="KG. MADERA REDONDA" numFmtId="2">
      <sharedItems containsMixedTypes="1" containsNumber="1" minValue="0" maxValue="1086.7649999999999"/>
    </cacheField>
    <cacheField name="PIE2 MADERA ASERRADA" numFmtId="2">
      <sharedItems containsMixedTypes="1" containsNumber="1" minValue="0" maxValue="183.708"/>
    </cacheField>
    <cacheField name="KG MADERA ASERRADA" numFmtId="2">
      <sharedItems containsMixedTypes="1" containsNumber="1" minValue="0" maxValue="358.23059999999998"/>
    </cacheField>
    <cacheField name="KG MADERA TOTAL" numFmtId="2">
      <sharedItems containsMixedTypes="1" containsNumber="1" minValue="0" maxValue="1086.7649999999999"/>
    </cacheField>
    <cacheField name="COSTO MADERA" numFmtId="2">
      <sharedItems containsMixedTypes="1" containsNumber="1" minValue="0" maxValue="610.20000000000005"/>
    </cacheField>
    <cacheField name="PALA" numFmtId="0">
      <sharedItems containsNonDate="0" containsString="0" containsBlank="1"/>
    </cacheField>
    <cacheField name="HRS. PALA" numFmtId="0">
      <sharedItems containsNonDate="0" containsString="0" containsBlank="1"/>
    </cacheField>
    <cacheField name="WINCHE" numFmtId="0">
      <sharedItems containsNonDate="0" containsString="0" containsBlank="1"/>
    </cacheField>
    <cacheField name="HRS. WINCHE" numFmtId="0">
      <sharedItems containsNonDate="0" containsString="0" containsBlank="1"/>
    </cacheField>
    <cacheField name="AVANCE TEÓRICO" numFmtId="2">
      <sharedItems containsMixedTypes="1" containsNumber="1" minValue="0.78" maxValue="1.35"/>
    </cacheField>
    <cacheField name="ANCHO LABOR" numFmtId="2">
      <sharedItems containsNonDate="0" containsString="0" containsBlank="1"/>
    </cacheField>
    <cacheField name="L2/Altura" numFmtId="2">
      <sharedItems containsNonDate="0" containsString="0" containsBlank="1"/>
    </cacheField>
    <cacheField name="LONG. CORTE" numFmtId="2">
      <sharedItems containsMixedTypes="1" containsNumber="1" minValue="0.7" maxValue="4.9000000000000004"/>
    </cacheField>
    <cacheField name="AV*LC" numFmtId="2">
      <sharedItems containsMixedTypes="1" containsNumber="1" minValue="0" maxValue="5.096000000000001"/>
    </cacheField>
    <cacheField name="ROTURA TMH TEORICO" numFmtId="2">
      <sharedItems containsMixedTypes="1" containsNumber="1" containsInteger="1" minValue="0" maxValue="0"/>
    </cacheField>
    <cacheField name="ROTURA TMH" numFmtId="2">
      <sharedItems containsString="0" containsBlank="1" containsNumber="1" minValue="1.4616" maxValue="17.549999999999997"/>
    </cacheField>
    <cacheField name="ROTURA (m3)" numFmtId="2">
      <sharedItems containsMixedTypes="1" containsNumber="1" minValue="0" maxValue="6.6226415094339615"/>
    </cacheField>
    <cacheField name="AVANCE (m)" numFmtId="2">
      <sharedItems containsString="0" containsBlank="1" containsNumber="1" minValue="0.6" maxValue="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s v="Día"/>
    <s v="C"/>
    <x v="0"/>
    <s v="In"/>
    <m/>
    <s v="3 Limpieza"/>
    <s v="LIMPIEZA"/>
    <s v="VANESSA"/>
    <s v="LINEAL"/>
    <s v="EXPLORACION"/>
    <m/>
    <m/>
    <m/>
    <s v="42908981"/>
    <s v="70291386"/>
    <m/>
    <m/>
    <s v=" "/>
    <n v="2"/>
    <n v="0.6"/>
    <m/>
    <n v="0.6"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Día"/>
    <s v="C"/>
    <x v="1"/>
    <s v="Cx"/>
    <m/>
    <s v="3 Limpieza"/>
    <s v="LIMPIEZA"/>
    <s v="ESCONDIDA"/>
    <s v="LINEAL"/>
    <s v="EXPLOTACION"/>
    <m/>
    <m/>
    <m/>
    <s v="73491513"/>
    <s v="71475953"/>
    <m/>
    <m/>
    <s v=" "/>
    <n v="2"/>
    <n v="1"/>
    <m/>
    <m/>
    <n v="1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n v="4"/>
    <s v="-"/>
    <n v="4.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Día"/>
    <s v="C"/>
    <x v="2"/>
    <s v="Es"/>
    <m/>
    <s v="3 Limpieza"/>
    <s v="LIMPIEZA"/>
    <s v="VANESSA"/>
    <s v="LINEAL"/>
    <s v="EXPLORACION"/>
    <m/>
    <m/>
    <m/>
    <s v="41890317"/>
    <s v="71372838"/>
    <m/>
    <m/>
    <s v=" "/>
    <n v="2"/>
    <n v="0.6"/>
    <m/>
    <n v="0.6"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Día"/>
    <s v="C"/>
    <x v="3"/>
    <s v="Tj"/>
    <m/>
    <s v="3 Limpieza"/>
    <s v="LIMPIEZA"/>
    <s v="CACHORRO"/>
    <s v="TAJO"/>
    <s v="EXPLOTACION"/>
    <m/>
    <m/>
    <m/>
    <s v="28835300"/>
    <s v="45844439"/>
    <m/>
    <m/>
    <s v=" "/>
    <n v="2"/>
    <n v="1"/>
    <m/>
    <m/>
    <n v="1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5"/>
    <m/>
    <n v="7.25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Día"/>
    <s v="B"/>
    <x v="4"/>
    <s v="Cx"/>
    <m/>
    <s v="3 Limpieza"/>
    <s v="LIMPIEZA"/>
    <s v="CACHORRO"/>
    <s v="LINEAL"/>
    <s v="EXPLORACION"/>
    <m/>
    <m/>
    <m/>
    <s v="44818503"/>
    <s v="46350256"/>
    <m/>
    <m/>
    <s v=" "/>
    <n v="2"/>
    <n v="0.6"/>
    <m/>
    <n v="1"/>
    <n v="0.4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n v="1"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3"/>
    <n v="5"/>
    <m/>
    <m/>
    <m/>
    <m/>
    <m/>
    <m/>
    <m/>
    <m/>
    <m/>
    <n v="329.07599999999996"/>
    <n v="0"/>
    <n v="0"/>
    <n v="329.07599999999996"/>
    <n v="89"/>
    <m/>
    <m/>
    <m/>
    <m/>
    <s v=""/>
    <m/>
    <m/>
    <s v=""/>
    <s v=""/>
    <s v=""/>
    <m/>
    <s v=""/>
    <m/>
  </r>
  <r>
    <x v="0"/>
    <s v="Día"/>
    <s v="B"/>
    <x v="3"/>
    <s v="Tj"/>
    <m/>
    <s v="3 Limpieza"/>
    <s v="LIMPIEZA"/>
    <s v="CACHORRO"/>
    <s v="TAJO"/>
    <s v="EXPLOTACION"/>
    <m/>
    <m/>
    <m/>
    <s v="71485405"/>
    <s v="48073315"/>
    <m/>
    <m/>
    <s v=" "/>
    <n v="2"/>
    <n v="1.4"/>
    <m/>
    <m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6"/>
    <m/>
    <n v="8.6999999999999993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n v="2"/>
    <m/>
    <m/>
    <m/>
    <m/>
    <n v="4"/>
    <m/>
    <n v="49.2"/>
    <n v="52.488"/>
    <n v="102.35159999999999"/>
    <n v="151.55160000000001"/>
    <n v="85.460000000000008"/>
    <m/>
    <m/>
    <m/>
    <m/>
    <s v=""/>
    <m/>
    <m/>
    <s v=""/>
    <s v=""/>
    <s v=""/>
    <m/>
    <s v=""/>
    <m/>
  </r>
  <r>
    <x v="0"/>
    <s v="Día"/>
    <s v="B"/>
    <x v="2"/>
    <s v="Es"/>
    <s v="D"/>
    <s v="2 Voladura"/>
    <s v="SUMINISTROS"/>
    <s v="VANESSA"/>
    <s v="LINEAL"/>
    <s v="EXPLORACION"/>
    <m/>
    <s v="Avance"/>
    <m/>
    <s v="46866629"/>
    <s v="47038395"/>
    <m/>
    <m/>
    <s v=" "/>
    <n v="2"/>
    <n v="1"/>
    <n v="0.6"/>
    <m/>
    <n v="0.4"/>
    <n v="2"/>
    <s v="110_01"/>
    <n v="1"/>
    <s v="RNP_05"/>
    <n v="5"/>
    <n v="26"/>
    <n v="4"/>
    <n v="30"/>
    <n v="85"/>
    <n v="50"/>
    <m/>
    <m/>
    <n v="26"/>
    <n v="5"/>
    <m/>
    <n v="0"/>
    <n v="0"/>
    <n v="142.5"/>
    <n v="4.7350000000000003"/>
    <n v="8.1730769230769269"/>
    <n v="0"/>
    <n v="0"/>
    <n v="12.908076923076926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35"/>
    <m/>
    <m/>
    <s v=""/>
    <n v="0"/>
    <n v="0"/>
    <n v="11.2684"/>
    <n v="4.6951666666666672"/>
    <n v="1.25"/>
  </r>
  <r>
    <x v="0"/>
    <s v="Día"/>
    <s v="B"/>
    <x v="2"/>
    <s v="Es"/>
    <s v="D"/>
    <s v="2 Voladura"/>
    <s v="SUMINISTROS"/>
    <s v="VANESSA"/>
    <s v="LINEAL"/>
    <s v="EXPLORACION"/>
    <m/>
    <s v="Desquinche"/>
    <m/>
    <s v="46866629"/>
    <s v="47038395"/>
    <m/>
    <m/>
    <s v=" "/>
    <n v="2"/>
    <n v="1"/>
    <n v="0.6"/>
    <m/>
    <n v="0.4"/>
    <n v="2"/>
    <s v="110_02"/>
    <n v="1"/>
    <s v="RNP_05"/>
    <n v="4"/>
    <n v="8"/>
    <m/>
    <n v="8"/>
    <m/>
    <n v="32"/>
    <m/>
    <m/>
    <n v="8"/>
    <n v="1"/>
    <m/>
    <n v="0"/>
    <n v="0"/>
    <n v="30.4"/>
    <n v="3.0304000000000002"/>
    <n v="0"/>
    <n v="0"/>
    <n v="0"/>
    <n v="3.0304000000000002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3.4672000000000001"/>
    <n v="1.4446666666666668"/>
    <m/>
  </r>
  <r>
    <x v="0"/>
    <s v="Día"/>
    <s v="B"/>
    <x v="5"/>
    <s v="Ch"/>
    <m/>
    <s v="3 Limpieza"/>
    <s v="LIMPIEZA"/>
    <s v="ESCONDIDA"/>
    <s v="LINEAL"/>
    <s v="EXPLORACION"/>
    <m/>
    <m/>
    <m/>
    <s v="44890962"/>
    <s v="46571585"/>
    <m/>
    <m/>
    <s v=" "/>
    <n v="2"/>
    <n v="1.6"/>
    <m/>
    <m/>
    <n v="0.4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Día"/>
    <s v="B"/>
    <x v="6"/>
    <s v="Sn"/>
    <m/>
    <s v="3 Limpieza"/>
    <s v="LIMPIEZA"/>
    <s v="CACHORRO"/>
    <s v="LINEAL"/>
    <s v="PREPARACION"/>
    <m/>
    <m/>
    <m/>
    <s v="45615664"/>
    <s v="73381033"/>
    <s v="70815836"/>
    <m/>
    <s v=" "/>
    <n v="3"/>
    <n v="1.4"/>
    <m/>
    <m/>
    <n v="1.6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Día"/>
    <s v="B"/>
    <x v="7"/>
    <s v="In"/>
    <m/>
    <s v="5 Servicios"/>
    <s v="SERVICIO"/>
    <s v="CACHORRO"/>
    <s v="LINEAL"/>
    <s v="EXPLORACION"/>
    <m/>
    <m/>
    <m/>
    <s v="40046071"/>
    <s v="7447721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Día"/>
    <s v="B"/>
    <x v="0"/>
    <s v="In"/>
    <m/>
    <s v="5 Servicios"/>
    <s v="SERVICIO"/>
    <s v="VANESSA"/>
    <s v="LINEAL"/>
    <s v="EXPLORACION"/>
    <m/>
    <m/>
    <m/>
    <s v="44499826"/>
    <s v="72720493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Día"/>
    <s v="B"/>
    <x v="8"/>
    <s v="Pq"/>
    <m/>
    <s v="5 Servicios"/>
    <s v="SERVICIO"/>
    <s v="ESCONDIDA"/>
    <s v="LINEAL"/>
    <s v="EXPLOTACION"/>
    <m/>
    <m/>
    <m/>
    <s v="48399793"/>
    <s v="76959829"/>
    <s v="74695055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Día"/>
    <s v="B"/>
    <x v="9"/>
    <s v="MO"/>
    <m/>
    <s v="5 Servicios"/>
    <s v="SERVICIO"/>
    <s v="INCA"/>
    <s v="SERVICIOS"/>
    <s v="SERVICIOS"/>
    <m/>
    <m/>
    <m/>
    <s v="41243921"/>
    <s v="44748796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Día"/>
    <s v="B"/>
    <x v="10"/>
    <s v="BO"/>
    <m/>
    <s v="5 Servicios"/>
    <s v="SERVICIO"/>
    <s v="CACHORRO"/>
    <s v="SERVICIOS"/>
    <s v="SERVICIOS"/>
    <m/>
    <m/>
    <m/>
    <s v="4724392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Noche"/>
    <s v="C"/>
    <x v="4"/>
    <s v="Cx"/>
    <m/>
    <s v="6 Rehabilitacion"/>
    <s v="REHABILITACION"/>
    <s v="CACHORRO"/>
    <s v="LINEAL"/>
    <s v="EXPLORACION"/>
    <m/>
    <m/>
    <m/>
    <s v="73491513"/>
    <s v="71475953"/>
    <m/>
    <m/>
    <s v=" "/>
    <n v="2"/>
    <n v="0.6"/>
    <m/>
    <n v="0.8"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n v="1"/>
    <s v="-"/>
    <n v="1.23"/>
    <m/>
    <m/>
    <m/>
    <m/>
    <m/>
    <m/>
    <m/>
    <m/>
    <m/>
    <m/>
    <m/>
    <m/>
    <m/>
    <m/>
    <m/>
    <n v="3"/>
    <m/>
    <m/>
    <m/>
    <m/>
    <n v="5.04"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Noche"/>
    <s v="C"/>
    <x v="3"/>
    <s v="Tj"/>
    <m/>
    <s v="4 Sostenimiento"/>
    <s v="SOSTENIMIENTO"/>
    <s v="CACHORRO"/>
    <s v="TAJO"/>
    <s v="EXPLOTACION"/>
    <m/>
    <m/>
    <m/>
    <s v="28835300"/>
    <s v="45844439"/>
    <m/>
    <m/>
    <s v=" "/>
    <n v="2"/>
    <n v="1.1000000000000001"/>
    <m/>
    <n v="0.3"/>
    <n v="0.6"/>
    <n v="2"/>
    <m/>
    <s v=""/>
    <s v="PSECAN_02"/>
    <m/>
    <s v=""/>
    <m/>
    <s v=""/>
    <m/>
    <m/>
    <m/>
    <m/>
    <m/>
    <m/>
    <m/>
    <s v=""/>
    <s v=""/>
    <s v=""/>
    <s v=""/>
    <s v=""/>
    <s v=""/>
    <s v=""/>
    <s v=""/>
    <n v="13"/>
    <m/>
    <n v="18.849999999999998"/>
    <s v="-"/>
    <m/>
    <m/>
    <m/>
    <m/>
    <m/>
    <m/>
    <m/>
    <m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n v="0"/>
    <m/>
    <m/>
    <n v="6"/>
    <m/>
    <m/>
    <m/>
    <m/>
    <n v="5"/>
    <m/>
    <n v="147.60000000000002"/>
    <n v="65.61"/>
    <n v="127.9395"/>
    <n v="275.53950000000003"/>
    <n v="149.84"/>
    <m/>
    <m/>
    <m/>
    <m/>
    <s v=""/>
    <m/>
    <m/>
    <s v=""/>
    <s v=""/>
    <s v=""/>
    <m/>
    <s v=""/>
    <m/>
  </r>
  <r>
    <x v="0"/>
    <s v="Noche"/>
    <s v="C"/>
    <x v="2"/>
    <s v="Es"/>
    <s v="D"/>
    <s v="2 Voladura"/>
    <s v="SUMINISTROS"/>
    <s v="VANESSA"/>
    <s v="LINEAL"/>
    <s v="EXPLORACION"/>
    <m/>
    <s v="Avance"/>
    <m/>
    <s v="41890317"/>
    <s v="71372838"/>
    <m/>
    <m/>
    <s v=" "/>
    <n v="2"/>
    <n v="1.1000000000000001"/>
    <n v="0.6"/>
    <m/>
    <n v="0.3"/>
    <n v="2"/>
    <s v="111_01"/>
    <n v="1"/>
    <s v="RNP_03"/>
    <n v="5"/>
    <n v="26"/>
    <m/>
    <n v="26"/>
    <n v="70"/>
    <n v="75"/>
    <m/>
    <m/>
    <n v="26"/>
    <n v="4"/>
    <m/>
    <n v="0"/>
    <n v="0"/>
    <n v="123.5"/>
    <n v="7.1025000000000009"/>
    <n v="6.7307692307692344"/>
    <n v="0"/>
    <n v="0"/>
    <n v="13.833269230769236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35"/>
    <m/>
    <m/>
    <s v=""/>
    <n v="0"/>
    <n v="0"/>
    <n v="11.2684"/>
    <n v="4.6951666666666672"/>
    <n v="1.2"/>
  </r>
  <r>
    <x v="0"/>
    <s v="Noche"/>
    <s v="C"/>
    <x v="0"/>
    <s v="In"/>
    <s v="D"/>
    <s v="2 Voladura"/>
    <s v="SUMINISTROS"/>
    <s v="VANESSA"/>
    <s v="LINEAL"/>
    <s v="EXPLORACION"/>
    <m/>
    <s v="Avance"/>
    <m/>
    <s v="42908981"/>
    <s v="70291386"/>
    <m/>
    <m/>
    <s v=" "/>
    <n v="2"/>
    <n v="0.9"/>
    <n v="0.6"/>
    <m/>
    <n v="0.5"/>
    <n v="2"/>
    <s v="111_02"/>
    <n v="1"/>
    <s v="RNP_05"/>
    <n v="4"/>
    <n v="35"/>
    <m/>
    <n v="35"/>
    <n v="85"/>
    <n v="90"/>
    <m/>
    <m/>
    <n v="35"/>
    <n v="5"/>
    <m/>
    <n v="0"/>
    <n v="0"/>
    <n v="133"/>
    <n v="8.5229999999999997"/>
    <n v="8.1730769230769269"/>
    <n v="0"/>
    <n v="0"/>
    <n v="16.696076923076927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6.3944999999999999"/>
    <n v="2.6643750000000002"/>
    <n v="0.6"/>
  </r>
  <r>
    <x v="0"/>
    <s v="Noche"/>
    <s v="C"/>
    <x v="0"/>
    <s v="In"/>
    <m/>
    <s v="5 Servicios"/>
    <s v="SERVICIO"/>
    <s v="VANESSA"/>
    <s v="LINEAL"/>
    <s v="EXPLORACION"/>
    <m/>
    <m/>
    <m/>
    <s v="41779807"/>
    <s v="1061933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Noche"/>
    <s v="C"/>
    <x v="6"/>
    <s v="Sn"/>
    <m/>
    <s v="3 Limpieza"/>
    <s v="LIMPIEZA"/>
    <s v="CACHORRO"/>
    <s v="LINEAL"/>
    <s v="PREPARACION"/>
    <m/>
    <m/>
    <m/>
    <s v="44636322"/>
    <s v="45048160"/>
    <s v="71211301"/>
    <m/>
    <s v=" "/>
    <n v="3"/>
    <n v="2"/>
    <m/>
    <m/>
    <n v="1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Noche"/>
    <s v="C"/>
    <x v="8"/>
    <s v="Pq"/>
    <m/>
    <s v="5 Servicios"/>
    <s v="SERVICIO"/>
    <s v="ESCONDIDA"/>
    <s v="LINEAL"/>
    <s v="EXPLOTACION"/>
    <m/>
    <m/>
    <m/>
    <s v="41164398"/>
    <s v="28855306"/>
    <s v="28818802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0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Día"/>
    <s v="B"/>
    <x v="11"/>
    <s v="Cx"/>
    <m/>
    <s v="6 Rehabilitacion"/>
    <s v="REHABILITACION"/>
    <s v="ANDREA"/>
    <s v="LINEAL"/>
    <s v="EXPLOTACION"/>
    <m/>
    <m/>
    <m/>
    <s v="46866629"/>
    <s v="47038395"/>
    <m/>
    <m/>
    <s v=" "/>
    <n v="2"/>
    <n v="0.6"/>
    <m/>
    <n v="1"/>
    <n v="0.4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n v="1"/>
    <s v="-"/>
    <n v="1.23"/>
    <n v="2"/>
    <m/>
    <m/>
    <m/>
    <m/>
    <m/>
    <m/>
    <m/>
    <m/>
    <m/>
    <m/>
    <m/>
    <m/>
    <m/>
    <n v="3"/>
    <m/>
    <m/>
    <m/>
    <m/>
    <m/>
    <n v="6"/>
    <m/>
    <m/>
    <m/>
    <m/>
    <m/>
    <m/>
    <m/>
    <m/>
    <m/>
    <m/>
    <m/>
    <m/>
    <m/>
    <m/>
    <m/>
    <m/>
    <m/>
    <m/>
    <n v="2"/>
    <n v="6"/>
    <m/>
    <n v="8"/>
    <m/>
    <m/>
    <m/>
    <m/>
    <m/>
    <m/>
    <m/>
    <n v="12"/>
    <m/>
    <n v="456.22199999999998"/>
    <n v="157.464"/>
    <n v="307.0548"/>
    <n v="763.27679999999998"/>
    <n v="325.04000000000002"/>
    <m/>
    <m/>
    <m/>
    <m/>
    <s v=""/>
    <m/>
    <m/>
    <s v=""/>
    <s v=""/>
    <s v=""/>
    <m/>
    <s v=""/>
    <m/>
  </r>
  <r>
    <x v="1"/>
    <s v="Día"/>
    <s v="B"/>
    <x v="3"/>
    <s v="Tj"/>
    <s v="M"/>
    <s v="2 Voladura"/>
    <s v="SUMINISTROS"/>
    <s v="CACHORRO"/>
    <s v="TAJO"/>
    <s v="EXPLOTACION"/>
    <m/>
    <s v="Breasting"/>
    <m/>
    <s v="44818503"/>
    <s v="46350256"/>
    <m/>
    <m/>
    <s v=" "/>
    <n v="2"/>
    <n v="1"/>
    <n v="0.3"/>
    <n v="0.3"/>
    <n v="0.4"/>
    <n v="2"/>
    <s v="112_01"/>
    <n v="1"/>
    <s v="PSECAN_02"/>
    <n v="4"/>
    <n v="7"/>
    <m/>
    <n v="7"/>
    <m/>
    <n v="28"/>
    <m/>
    <m/>
    <n v="7"/>
    <n v="2"/>
    <m/>
    <n v="0"/>
    <n v="0"/>
    <n v="26.599999999999998"/>
    <n v="2.6516000000000002"/>
    <n v="0"/>
    <n v="0"/>
    <n v="0"/>
    <n v="2.6516000000000002"/>
    <n v="6"/>
    <m/>
    <n v="8.6999999999999993"/>
    <s v="-"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n v="4"/>
    <m/>
    <n v="0"/>
    <n v="52.488"/>
    <n v="102.35159999999999"/>
    <n v="102.35159999999999"/>
    <n v="60.88"/>
    <m/>
    <m/>
    <m/>
    <m/>
    <n v="1.04"/>
    <m/>
    <m/>
    <n v="1.63"/>
    <n v="1.6952"/>
    <n v="0"/>
    <n v="13.962199999999999"/>
    <n v="5.2687547169811317"/>
    <m/>
  </r>
  <r>
    <x v="1"/>
    <s v="Día"/>
    <s v="B"/>
    <x v="0"/>
    <s v="In"/>
    <m/>
    <s v="3 Limpieza"/>
    <s v="LIMPIEZA"/>
    <s v="VANESSA"/>
    <s v="LINEAL"/>
    <s v="EXPLORACION"/>
    <m/>
    <m/>
    <m/>
    <s v="44890962"/>
    <s v="46571585"/>
    <m/>
    <m/>
    <s v=" "/>
    <n v="2"/>
    <n v="1.4"/>
    <m/>
    <m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Día"/>
    <s v="B"/>
    <x v="6"/>
    <s v="Sn"/>
    <m/>
    <s v="3 Limpieza"/>
    <s v="LIMPIEZA"/>
    <s v="CACHORRO"/>
    <s v="LINEAL"/>
    <s v="PREPARACION"/>
    <m/>
    <m/>
    <m/>
    <s v="45615664"/>
    <s v="73381033"/>
    <m/>
    <m/>
    <s v=" "/>
    <n v="2"/>
    <n v="1.4"/>
    <m/>
    <m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Día"/>
    <s v="B"/>
    <x v="7"/>
    <s v="In"/>
    <m/>
    <s v="5 Servicios"/>
    <s v="SERVICIO"/>
    <s v="CACHORRO"/>
    <s v="LINEAL"/>
    <s v="EXPLORACION"/>
    <m/>
    <m/>
    <m/>
    <s v="40046071"/>
    <s v="7447721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Día"/>
    <s v="B"/>
    <x v="0"/>
    <s v="In"/>
    <m/>
    <s v="5 Servicios"/>
    <s v="SERVICIO"/>
    <s v="VANESSA"/>
    <s v="LINEAL"/>
    <s v="EXPLORACION"/>
    <m/>
    <m/>
    <m/>
    <s v="44499826"/>
    <s v="72720493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Día"/>
    <s v="B"/>
    <x v="8"/>
    <s v="Pq"/>
    <m/>
    <s v="5 Servicios"/>
    <s v="SERVICIO"/>
    <s v="ESCONDIDA"/>
    <s v="LINEAL"/>
    <s v="EXPLOTACION"/>
    <m/>
    <m/>
    <m/>
    <s v="48399793"/>
    <s v="76959829"/>
    <s v="74695055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Día"/>
    <s v="B"/>
    <x v="9"/>
    <s v="MO"/>
    <m/>
    <s v="5 Servicios"/>
    <s v="SERVICIO"/>
    <s v="INCA"/>
    <s v="SERVICIOS"/>
    <s v="SERVICIOS"/>
    <m/>
    <m/>
    <m/>
    <s v="41243921"/>
    <s v="44748796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Día"/>
    <s v="B"/>
    <x v="10"/>
    <s v="BO"/>
    <m/>
    <s v="5 Servicios"/>
    <s v="SERVICIO"/>
    <s v="CACHORRO"/>
    <s v="SERVICIOS"/>
    <s v="SERVICIOS"/>
    <m/>
    <m/>
    <m/>
    <s v="4724392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Noche"/>
    <s v="C"/>
    <x v="4"/>
    <s v="Cx"/>
    <m/>
    <s v="6 Rehabilitacion"/>
    <s v="REHABILITACION"/>
    <s v="CACHORRO"/>
    <s v="LINEAL"/>
    <s v="EXPLORACION"/>
    <m/>
    <m/>
    <m/>
    <s v="73491513"/>
    <s v="71475953"/>
    <m/>
    <m/>
    <s v=" "/>
    <n v="2"/>
    <n v="0.6"/>
    <m/>
    <n v="0.8"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n v="1"/>
    <s v="-"/>
    <n v="1.23"/>
    <n v="1"/>
    <m/>
    <m/>
    <m/>
    <m/>
    <m/>
    <m/>
    <m/>
    <m/>
    <m/>
    <m/>
    <m/>
    <m/>
    <m/>
    <m/>
    <m/>
    <m/>
    <m/>
    <m/>
    <m/>
    <n v="6.3"/>
    <m/>
    <m/>
    <m/>
    <m/>
    <m/>
    <m/>
    <m/>
    <m/>
    <m/>
    <m/>
    <m/>
    <m/>
    <m/>
    <m/>
    <m/>
    <m/>
    <m/>
    <n v="2"/>
    <n v="2"/>
    <m/>
    <n v="3"/>
    <n v="7"/>
    <m/>
    <m/>
    <n v="5"/>
    <m/>
    <m/>
    <m/>
    <m/>
    <m/>
    <m/>
    <n v="514.40200000000004"/>
    <n v="0"/>
    <n v="0"/>
    <n v="514.40200000000004"/>
    <n v="186.05"/>
    <m/>
    <m/>
    <m/>
    <m/>
    <s v=""/>
    <m/>
    <m/>
    <s v=""/>
    <s v=""/>
    <s v=""/>
    <m/>
    <s v=""/>
    <m/>
  </r>
  <r>
    <x v="1"/>
    <s v="Noche"/>
    <s v="C"/>
    <x v="3"/>
    <s v="Tj"/>
    <m/>
    <s v="4 Sostenimiento"/>
    <s v="SOSTENIMIENTO"/>
    <s v="CACHORRO"/>
    <s v="TAJO"/>
    <s v="EXPLOTACION"/>
    <m/>
    <m/>
    <m/>
    <s v="28835300"/>
    <s v="45844439"/>
    <m/>
    <m/>
    <s v=" "/>
    <n v="2"/>
    <n v="0.4"/>
    <m/>
    <n v="1.1000000000000001"/>
    <n v="0.5"/>
    <n v="2"/>
    <m/>
    <s v=""/>
    <s v="PSECAN_02"/>
    <m/>
    <s v=""/>
    <m/>
    <s v=""/>
    <m/>
    <m/>
    <m/>
    <m/>
    <m/>
    <m/>
    <m/>
    <s v=""/>
    <s v=""/>
    <s v=""/>
    <s v=""/>
    <s v=""/>
    <s v=""/>
    <s v=""/>
    <s v=""/>
    <n v="9"/>
    <m/>
    <n v="13.049999999999999"/>
    <s v="-"/>
    <m/>
    <n v="1"/>
    <m/>
    <m/>
    <m/>
    <m/>
    <m/>
    <m/>
    <m/>
    <n v="1"/>
    <m/>
    <m/>
    <m/>
    <m/>
    <m/>
    <n v="2"/>
    <m/>
    <n v="3.06"/>
    <m/>
    <m/>
    <n v="5.4"/>
    <m/>
    <m/>
    <m/>
    <m/>
    <m/>
    <m/>
    <m/>
    <m/>
    <m/>
    <m/>
    <m/>
    <m/>
    <m/>
    <m/>
    <m/>
    <m/>
    <m/>
    <n v="2"/>
    <n v="2"/>
    <n v="3"/>
    <n v="1"/>
    <n v="8"/>
    <m/>
    <m/>
    <n v="10"/>
    <m/>
    <m/>
    <m/>
    <m/>
    <m/>
    <m/>
    <n v="661.08699999999999"/>
    <n v="0"/>
    <n v="0"/>
    <n v="661.08699999999999"/>
    <n v="265.3"/>
    <m/>
    <m/>
    <m/>
    <m/>
    <s v=""/>
    <m/>
    <m/>
    <s v=""/>
    <s v=""/>
    <s v=""/>
    <m/>
    <s v=""/>
    <m/>
  </r>
  <r>
    <x v="1"/>
    <s v="Noche"/>
    <s v="C"/>
    <x v="2"/>
    <s v="Es"/>
    <m/>
    <s v="4 Sostenimiento"/>
    <s v="SOSTENIMIENTO"/>
    <s v="VANESSA"/>
    <s v="LINEAL"/>
    <s v="EXPLORACION"/>
    <m/>
    <m/>
    <m/>
    <s v="41890317"/>
    <s v="71372838"/>
    <m/>
    <m/>
    <s v=" "/>
    <n v="2"/>
    <n v="1.1000000000000001"/>
    <m/>
    <n v="0.4"/>
    <n v="0.5"/>
    <n v="2"/>
    <m/>
    <s v=""/>
    <s v="RNP_03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n v="3"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Noche"/>
    <s v="C"/>
    <x v="0"/>
    <s v="In"/>
    <m/>
    <s v="3 Limpieza"/>
    <s v="LIMPIEZA"/>
    <s v="VANESSA"/>
    <s v="LINEAL"/>
    <s v="EXPLORACION"/>
    <m/>
    <m/>
    <m/>
    <s v="42908981"/>
    <s v="70291386"/>
    <m/>
    <m/>
    <s v=" "/>
    <n v="2"/>
    <n v="1.2"/>
    <m/>
    <m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Noche"/>
    <s v="C"/>
    <x v="0"/>
    <s v="In"/>
    <m/>
    <s v="5 Servicios"/>
    <s v="SERVICIO"/>
    <s v="VANESSA"/>
    <s v="LINEAL"/>
    <s v="EXPLORACION"/>
    <m/>
    <m/>
    <m/>
    <s v="41779807"/>
    <s v="1061933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  <m/>
    <m/>
    <m/>
    <m/>
    <m/>
    <m/>
    <m/>
    <n v="44.874000000000002"/>
    <n v="0"/>
    <n v="0"/>
    <n v="44.874000000000002"/>
    <n v="17.8"/>
    <m/>
    <m/>
    <m/>
    <m/>
    <s v=""/>
    <m/>
    <m/>
    <s v=""/>
    <s v=""/>
    <s v=""/>
    <m/>
    <s v=""/>
    <m/>
  </r>
  <r>
    <x v="1"/>
    <s v="Noche"/>
    <s v="C"/>
    <x v="6"/>
    <s v="Sn"/>
    <m/>
    <s v="3 Limpieza"/>
    <s v="LIMPIEZA"/>
    <s v="CACHORRO"/>
    <s v="LINEAL"/>
    <s v="PREPARACION"/>
    <m/>
    <m/>
    <m/>
    <s v="44636322"/>
    <s v="45048160"/>
    <s v="71211301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Noche"/>
    <s v="C"/>
    <x v="8"/>
    <s v="Pq"/>
    <m/>
    <s v="5 Servicios"/>
    <s v="SERVICIO"/>
    <s v="ESCONDIDA"/>
    <s v="LINEAL"/>
    <s v="EXPLOTACION"/>
    <m/>
    <m/>
    <m/>
    <s v="41164398"/>
    <s v="28855306"/>
    <s v="28818802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Día"/>
    <s v="A"/>
    <x v="3"/>
    <s v="Tj"/>
    <s v="M"/>
    <s v="2 Voladura"/>
    <s v="SUMINISTROS"/>
    <s v="CACHORRO"/>
    <s v="TAJO"/>
    <s v="EXPLOTACION"/>
    <m/>
    <s v="Breasting"/>
    <m/>
    <s v="47536875"/>
    <s v="71115706"/>
    <m/>
    <m/>
    <s v=" "/>
    <n v="2"/>
    <n v="0.76"/>
    <n v="0.28000000000000003"/>
    <n v="0.38"/>
    <n v="0.57999999999999996"/>
    <n v="2"/>
    <s v="113_01"/>
    <n v="1"/>
    <s v="PSECAN_02"/>
    <n v="4"/>
    <n v="6"/>
    <m/>
    <n v="6"/>
    <m/>
    <n v="26"/>
    <m/>
    <m/>
    <n v="6"/>
    <n v="2"/>
    <m/>
    <n v="0"/>
    <n v="0"/>
    <n v="22.799999999999997"/>
    <n v="2.4622000000000002"/>
    <n v="0"/>
    <n v="0"/>
    <n v="0"/>
    <n v="2.4622000000000002"/>
    <n v="4"/>
    <m/>
    <n v="5.8"/>
    <s v="-"/>
    <m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n v="2"/>
    <m/>
    <m/>
    <n v="2"/>
    <m/>
    <m/>
    <n v="4"/>
    <m/>
    <m/>
    <m/>
    <m/>
    <m/>
    <m/>
    <n v="188.14800000000002"/>
    <n v="0"/>
    <n v="0"/>
    <n v="188.14800000000002"/>
    <n v="84.759999999999991"/>
    <m/>
    <m/>
    <m/>
    <m/>
    <n v="1.04"/>
    <m/>
    <m/>
    <n v="1.4"/>
    <n v="1.456"/>
    <n v="0"/>
    <n v="11.967599999999999"/>
    <n v="4.5160754716981133"/>
    <m/>
  </r>
  <r>
    <x v="2"/>
    <s v="Día"/>
    <s v="A"/>
    <x v="12"/>
    <s v="Tj"/>
    <m/>
    <s v="4 Sostenimiento"/>
    <s v="SOSTENIMIENTO"/>
    <s v="CACHORRO"/>
    <s v="TAJO"/>
    <s v="EXPLOTACION"/>
    <m/>
    <m/>
    <m/>
    <s v="45368584"/>
    <s v="47978507"/>
    <m/>
    <m/>
    <s v=" "/>
    <n v="2"/>
    <n v="0.57999999999999996"/>
    <m/>
    <n v="0.76"/>
    <n v="0.66"/>
    <n v="2"/>
    <m/>
    <s v=""/>
    <s v="PS_07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n v="12"/>
    <m/>
    <m/>
    <m/>
    <m/>
    <m/>
    <m/>
    <m/>
    <m/>
    <m/>
    <m/>
    <m/>
    <m/>
    <m/>
    <m/>
    <m/>
    <m/>
    <m/>
    <m/>
    <m/>
    <n v="18"/>
    <n v="5"/>
    <m/>
    <m/>
    <n v="23"/>
    <m/>
    <m/>
    <m/>
    <m/>
    <m/>
    <m/>
    <m/>
    <m/>
    <m/>
    <n v="785.30399999999997"/>
    <n v="0"/>
    <n v="0"/>
    <n v="785.30399999999997"/>
    <n v="409.40000000000003"/>
    <m/>
    <m/>
    <m/>
    <m/>
    <s v=""/>
    <m/>
    <m/>
    <s v=""/>
    <s v=""/>
    <s v=""/>
    <m/>
    <s v=""/>
    <m/>
  </r>
  <r>
    <x v="2"/>
    <s v="Día"/>
    <s v="A"/>
    <x v="13"/>
    <s v="Sn"/>
    <s v="D"/>
    <s v="2 Voladura"/>
    <s v="SUMINISTROS"/>
    <s v="ESCONDIDA"/>
    <s v="LINEAL"/>
    <s v="EXPLORACION"/>
    <m/>
    <s v="Avance"/>
    <m/>
    <s v="43940707"/>
    <s v="43480867"/>
    <m/>
    <m/>
    <s v=" "/>
    <n v="2"/>
    <n v="0.28000000000000003"/>
    <n v="0.76"/>
    <m/>
    <n v="0.96"/>
    <n v="2"/>
    <s v="113_02"/>
    <n v="1"/>
    <s v="RNP_03"/>
    <n v="4"/>
    <n v="25"/>
    <m/>
    <n v="25"/>
    <n v="40"/>
    <n v="73"/>
    <m/>
    <m/>
    <n v="25"/>
    <n v="4"/>
    <m/>
    <n v="0"/>
    <n v="0"/>
    <n v="95"/>
    <n v="6.9131"/>
    <n v="3.846153846153848"/>
    <n v="0"/>
    <n v="0"/>
    <n v="10.759253846153848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4.9375"/>
    <n v="2.057291666666667"/>
    <n v="1.05"/>
  </r>
  <r>
    <x v="2"/>
    <s v="Día"/>
    <s v="A"/>
    <x v="2"/>
    <s v="Es"/>
    <s v="D"/>
    <s v="2 Voladura"/>
    <s v="SUMINISTROS"/>
    <s v="VANESSA"/>
    <s v="LINEAL"/>
    <s v="EXPLORACION"/>
    <m/>
    <s v="Avance"/>
    <m/>
    <s v="43940707"/>
    <s v="43480867"/>
    <m/>
    <m/>
    <s v=" "/>
    <n v="2"/>
    <n v="0.28000000000000003"/>
    <n v="0.76"/>
    <m/>
    <n v="0.96"/>
    <n v="2"/>
    <s v="113_03"/>
    <n v="1"/>
    <s v="RNP_06"/>
    <n v="5"/>
    <n v="26"/>
    <m/>
    <n v="26"/>
    <n v="50"/>
    <n v="95"/>
    <m/>
    <m/>
    <n v="26"/>
    <n v="4"/>
    <m/>
    <n v="0"/>
    <n v="0"/>
    <n v="123.5"/>
    <n v="8.9965000000000011"/>
    <n v="4.8076923076923102"/>
    <n v="0"/>
    <n v="0"/>
    <n v="13.804192307692311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35"/>
    <m/>
    <m/>
    <s v=""/>
    <n v="0"/>
    <n v="0"/>
    <n v="11.2684"/>
    <n v="4.6951666666666672"/>
    <n v="1.25"/>
  </r>
  <r>
    <x v="2"/>
    <s v="Día"/>
    <s v="A"/>
    <x v="0"/>
    <s v="In"/>
    <m/>
    <s v="4 Sostenimiento"/>
    <s v="SOSTENIMIENTO"/>
    <s v="VANESSA"/>
    <s v="LINEAL"/>
    <s v="EXPLORACION"/>
    <m/>
    <m/>
    <m/>
    <s v="45767528"/>
    <s v="71011238"/>
    <m/>
    <m/>
    <s v=" "/>
    <n v="2"/>
    <m/>
    <m/>
    <n v="0.96"/>
    <n v="1.04"/>
    <n v="2"/>
    <m/>
    <s v=""/>
    <s v="RNP_05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  <m/>
    <n v="61.079000000000001"/>
    <n v="0"/>
    <n v="0"/>
    <n v="61.079000000000001"/>
    <n v="17.8"/>
    <m/>
    <m/>
    <m/>
    <m/>
    <s v=""/>
    <m/>
    <m/>
    <s v=""/>
    <s v=""/>
    <s v=""/>
    <m/>
    <s v=""/>
    <m/>
  </r>
  <r>
    <x v="2"/>
    <s v="Día"/>
    <s v="A"/>
    <x v="14"/>
    <s v="Pq"/>
    <m/>
    <s v="6 Rehabilitacion"/>
    <s v="REHABILITACION"/>
    <s v="ANDREA"/>
    <s v="LINEAL"/>
    <s v="EXPLOTACION"/>
    <m/>
    <m/>
    <m/>
    <s v="43908406"/>
    <s v="75693016"/>
    <m/>
    <m/>
    <s v=" "/>
    <n v="2"/>
    <m/>
    <m/>
    <n v="1.1000000000000001"/>
    <n v="0.9"/>
    <n v="2"/>
    <m/>
    <s v=""/>
    <s v="RNP_05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n v="2"/>
    <m/>
    <m/>
    <m/>
    <m/>
    <n v="2.88"/>
    <m/>
    <m/>
    <m/>
    <m/>
    <m/>
    <m/>
    <m/>
    <m/>
    <m/>
    <m/>
    <m/>
    <m/>
    <m/>
    <m/>
    <m/>
    <m/>
    <m/>
    <m/>
    <m/>
    <m/>
    <m/>
    <m/>
    <m/>
    <m/>
    <m/>
    <m/>
    <n v="2"/>
    <n v="2"/>
    <m/>
    <m/>
    <m/>
    <m/>
    <m/>
    <m/>
    <m/>
    <n v="8"/>
    <m/>
    <n v="159.55199999999999"/>
    <n v="104.976"/>
    <n v="204.70319999999998"/>
    <n v="364.25519999999995"/>
    <n v="157.36000000000001"/>
    <m/>
    <m/>
    <m/>
    <m/>
    <s v=""/>
    <m/>
    <m/>
    <s v=""/>
    <s v=""/>
    <s v=""/>
    <m/>
    <s v=""/>
    <m/>
  </r>
  <r>
    <x v="2"/>
    <s v="Día"/>
    <s v="A"/>
    <x v="14"/>
    <s v="Pq"/>
    <m/>
    <s v="5 Servicios"/>
    <s v="SERVICIO"/>
    <s v="ANDREA"/>
    <s v="LINEAL"/>
    <s v="EXPLOTACION"/>
    <m/>
    <m/>
    <m/>
    <s v="40211240"/>
    <s v="74927770"/>
    <s v="28809427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Día"/>
    <s v="A"/>
    <x v="8"/>
    <s v="Pq"/>
    <m/>
    <s v="5 Servicios"/>
    <s v="SERVICIO"/>
    <s v="ESCONDIDA"/>
    <s v="LINEAL"/>
    <s v="EXPLOTACION"/>
    <m/>
    <m/>
    <m/>
    <s v="29580249"/>
    <s v="29729944"/>
    <s v="43802490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Día"/>
    <s v="A"/>
    <x v="0"/>
    <s v="In"/>
    <m/>
    <s v="5 Servicios"/>
    <s v="SERVICIO"/>
    <s v="VANESSA"/>
    <s v="LINEAL"/>
    <s v="EXPLORACION"/>
    <m/>
    <m/>
    <m/>
    <s v="48514953"/>
    <s v="4483037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Día"/>
    <s v="A"/>
    <x v="7"/>
    <s v="In"/>
    <m/>
    <s v="5 Servicios"/>
    <s v="SERVICIO"/>
    <s v="CACHORRO"/>
    <s v="LINEAL"/>
    <s v="EXPLORACION"/>
    <m/>
    <m/>
    <m/>
    <s v="28818533"/>
    <s v="47334247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Día"/>
    <s v="A"/>
    <x v="9"/>
    <s v="MO"/>
    <m/>
    <s v="5 Servicios"/>
    <s v="SERVICIO"/>
    <s v="INCA"/>
    <s v="SERVICIOS"/>
    <s v="SERVICIOS"/>
    <m/>
    <m/>
    <m/>
    <s v="80310895"/>
    <s v="7533089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Día"/>
    <s v="A"/>
    <x v="10"/>
    <s v="BO"/>
    <m/>
    <s v="5 Servicios"/>
    <s v="SERVICIO"/>
    <s v="CACHORRO"/>
    <s v="SERVICIOS"/>
    <s v="SERVICIOS"/>
    <m/>
    <m/>
    <m/>
    <s v="4800981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Noche"/>
    <s v="C"/>
    <x v="3"/>
    <s v="Tj"/>
    <m/>
    <s v="4 Sostenimiento"/>
    <s v="SOSTENIMIENTO"/>
    <s v="CACHORRO"/>
    <s v="TAJO"/>
    <s v="EXPLOTACION"/>
    <m/>
    <m/>
    <m/>
    <s v="28835300"/>
    <s v="45844439"/>
    <m/>
    <m/>
    <s v=" "/>
    <n v="2"/>
    <n v="0.7"/>
    <m/>
    <n v="0.9"/>
    <n v="0.4"/>
    <n v="2"/>
    <m/>
    <s v=""/>
    <s v="PSECAN_02"/>
    <m/>
    <s v=""/>
    <m/>
    <s v=""/>
    <m/>
    <m/>
    <m/>
    <m/>
    <m/>
    <m/>
    <m/>
    <s v=""/>
    <s v=""/>
    <s v=""/>
    <s v=""/>
    <s v=""/>
    <s v=""/>
    <s v=""/>
    <s v=""/>
    <n v="4"/>
    <m/>
    <n v="5.8"/>
    <s v="-"/>
    <m/>
    <n v="1"/>
    <m/>
    <m/>
    <m/>
    <m/>
    <m/>
    <m/>
    <m/>
    <n v="1"/>
    <m/>
    <m/>
    <m/>
    <m/>
    <m/>
    <n v="2"/>
    <m/>
    <m/>
    <m/>
    <m/>
    <n v="8.1"/>
    <m/>
    <m/>
    <m/>
    <m/>
    <m/>
    <m/>
    <m/>
    <m/>
    <m/>
    <m/>
    <m/>
    <m/>
    <m/>
    <m/>
    <m/>
    <m/>
    <m/>
    <n v="2"/>
    <n v="2"/>
    <n v="4"/>
    <m/>
    <n v="8"/>
    <m/>
    <m/>
    <n v="12"/>
    <m/>
    <m/>
    <m/>
    <m/>
    <m/>
    <m/>
    <n v="691.59"/>
    <n v="0"/>
    <n v="0"/>
    <n v="691.59"/>
    <n v="289.88"/>
    <m/>
    <m/>
    <m/>
    <m/>
    <s v=""/>
    <m/>
    <m/>
    <s v=""/>
    <s v=""/>
    <s v=""/>
    <m/>
    <s v=""/>
    <m/>
  </r>
  <r>
    <x v="2"/>
    <s v="Noche"/>
    <s v="C"/>
    <x v="12"/>
    <s v="Tj"/>
    <m/>
    <s v="4 Sostenimiento"/>
    <s v="SOSTENIMIENTO"/>
    <s v="CACHORRO"/>
    <s v="TAJO"/>
    <s v="EXPLOTACION"/>
    <m/>
    <m/>
    <m/>
    <s v="44636322"/>
    <s v="71211301"/>
    <m/>
    <m/>
    <s v=" "/>
    <n v="2"/>
    <n v="0.4"/>
    <m/>
    <n v="0.9"/>
    <n v="0.7"/>
    <n v="2"/>
    <m/>
    <s v=""/>
    <s v="PS_07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n v="8.4"/>
    <m/>
    <m/>
    <m/>
    <m/>
    <m/>
    <m/>
    <m/>
    <m/>
    <m/>
    <m/>
    <m/>
    <m/>
    <m/>
    <m/>
    <m/>
    <m/>
    <m/>
    <m/>
    <m/>
    <n v="2"/>
    <m/>
    <m/>
    <n v="2"/>
    <m/>
    <m/>
    <n v="6"/>
    <m/>
    <m/>
    <m/>
    <m/>
    <m/>
    <m/>
    <n v="237.34800000000001"/>
    <n v="0"/>
    <n v="0"/>
    <n v="237.34800000000001"/>
    <n v="109.34"/>
    <m/>
    <m/>
    <m/>
    <m/>
    <s v=""/>
    <m/>
    <m/>
    <s v=""/>
    <s v=""/>
    <s v=""/>
    <m/>
    <s v=""/>
    <m/>
  </r>
  <r>
    <x v="2"/>
    <s v="Noche"/>
    <s v="C"/>
    <x v="2"/>
    <s v="Es"/>
    <m/>
    <s v="4 Sostenimiento"/>
    <s v="SOSTENIMIENTO"/>
    <s v="VANESSA"/>
    <s v="LINEAL"/>
    <s v="EXPLORACION"/>
    <m/>
    <m/>
    <m/>
    <s v="41890317"/>
    <s v="71372838"/>
    <m/>
    <m/>
    <s v=" "/>
    <n v="2"/>
    <n v="1.1000000000000001"/>
    <m/>
    <n v="0.5"/>
    <n v="0.4"/>
    <n v="2"/>
    <m/>
    <s v=""/>
    <s v="RNP_06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n v="4"/>
    <n v="1"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Noche"/>
    <s v="C"/>
    <x v="0"/>
    <s v="In"/>
    <m/>
    <s v="4 Sostenimiento"/>
    <s v="SOSTENIMIENTO"/>
    <s v="VANESSA"/>
    <s v="LINEAL"/>
    <s v="EXPLORACION"/>
    <m/>
    <m/>
    <m/>
    <s v="42908981"/>
    <s v="70291386"/>
    <m/>
    <m/>
    <s v=" "/>
    <n v="2"/>
    <n v="0.4"/>
    <m/>
    <n v="1.1000000000000001"/>
    <n v="0.5"/>
    <n v="2"/>
    <m/>
    <s v=""/>
    <s v="RNP_05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n v="1"/>
    <m/>
    <m/>
    <m/>
    <m/>
    <m/>
    <m/>
    <m/>
    <m/>
    <m/>
    <m/>
    <m/>
    <m/>
    <m/>
    <m/>
    <n v="2"/>
    <m/>
    <m/>
    <m/>
    <m/>
    <m/>
    <m/>
    <n v="1"/>
    <n v="2"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Noche"/>
    <s v="C"/>
    <x v="14"/>
    <s v="Pq"/>
    <m/>
    <s v="6 Rehabilitacion"/>
    <s v="REHABILITACION"/>
    <s v="ANDREA"/>
    <s v="LINEAL"/>
    <s v="EXPLOTACION"/>
    <m/>
    <m/>
    <m/>
    <s v="43908406"/>
    <s v="75693016"/>
    <m/>
    <m/>
    <s v=" "/>
    <n v="2"/>
    <m/>
    <m/>
    <n v="1.1000000000000001"/>
    <n v="0.9"/>
    <n v="2"/>
    <m/>
    <s v=""/>
    <s v="RNP_05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3"/>
    <n v="5"/>
    <m/>
    <m/>
    <m/>
    <m/>
    <m/>
    <m/>
    <m/>
    <n v="5"/>
    <m/>
    <n v="361.48599999999999"/>
    <n v="65.61"/>
    <n v="127.9395"/>
    <n v="489.4255"/>
    <n v="165.10000000000002"/>
    <m/>
    <m/>
    <m/>
    <m/>
    <s v=""/>
    <m/>
    <m/>
    <s v=""/>
    <s v=""/>
    <s v=""/>
    <m/>
    <s v=""/>
    <m/>
  </r>
  <r>
    <x v="2"/>
    <s v="Noche"/>
    <s v="C"/>
    <x v="0"/>
    <s v="In"/>
    <m/>
    <s v="5 Servicios"/>
    <s v="SERVICIO"/>
    <s v="VANESSA"/>
    <s v="LINEAL"/>
    <s v="EXPLORACION"/>
    <m/>
    <m/>
    <m/>
    <s v="41779807"/>
    <s v="10619338"/>
    <m/>
    <m/>
    <s v=" "/>
    <n v="2"/>
    <n v="0.4"/>
    <m/>
    <n v="0.9"/>
    <n v="0.7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n v="22"/>
    <m/>
    <m/>
    <m/>
    <n v="61.079000000000001"/>
    <n v="108.262"/>
    <n v="211.11089999999999"/>
    <n v="272.18989999999997"/>
    <n v="482.33"/>
    <m/>
    <m/>
    <m/>
    <m/>
    <s v=""/>
    <m/>
    <m/>
    <s v=""/>
    <s v=""/>
    <s v=""/>
    <m/>
    <s v=""/>
    <m/>
  </r>
  <r>
    <x v="2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n v="4"/>
    <m/>
    <m/>
    <m/>
    <n v="0"/>
    <n v="19.684000000000001"/>
    <n v="38.383800000000001"/>
    <n v="38.383800000000001"/>
    <n v="84.46"/>
    <m/>
    <m/>
    <m/>
    <m/>
    <s v=""/>
    <m/>
    <m/>
    <s v=""/>
    <s v=""/>
    <s v=""/>
    <m/>
    <s v=""/>
    <m/>
  </r>
  <r>
    <x v="2"/>
    <s v="Noche"/>
    <s v="C"/>
    <x v="6"/>
    <s v="Sn"/>
    <m/>
    <s v="3 Limpieza"/>
    <s v="LIMPIEZA"/>
    <s v="CACHORRO"/>
    <s v="LINEAL"/>
    <s v="PREPARACION"/>
    <m/>
    <m/>
    <m/>
    <s v="41779807"/>
    <s v="45048160"/>
    <m/>
    <m/>
    <s v=" "/>
    <n v="2"/>
    <n v="1.2"/>
    <m/>
    <m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Noche"/>
    <s v="C"/>
    <x v="8"/>
    <s v="Pq"/>
    <m/>
    <s v="5 Servicios"/>
    <s v="SERVICIO"/>
    <s v="ESCONDIDA"/>
    <s v="LINEAL"/>
    <s v="EXPLOTACION"/>
    <m/>
    <m/>
    <m/>
    <s v="41164398"/>
    <s v="28855306"/>
    <s v="28818802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2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Día"/>
    <s v="A"/>
    <x v="3"/>
    <s v="Tj"/>
    <m/>
    <s v="3 Limpieza"/>
    <s v="LIMPIEZA"/>
    <s v="CACHORRO"/>
    <s v="TAJO"/>
    <s v="EXPLOTACION"/>
    <m/>
    <m/>
    <m/>
    <s v="47536875"/>
    <s v="71115706"/>
    <m/>
    <m/>
    <s v=" "/>
    <n v="2"/>
    <n v="1.52"/>
    <m/>
    <m/>
    <n v="0.48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15"/>
    <m/>
    <n v="21.75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Día"/>
    <s v="A"/>
    <x v="15"/>
    <s v="Es"/>
    <s v="D"/>
    <s v="2 Voladura"/>
    <s v="SUMINISTROS"/>
    <s v="CACHORRO"/>
    <s v="LINEAL"/>
    <s v="EXPLORACION"/>
    <m/>
    <s v="Desquinche"/>
    <m/>
    <s v="45368584"/>
    <s v="47978507"/>
    <m/>
    <m/>
    <s v=" "/>
    <n v="2"/>
    <m/>
    <n v="0.28000000000000003"/>
    <n v="0.96"/>
    <n v="0.76"/>
    <n v="2"/>
    <s v="114_01"/>
    <n v="1"/>
    <s v="PS_07"/>
    <n v="5"/>
    <n v="6"/>
    <m/>
    <n v="6"/>
    <m/>
    <n v="32"/>
    <m/>
    <m/>
    <n v="6"/>
    <n v="2"/>
    <m/>
    <n v="0"/>
    <n v="0"/>
    <n v="28.5"/>
    <n v="3.0304000000000002"/>
    <n v="0"/>
    <n v="0"/>
    <n v="0"/>
    <n v="3.0304000000000002"/>
    <m/>
    <m/>
    <s v="-"/>
    <s v="-"/>
    <m/>
    <m/>
    <m/>
    <m/>
    <m/>
    <m/>
    <m/>
    <m/>
    <m/>
    <m/>
    <m/>
    <m/>
    <m/>
    <m/>
    <n v="1.68"/>
    <m/>
    <m/>
    <m/>
    <m/>
    <m/>
    <m/>
    <m/>
    <m/>
    <m/>
    <m/>
    <m/>
    <m/>
    <m/>
    <m/>
    <m/>
    <m/>
    <m/>
    <m/>
    <m/>
    <m/>
    <m/>
    <m/>
    <m/>
    <n v="2"/>
    <n v="4"/>
    <m/>
    <m/>
    <n v="6"/>
    <m/>
    <m/>
    <m/>
    <m/>
    <m/>
    <m/>
    <m/>
    <m/>
    <m/>
    <n v="241.822"/>
    <n v="0"/>
    <n v="0"/>
    <n v="241.822"/>
    <n v="106.80000000000001"/>
    <m/>
    <m/>
    <m/>
    <m/>
    <n v="1.35"/>
    <m/>
    <m/>
    <s v=""/>
    <n v="0"/>
    <n v="0"/>
    <n v="2.4203999999999999"/>
    <n v="1.0085"/>
    <m/>
  </r>
  <r>
    <x v="3"/>
    <s v="Día"/>
    <s v="A"/>
    <x v="13"/>
    <s v="Sn"/>
    <s v="D"/>
    <s v="2 Voladura"/>
    <s v="SUMINISTROS"/>
    <s v="ESCONDIDA"/>
    <s v="LINEAL"/>
    <s v="EXPLORACION"/>
    <m/>
    <s v="Avance"/>
    <m/>
    <s v="43940707"/>
    <s v="43480867"/>
    <m/>
    <m/>
    <s v=" "/>
    <n v="2"/>
    <n v="1.04"/>
    <n v="0.57999999999999996"/>
    <m/>
    <n v="0.38"/>
    <n v="2"/>
    <s v="114_02"/>
    <n v="1"/>
    <s v="RNP_03"/>
    <n v="5"/>
    <n v="24"/>
    <m/>
    <n v="24"/>
    <n v="40"/>
    <n v="96"/>
    <m/>
    <m/>
    <n v="24"/>
    <n v="5"/>
    <m/>
    <n v="0"/>
    <n v="0"/>
    <n v="114"/>
    <n v="9.0912000000000006"/>
    <n v="3.846153846153848"/>
    <n v="0"/>
    <n v="0"/>
    <n v="12.937353846153849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35"/>
    <m/>
    <m/>
    <s v=""/>
    <n v="0"/>
    <n v="0"/>
    <n v="4.74"/>
    <n v="1.9750000000000001"/>
    <n v="1.1499999999999999"/>
  </r>
  <r>
    <x v="3"/>
    <s v="Día"/>
    <s v="A"/>
    <x v="0"/>
    <s v="In"/>
    <m/>
    <s v="4 Sostenimiento"/>
    <s v="SOSTENIMIENTO"/>
    <s v="VANESSA"/>
    <s v="LINEAL"/>
    <s v="EXPLORACION"/>
    <m/>
    <m/>
    <m/>
    <s v="45767528"/>
    <s v="71011238"/>
    <m/>
    <m/>
    <s v=" "/>
    <n v="2"/>
    <n v="1.04"/>
    <m/>
    <n v="0.57999999999999996"/>
    <n v="0.38"/>
    <n v="2"/>
    <m/>
    <s v=""/>
    <s v="RNP_05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n v="2"/>
    <m/>
    <n v="61.079000000000001"/>
    <n v="26.244"/>
    <n v="51.175799999999995"/>
    <n v="112.25479999999999"/>
    <n v="48.24"/>
    <m/>
    <m/>
    <m/>
    <m/>
    <s v=""/>
    <m/>
    <m/>
    <s v=""/>
    <s v=""/>
    <s v=""/>
    <m/>
    <s v=""/>
    <m/>
  </r>
  <r>
    <x v="3"/>
    <s v="Día"/>
    <s v="A"/>
    <x v="14"/>
    <s v="Pq"/>
    <m/>
    <s v="6 Rehabilitacion"/>
    <s v="REHABILITACION"/>
    <s v="ANDREA"/>
    <s v="LINEAL"/>
    <s v="EXPLOTACION"/>
    <m/>
    <m/>
    <m/>
    <s v="43908406"/>
    <s v="75693016"/>
    <m/>
    <m/>
    <s v=" "/>
    <n v="2"/>
    <m/>
    <m/>
    <n v="1.04"/>
    <n v="0.9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n v="1"/>
    <m/>
    <m/>
    <m/>
    <m/>
    <m/>
    <m/>
    <m/>
    <m/>
    <m/>
    <m/>
    <m/>
    <m/>
    <m/>
    <m/>
    <m/>
    <m/>
    <n v="10.8"/>
    <m/>
    <m/>
    <m/>
    <m/>
    <m/>
    <m/>
    <m/>
    <m/>
    <m/>
    <m/>
    <m/>
    <m/>
    <m/>
    <m/>
    <m/>
    <m/>
    <m/>
    <m/>
    <m/>
    <n v="1"/>
    <n v="1"/>
    <n v="2"/>
    <m/>
    <m/>
    <n v="18"/>
    <m/>
    <m/>
    <m/>
    <m/>
    <m/>
    <m/>
    <n v="583.65499999999997"/>
    <n v="0"/>
    <n v="0"/>
    <n v="583.65499999999997"/>
    <n v="256.82"/>
    <m/>
    <m/>
    <m/>
    <m/>
    <s v=""/>
    <m/>
    <m/>
    <s v=""/>
    <s v=""/>
    <s v=""/>
    <m/>
    <s v=""/>
    <m/>
  </r>
  <r>
    <x v="3"/>
    <s v="Día"/>
    <s v="A"/>
    <x v="8"/>
    <s v="Pq"/>
    <m/>
    <s v="5 Servicios"/>
    <s v="SERVICIO"/>
    <s v="ESCONDIDA"/>
    <s v="LINEAL"/>
    <s v="EXPLOTACION"/>
    <m/>
    <m/>
    <m/>
    <s v="29580249"/>
    <s v="29729944"/>
    <s v="43802490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Día"/>
    <s v="A"/>
    <x v="14"/>
    <s v="Pq"/>
    <m/>
    <s v="5 Servicios"/>
    <s v="SERVICIO"/>
    <s v="ANDREA"/>
    <s v="LINEAL"/>
    <s v="EXPLOTACION"/>
    <m/>
    <m/>
    <m/>
    <s v="40211240"/>
    <s v="74927770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Día"/>
    <s v="A"/>
    <x v="7"/>
    <s v="In"/>
    <m/>
    <s v="5 Servicios"/>
    <s v="SERVICIO"/>
    <s v="CACHORRO"/>
    <s v="LINEAL"/>
    <s v="EXPLORACION"/>
    <m/>
    <m/>
    <m/>
    <s v="28818533"/>
    <s v="47334247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Día"/>
    <s v="A"/>
    <x v="0"/>
    <s v="In"/>
    <m/>
    <s v="5 Servicios"/>
    <s v="SERVICIO"/>
    <s v="VANESSA"/>
    <s v="LINEAL"/>
    <s v="EXPLORACION"/>
    <m/>
    <m/>
    <m/>
    <s v="48514953"/>
    <s v="4483037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Día"/>
    <s v="A"/>
    <x v="9"/>
    <s v="MO"/>
    <m/>
    <s v="5 Servicios"/>
    <s v="SERVICIO"/>
    <s v="INCA"/>
    <s v="SERVICIOS"/>
    <s v="SERVICIOS"/>
    <m/>
    <m/>
    <m/>
    <s v="80310895"/>
    <s v="7533089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Día"/>
    <s v="A"/>
    <x v="10"/>
    <s v="BO"/>
    <m/>
    <s v="5 Servicios"/>
    <s v="SERVICIO"/>
    <s v="CACHORRO"/>
    <s v="SERVICIOS"/>
    <s v="SERVICIOS"/>
    <m/>
    <m/>
    <m/>
    <s v="4800981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Noche"/>
    <s v="C"/>
    <x v="3"/>
    <s v="Tj"/>
    <m/>
    <s v="4 Sostenimiento"/>
    <s v="SOSTENIMIENTO"/>
    <s v="CACHORRO"/>
    <s v="TAJO"/>
    <s v="EXPLOTACION"/>
    <m/>
    <m/>
    <m/>
    <s v="28835300"/>
    <s v="45844439"/>
    <m/>
    <m/>
    <s v=" "/>
    <n v="2"/>
    <n v="0.7"/>
    <m/>
    <n v="0.9"/>
    <n v="0.4"/>
    <n v="2"/>
    <m/>
    <s v=""/>
    <s v="PSECAN_02"/>
    <m/>
    <s v=""/>
    <m/>
    <s v=""/>
    <m/>
    <m/>
    <m/>
    <m/>
    <m/>
    <m/>
    <m/>
    <s v=""/>
    <s v=""/>
    <s v=""/>
    <s v=""/>
    <s v=""/>
    <s v=""/>
    <s v=""/>
    <s v=""/>
    <n v="4"/>
    <m/>
    <n v="5.8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n v="3"/>
    <m/>
    <m/>
    <m/>
    <m/>
    <m/>
    <m/>
    <m/>
    <m/>
    <m/>
    <n v="183.23699999999999"/>
    <n v="0"/>
    <n v="0"/>
    <n v="183.23699999999999"/>
    <n v="53.400000000000006"/>
    <m/>
    <m/>
    <m/>
    <m/>
    <s v=""/>
    <m/>
    <m/>
    <s v=""/>
    <s v=""/>
    <s v=""/>
    <m/>
    <s v=""/>
    <m/>
  </r>
  <r>
    <x v="3"/>
    <s v="Noche"/>
    <s v="C"/>
    <x v="15"/>
    <s v="Es"/>
    <s v="D"/>
    <s v="2 Voladura"/>
    <s v="SUMINISTROS"/>
    <s v="CACHORRO"/>
    <s v="LINEAL"/>
    <s v="EXPLORACION"/>
    <m/>
    <s v="Avance"/>
    <m/>
    <s v="44636322"/>
    <s v="71211301"/>
    <m/>
    <m/>
    <s v=" "/>
    <n v="2"/>
    <n v="0.7"/>
    <n v="0.9"/>
    <m/>
    <n v="0.4"/>
    <n v="2"/>
    <s v="115_01"/>
    <n v="1"/>
    <s v="PS_07"/>
    <n v="4"/>
    <n v="24"/>
    <m/>
    <n v="24"/>
    <n v="21"/>
    <n v="85"/>
    <m/>
    <m/>
    <n v="24"/>
    <n v="4"/>
    <m/>
    <n v="0"/>
    <n v="0"/>
    <n v="91.199999999999989"/>
    <n v="8.0495000000000001"/>
    <n v="2.0192307692307701"/>
    <n v="0"/>
    <n v="0"/>
    <n v="10.06873076923077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9.6815999999999995"/>
    <n v="4.0339999999999998"/>
    <n v="1.3"/>
  </r>
  <r>
    <x v="3"/>
    <s v="Noche"/>
    <s v="C"/>
    <x v="15"/>
    <s v="Es"/>
    <s v="D"/>
    <s v="2 Voladura"/>
    <s v="SUMINISTROS"/>
    <s v="CACHORRO"/>
    <s v="LINEAL"/>
    <s v="EXPLORACION"/>
    <m/>
    <s v="Avance"/>
    <m/>
    <s v="44636322"/>
    <s v="71211301"/>
    <m/>
    <m/>
    <s v=" "/>
    <n v="2"/>
    <n v="0.7"/>
    <n v="0.9"/>
    <m/>
    <n v="0.4"/>
    <n v="2"/>
    <s v="115_02"/>
    <n v="1"/>
    <s v="PS_07"/>
    <n v="4"/>
    <n v="23"/>
    <m/>
    <n v="23"/>
    <n v="21"/>
    <n v="81"/>
    <m/>
    <m/>
    <n v="23"/>
    <n v="4"/>
    <m/>
    <n v="0"/>
    <n v="0"/>
    <n v="87.399999999999991"/>
    <n v="7.6707000000000001"/>
    <n v="2.0192307692307701"/>
    <n v="0"/>
    <n v="0"/>
    <n v="9.6899307692307701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9.2782"/>
    <n v="3.8659166666666667"/>
    <n v="1.3"/>
  </r>
  <r>
    <x v="3"/>
    <s v="Noche"/>
    <s v="C"/>
    <x v="14"/>
    <s v="Pq"/>
    <m/>
    <s v="6 Rehabilitacion"/>
    <s v="REHABILITACION"/>
    <s v="ANDREA"/>
    <s v="LINEAL"/>
    <s v="EXPLOTACION"/>
    <m/>
    <m/>
    <m/>
    <s v="73491513"/>
    <s v="71475953"/>
    <m/>
    <m/>
    <s v=" "/>
    <n v="2"/>
    <m/>
    <m/>
    <n v="1.2"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3"/>
    <n v="7"/>
    <m/>
    <m/>
    <m/>
    <m/>
    <m/>
    <m/>
    <m/>
    <n v="4"/>
    <m/>
    <n v="483.64400000000001"/>
    <n v="52.488"/>
    <n v="102.35159999999999"/>
    <n v="585.99559999999997"/>
    <n v="185.48000000000002"/>
    <m/>
    <m/>
    <m/>
    <m/>
    <s v=""/>
    <m/>
    <m/>
    <s v=""/>
    <s v=""/>
    <s v=""/>
    <m/>
    <s v=""/>
    <m/>
  </r>
  <r>
    <x v="3"/>
    <s v="Noche"/>
    <s v="C"/>
    <x v="14"/>
    <s v="Pq"/>
    <m/>
    <s v="5 Servicios"/>
    <s v="SERVICIO"/>
    <s v="ANDREA"/>
    <s v="LINEAL"/>
    <s v="EXPLOTACION"/>
    <m/>
    <m/>
    <m/>
    <s v="41164398"/>
    <s v="28855306"/>
    <s v="28818802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Noche"/>
    <s v="C"/>
    <x v="13"/>
    <s v="Sn"/>
    <s v="D"/>
    <s v="2 Voladura"/>
    <s v="SUMINISTROS"/>
    <s v="ESCONDIDA"/>
    <s v="LINEAL"/>
    <s v="EXPLORACION"/>
    <m/>
    <s v="Reperforación"/>
    <m/>
    <s v="41890317"/>
    <s v="71372838"/>
    <m/>
    <m/>
    <s v=" "/>
    <n v="2"/>
    <n v="0.9"/>
    <n v="0.6"/>
    <m/>
    <n v="0.5"/>
    <n v="2"/>
    <s v="115_03"/>
    <n v="1"/>
    <s v="RNP_03"/>
    <n v="5"/>
    <n v="26"/>
    <m/>
    <n v="26"/>
    <n v="60"/>
    <n v="80"/>
    <m/>
    <m/>
    <n v="26"/>
    <n v="4"/>
    <m/>
    <n v="0"/>
    <n v="0"/>
    <n v="123.5"/>
    <n v="7.5760000000000005"/>
    <n v="5.7692307692307718"/>
    <n v="0"/>
    <n v="0"/>
    <n v="13.345230769230772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35"/>
    <m/>
    <m/>
    <s v=""/>
    <n v="0"/>
    <n v="0"/>
    <n v="5.1349999999999998"/>
    <n v="2.1395833333333334"/>
    <m/>
  </r>
  <r>
    <x v="3"/>
    <s v="Noche"/>
    <s v="C"/>
    <x v="0"/>
    <s v="In"/>
    <s v="D"/>
    <s v="2 Voladura"/>
    <s v="SUMINISTROS"/>
    <s v="VANESSA"/>
    <s v="LINEAL"/>
    <s v="EXPLORACION"/>
    <m/>
    <s v="Desquinche"/>
    <m/>
    <s v="42908981"/>
    <s v="70291386"/>
    <m/>
    <m/>
    <s v=" "/>
    <n v="2"/>
    <n v="1.1000000000000001"/>
    <n v="0.5"/>
    <m/>
    <n v="0.4"/>
    <n v="2"/>
    <s v="115_04"/>
    <n v="1"/>
    <s v="RNP_06"/>
    <n v="4"/>
    <n v="8"/>
    <m/>
    <n v="8"/>
    <m/>
    <n v="32"/>
    <m/>
    <m/>
    <n v="8"/>
    <n v="2"/>
    <m/>
    <n v="0"/>
    <n v="0"/>
    <n v="30.4"/>
    <n v="3.0304000000000002"/>
    <n v="0"/>
    <n v="0"/>
    <n v="0"/>
    <n v="3.0304000000000002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n v="3"/>
    <m/>
    <n v="0"/>
    <n v="39.366"/>
    <n v="76.7637"/>
    <n v="76.7637"/>
    <n v="45.660000000000004"/>
    <m/>
    <m/>
    <m/>
    <m/>
    <n v="1.08"/>
    <m/>
    <m/>
    <s v=""/>
    <n v="0"/>
    <n v="0"/>
    <n v="1.4616"/>
    <n v="0.60899999999999999"/>
    <m/>
  </r>
  <r>
    <x v="3"/>
    <s v="Noche"/>
    <s v="C"/>
    <x v="0"/>
    <s v="In"/>
    <s v="D"/>
    <s v="2 Voladura"/>
    <s v="SUMINISTROS"/>
    <s v="VANESSA"/>
    <s v="LINEAL"/>
    <s v="EXPLORACION"/>
    <m/>
    <s v="Avance"/>
    <m/>
    <s v="42908981"/>
    <s v="70291386"/>
    <m/>
    <m/>
    <s v=" "/>
    <n v="2"/>
    <n v="1.1000000000000001"/>
    <n v="0.5"/>
    <m/>
    <n v="0.4"/>
    <n v="2"/>
    <s v="115_05"/>
    <n v="1"/>
    <s v="RNP_06"/>
    <n v="4"/>
    <n v="35"/>
    <m/>
    <n v="35"/>
    <n v="70"/>
    <n v="110"/>
    <m/>
    <m/>
    <n v="35"/>
    <n v="5"/>
    <m/>
    <n v="0"/>
    <n v="0"/>
    <n v="133"/>
    <n v="10.417000000000002"/>
    <n v="6.7307692307692344"/>
    <n v="0"/>
    <n v="0"/>
    <n v="17.147769230769235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6.3944999999999999"/>
    <n v="2.6643750000000002"/>
    <n v="0.65"/>
  </r>
  <r>
    <x v="3"/>
    <s v="Noche"/>
    <s v="C"/>
    <x v="0"/>
    <s v="In"/>
    <m/>
    <s v="5 Servicios"/>
    <s v="SERVICIO"/>
    <s v="VANESSA"/>
    <s v="LINEAL"/>
    <s v="EXPLORACION"/>
    <m/>
    <m/>
    <m/>
    <s v="47779767"/>
    <s v="7014580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Noche"/>
    <s v="C"/>
    <x v="8"/>
    <s v="Pq"/>
    <m/>
    <s v="5 Servicios"/>
    <s v="SERVICIO"/>
    <s v="ESCONDIDA"/>
    <s v="LINEAL"/>
    <s v="EXPLOTACION"/>
    <m/>
    <m/>
    <m/>
    <s v="41779807"/>
    <s v="45048160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3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4"/>
    <s v="Día"/>
    <s v="A"/>
    <x v="3"/>
    <s v="Tj"/>
    <m/>
    <s v="4 Sostenimiento"/>
    <s v="SOSTENIMIENTO"/>
    <s v="CACHORRO"/>
    <s v="TAJO"/>
    <s v="EXPLOTACION"/>
    <m/>
    <m/>
    <m/>
    <s v="47536875"/>
    <s v="71115706"/>
    <m/>
    <m/>
    <s v=" "/>
    <n v="2"/>
    <m/>
    <m/>
    <n v="0.96"/>
    <n v="1.04"/>
    <n v="2"/>
    <m/>
    <s v=""/>
    <s v="PSECAN_02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n v="1"/>
    <m/>
    <m/>
    <m/>
    <m/>
    <m/>
    <n v="2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  <n v="3"/>
    <m/>
    <m/>
    <m/>
    <m/>
    <m/>
    <m/>
    <m/>
    <m/>
    <m/>
    <n v="183.23699999999999"/>
    <n v="0"/>
    <n v="0"/>
    <n v="183.23699999999999"/>
    <n v="53.400000000000006"/>
    <m/>
    <m/>
    <m/>
    <m/>
    <s v=""/>
    <m/>
    <m/>
    <s v=""/>
    <s v=""/>
    <s v=""/>
    <m/>
    <s v=""/>
    <m/>
  </r>
  <r>
    <x v="4"/>
    <s v="Día"/>
    <s v="A"/>
    <x v="15"/>
    <s v="Es"/>
    <s v="D"/>
    <s v="2 Voladura"/>
    <s v="SUMINISTROS"/>
    <s v="CACHORRO"/>
    <s v="LINEAL"/>
    <s v="EXPLORACION"/>
    <m/>
    <s v="Avance"/>
    <m/>
    <s v="45368584"/>
    <s v="47978507"/>
    <m/>
    <m/>
    <s v=" "/>
    <n v="2"/>
    <n v="0.76"/>
    <n v="0.57999999999999996"/>
    <m/>
    <n v="0.66"/>
    <n v="2"/>
    <s v="116_01"/>
    <n v="1"/>
    <s v="RNP_07"/>
    <n v="4"/>
    <n v="19"/>
    <m/>
    <n v="19"/>
    <m/>
    <n v="86"/>
    <m/>
    <m/>
    <n v="19"/>
    <n v="3"/>
    <m/>
    <n v="0"/>
    <n v="0"/>
    <n v="72.2"/>
    <n v="8.1442000000000014"/>
    <n v="0"/>
    <n v="0"/>
    <n v="0"/>
    <n v="8.1442000000000014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7.2599"/>
    <n v="3.0249583333333336"/>
    <n v="1.1499999999999999"/>
  </r>
  <r>
    <x v="4"/>
    <s v="Día"/>
    <s v="A"/>
    <x v="15"/>
    <s v="Es"/>
    <s v="D"/>
    <s v="2 Voladura"/>
    <s v="SUMINISTROS"/>
    <s v="CACHORRO"/>
    <s v="LINEAL"/>
    <s v="EXPLORACION"/>
    <m/>
    <s v="Avance"/>
    <m/>
    <s v="45368584"/>
    <s v="47978507"/>
    <m/>
    <m/>
    <s v=" "/>
    <n v="2"/>
    <n v="0.76"/>
    <n v="0.57999999999999996"/>
    <m/>
    <n v="0.66"/>
    <n v="2"/>
    <s v="116_02"/>
    <n v="1"/>
    <s v="RNP_07"/>
    <n v="4"/>
    <n v="19"/>
    <m/>
    <n v="19"/>
    <m/>
    <n v="86"/>
    <m/>
    <m/>
    <n v="19"/>
    <n v="3"/>
    <m/>
    <n v="0"/>
    <n v="0"/>
    <n v="72.2"/>
    <n v="8.1442000000000014"/>
    <n v="0"/>
    <n v="0"/>
    <n v="0"/>
    <n v="8.1442000000000014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7.2599"/>
    <n v="3.0249583333333336"/>
    <n v="1.1000000000000001"/>
  </r>
  <r>
    <x v="4"/>
    <s v="Día"/>
    <s v="A"/>
    <x v="13"/>
    <s v="Sn"/>
    <s v="M"/>
    <s v="2 Voladura"/>
    <s v="SUMINISTROS"/>
    <s v="ESCONDIDA"/>
    <s v="LINEAL"/>
    <s v="EXPLORACION"/>
    <m/>
    <s v="Avance"/>
    <m/>
    <s v="43940707"/>
    <s v="43480867"/>
    <m/>
    <m/>
    <s v=" "/>
    <n v="2"/>
    <n v="0.76"/>
    <n v="0.57999999999999996"/>
    <m/>
    <n v="0.66"/>
    <n v="2"/>
    <s v="116_03"/>
    <n v="1"/>
    <s v="RNP_03"/>
    <n v="4"/>
    <n v="22"/>
    <m/>
    <n v="22"/>
    <n v="40"/>
    <n v="58"/>
    <m/>
    <m/>
    <n v="22"/>
    <n v="5"/>
    <m/>
    <n v="0"/>
    <n v="0"/>
    <n v="83.6"/>
    <n v="5.4926000000000004"/>
    <n v="3.846153846153848"/>
    <n v="0"/>
    <n v="0"/>
    <n v="9.338753846153848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7.4667999999999992"/>
    <n v="2.8176603773584903"/>
    <n v="1"/>
  </r>
  <r>
    <x v="4"/>
    <s v="Día"/>
    <s v="A"/>
    <x v="13"/>
    <s v="Sn"/>
    <s v="M"/>
    <s v="2 Voladura"/>
    <s v="SUMINISTROS"/>
    <s v="ESCONDIDA"/>
    <s v="LINEAL"/>
    <s v="EXPLORACION"/>
    <m/>
    <s v="Avance"/>
    <m/>
    <s v="43940707"/>
    <s v="43480867"/>
    <m/>
    <m/>
    <s v=" "/>
    <n v="2"/>
    <n v="0.76"/>
    <n v="0.57999999999999996"/>
    <m/>
    <n v="0.66"/>
    <n v="2"/>
    <s v="116_04"/>
    <n v="1"/>
    <s v="RNP_03"/>
    <n v="4"/>
    <n v="21"/>
    <m/>
    <n v="21"/>
    <n v="40"/>
    <n v="54"/>
    <m/>
    <m/>
    <n v="21"/>
    <n v="5"/>
    <m/>
    <n v="0"/>
    <n v="0"/>
    <n v="79.8"/>
    <n v="5.1138000000000003"/>
    <n v="3.846153846153848"/>
    <n v="0"/>
    <n v="0"/>
    <n v="8.9599538461538479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7.1273999999999997"/>
    <n v="2.6895849056603773"/>
    <n v="1"/>
  </r>
  <r>
    <x v="4"/>
    <s v="Día"/>
    <s v="A"/>
    <x v="0"/>
    <s v="In"/>
    <m/>
    <s v="4 Sostenimiento"/>
    <s v="SOSTENIMIENTO"/>
    <s v="VANESSA"/>
    <s v="LINEAL"/>
    <s v="EXPLORACION"/>
    <m/>
    <m/>
    <m/>
    <s v="45767528"/>
    <s v="71011238"/>
    <m/>
    <m/>
    <s v=" "/>
    <n v="2"/>
    <m/>
    <m/>
    <n v="0.96"/>
    <n v="1.04"/>
    <n v="2"/>
    <m/>
    <s v=""/>
    <s v="RNP_06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  <m/>
    <n v="61.079000000000001"/>
    <n v="0"/>
    <n v="0"/>
    <n v="61.079000000000001"/>
    <n v="17.8"/>
    <m/>
    <m/>
    <m/>
    <m/>
    <s v=""/>
    <m/>
    <m/>
    <s v=""/>
    <s v=""/>
    <s v=""/>
    <m/>
    <s v=""/>
    <m/>
  </r>
  <r>
    <x v="4"/>
    <s v="Día"/>
    <s v="A"/>
    <x v="14"/>
    <s v="Pq"/>
    <m/>
    <s v="6 Rehabilitacion"/>
    <s v="REHABILITACION"/>
    <s v="ANDREA"/>
    <s v="LINEAL"/>
    <s v="EXPLOTACION"/>
    <m/>
    <m/>
    <m/>
    <s v="43908406"/>
    <s v="75693016"/>
    <m/>
    <m/>
    <s v=" "/>
    <n v="2"/>
    <m/>
    <m/>
    <n v="1.04"/>
    <n v="0.9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n v="3"/>
    <m/>
    <m/>
    <m/>
    <m/>
    <m/>
    <m/>
    <m/>
    <m/>
    <m/>
    <m/>
    <n v="3.9"/>
    <m/>
    <m/>
    <m/>
    <m/>
    <m/>
    <n v="13.5"/>
    <m/>
    <m/>
    <m/>
    <m/>
    <m/>
    <m/>
    <m/>
    <m/>
    <m/>
    <m/>
    <m/>
    <m/>
    <m/>
    <m/>
    <m/>
    <m/>
    <m/>
    <m/>
    <m/>
    <n v="3"/>
    <n v="3"/>
    <n v="6"/>
    <m/>
    <m/>
    <n v="18"/>
    <m/>
    <m/>
    <m/>
    <m/>
    <m/>
    <m/>
    <n v="865.36500000000001"/>
    <n v="0"/>
    <n v="0"/>
    <n v="865.36500000000001"/>
    <n v="328.02"/>
    <m/>
    <m/>
    <m/>
    <m/>
    <s v=""/>
    <m/>
    <m/>
    <s v=""/>
    <s v=""/>
    <s v=""/>
    <m/>
    <s v=""/>
    <m/>
  </r>
  <r>
    <x v="4"/>
    <s v="Día"/>
    <s v="A"/>
    <x v="8"/>
    <s v="Pq"/>
    <m/>
    <s v="5 Servicios"/>
    <s v="SERVICIO"/>
    <s v="ESCONDIDA"/>
    <s v="LINEAL"/>
    <s v="EXPLOTACION"/>
    <m/>
    <m/>
    <m/>
    <s v="29580249"/>
    <s v="29729944"/>
    <s v="43802490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4"/>
    <s v="Día"/>
    <s v="A"/>
    <x v="14"/>
    <s v="Pq"/>
    <m/>
    <s v="5 Servicios"/>
    <s v="SERVICIO"/>
    <s v="ANDREA"/>
    <s v="LINEAL"/>
    <s v="EXPLOTACION"/>
    <m/>
    <m/>
    <m/>
    <s v="40211240"/>
    <s v="74927770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4"/>
    <s v="Día"/>
    <s v="A"/>
    <x v="7"/>
    <s v="In"/>
    <m/>
    <s v="5 Servicios"/>
    <s v="SERVICIO"/>
    <s v="CACHORRO"/>
    <s v="LINEAL"/>
    <s v="EXPLORACION"/>
    <m/>
    <m/>
    <m/>
    <s v="28818533"/>
    <s v="47334247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4"/>
    <s v="Día"/>
    <s v="A"/>
    <x v="0"/>
    <s v="In"/>
    <m/>
    <s v="5 Servicios"/>
    <s v="SERVICIO"/>
    <s v="VANESSA"/>
    <s v="LINEAL"/>
    <s v="EXPLORACION"/>
    <m/>
    <m/>
    <m/>
    <s v="48514953"/>
    <s v="4483037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4"/>
    <s v="Día"/>
    <s v="A"/>
    <x v="9"/>
    <s v="MO"/>
    <m/>
    <s v="5 Servicios"/>
    <s v="SERVICIO"/>
    <s v="INCA"/>
    <s v="SERVICIOS"/>
    <s v="SERVICIOS"/>
    <m/>
    <m/>
    <m/>
    <s v="80310895"/>
    <s v="7533089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4"/>
    <s v="Día"/>
    <s v="A"/>
    <x v="10"/>
    <s v="BO"/>
    <m/>
    <s v="5 Servicios"/>
    <s v="SERVICIO"/>
    <s v="CACHORRO"/>
    <s v="SERVICIOS"/>
    <s v="SERVICIOS"/>
    <m/>
    <m/>
    <m/>
    <s v="4800981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4"/>
    <s v="Noche"/>
    <s v="C"/>
    <x v="3"/>
    <s v="Tj"/>
    <m/>
    <s v="4 Sostenimiento"/>
    <s v="SOSTENIMIENTO"/>
    <s v="CACHORRO"/>
    <s v="TAJO"/>
    <s v="EXPLOTACION"/>
    <m/>
    <m/>
    <m/>
    <s v="28835300"/>
    <s v="45844439"/>
    <m/>
    <m/>
    <s v=" "/>
    <n v="2"/>
    <m/>
    <m/>
    <n v="1.2"/>
    <n v="0.8"/>
    <n v="2"/>
    <m/>
    <s v=""/>
    <s v="PSECAN_02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n v="2"/>
    <m/>
    <m/>
    <m/>
    <m/>
    <n v="3.22"/>
    <m/>
    <m/>
    <m/>
    <m/>
    <m/>
    <m/>
    <m/>
    <m/>
    <m/>
    <m/>
    <m/>
    <m/>
    <m/>
    <m/>
    <m/>
    <m/>
    <m/>
    <m/>
    <m/>
    <m/>
    <m/>
    <m/>
    <m/>
    <m/>
    <n v="2"/>
    <m/>
    <m/>
    <n v="2"/>
    <m/>
    <m/>
    <m/>
    <m/>
    <m/>
    <m/>
    <m/>
    <n v="6"/>
    <m/>
    <n v="89.748000000000005"/>
    <n v="78.731999999999999"/>
    <n v="153.5274"/>
    <n v="243.27539999999999"/>
    <n v="126.92000000000002"/>
    <m/>
    <m/>
    <m/>
    <m/>
    <s v=""/>
    <m/>
    <m/>
    <s v=""/>
    <s v=""/>
    <s v=""/>
    <m/>
    <s v=""/>
    <m/>
  </r>
  <r>
    <x v="4"/>
    <s v="Noche"/>
    <s v="C"/>
    <x v="15"/>
    <s v="Es"/>
    <s v="D"/>
    <s v="2 Voladura"/>
    <s v="SUMINISTROS"/>
    <s v="CACHORRO"/>
    <s v="LINEAL"/>
    <s v="EXPLORACION"/>
    <m/>
    <s v="Avance"/>
    <m/>
    <s v="44636322"/>
    <s v="71211301"/>
    <m/>
    <m/>
    <s v=" "/>
    <n v="2"/>
    <n v="1.1000000000000001"/>
    <n v="0.5"/>
    <m/>
    <n v="0.4"/>
    <n v="2"/>
    <s v="117_01"/>
    <n v="1"/>
    <s v="RNP_07"/>
    <n v="4"/>
    <n v="20"/>
    <m/>
    <n v="20"/>
    <n v="21"/>
    <n v="69"/>
    <m/>
    <m/>
    <n v="20"/>
    <n v="4"/>
    <m/>
    <n v="0"/>
    <n v="0"/>
    <n v="76"/>
    <n v="6.5343"/>
    <n v="2.0192307692307701"/>
    <n v="0"/>
    <n v="0"/>
    <n v="8.55353076923077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7.6419999999999995"/>
    <n v="3.1841666666666666"/>
    <n v="1.1499999999999999"/>
  </r>
  <r>
    <x v="4"/>
    <s v="Noche"/>
    <s v="C"/>
    <x v="14"/>
    <s v="Pq"/>
    <m/>
    <s v="6 Rehabilitacion"/>
    <s v="REHABILITACION"/>
    <s v="ANDREA"/>
    <s v="LINEAL"/>
    <s v="EXPLOTACION"/>
    <m/>
    <m/>
    <m/>
    <s v="73491513"/>
    <s v="71475953"/>
    <m/>
    <m/>
    <s v=" "/>
    <n v="2"/>
    <m/>
    <m/>
    <n v="1"/>
    <n v="1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n v="3"/>
    <m/>
    <m/>
    <m/>
    <m/>
    <m/>
    <m/>
    <m/>
    <m/>
    <m/>
    <m/>
    <m/>
    <m/>
    <m/>
    <m/>
    <m/>
    <m/>
    <n v="12.22"/>
    <m/>
    <m/>
    <m/>
    <m/>
    <m/>
    <m/>
    <m/>
    <m/>
    <m/>
    <m/>
    <m/>
    <m/>
    <m/>
    <m/>
    <m/>
    <m/>
    <m/>
    <m/>
    <m/>
    <n v="3"/>
    <n v="3"/>
    <n v="6"/>
    <m/>
    <m/>
    <n v="27"/>
    <m/>
    <m/>
    <m/>
    <m/>
    <m/>
    <m/>
    <n v="1086.7649999999999"/>
    <n v="0"/>
    <n v="0"/>
    <n v="1086.7649999999999"/>
    <n v="438.63"/>
    <m/>
    <m/>
    <m/>
    <m/>
    <s v=""/>
    <m/>
    <m/>
    <s v=""/>
    <s v=""/>
    <s v=""/>
    <m/>
    <s v=""/>
    <m/>
  </r>
  <r>
    <x v="4"/>
    <s v="Noche"/>
    <s v="C"/>
    <x v="14"/>
    <s v="Pq"/>
    <m/>
    <s v="5 Servicios"/>
    <s v="SERVICIO"/>
    <s v="ANDREA"/>
    <s v="LINEAL"/>
    <s v="EXPLOTACION"/>
    <m/>
    <m/>
    <m/>
    <s v="41164398"/>
    <s v="28855306"/>
    <s v="28818802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4"/>
    <s v="Noche"/>
    <s v="C"/>
    <x v="13"/>
    <s v="Sn"/>
    <s v="M"/>
    <s v="2 Voladura"/>
    <s v="SUMINISTROS"/>
    <s v="ESCONDIDA"/>
    <s v="LINEAL"/>
    <s v="EXPLORACION"/>
    <m/>
    <s v="Avance"/>
    <m/>
    <s v="41890317"/>
    <s v="71372838"/>
    <s v="45048160"/>
    <m/>
    <s v=" "/>
    <n v="3"/>
    <n v="1.1000000000000001"/>
    <n v="0.8"/>
    <n v="0.5"/>
    <n v="0.6"/>
    <n v="3.0000000000000004"/>
    <s v="117_02"/>
    <n v="1"/>
    <s v="RNP_03"/>
    <n v="4"/>
    <n v="23"/>
    <m/>
    <n v="23"/>
    <n v="46"/>
    <n v="56"/>
    <m/>
    <m/>
    <n v="23"/>
    <n v="4"/>
    <m/>
    <n v="0"/>
    <n v="0"/>
    <n v="87.399999999999991"/>
    <n v="5.3032000000000004"/>
    <n v="4.4230769230769251"/>
    <n v="0"/>
    <n v="0"/>
    <n v="9.7262769230769255"/>
    <m/>
    <m/>
    <s v="-"/>
    <s v="-"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7.8061999999999996"/>
    <n v="2.9457358490566037"/>
    <n v="0.9"/>
  </r>
  <r>
    <x v="4"/>
    <s v="Noche"/>
    <s v="C"/>
    <x v="0"/>
    <s v="In"/>
    <s v="D"/>
    <s v="2 Voladura"/>
    <s v="SUMINISTROS"/>
    <s v="VANESSA"/>
    <s v="LINEAL"/>
    <s v="EXPLORACION"/>
    <m/>
    <s v="Avance"/>
    <m/>
    <s v="41890317"/>
    <s v="71372838"/>
    <s v="45048160"/>
    <m/>
    <s v=" "/>
    <n v="3"/>
    <n v="1.1000000000000001"/>
    <n v="0.8"/>
    <n v="0.5"/>
    <n v="0.6"/>
    <n v="3.0000000000000004"/>
    <s v="117_03"/>
    <n v="1"/>
    <s v="RNP_03"/>
    <n v="4"/>
    <n v="24"/>
    <m/>
    <n v="24"/>
    <n v="46"/>
    <n v="61"/>
    <m/>
    <m/>
    <n v="24"/>
    <n v="4"/>
    <m/>
    <n v="0"/>
    <n v="0"/>
    <n v="91.199999999999989"/>
    <n v="5.7766999999999999"/>
    <n v="4.4230769230769251"/>
    <n v="0"/>
    <n v="0"/>
    <n v="10.199776923076925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6.9695999999999998"/>
    <n v="2.9039999999999999"/>
    <n v="0.75"/>
  </r>
  <r>
    <x v="4"/>
    <s v="Noche"/>
    <s v="C"/>
    <x v="0"/>
    <s v="In"/>
    <m/>
    <s v="4 Sostenimiento"/>
    <s v="SOSTENIMIENTO"/>
    <s v="VANESSA"/>
    <s v="LINEAL"/>
    <s v="EXPLORACION"/>
    <m/>
    <m/>
    <m/>
    <s v="42908981"/>
    <s v="70291386"/>
    <m/>
    <m/>
    <s v=" "/>
    <n v="2"/>
    <m/>
    <m/>
    <n v="1.2"/>
    <n v="0.8"/>
    <n v="2"/>
    <m/>
    <s v=""/>
    <s v="RNP_06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n v="1"/>
    <m/>
    <m/>
    <m/>
    <m/>
    <m/>
    <m/>
    <m/>
    <m/>
    <m/>
    <m/>
    <m/>
    <m/>
    <m/>
    <n v="3"/>
    <m/>
    <n v="6"/>
    <m/>
    <m/>
    <m/>
    <m/>
    <m/>
    <m/>
    <m/>
    <m/>
    <m/>
    <m/>
    <m/>
    <m/>
    <m/>
    <m/>
    <m/>
    <m/>
    <n v="0"/>
    <n v="1"/>
    <m/>
    <m/>
    <m/>
    <m/>
    <m/>
    <m/>
    <m/>
    <m/>
    <n v="81.438000000000002"/>
    <n v="0"/>
    <n v="0"/>
    <n v="81.438000000000002"/>
    <n v="46.3"/>
    <m/>
    <m/>
    <m/>
    <m/>
    <s v=""/>
    <m/>
    <m/>
    <s v=""/>
    <s v=""/>
    <s v=""/>
    <m/>
    <s v=""/>
    <m/>
  </r>
  <r>
    <x v="4"/>
    <s v="Noche"/>
    <s v="C"/>
    <x v="0"/>
    <s v="In"/>
    <m/>
    <s v="5 Servicios"/>
    <s v="SERVICIO"/>
    <s v="VANESSA"/>
    <s v="LINEAL"/>
    <s v="EXPLORACION"/>
    <m/>
    <m/>
    <m/>
    <s v="47779767"/>
    <s v="7014580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4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4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4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Día"/>
    <s v="A"/>
    <x v="3"/>
    <s v="Tj"/>
    <m/>
    <s v="4 Sostenimiento"/>
    <s v="SOSTENIMIENTO"/>
    <s v="CACHORRO"/>
    <s v="TAJO"/>
    <s v="EXPLOTACION"/>
    <m/>
    <m/>
    <m/>
    <s v="47536875"/>
    <s v="71115706"/>
    <m/>
    <m/>
    <s v=" "/>
    <n v="2"/>
    <m/>
    <m/>
    <n v="1.04"/>
    <n v="0.96"/>
    <n v="2"/>
    <m/>
    <s v=""/>
    <s v="PSECAN_02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n v="3"/>
    <m/>
    <m/>
    <m/>
    <n v="3"/>
    <m/>
    <m/>
    <m/>
    <m/>
    <m/>
    <m/>
    <m/>
    <m/>
    <m/>
    <m/>
    <m/>
    <m/>
    <m/>
    <m/>
    <m/>
    <m/>
    <m/>
    <m/>
    <m/>
    <n v="6"/>
    <n v="2"/>
    <m/>
    <m/>
    <n v="8"/>
    <m/>
    <m/>
    <m/>
    <m/>
    <m/>
    <m/>
    <m/>
    <n v="10"/>
    <m/>
    <n v="276.726"/>
    <n v="131.22"/>
    <n v="255.87899999999999"/>
    <n v="532.60500000000002"/>
    <n v="294.60000000000002"/>
    <m/>
    <m/>
    <m/>
    <m/>
    <s v=""/>
    <m/>
    <m/>
    <s v=""/>
    <s v=""/>
    <s v=""/>
    <m/>
    <s v=""/>
    <m/>
  </r>
  <r>
    <x v="5"/>
    <s v="Día"/>
    <s v="A"/>
    <x v="15"/>
    <s v="Es"/>
    <s v="D"/>
    <s v="2 Voladura"/>
    <s v="SUMINISTROS"/>
    <s v="CACHORRO"/>
    <s v="LINEAL"/>
    <s v="EXPLORACION"/>
    <m/>
    <s v="Avance"/>
    <m/>
    <s v="45368584"/>
    <s v="47978507"/>
    <m/>
    <m/>
    <s v=" "/>
    <n v="2"/>
    <n v="0.76"/>
    <n v="0.57999999999999996"/>
    <m/>
    <n v="0.66"/>
    <n v="2"/>
    <s v="118_01"/>
    <n v="1"/>
    <s v="RNP_07"/>
    <n v="4"/>
    <n v="19"/>
    <m/>
    <n v="19"/>
    <m/>
    <n v="86"/>
    <m/>
    <m/>
    <n v="19"/>
    <n v="4"/>
    <m/>
    <n v="0"/>
    <n v="0"/>
    <n v="72.2"/>
    <n v="8.1442000000000014"/>
    <n v="0"/>
    <n v="0"/>
    <n v="0"/>
    <n v="8.1442000000000014"/>
    <m/>
    <m/>
    <s v="-"/>
    <s v="-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  <m/>
    <m/>
    <m/>
    <m/>
    <m/>
    <m/>
    <m/>
    <n v="44.874000000000002"/>
    <n v="0"/>
    <n v="0"/>
    <n v="44.874000000000002"/>
    <n v="17.8"/>
    <m/>
    <m/>
    <m/>
    <m/>
    <n v="1.08"/>
    <m/>
    <m/>
    <s v=""/>
    <n v="0"/>
    <n v="0"/>
    <n v="7.2599"/>
    <n v="3.0249583333333336"/>
    <n v="1.1000000000000001"/>
  </r>
  <r>
    <x v="5"/>
    <s v="Día"/>
    <s v="A"/>
    <x v="13"/>
    <s v="Sn"/>
    <s v="M"/>
    <s v="2 Voladura"/>
    <s v="SUMINISTROS"/>
    <s v="ESCONDIDA"/>
    <s v="LINEAL"/>
    <s v="EXPLORACION"/>
    <m/>
    <s v="Avance"/>
    <m/>
    <s v="43940707"/>
    <s v="43480867"/>
    <m/>
    <m/>
    <s v=" "/>
    <n v="2"/>
    <n v="1.04"/>
    <n v="0.57999999999999996"/>
    <m/>
    <n v="0.38"/>
    <n v="2"/>
    <s v="118_02"/>
    <n v="1"/>
    <s v="RNP_03"/>
    <n v="4"/>
    <n v="22"/>
    <m/>
    <n v="22"/>
    <n v="48"/>
    <n v="50"/>
    <m/>
    <m/>
    <n v="22"/>
    <n v="5"/>
    <m/>
    <n v="0"/>
    <n v="0"/>
    <n v="83.6"/>
    <n v="4.7350000000000003"/>
    <n v="4.6153846153846176"/>
    <n v="0"/>
    <n v="0"/>
    <n v="9.350384615384618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7.4667999999999992"/>
    <n v="2.8176603773584903"/>
    <n v="1"/>
  </r>
  <r>
    <x v="5"/>
    <s v="Día"/>
    <s v="A"/>
    <x v="13"/>
    <s v="Sn"/>
    <s v="M"/>
    <s v="2 Voladura"/>
    <s v="SUMINISTROS"/>
    <s v="ESCONDIDA"/>
    <s v="LINEAL"/>
    <s v="EXPLORACION"/>
    <m/>
    <s v="Avance"/>
    <m/>
    <s v="43940707"/>
    <s v="43480867"/>
    <m/>
    <m/>
    <s v=" "/>
    <n v="2"/>
    <n v="1.04"/>
    <n v="0.57999999999999996"/>
    <m/>
    <n v="0.38"/>
    <n v="2"/>
    <s v="118_03"/>
    <n v="1"/>
    <s v="RNP_03"/>
    <n v="4"/>
    <n v="22"/>
    <m/>
    <n v="22"/>
    <n v="48"/>
    <n v="50"/>
    <m/>
    <m/>
    <n v="22"/>
    <n v="5"/>
    <m/>
    <n v="0"/>
    <n v="0"/>
    <n v="83.6"/>
    <n v="4.7350000000000003"/>
    <n v="4.6153846153846176"/>
    <n v="0"/>
    <n v="0"/>
    <n v="9.350384615384618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7.4667999999999992"/>
    <n v="2.8176603773584903"/>
    <n v="1"/>
  </r>
  <r>
    <x v="5"/>
    <s v="Día"/>
    <s v="A"/>
    <x v="0"/>
    <s v="In"/>
    <m/>
    <s v="3 Limpieza"/>
    <s v="LIMPIEZA"/>
    <s v="VANESSA"/>
    <s v="LINEAL"/>
    <s v="EXPLORACION"/>
    <m/>
    <m/>
    <m/>
    <s v="45767528"/>
    <s v="71011238"/>
    <m/>
    <m/>
    <s v=" "/>
    <n v="2"/>
    <n v="0.57999999999999996"/>
    <m/>
    <m/>
    <n v="1.4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Día"/>
    <s v="A"/>
    <x v="14"/>
    <s v="Pq"/>
    <m/>
    <s v="6 Rehabilitacion"/>
    <s v="REHABILITACION"/>
    <s v="ANDREA"/>
    <s v="LINEAL"/>
    <s v="EXPLOTACION"/>
    <m/>
    <m/>
    <m/>
    <s v="43908406"/>
    <s v="75693016"/>
    <m/>
    <m/>
    <s v=" "/>
    <n v="2"/>
    <m/>
    <m/>
    <n v="1.04"/>
    <n v="0.9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n v="6"/>
    <m/>
    <m/>
    <m/>
    <m/>
    <m/>
    <m/>
    <m/>
    <n v="3.6"/>
    <m/>
    <m/>
    <m/>
    <m/>
    <m/>
    <n v="15"/>
    <m/>
    <m/>
    <m/>
    <m/>
    <m/>
    <m/>
    <m/>
    <m/>
    <m/>
    <m/>
    <m/>
    <m/>
    <m/>
    <m/>
    <m/>
    <m/>
    <m/>
    <m/>
    <m/>
    <n v="3"/>
    <m/>
    <n v="3"/>
    <m/>
    <m/>
    <n v="26"/>
    <m/>
    <m/>
    <m/>
    <m/>
    <m/>
    <m/>
    <n v="822.83699999999999"/>
    <n v="0"/>
    <n v="0"/>
    <n v="822.83699999999999"/>
    <n v="372.93999999999994"/>
    <m/>
    <m/>
    <m/>
    <m/>
    <s v=""/>
    <m/>
    <m/>
    <s v=""/>
    <s v=""/>
    <s v=""/>
    <m/>
    <s v=""/>
    <m/>
  </r>
  <r>
    <x v="5"/>
    <s v="Día"/>
    <s v="A"/>
    <x v="8"/>
    <s v="Pq"/>
    <m/>
    <s v="5 Servicios"/>
    <s v="SERVICIO"/>
    <s v="ESCONDIDA"/>
    <s v="LINEAL"/>
    <s v="EXPLOTACION"/>
    <m/>
    <m/>
    <m/>
    <s v="29580249"/>
    <s v="29729944"/>
    <s v="43802490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Día"/>
    <s v="A"/>
    <x v="14"/>
    <s v="Pq"/>
    <m/>
    <s v="5 Servicios"/>
    <s v="SERVICIO"/>
    <s v="ANDREA"/>
    <s v="LINEAL"/>
    <s v="EXPLOTACION"/>
    <m/>
    <m/>
    <m/>
    <s v="40211240"/>
    <s v="74927770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Día"/>
    <s v="A"/>
    <x v="0"/>
    <s v="In"/>
    <m/>
    <s v="5 Servicios"/>
    <s v="SERVICIO"/>
    <s v="VANESSA"/>
    <s v="LINEAL"/>
    <s v="EXPLORACION"/>
    <m/>
    <m/>
    <m/>
    <s v="48514953"/>
    <s v="4483037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Día"/>
    <s v="A"/>
    <x v="7"/>
    <s v="In"/>
    <m/>
    <s v="5 Servicios"/>
    <s v="SERVICIO"/>
    <s v="CACHORRO"/>
    <s v="LINEAL"/>
    <s v="EXPLORACION"/>
    <m/>
    <m/>
    <m/>
    <s v="28818533"/>
    <s v="47334247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Día"/>
    <s v="A"/>
    <x v="9"/>
    <s v="MO"/>
    <m/>
    <s v="5 Servicios"/>
    <s v="SERVICIO"/>
    <s v="INCA"/>
    <s v="SERVICIOS"/>
    <s v="SERVICIOS"/>
    <m/>
    <m/>
    <m/>
    <s v="80310895"/>
    <s v="7533089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Día"/>
    <s v="A"/>
    <x v="10"/>
    <s v="BO"/>
    <m/>
    <s v="5 Servicios"/>
    <s v="SERVICIO"/>
    <s v="CACHORRO"/>
    <s v="SERVICIOS"/>
    <s v="SERVICIOS"/>
    <m/>
    <m/>
    <m/>
    <s v="4800981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Noche"/>
    <s v="C"/>
    <x v="3"/>
    <s v="Tj"/>
    <s v="M"/>
    <s v="2 Voladura"/>
    <s v="SUMINISTROS"/>
    <s v="CACHORRO"/>
    <s v="TAJO"/>
    <s v="EXPLOTACION"/>
    <m/>
    <s v="Breasting"/>
    <m/>
    <s v="28835300"/>
    <s v="45844439"/>
    <m/>
    <m/>
    <s v=" "/>
    <n v="2"/>
    <m/>
    <n v="0.6"/>
    <n v="1"/>
    <n v="0.4"/>
    <n v="2"/>
    <s v="119_01"/>
    <n v="1"/>
    <s v="PSECAN_02"/>
    <n v="4"/>
    <n v="7"/>
    <m/>
    <n v="7"/>
    <m/>
    <n v="28"/>
    <m/>
    <m/>
    <n v="7"/>
    <n v="4"/>
    <m/>
    <n v="0"/>
    <n v="0"/>
    <n v="26.599999999999998"/>
    <n v="2.6516000000000002"/>
    <n v="0"/>
    <n v="0"/>
    <n v="0"/>
    <n v="2.6516000000000002"/>
    <n v="3"/>
    <m/>
    <n v="4.3499999999999996"/>
    <s v="-"/>
    <m/>
    <m/>
    <m/>
    <m/>
    <m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m/>
    <m/>
    <n v="3"/>
    <m/>
    <m/>
    <n v="3"/>
    <m/>
    <m/>
    <m/>
    <m/>
    <m/>
    <m/>
    <m/>
    <m/>
    <m/>
    <n v="134.62200000000001"/>
    <n v="0"/>
    <n v="0"/>
    <n v="134.62200000000001"/>
    <n v="53.400000000000006"/>
    <m/>
    <m/>
    <m/>
    <m/>
    <n v="1.04"/>
    <m/>
    <m/>
    <n v="1.63"/>
    <n v="1.6952"/>
    <n v="0"/>
    <n v="4.3239000000000001"/>
    <n v="1.6316603773584906"/>
    <m/>
  </r>
  <r>
    <x v="5"/>
    <s v="Noche"/>
    <s v="C"/>
    <x v="15"/>
    <s v="Es"/>
    <m/>
    <s v="4 Sostenimiento"/>
    <s v="SOSTENIMIENTO"/>
    <s v="CACHORRO"/>
    <s v="LINEAL"/>
    <s v="EXPLORACION"/>
    <m/>
    <m/>
    <m/>
    <s v="44636322"/>
    <s v="41779807"/>
    <m/>
    <m/>
    <s v=" "/>
    <n v="2"/>
    <n v="0.4"/>
    <m/>
    <n v="1"/>
    <n v="0.6"/>
    <n v="2"/>
    <m/>
    <s v=""/>
    <s v="RNP_07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Noche"/>
    <s v="C"/>
    <x v="13"/>
    <s v="Sn"/>
    <s v="M"/>
    <s v="2 Voladura"/>
    <s v="SUMINISTROS"/>
    <s v="ESCONDIDA"/>
    <s v="LINEAL"/>
    <s v="EXPLORACION"/>
    <m/>
    <s v="Avance"/>
    <m/>
    <s v="41890317"/>
    <s v="71372838"/>
    <s v="45048160"/>
    <m/>
    <s v=" "/>
    <n v="3"/>
    <n v="1.6"/>
    <n v="1.1000000000000001"/>
    <m/>
    <n v="0.3"/>
    <n v="3"/>
    <s v="119_02"/>
    <n v="1"/>
    <s v="RNP_03"/>
    <n v="4"/>
    <n v="24"/>
    <m/>
    <n v="24"/>
    <n v="50"/>
    <n v="56"/>
    <m/>
    <m/>
    <n v="24"/>
    <n v="4"/>
    <m/>
    <n v="0"/>
    <n v="0"/>
    <n v="91.199999999999989"/>
    <n v="5.3032000000000004"/>
    <n v="4.8076923076923102"/>
    <n v="0"/>
    <n v="0"/>
    <n v="10.110892307692311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8.1456"/>
    <n v="3.0738113207547171"/>
    <n v="1"/>
  </r>
  <r>
    <x v="5"/>
    <s v="Noche"/>
    <s v="C"/>
    <x v="0"/>
    <s v="In"/>
    <m/>
    <s v="3 Limpieza"/>
    <s v="LIMPIEZA"/>
    <s v="VANESSA"/>
    <s v="LINEAL"/>
    <s v="EXPLORACION"/>
    <m/>
    <m/>
    <m/>
    <s v="42908981"/>
    <s v="70291386"/>
    <m/>
    <m/>
    <s v=" "/>
    <n v="2"/>
    <n v="1.2"/>
    <m/>
    <m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Noche"/>
    <s v="C"/>
    <x v="16"/>
    <s v="Sn"/>
    <m/>
    <s v="4 Sostenimiento"/>
    <s v="SOSTENIMIENTO"/>
    <s v="CACHORRO"/>
    <s v="LINEAL"/>
    <s v="PREPARACION"/>
    <m/>
    <m/>
    <m/>
    <s v="10657720"/>
    <s v="44870112"/>
    <m/>
    <m/>
    <s v=" "/>
    <n v="2"/>
    <m/>
    <m/>
    <m/>
    <n v="2"/>
    <n v="2"/>
    <m/>
    <s v=""/>
    <s v="RNP_03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n v="1"/>
    <m/>
    <m/>
    <m/>
    <m/>
    <m/>
    <m/>
    <m/>
    <m/>
    <m/>
    <m/>
    <m/>
    <m/>
    <m/>
    <n v="1.82"/>
    <m/>
    <m/>
    <m/>
    <m/>
    <m/>
    <m/>
    <m/>
    <m/>
    <m/>
    <m/>
    <m/>
    <m/>
    <m/>
    <m/>
    <m/>
    <m/>
    <m/>
    <m/>
    <m/>
    <n v="1"/>
    <m/>
    <n v="1"/>
    <m/>
    <m/>
    <n v="3"/>
    <m/>
    <m/>
    <m/>
    <m/>
    <m/>
    <m/>
    <n v="134.87900000000002"/>
    <n v="0"/>
    <n v="0"/>
    <n v="134.87900000000002"/>
    <n v="54.67"/>
    <m/>
    <m/>
    <m/>
    <m/>
    <s v=""/>
    <m/>
    <m/>
    <s v=""/>
    <s v=""/>
    <s v=""/>
    <m/>
    <s v=""/>
    <m/>
  </r>
  <r>
    <x v="5"/>
    <s v="Noche"/>
    <s v="C"/>
    <x v="14"/>
    <s v="Pq"/>
    <m/>
    <s v="6 Rehabilitacion"/>
    <s v="REHABILITACION"/>
    <s v="ANDREA"/>
    <s v="LINEAL"/>
    <s v="EXPLOTACION"/>
    <m/>
    <m/>
    <m/>
    <s v="73491513"/>
    <s v="71475953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n v="4.8"/>
    <m/>
    <m/>
    <m/>
    <m/>
    <m/>
    <n v="2.34"/>
    <m/>
    <m/>
    <m/>
    <m/>
    <m/>
    <m/>
    <m/>
    <m/>
    <m/>
    <m/>
    <m/>
    <n v="2"/>
    <m/>
    <m/>
    <m/>
    <m/>
    <m/>
    <m/>
    <m/>
    <m/>
    <m/>
    <n v="0"/>
    <m/>
    <m/>
    <n v="6"/>
    <m/>
    <m/>
    <n v="16"/>
    <n v="8"/>
    <m/>
    <m/>
    <n v="147.60000000000002"/>
    <n v="131.22399999999999"/>
    <n v="255.88679999999997"/>
    <n v="403.48680000000002"/>
    <n v="513.26"/>
    <m/>
    <m/>
    <m/>
    <m/>
    <s v=""/>
    <m/>
    <m/>
    <s v=""/>
    <s v=""/>
    <s v=""/>
    <m/>
    <s v=""/>
    <m/>
  </r>
  <r>
    <x v="5"/>
    <s v="Noche"/>
    <s v="C"/>
    <x v="14"/>
    <s v="Pq"/>
    <m/>
    <s v="5 Servicios"/>
    <s v="SERVICIO"/>
    <s v="ANDREA"/>
    <s v="LINEAL"/>
    <s v="EXPLOTACION"/>
    <m/>
    <m/>
    <m/>
    <s v="41164398"/>
    <s v="28855306"/>
    <s v="28818802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Noche"/>
    <s v="C"/>
    <x v="0"/>
    <s v="In"/>
    <m/>
    <s v="5 Servicios"/>
    <s v="SERVICIO"/>
    <s v="VANESSA"/>
    <s v="LINEAL"/>
    <s v="EXPLORACION"/>
    <m/>
    <m/>
    <m/>
    <s v="47779767"/>
    <s v="7014580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5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Día"/>
    <s v="A"/>
    <x v="3"/>
    <s v="Tj"/>
    <s v="M"/>
    <s v="2 Voladura"/>
    <s v="SUMINISTROS"/>
    <s v="CACHORRO"/>
    <s v="TAJO"/>
    <s v="EXPLOTACION"/>
    <m/>
    <s v="Desquinche"/>
    <m/>
    <s v="47536875"/>
    <s v="71115706"/>
    <m/>
    <m/>
    <s v=" "/>
    <n v="2"/>
    <m/>
    <n v="0.28000000000000003"/>
    <n v="0.96"/>
    <n v="0.76"/>
    <n v="2"/>
    <s v="120_01"/>
    <n v="1"/>
    <s v="PSECAN_02"/>
    <n v="4"/>
    <n v="9"/>
    <m/>
    <n v="9"/>
    <m/>
    <n v="27"/>
    <m/>
    <m/>
    <n v="9"/>
    <n v="2"/>
    <m/>
    <n v="0"/>
    <n v="0"/>
    <n v="34.199999999999996"/>
    <n v="2.5569000000000002"/>
    <n v="0"/>
    <n v="0"/>
    <n v="0"/>
    <n v="2.5569000000000002"/>
    <n v="6"/>
    <m/>
    <n v="8.6999999999999993"/>
    <s v="-"/>
    <m/>
    <n v="1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n v="5"/>
    <m/>
    <m/>
    <m/>
    <m/>
    <m/>
    <m/>
    <m/>
    <m/>
    <m/>
    <n v="305.39499999999998"/>
    <n v="0"/>
    <n v="0"/>
    <n v="305.39499999999998"/>
    <n v="89"/>
    <m/>
    <m/>
    <m/>
    <m/>
    <n v="1.04"/>
    <m/>
    <m/>
    <n v="2.1"/>
    <n v="2.1840000000000002"/>
    <n v="0"/>
    <n v="5.5593000000000004"/>
    <n v="2.0978490566037737"/>
    <m/>
  </r>
  <r>
    <x v="6"/>
    <s v="Día"/>
    <s v="A"/>
    <x v="12"/>
    <s v="Tj"/>
    <s v="M"/>
    <s v="2 Voladura"/>
    <s v="SUMINISTROS"/>
    <s v="CACHORRO"/>
    <s v="TAJO"/>
    <s v="EXPLOTACION"/>
    <m/>
    <s v="Realce"/>
    <m/>
    <s v="45368584"/>
    <s v="47978507"/>
    <m/>
    <m/>
    <s v=" "/>
    <n v="2"/>
    <m/>
    <n v="0.48"/>
    <n v="0.48"/>
    <n v="1.04"/>
    <n v="2"/>
    <s v="120_02"/>
    <n v="1"/>
    <s v="RNP_07"/>
    <n v="4"/>
    <n v="8"/>
    <m/>
    <n v="8"/>
    <m/>
    <n v="32"/>
    <m/>
    <m/>
    <n v="8"/>
    <n v="3"/>
    <m/>
    <n v="0"/>
    <n v="0"/>
    <n v="30.4"/>
    <n v="3.0304000000000002"/>
    <n v="0"/>
    <n v="0"/>
    <n v="0"/>
    <n v="3.0304000000000002"/>
    <m/>
    <m/>
    <s v="-"/>
    <s v="-"/>
    <m/>
    <m/>
    <m/>
    <m/>
    <m/>
    <m/>
    <m/>
    <m/>
    <m/>
    <m/>
    <m/>
    <m/>
    <m/>
    <m/>
    <m/>
    <m/>
    <m/>
    <n v="1.5"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n v="2"/>
    <m/>
    <n v="0"/>
    <n v="26.244"/>
    <n v="51.175799999999995"/>
    <n v="51.175799999999995"/>
    <n v="30.44"/>
    <m/>
    <m/>
    <m/>
    <m/>
    <n v="1.04"/>
    <m/>
    <m/>
    <n v="1.87"/>
    <n v="1.9448000000000001"/>
    <n v="0"/>
    <n v="16.3264"/>
    <n v="6.1609056603773587"/>
    <m/>
  </r>
  <r>
    <x v="6"/>
    <s v="Día"/>
    <s v="A"/>
    <x v="12"/>
    <s v="Tj"/>
    <s v="M"/>
    <s v="2 Voladura"/>
    <s v="SUMINISTROS"/>
    <s v="CACHORRO"/>
    <s v="TAJO"/>
    <s v="EXPLOTACION"/>
    <m/>
    <s v="Realce"/>
    <m/>
    <s v="45368584"/>
    <s v="47978507"/>
    <m/>
    <m/>
    <s v=" "/>
    <n v="2"/>
    <m/>
    <n v="0.48"/>
    <n v="0.48"/>
    <n v="1.04"/>
    <n v="2"/>
    <s v="120_03"/>
    <n v="1"/>
    <s v="RNP_07"/>
    <n v="4"/>
    <n v="5"/>
    <m/>
    <n v="5"/>
    <m/>
    <n v="20"/>
    <m/>
    <m/>
    <n v="5"/>
    <n v="3"/>
    <m/>
    <n v="0"/>
    <n v="0"/>
    <n v="19"/>
    <n v="1.8940000000000001"/>
    <n v="0"/>
    <n v="0"/>
    <n v="0"/>
    <n v="1.8940000000000001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4"/>
    <m/>
    <m/>
    <n v="1.17"/>
    <n v="1.2167999999999999"/>
    <n v="0"/>
    <n v="10.204000000000001"/>
    <n v="3.8505660377358493"/>
    <m/>
  </r>
  <r>
    <x v="6"/>
    <s v="Día"/>
    <s v="A"/>
    <x v="13"/>
    <s v="Sn"/>
    <m/>
    <s v="3 Limpieza"/>
    <s v="LIMPIEZA"/>
    <s v="ESCONDIDA"/>
    <s v="LINEAL"/>
    <s v="EXPLORACION"/>
    <m/>
    <m/>
    <m/>
    <s v="45767528"/>
    <s v="71011238"/>
    <m/>
    <m/>
    <s v=" "/>
    <n v="2"/>
    <n v="1"/>
    <m/>
    <m/>
    <n v="1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11"/>
    <m/>
    <n v="15.95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Día"/>
    <s v="A"/>
    <x v="0"/>
    <s v="In"/>
    <m/>
    <s v="3 Limpieza"/>
    <s v="LIMPIEZA"/>
    <s v="VANESSA"/>
    <s v="LINEAL"/>
    <s v="EXPLORACION"/>
    <m/>
    <m/>
    <m/>
    <s v="45767528"/>
    <s v="71011238"/>
    <m/>
    <m/>
    <s v=" "/>
    <n v="2"/>
    <n v="0.57999999999999996"/>
    <m/>
    <m/>
    <n v="1.4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Día"/>
    <s v="A"/>
    <x v="17"/>
    <s v="Tj"/>
    <s v="M"/>
    <s v="2 Voladura"/>
    <s v="SUMINISTROS"/>
    <s v="VANESSA"/>
    <s v="TAJO"/>
    <s v="EXPLOTACION"/>
    <m/>
    <s v="Realce"/>
    <m/>
    <s v="43940707"/>
    <s v="43480867"/>
    <m/>
    <m/>
    <s v=" "/>
    <n v="2"/>
    <m/>
    <n v="0.76"/>
    <n v="0.57999999999999996"/>
    <n v="0.66"/>
    <n v="2"/>
    <s v="120_04"/>
    <n v="1"/>
    <s v="PSECAN_03"/>
    <n v="4"/>
    <n v="20"/>
    <m/>
    <n v="20"/>
    <m/>
    <n v="82"/>
    <m/>
    <m/>
    <n v="20"/>
    <n v="3"/>
    <m/>
    <n v="0"/>
    <n v="0"/>
    <n v="76"/>
    <n v="7.7654000000000005"/>
    <n v="0"/>
    <n v="0"/>
    <n v="0"/>
    <n v="7.7654000000000005"/>
    <m/>
    <m/>
    <s v="-"/>
    <s v="-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  <m/>
    <m/>
    <m/>
    <m/>
    <m/>
    <m/>
    <m/>
    <m/>
    <m/>
    <n v="44.874000000000002"/>
    <n v="0"/>
    <n v="0"/>
    <n v="44.874000000000002"/>
    <n v="17.8"/>
    <m/>
    <m/>
    <m/>
    <m/>
    <n v="1.04"/>
    <m/>
    <m/>
    <n v="4.67"/>
    <n v="4.8567999999999998"/>
    <n v="0"/>
    <n v="17.549999999999997"/>
    <n v="6.6226415094339615"/>
    <m/>
  </r>
  <r>
    <x v="6"/>
    <s v="Día"/>
    <s v="A"/>
    <x v="14"/>
    <s v="Pq"/>
    <m/>
    <s v="6 Rehabilitacion"/>
    <s v="REHABILITACION"/>
    <s v="ANDREA"/>
    <s v="LINEAL"/>
    <s v="EXPLOTACION"/>
    <m/>
    <m/>
    <m/>
    <s v="43908406"/>
    <s v="75693016"/>
    <m/>
    <m/>
    <s v=" "/>
    <n v="2"/>
    <n v="0.57999999999999996"/>
    <m/>
    <n v="0.38"/>
    <n v="1.04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n v="5.4"/>
    <m/>
    <m/>
    <m/>
    <m/>
    <m/>
    <m/>
    <m/>
    <m/>
    <m/>
    <m/>
    <m/>
    <m/>
    <m/>
    <m/>
    <m/>
    <m/>
    <n v="1"/>
    <n v="1"/>
    <m/>
    <m/>
    <m/>
    <m/>
    <m/>
    <m/>
    <m/>
    <m/>
    <m/>
    <n v="0"/>
    <m/>
    <m/>
    <m/>
    <m/>
    <m/>
    <n v="5"/>
    <n v="8"/>
    <m/>
    <m/>
    <n v="0"/>
    <n v="77.093000000000004"/>
    <n v="150.33135000000001"/>
    <n v="150.33135000000001"/>
    <n v="207.255"/>
    <m/>
    <m/>
    <m/>
    <m/>
    <s v=""/>
    <m/>
    <m/>
    <s v=""/>
    <s v=""/>
    <s v=""/>
    <m/>
    <s v=""/>
    <m/>
  </r>
  <r>
    <x v="6"/>
    <s v="Día"/>
    <s v="A"/>
    <x v="8"/>
    <s v="Pq"/>
    <m/>
    <s v="5 Servicios"/>
    <s v="SERVICIO"/>
    <s v="ESCONDIDA"/>
    <s v="LINEAL"/>
    <s v="EXPLOTACION"/>
    <m/>
    <m/>
    <m/>
    <s v="29580249"/>
    <s v="29729944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Día"/>
    <s v="A"/>
    <x v="14"/>
    <s v="Pq"/>
    <m/>
    <s v="5 Servicios"/>
    <s v="SERVICIO"/>
    <s v="ANDREA"/>
    <s v="LINEAL"/>
    <s v="EXPLOTACION"/>
    <m/>
    <m/>
    <m/>
    <s v="40211240"/>
    <s v="74927770"/>
    <s v="28809427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n v="4"/>
    <s v="-"/>
    <n v="4.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Día"/>
    <s v="A"/>
    <x v="0"/>
    <s v="In"/>
    <m/>
    <s v="5 Servicios"/>
    <s v="SERVICIO"/>
    <s v="VANESSA"/>
    <s v="LINEAL"/>
    <s v="EXPLORACION"/>
    <m/>
    <m/>
    <m/>
    <s v="48514953"/>
    <s v="4483037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Día"/>
    <s v="A"/>
    <x v="7"/>
    <s v="In"/>
    <m/>
    <s v="5 Servicios"/>
    <s v="SERVICIO"/>
    <s v="CACHORRO"/>
    <s v="LINEAL"/>
    <s v="EXPLORACION"/>
    <m/>
    <m/>
    <m/>
    <s v="28818533"/>
    <s v="47334247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Día"/>
    <s v="A"/>
    <x v="9"/>
    <s v="MO"/>
    <m/>
    <s v="5 Servicios"/>
    <s v="SERVICIO"/>
    <s v="INCA"/>
    <s v="SERVICIOS"/>
    <s v="SERVICIOS"/>
    <m/>
    <m/>
    <m/>
    <s v="80310895"/>
    <s v="7533089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Día"/>
    <s v="A"/>
    <x v="10"/>
    <s v="BO"/>
    <m/>
    <s v="5 Servicios"/>
    <s v="SERVICIO"/>
    <s v="CACHORRO"/>
    <s v="SERVICIOS"/>
    <s v="SERVICIOS"/>
    <m/>
    <m/>
    <m/>
    <s v="4800981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Noche"/>
    <s v="C"/>
    <x v="18"/>
    <s v="Ga"/>
    <m/>
    <s v="6 Rehabilitacion"/>
    <s v="REHABILITACION"/>
    <s v="ESCONDIDA"/>
    <s v="LINEAL"/>
    <s v="EXPLOTACION"/>
    <m/>
    <m/>
    <m/>
    <s v="73491513"/>
    <s v="71475953"/>
    <m/>
    <m/>
    <s v=" "/>
    <n v="2"/>
    <n v="0.4"/>
    <m/>
    <n v="1"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n v="2"/>
    <s v="-"/>
    <n v="2.46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3"/>
    <n v="4"/>
    <m/>
    <m/>
    <m/>
    <m/>
    <m/>
    <m/>
    <m/>
    <m/>
    <m/>
    <n v="270.49099999999999"/>
    <n v="0"/>
    <n v="0"/>
    <n v="270.49099999999999"/>
    <n v="71.2"/>
    <m/>
    <m/>
    <m/>
    <m/>
    <s v=""/>
    <m/>
    <m/>
    <s v=""/>
    <s v=""/>
    <s v=""/>
    <m/>
    <s v=""/>
    <m/>
  </r>
  <r>
    <x v="6"/>
    <s v="Noche"/>
    <s v="C"/>
    <x v="3"/>
    <s v="Tj"/>
    <s v="M"/>
    <s v="2 Voladura"/>
    <s v="SUMINISTROS"/>
    <s v="CACHORRO"/>
    <s v="TAJO"/>
    <s v="EXPLOTACION"/>
    <m/>
    <s v="Breasting"/>
    <m/>
    <s v="28835300"/>
    <s v="45844439"/>
    <m/>
    <m/>
    <s v=" "/>
    <n v="2"/>
    <m/>
    <n v="0.4"/>
    <n v="0.8"/>
    <n v="0.8"/>
    <n v="2"/>
    <s v="121_01"/>
    <n v="1"/>
    <s v="PSECAN_02"/>
    <n v="4"/>
    <n v="10"/>
    <m/>
    <n v="10"/>
    <m/>
    <n v="33"/>
    <m/>
    <m/>
    <n v="10"/>
    <n v="2"/>
    <m/>
    <n v="0"/>
    <n v="0"/>
    <n v="38"/>
    <n v="3.1251000000000002"/>
    <n v="0"/>
    <n v="0"/>
    <n v="0"/>
    <n v="3.1251000000000002"/>
    <n v="2"/>
    <m/>
    <n v="2.9"/>
    <s v="-"/>
    <m/>
    <n v="1"/>
    <m/>
    <m/>
    <m/>
    <m/>
    <m/>
    <m/>
    <m/>
    <m/>
    <m/>
    <m/>
    <m/>
    <m/>
    <m/>
    <m/>
    <m/>
    <m/>
    <m/>
    <m/>
    <n v="5.4"/>
    <m/>
    <m/>
    <m/>
    <m/>
    <m/>
    <m/>
    <m/>
    <m/>
    <m/>
    <m/>
    <m/>
    <m/>
    <m/>
    <m/>
    <m/>
    <m/>
    <m/>
    <n v="2"/>
    <n v="2"/>
    <n v="3"/>
    <m/>
    <n v="7"/>
    <m/>
    <m/>
    <n v="10"/>
    <m/>
    <m/>
    <m/>
    <m/>
    <m/>
    <m/>
    <n v="581.31100000000004"/>
    <n v="0"/>
    <n v="0"/>
    <n v="581.31100000000004"/>
    <n v="247.5"/>
    <m/>
    <m/>
    <m/>
    <m/>
    <n v="1.04"/>
    <m/>
    <m/>
    <n v="2.33"/>
    <n v="2.4232"/>
    <n v="0"/>
    <n v="6.1770000000000005"/>
    <n v="2.3309433962264152"/>
    <m/>
  </r>
  <r>
    <x v="6"/>
    <s v="Noche"/>
    <s v="C"/>
    <x v="12"/>
    <s v="Tj"/>
    <m/>
    <s v="4 Sostenimiento"/>
    <s v="SOSTENIMIENTO"/>
    <s v="CACHORRO"/>
    <s v="TAJO"/>
    <s v="EXPLOTACION"/>
    <m/>
    <m/>
    <m/>
    <s v="44636322"/>
    <s v="41779807"/>
    <m/>
    <m/>
    <s v=" "/>
    <n v="2"/>
    <n v="1.1000000000000001"/>
    <m/>
    <n v="0.5"/>
    <n v="0.4"/>
    <n v="2"/>
    <m/>
    <s v=""/>
    <s v="RNP_07"/>
    <m/>
    <s v=""/>
    <m/>
    <s v=""/>
    <m/>
    <m/>
    <m/>
    <m/>
    <m/>
    <m/>
    <m/>
    <s v=""/>
    <s v=""/>
    <s v=""/>
    <s v=""/>
    <s v=""/>
    <s v=""/>
    <s v=""/>
    <s v=""/>
    <n v="7"/>
    <m/>
    <n v="10.15"/>
    <s v="-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2"/>
    <m/>
    <m/>
    <m/>
    <m/>
    <m/>
    <m/>
    <m/>
    <m/>
    <m/>
    <n v="122.158"/>
    <n v="0"/>
    <n v="0"/>
    <n v="122.158"/>
    <n v="35.6"/>
    <m/>
    <m/>
    <m/>
    <m/>
    <s v=""/>
    <m/>
    <m/>
    <s v=""/>
    <s v=""/>
    <s v=""/>
    <m/>
    <s v=""/>
    <m/>
  </r>
  <r>
    <x v="6"/>
    <s v="Noche"/>
    <s v="C"/>
    <x v="13"/>
    <s v="Sn"/>
    <s v="M"/>
    <s v="2 Voladura"/>
    <s v="SUMINISTROS"/>
    <s v="ESCONDIDA"/>
    <s v="LINEAL"/>
    <s v="EXPLORACION"/>
    <m/>
    <s v="Avance"/>
    <m/>
    <s v="41890317"/>
    <s v="71372838"/>
    <m/>
    <m/>
    <s v=" "/>
    <n v="2"/>
    <n v="0.9"/>
    <n v="0.4"/>
    <n v="0.4"/>
    <n v="0.3"/>
    <n v="2"/>
    <s v="121_02"/>
    <n v="1"/>
    <s v="RNP_05"/>
    <n v="4"/>
    <n v="24"/>
    <m/>
    <n v="24"/>
    <n v="50"/>
    <n v="56"/>
    <m/>
    <m/>
    <n v="24"/>
    <n v="4"/>
    <m/>
    <n v="0"/>
    <n v="0"/>
    <n v="91.199999999999989"/>
    <n v="5.3032000000000004"/>
    <n v="4.8076923076923102"/>
    <n v="0"/>
    <n v="0"/>
    <n v="10.110892307692311"/>
    <n v="10"/>
    <m/>
    <n v="14.5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n v="8.1456"/>
    <n v="3.0738113207547171"/>
    <n v="1"/>
  </r>
  <r>
    <x v="6"/>
    <s v="Noche"/>
    <s v="C"/>
    <x v="0"/>
    <s v="In"/>
    <m/>
    <s v="4 Sostenimiento"/>
    <s v="SOSTENIMIENTO"/>
    <s v="VANESSA"/>
    <s v="LINEAL"/>
    <s v="EXPLORACION"/>
    <m/>
    <m/>
    <m/>
    <s v="42908981"/>
    <s v="70291386"/>
    <m/>
    <m/>
    <s v=" "/>
    <n v="2"/>
    <n v="1.1000000000000001"/>
    <m/>
    <n v="0.4"/>
    <n v="0.5"/>
    <n v="2"/>
    <m/>
    <s v=""/>
    <s v="RNP_06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n v="1"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1"/>
    <m/>
    <m/>
    <n v="1"/>
    <m/>
    <m/>
    <m/>
    <m/>
    <m/>
    <m/>
    <m/>
    <m/>
    <m/>
    <n v="44.874000000000002"/>
    <n v="0"/>
    <n v="0"/>
    <n v="44.874000000000002"/>
    <n v="17.8"/>
    <m/>
    <m/>
    <m/>
    <m/>
    <s v=""/>
    <m/>
    <m/>
    <s v=""/>
    <s v=""/>
    <s v=""/>
    <m/>
    <s v=""/>
    <m/>
  </r>
  <r>
    <x v="6"/>
    <s v="Noche"/>
    <s v="C"/>
    <x v="6"/>
    <s v="Sn"/>
    <m/>
    <s v="3 Limpieza"/>
    <s v="LIMPIEZA"/>
    <s v="CACHORRO"/>
    <s v="LINEAL"/>
    <s v="PREPARACION"/>
    <m/>
    <m/>
    <m/>
    <s v="10619338"/>
    <s v="45048160"/>
    <m/>
    <m/>
    <s v=" "/>
    <n v="2"/>
    <n v="1.2"/>
    <m/>
    <m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Noche"/>
    <s v="C"/>
    <x v="0"/>
    <s v="In"/>
    <m/>
    <s v="5 Servicios"/>
    <s v="SERVICIO"/>
    <s v="VANESSA"/>
    <s v="LINEAL"/>
    <s v="EXPLORACION"/>
    <m/>
    <m/>
    <m/>
    <s v="47779767"/>
    <s v="7121130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Noche"/>
    <s v="C"/>
    <x v="14"/>
    <s v="Pq"/>
    <m/>
    <s v="5 Servicios"/>
    <s v="SERVICIO"/>
    <s v="ANDREA"/>
    <s v="LINEAL"/>
    <s v="EXPLOTACION"/>
    <m/>
    <m/>
    <m/>
    <s v="41164398"/>
    <s v="28855306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6"/>
    <s v="Noche"/>
    <s v="C"/>
    <x v="17"/>
    <s v="Tj"/>
    <m/>
    <s v="4 Sostenimiento"/>
    <s v="SOSTENIMIENTO"/>
    <s v="VANESSA"/>
    <s v="TAJO"/>
    <s v="EXPLOTACION"/>
    <m/>
    <m/>
    <m/>
    <s v="41890317"/>
    <s v="71372838"/>
    <m/>
    <m/>
    <s v=" "/>
    <n v="2"/>
    <m/>
    <m/>
    <n v="1.04"/>
    <n v="0.96"/>
    <n v="2"/>
    <m/>
    <s v=""/>
    <s v="PSECAN_03"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  <m/>
    <n v="61.079000000000001"/>
    <n v="0"/>
    <n v="0"/>
    <n v="61.079000000000001"/>
    <n v="17.8"/>
    <m/>
    <m/>
    <m/>
    <m/>
    <s v=""/>
    <m/>
    <m/>
    <s v=""/>
    <s v=""/>
    <s v=""/>
    <m/>
    <s v=""/>
    <m/>
  </r>
  <r>
    <x v="7"/>
    <s v="Día"/>
    <s v="A"/>
    <x v="3"/>
    <s v="Tj"/>
    <m/>
    <s v="4 Sostenimiento"/>
    <s v="SOSTENIMIENTO"/>
    <s v="CACHORRO"/>
    <s v="TAJO"/>
    <s v="EXPLOTACION"/>
    <m/>
    <m/>
    <m/>
    <s v="47536875"/>
    <s v="71115706"/>
    <m/>
    <m/>
    <s v=" "/>
    <n v="2"/>
    <m/>
    <m/>
    <n v="0.96"/>
    <n v="1.04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11"/>
    <m/>
    <n v="15.95"/>
    <s v="-"/>
    <m/>
    <m/>
    <m/>
    <m/>
    <m/>
    <m/>
    <m/>
    <m/>
    <m/>
    <m/>
    <m/>
    <m/>
    <m/>
    <m/>
    <m/>
    <m/>
    <m/>
    <m/>
    <n v="7.2"/>
    <m/>
    <m/>
    <m/>
    <m/>
    <m/>
    <m/>
    <m/>
    <m/>
    <m/>
    <m/>
    <m/>
    <m/>
    <m/>
    <m/>
    <m/>
    <m/>
    <m/>
    <m/>
    <m/>
    <n v="4"/>
    <n v="8"/>
    <m/>
    <m/>
    <n v="12"/>
    <m/>
    <m/>
    <m/>
    <m/>
    <m/>
    <m/>
    <m/>
    <m/>
    <m/>
    <n v="483.64400000000001"/>
    <n v="0"/>
    <n v="0"/>
    <n v="483.64400000000001"/>
    <n v="213.60000000000002"/>
    <m/>
    <m/>
    <m/>
    <m/>
    <s v=""/>
    <m/>
    <m/>
    <s v=""/>
    <s v=""/>
    <s v=""/>
    <m/>
    <s v=""/>
    <m/>
  </r>
  <r>
    <x v="7"/>
    <s v="Día"/>
    <s v="A"/>
    <x v="12"/>
    <s v="Tj"/>
    <m/>
    <s v="3 Limpieza"/>
    <s v="LIMPIEZA"/>
    <s v="CACHORRO"/>
    <s v="TAJO"/>
    <s v="EXPLOTACION"/>
    <m/>
    <m/>
    <m/>
    <s v="45368584"/>
    <s v="47978507"/>
    <m/>
    <m/>
    <s v=" "/>
    <n v="2"/>
    <n v="1.52"/>
    <m/>
    <m/>
    <n v="0.4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Día"/>
    <s v="A"/>
    <x v="13"/>
    <s v="Sn"/>
    <s v="M"/>
    <s v="2 Voladura"/>
    <s v="SUMINISTROS"/>
    <s v="ESCONDIDA"/>
    <s v="LINEAL"/>
    <s v="EXPLORACION"/>
    <m/>
    <s v="Avance"/>
    <m/>
    <s v="43940707"/>
    <s v="43480867"/>
    <m/>
    <m/>
    <s v=" "/>
    <n v="2"/>
    <n v="0.76"/>
    <n v="0.57999999999999996"/>
    <n v="0.28000000000000003"/>
    <n v="0.38"/>
    <n v="2"/>
    <s v="122_01"/>
    <n v="1"/>
    <s v="RNP_05"/>
    <n v="4"/>
    <n v="22"/>
    <m/>
    <n v="22"/>
    <n v="48"/>
    <n v="50"/>
    <m/>
    <m/>
    <n v="22"/>
    <n v="3"/>
    <m/>
    <n v="0"/>
    <n v="0"/>
    <n v="83.6"/>
    <n v="4.7350000000000003"/>
    <n v="4.6153846153846176"/>
    <n v="0"/>
    <n v="0"/>
    <n v="9.350384615384618"/>
    <n v="11"/>
    <m/>
    <n v="15.95"/>
    <s v="-"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7"/>
    <s v="Día"/>
    <s v="A"/>
    <x v="13"/>
    <s v="Sn"/>
    <s v="M"/>
    <s v="2 Voladura"/>
    <s v="SUMINISTROS"/>
    <s v="ESCONDIDA"/>
    <s v="LINEAL"/>
    <s v="EXPLORACION"/>
    <m/>
    <s v="Avance"/>
    <m/>
    <s v="43940707"/>
    <s v="43480867"/>
    <m/>
    <m/>
    <s v=" "/>
    <n v="2"/>
    <n v="0.76"/>
    <n v="0.57999999999999996"/>
    <n v="0.28000000000000003"/>
    <n v="0.38"/>
    <n v="2"/>
    <s v="122_02"/>
    <n v="1"/>
    <s v="RNP_05"/>
    <n v="4"/>
    <n v="19"/>
    <m/>
    <n v="19"/>
    <n v="48"/>
    <n v="38"/>
    <m/>
    <m/>
    <n v="19"/>
    <n v="3"/>
    <m/>
    <n v="0"/>
    <n v="0"/>
    <n v="72.2"/>
    <n v="3.5986000000000002"/>
    <n v="4.6153846153846176"/>
    <n v="0"/>
    <n v="0"/>
    <n v="8.2139846153846179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7"/>
    <s v="Día"/>
    <s v="A"/>
    <x v="0"/>
    <s v="In"/>
    <m/>
    <s v="4 Sostenimiento"/>
    <s v="SOSTENIMIENTO"/>
    <s v="VANESSA"/>
    <s v="LINEAL"/>
    <s v="EXPLORACION"/>
    <m/>
    <m/>
    <m/>
    <s v="45767528"/>
    <s v="71011238"/>
    <m/>
    <m/>
    <s v=" "/>
    <n v="2"/>
    <m/>
    <m/>
    <n v="1.2"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n v="9.18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n v="8"/>
    <n v="10"/>
    <m/>
    <n v="0"/>
    <n v="183.708"/>
    <n v="358.23059999999998"/>
    <n v="358.23059999999998"/>
    <n v="253.88000000000002"/>
    <m/>
    <m/>
    <m/>
    <m/>
    <s v=""/>
    <m/>
    <m/>
    <s v=""/>
    <s v=""/>
    <s v=""/>
    <m/>
    <s v=""/>
    <m/>
  </r>
  <r>
    <x v="7"/>
    <s v="Día"/>
    <s v="A"/>
    <x v="19"/>
    <s v="Es"/>
    <s v="D"/>
    <s v="2 Voladura"/>
    <s v="SUMINISTROS"/>
    <s v="VANESSA"/>
    <s v="LINEAL"/>
    <s v="EXPLORACION"/>
    <m/>
    <s v="Avance"/>
    <m/>
    <s v="45767528"/>
    <s v="71011238"/>
    <m/>
    <m/>
    <s v=" "/>
    <n v="2"/>
    <m/>
    <n v="0.38"/>
    <n v="0.76"/>
    <n v="0.86"/>
    <n v="2"/>
    <s v="122_03"/>
    <n v="1"/>
    <s v="RNP_06"/>
    <n v="4"/>
    <n v="20"/>
    <m/>
    <n v="20"/>
    <n v="25"/>
    <n v="65"/>
    <m/>
    <m/>
    <n v="20"/>
    <n v="3"/>
    <m/>
    <n v="0"/>
    <n v="0"/>
    <n v="76"/>
    <n v="6.1555"/>
    <n v="2.4038461538461551"/>
    <n v="0"/>
    <n v="0"/>
    <n v="8.559346153846155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7"/>
    <s v="Día"/>
    <s v="A"/>
    <x v="19"/>
    <s v="Es"/>
    <s v="D"/>
    <s v="2 Voladura"/>
    <s v="SUMINISTROS"/>
    <s v="VANESSA"/>
    <s v="LINEAL"/>
    <s v="EXPLORACION"/>
    <m/>
    <s v="Desquinche"/>
    <m/>
    <s v="45767528"/>
    <s v="71011238"/>
    <m/>
    <m/>
    <s v=" "/>
    <n v="2"/>
    <m/>
    <n v="0.38"/>
    <n v="0.76"/>
    <n v="0.86"/>
    <n v="2"/>
    <s v="122_04"/>
    <n v="1"/>
    <s v="RNP_06"/>
    <n v="4"/>
    <n v="5"/>
    <m/>
    <n v="5"/>
    <m/>
    <n v="20"/>
    <m/>
    <m/>
    <n v="5"/>
    <n v="1"/>
    <m/>
    <n v="0"/>
    <n v="0"/>
    <n v="19"/>
    <n v="1.8940000000000001"/>
    <n v="0"/>
    <n v="0"/>
    <n v="0"/>
    <n v="1.8940000000000001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7"/>
    <s v="Día"/>
    <s v="A"/>
    <x v="18"/>
    <s v="Ga"/>
    <m/>
    <s v="4 Sostenimiento"/>
    <s v="SOSTENIMIENTO"/>
    <s v="ESCONDIDA"/>
    <s v="LINEAL"/>
    <s v="EXPLOTACION"/>
    <m/>
    <m/>
    <m/>
    <s v="43908406"/>
    <s v="75693016"/>
    <m/>
    <m/>
    <s v=" "/>
    <n v="2"/>
    <m/>
    <m/>
    <n v="1.04"/>
    <n v="0.9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3"/>
    <n v="4"/>
    <m/>
    <m/>
    <m/>
    <m/>
    <m/>
    <m/>
    <m/>
    <m/>
    <m/>
    <n v="270.49099999999999"/>
    <n v="0"/>
    <n v="0"/>
    <n v="270.49099999999999"/>
    <n v="71.2"/>
    <m/>
    <m/>
    <m/>
    <m/>
    <s v=""/>
    <m/>
    <m/>
    <s v=""/>
    <s v=""/>
    <s v=""/>
    <m/>
    <s v=""/>
    <m/>
  </r>
  <r>
    <x v="7"/>
    <s v="Día"/>
    <s v="A"/>
    <x v="8"/>
    <s v="Pq"/>
    <m/>
    <s v="5 Servicios"/>
    <s v="SERVICIO"/>
    <s v="ESCONDIDA"/>
    <s v="LINEAL"/>
    <s v="EXPLOTACION"/>
    <m/>
    <m/>
    <m/>
    <s v="29580249"/>
    <s v="29729944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Día"/>
    <s v="A"/>
    <x v="14"/>
    <s v="Pq"/>
    <m/>
    <s v="5 Servicios"/>
    <s v="SERVICIO"/>
    <s v="ANDREA"/>
    <s v="LINEAL"/>
    <s v="EXPLOTACION"/>
    <m/>
    <m/>
    <m/>
    <s v="40211240"/>
    <s v="74927770"/>
    <s v="28809427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Día"/>
    <s v="A"/>
    <x v="7"/>
    <s v="In"/>
    <m/>
    <s v="5 Servicios"/>
    <s v="SERVICIO"/>
    <s v="CACHORRO"/>
    <s v="LINEAL"/>
    <s v="EXPLORACION"/>
    <m/>
    <m/>
    <m/>
    <s v="28818533"/>
    <s v="47334247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Día"/>
    <s v="A"/>
    <x v="0"/>
    <s v="In"/>
    <m/>
    <s v="5 Servicios"/>
    <s v="SERVICIO"/>
    <s v="VANESSA"/>
    <s v="LINEAL"/>
    <s v="EXPLORACION"/>
    <m/>
    <m/>
    <m/>
    <s v="48514953"/>
    <s v="4483037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n v="4"/>
    <s v="-"/>
    <n v="4.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Día"/>
    <s v="A"/>
    <x v="9"/>
    <s v="MO"/>
    <m/>
    <s v="5 Servicios"/>
    <s v="SERVICIO"/>
    <s v="INCA"/>
    <s v="SERVICIOS"/>
    <s v="SERVICIOS"/>
    <m/>
    <m/>
    <m/>
    <s v="80310895"/>
    <s v="7533089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Día"/>
    <s v="A"/>
    <x v="10"/>
    <s v="BO"/>
    <m/>
    <s v="5 Servicios"/>
    <s v="SERVICIO"/>
    <s v="CACHORRO"/>
    <s v="SERVICIOS"/>
    <s v="SERVICIOS"/>
    <m/>
    <m/>
    <m/>
    <s v="4800981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Noche"/>
    <s v="C"/>
    <x v="18"/>
    <s v="Ga"/>
    <m/>
    <s v="6 Rehabilitacion"/>
    <s v="REHABILITACION"/>
    <s v="ESCONDIDA"/>
    <s v="LINEAL"/>
    <s v="EXPLOTACION"/>
    <m/>
    <m/>
    <m/>
    <s v="73491513"/>
    <s v="71475953"/>
    <m/>
    <m/>
    <s v=" "/>
    <n v="2"/>
    <m/>
    <m/>
    <n v="1.4"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3"/>
    <n v="4"/>
    <m/>
    <m/>
    <m/>
    <m/>
    <m/>
    <m/>
    <m/>
    <m/>
    <m/>
    <n v="270.49099999999999"/>
    <n v="0"/>
    <n v="0"/>
    <n v="270.49099999999999"/>
    <n v="71.2"/>
    <m/>
    <m/>
    <m/>
    <m/>
    <s v=""/>
    <m/>
    <m/>
    <s v=""/>
    <s v=""/>
    <s v=""/>
    <m/>
    <s v=""/>
    <m/>
  </r>
  <r>
    <x v="7"/>
    <s v="Noche"/>
    <s v="C"/>
    <x v="3"/>
    <s v="Tj"/>
    <m/>
    <s v="4 Sostenimiento"/>
    <s v="SOSTENIMIENTO"/>
    <s v="CACHORRO"/>
    <s v="TAJO"/>
    <s v="EXPLOTACION"/>
    <m/>
    <m/>
    <m/>
    <s v="28835300"/>
    <s v="45844439"/>
    <m/>
    <m/>
    <s v=" "/>
    <n v="2"/>
    <m/>
    <m/>
    <n v="1.4"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2"/>
    <m/>
    <n v="2.9"/>
    <s v="-"/>
    <m/>
    <m/>
    <m/>
    <m/>
    <m/>
    <m/>
    <m/>
    <m/>
    <m/>
    <m/>
    <m/>
    <m/>
    <m/>
    <m/>
    <m/>
    <m/>
    <m/>
    <n v="8.25"/>
    <m/>
    <n v="4.4000000000000004"/>
    <m/>
    <m/>
    <m/>
    <m/>
    <m/>
    <m/>
    <m/>
    <m/>
    <m/>
    <m/>
    <m/>
    <m/>
    <m/>
    <m/>
    <m/>
    <m/>
    <m/>
    <m/>
    <n v="8"/>
    <n v="10"/>
    <m/>
    <m/>
    <n v="18"/>
    <m/>
    <m/>
    <n v="5"/>
    <m/>
    <m/>
    <m/>
    <m/>
    <m/>
    <m/>
    <n v="821.04399999999998"/>
    <n v="0"/>
    <n v="0"/>
    <n v="821.04399999999998"/>
    <n v="381.85"/>
    <m/>
    <m/>
    <m/>
    <m/>
    <s v=""/>
    <m/>
    <m/>
    <s v=""/>
    <s v=""/>
    <s v=""/>
    <m/>
    <s v=""/>
    <m/>
  </r>
  <r>
    <x v="7"/>
    <s v="Noche"/>
    <s v="C"/>
    <x v="12"/>
    <s v="Tj"/>
    <s v="D"/>
    <s v="2 Voladura"/>
    <s v="SUMINISTROS"/>
    <s v="CACHORRO"/>
    <s v="TAJO"/>
    <s v="EXPLOTACION"/>
    <m/>
    <s v="Desquinche"/>
    <m/>
    <s v="44636322"/>
    <s v="41779807"/>
    <m/>
    <m/>
    <s v=" "/>
    <n v="2"/>
    <n v="0.9"/>
    <n v="0.4"/>
    <n v="0.3"/>
    <n v="0.4"/>
    <n v="2"/>
    <s v="123_01"/>
    <n v="1"/>
    <s v="PSECAN_02"/>
    <n v="3"/>
    <n v="3"/>
    <m/>
    <n v="3"/>
    <m/>
    <n v="9"/>
    <m/>
    <m/>
    <n v="3"/>
    <n v="1"/>
    <m/>
    <n v="0"/>
    <n v="0"/>
    <n v="8.5499999999999989"/>
    <n v="0.85230000000000006"/>
    <n v="0"/>
    <n v="0"/>
    <n v="0"/>
    <n v="0.85230000000000006"/>
    <n v="4"/>
    <m/>
    <n v="5.8"/>
    <s v="-"/>
    <m/>
    <m/>
    <m/>
    <m/>
    <m/>
    <m/>
    <m/>
    <m/>
    <m/>
    <m/>
    <m/>
    <m/>
    <n v="1"/>
    <m/>
    <m/>
    <m/>
    <m/>
    <n v="2.34"/>
    <m/>
    <m/>
    <m/>
    <m/>
    <m/>
    <m/>
    <n v="4"/>
    <m/>
    <m/>
    <m/>
    <m/>
    <m/>
    <m/>
    <m/>
    <m/>
    <m/>
    <m/>
    <m/>
    <m/>
    <m/>
    <n v="1"/>
    <m/>
    <m/>
    <m/>
    <n v="1"/>
    <m/>
    <m/>
    <n v="5"/>
    <m/>
    <m/>
    <m/>
    <m/>
    <m/>
    <m/>
    <n v="154.16300000000001"/>
    <n v="0"/>
    <n v="0"/>
    <n v="154.16300000000001"/>
    <n v="79.25"/>
    <m/>
    <m/>
    <m/>
    <m/>
    <n v="0.78"/>
    <m/>
    <m/>
    <n v="0.7"/>
    <n v="0.54599999999999993"/>
    <n v="0"/>
    <m/>
    <n v="0"/>
    <m/>
  </r>
  <r>
    <x v="7"/>
    <s v="Noche"/>
    <s v="C"/>
    <x v="13"/>
    <s v="Sn"/>
    <m/>
    <s v="4 Sostenimiento"/>
    <s v="SOSTENIMIENTO"/>
    <s v="ESCONDIDA"/>
    <s v="LINEAL"/>
    <s v="EXPLORACION"/>
    <m/>
    <m/>
    <m/>
    <s v="41890317"/>
    <s v="71372838"/>
    <s v="45048160"/>
    <m/>
    <s v=" "/>
    <n v="3"/>
    <n v="0.9"/>
    <m/>
    <n v="0.7"/>
    <n v="1.4"/>
    <n v="3"/>
    <m/>
    <s v=""/>
    <m/>
    <m/>
    <s v=""/>
    <m/>
    <s v=""/>
    <m/>
    <m/>
    <m/>
    <m/>
    <m/>
    <m/>
    <m/>
    <s v=""/>
    <s v=""/>
    <s v=""/>
    <s v=""/>
    <s v=""/>
    <s v=""/>
    <s v=""/>
    <s v=""/>
    <n v="8"/>
    <m/>
    <n v="11.6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Noche"/>
    <s v="C"/>
    <x v="0"/>
    <s v="In"/>
    <m/>
    <s v="3 Limpieza"/>
    <s v="LIMPIEZA"/>
    <s v="VANESSA"/>
    <s v="LINEAL"/>
    <s v="EXPLORACION"/>
    <m/>
    <m/>
    <m/>
    <s v="42908981"/>
    <s v="70291386"/>
    <m/>
    <m/>
    <s v=" "/>
    <n v="2"/>
    <n v="1.4"/>
    <m/>
    <m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Noche"/>
    <s v="C"/>
    <x v="0"/>
    <s v="In"/>
    <m/>
    <s v="5 Servicios"/>
    <s v="SERVICIO"/>
    <s v="VANESSA"/>
    <s v="LINEAL"/>
    <s v="EXPLORACION"/>
    <m/>
    <m/>
    <m/>
    <s v="47779767"/>
    <s v="7121130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7"/>
    <s v="Noche"/>
    <s v="C"/>
    <x v="14"/>
    <s v="Pq"/>
    <m/>
    <s v="5 Servicios"/>
    <s v="SERVICIO"/>
    <s v="ANDREA"/>
    <s v="LINEAL"/>
    <s v="EXPLOTACION"/>
    <m/>
    <m/>
    <m/>
    <s v="41164398"/>
    <s v="28855306"/>
    <s v="28818533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Día"/>
    <s v="A"/>
    <x v="3"/>
    <s v="Tj"/>
    <s v="M"/>
    <s v="2 Voladura"/>
    <s v="SUMINISTROS"/>
    <s v="CACHORRO"/>
    <s v="TAJO"/>
    <s v="EXPLOTACION"/>
    <m/>
    <s v="Breasting"/>
    <m/>
    <s v="47536875"/>
    <s v="71115706"/>
    <m/>
    <m/>
    <s v=" "/>
    <n v="2"/>
    <n v="0.76"/>
    <n v="0.28000000000000003"/>
    <n v="0.38"/>
    <n v="0.57999999999999996"/>
    <n v="2"/>
    <s v="124_01"/>
    <n v="1"/>
    <s v="PSECAN_02"/>
    <n v="4"/>
    <n v="10"/>
    <m/>
    <n v="10"/>
    <m/>
    <n v="40"/>
    <m/>
    <m/>
    <n v="10"/>
    <n v="1"/>
    <m/>
    <n v="0"/>
    <n v="0"/>
    <n v="38"/>
    <n v="3.7880000000000003"/>
    <n v="0"/>
    <n v="0"/>
    <n v="0"/>
    <n v="3.7880000000000003"/>
    <n v="6"/>
    <m/>
    <n v="8.6999999999999993"/>
    <s v="-"/>
    <m/>
    <m/>
    <m/>
    <m/>
    <m/>
    <m/>
    <m/>
    <m/>
    <m/>
    <m/>
    <m/>
    <m/>
    <m/>
    <m/>
    <n v="3.6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n v="4"/>
    <m/>
    <n v="0"/>
    <n v="52.488"/>
    <n v="102.35159999999999"/>
    <n v="102.35159999999999"/>
    <n v="60.88"/>
    <m/>
    <m/>
    <m/>
    <m/>
    <n v="1.04"/>
    <m/>
    <m/>
    <n v="2.33"/>
    <n v="2.4232"/>
    <n v="0"/>
    <m/>
    <n v="0"/>
    <m/>
  </r>
  <r>
    <x v="8"/>
    <s v="Día"/>
    <s v="A"/>
    <x v="3"/>
    <s v="Tj"/>
    <s v="M"/>
    <s v="2 Voladura"/>
    <s v="SUMINISTROS"/>
    <s v="CACHORRO"/>
    <s v="TAJO"/>
    <s v="EXPLOTACION"/>
    <m/>
    <s v="Desquinche"/>
    <m/>
    <s v="47536875"/>
    <s v="71115706"/>
    <m/>
    <m/>
    <s v=" "/>
    <n v="2"/>
    <n v="0.76"/>
    <n v="0.28000000000000003"/>
    <n v="0.38"/>
    <n v="0.57999999999999996"/>
    <n v="2"/>
    <s v="124_02"/>
    <n v="1"/>
    <s v="PSECAN_02"/>
    <n v="3"/>
    <n v="4"/>
    <m/>
    <n v="4"/>
    <m/>
    <n v="12"/>
    <m/>
    <m/>
    <n v="4"/>
    <n v="1"/>
    <m/>
    <n v="0"/>
    <n v="0"/>
    <n v="11.399999999999999"/>
    <n v="1.1364000000000001"/>
    <n v="0"/>
    <n v="0"/>
    <n v="0"/>
    <n v="1.1364000000000001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0.78"/>
    <m/>
    <m/>
    <n v="0.93"/>
    <n v="0.72540000000000004"/>
    <n v="0"/>
    <m/>
    <n v="0"/>
    <m/>
  </r>
  <r>
    <x v="8"/>
    <s v="Día"/>
    <s v="A"/>
    <x v="12"/>
    <s v="Tj"/>
    <m/>
    <s v="4 Sostenimiento"/>
    <s v="SOSTENIMIENTO"/>
    <s v="CACHORRO"/>
    <s v="TAJO"/>
    <s v="EXPLOTACION"/>
    <m/>
    <m/>
    <m/>
    <s v="45368584"/>
    <s v="47978507"/>
    <m/>
    <m/>
    <s v=" "/>
    <n v="2"/>
    <m/>
    <m/>
    <n v="1.04"/>
    <n v="0.96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3"/>
    <m/>
    <n v="4.3499999999999996"/>
    <s v="-"/>
    <m/>
    <n v="2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m/>
    <n v="8"/>
    <m/>
    <m/>
    <m/>
    <m/>
    <m/>
    <m/>
    <m/>
    <m/>
    <m/>
    <n v="488.63200000000001"/>
    <n v="0"/>
    <n v="0"/>
    <n v="488.63200000000001"/>
    <n v="142.4"/>
    <m/>
    <m/>
    <m/>
    <m/>
    <s v=""/>
    <m/>
    <m/>
    <s v=""/>
    <s v=""/>
    <s v=""/>
    <m/>
    <s v=""/>
    <m/>
  </r>
  <r>
    <x v="8"/>
    <s v="Día"/>
    <s v="A"/>
    <x v="20"/>
    <s v="Tj"/>
    <s v="M"/>
    <s v="2 Voladura"/>
    <s v="SUMINISTROS"/>
    <s v="ESCONDIDA"/>
    <s v="TAJO"/>
    <s v="EXPLOTACION"/>
    <m/>
    <s v="Realce"/>
    <m/>
    <s v="43940707"/>
    <s v="43480867"/>
    <m/>
    <m/>
    <s v=" "/>
    <n v="2"/>
    <m/>
    <n v="0.57999999999999996"/>
    <m/>
    <n v="1.42"/>
    <n v="2"/>
    <s v="124_03"/>
    <n v="1"/>
    <s v="RNP_05"/>
    <n v="4"/>
    <n v="21"/>
    <m/>
    <n v="21"/>
    <n v="48"/>
    <n v="46"/>
    <m/>
    <m/>
    <n v="21"/>
    <n v="6"/>
    <m/>
    <n v="0"/>
    <n v="0"/>
    <n v="79.8"/>
    <n v="4.3562000000000003"/>
    <n v="4.6153846153846176"/>
    <n v="0"/>
    <n v="0"/>
    <n v="8.9715846153846179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4"/>
    <m/>
    <m/>
    <n v="4.9000000000000004"/>
    <n v="5.096000000000001"/>
    <n v="0"/>
    <m/>
    <n v="0"/>
    <m/>
  </r>
  <r>
    <x v="8"/>
    <s v="Día"/>
    <s v="A"/>
    <x v="17"/>
    <s v="Tj"/>
    <m/>
    <s v="3 Limpieza"/>
    <s v="LIMPIEZA"/>
    <s v="VANESSA"/>
    <s v="TAJO"/>
    <s v="EXPLOTACION"/>
    <m/>
    <m/>
    <m/>
    <s v="80310895"/>
    <s v="75330895"/>
    <m/>
    <m/>
    <s v=" "/>
    <n v="2"/>
    <m/>
    <m/>
    <n v="1.04"/>
    <n v="0.96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4"/>
    <m/>
    <n v="5.8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Día"/>
    <s v="A"/>
    <x v="19"/>
    <s v="Es"/>
    <s v="D"/>
    <s v="2 Voladura"/>
    <s v="SUMINISTROS"/>
    <s v="VANESSA"/>
    <s v="LINEAL"/>
    <s v="EXPLORACION"/>
    <m/>
    <s v="Avance"/>
    <m/>
    <s v="45767528"/>
    <s v="71011238"/>
    <m/>
    <m/>
    <s v=" "/>
    <n v="2"/>
    <n v="0.76"/>
    <n v="0.66"/>
    <m/>
    <n v="0.57999999999999996"/>
    <n v="2"/>
    <s v="124_04"/>
    <n v="1"/>
    <s v="RNP_06"/>
    <n v="4"/>
    <n v="20"/>
    <m/>
    <n v="20"/>
    <n v="44"/>
    <n v="46"/>
    <m/>
    <m/>
    <n v="20"/>
    <n v="4"/>
    <m/>
    <n v="0"/>
    <n v="0"/>
    <n v="76"/>
    <n v="4.3562000000000003"/>
    <n v="4.2307692307692326"/>
    <n v="0"/>
    <n v="0"/>
    <n v="8.5869692307692329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8"/>
    <s v="Día"/>
    <s v="A"/>
    <x v="21"/>
    <s v="Es"/>
    <s v="D"/>
    <s v="2 Voladura"/>
    <s v="SUMINISTROS"/>
    <s v="VANESSA"/>
    <s v="LINEAL"/>
    <s v="DESARROLLO"/>
    <m/>
    <s v="Avance"/>
    <m/>
    <s v="45767528"/>
    <s v="71011238"/>
    <m/>
    <m/>
    <s v=" "/>
    <n v="2"/>
    <n v="0.76"/>
    <n v="0.66"/>
    <m/>
    <n v="0.57999999999999996"/>
    <n v="2"/>
    <s v="124_05"/>
    <n v="1"/>
    <s v="RNP_06"/>
    <n v="4"/>
    <n v="20"/>
    <m/>
    <n v="20"/>
    <n v="50"/>
    <n v="40"/>
    <m/>
    <m/>
    <n v="20"/>
    <n v="5"/>
    <m/>
    <n v="0"/>
    <n v="0"/>
    <n v="76"/>
    <n v="3.7880000000000003"/>
    <n v="4.8076923076923102"/>
    <n v="0"/>
    <n v="0"/>
    <n v="8.5956923076923104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8"/>
    <s v="Día"/>
    <s v="A"/>
    <x v="21"/>
    <s v="Es"/>
    <s v="D"/>
    <s v="2 Voladura"/>
    <s v="SUMINISTROS"/>
    <s v="VANESSA"/>
    <s v="LINEAL"/>
    <s v="DESARROLLO"/>
    <m/>
    <s v="Desquinche"/>
    <m/>
    <s v="45767528"/>
    <s v="71011238"/>
    <m/>
    <m/>
    <s v=" "/>
    <n v="2"/>
    <n v="0.76"/>
    <n v="0.66"/>
    <m/>
    <n v="0.57999999999999996"/>
    <n v="2"/>
    <s v="124_06"/>
    <n v="1"/>
    <s v="RNP_06"/>
    <n v="4"/>
    <n v="8"/>
    <m/>
    <n v="8"/>
    <m/>
    <n v="32"/>
    <m/>
    <m/>
    <n v="8"/>
    <n v="1"/>
    <m/>
    <n v="0"/>
    <n v="0"/>
    <n v="30.4"/>
    <n v="3.0304000000000002"/>
    <n v="0"/>
    <n v="0"/>
    <n v="0"/>
    <n v="3.0304000000000002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8"/>
    <s v="Día"/>
    <s v="A"/>
    <x v="18"/>
    <s v="Ga"/>
    <m/>
    <s v="6 Rehabilitacion"/>
    <s v="REHABILITACION"/>
    <s v="ESCONDIDA"/>
    <s v="LINEAL"/>
    <s v="EXPLOTACION"/>
    <m/>
    <m/>
    <m/>
    <s v="43908406"/>
    <s v="75693016"/>
    <m/>
    <m/>
    <s v=" "/>
    <n v="2"/>
    <m/>
    <m/>
    <n v="1.04"/>
    <n v="0.9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4"/>
    <m/>
    <m/>
    <m/>
    <m/>
    <m/>
    <m/>
    <m/>
    <m/>
    <m/>
    <n v="319.10399999999998"/>
    <n v="0"/>
    <n v="0"/>
    <n v="319.10399999999998"/>
    <n v="71.2"/>
    <m/>
    <m/>
    <m/>
    <m/>
    <s v=""/>
    <m/>
    <m/>
    <s v=""/>
    <s v=""/>
    <s v=""/>
    <m/>
    <s v=""/>
    <m/>
  </r>
  <r>
    <x v="8"/>
    <s v="Día"/>
    <s v="A"/>
    <x v="14"/>
    <s v="Pq"/>
    <m/>
    <s v="5 Servicios"/>
    <s v="SERVICIO"/>
    <s v="ANDREA"/>
    <s v="LINEAL"/>
    <s v="EXPLOTACION"/>
    <m/>
    <m/>
    <m/>
    <s v="40211240"/>
    <s v="74927770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n v="6"/>
    <s v="-"/>
    <n v="7.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Día"/>
    <s v="A"/>
    <x v="8"/>
    <s v="Pq"/>
    <m/>
    <s v="5 Servicios"/>
    <s v="SERVICIO"/>
    <s v="ESCONDIDA"/>
    <s v="LINEAL"/>
    <s v="EXPLOTACION"/>
    <m/>
    <m/>
    <m/>
    <s v="29580249"/>
    <s v="29729944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Día"/>
    <s v="A"/>
    <x v="7"/>
    <s v="In"/>
    <m/>
    <s v="5 Servicios"/>
    <s v="SERVICIO"/>
    <s v="CACHORRO"/>
    <s v="LINEAL"/>
    <s v="EXPLORACION"/>
    <m/>
    <m/>
    <m/>
    <s v="28818533"/>
    <s v="47334247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Día"/>
    <s v="A"/>
    <x v="0"/>
    <s v="In"/>
    <m/>
    <s v="5 Servicios"/>
    <s v="SERVICIO"/>
    <s v="VANESSA"/>
    <s v="LINEAL"/>
    <s v="EXPLORACION"/>
    <m/>
    <m/>
    <m/>
    <s v="48514953"/>
    <s v="4483037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Día"/>
    <s v="A"/>
    <x v="9"/>
    <s v="MO"/>
    <m/>
    <s v="5 Servicios"/>
    <s v="SERVICIO"/>
    <s v="INCA"/>
    <s v="SERVICIOS"/>
    <s v="SERVICIOS"/>
    <m/>
    <m/>
    <m/>
    <s v="80310895"/>
    <s v="7533089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Día"/>
    <s v="A"/>
    <x v="10"/>
    <s v="BO"/>
    <m/>
    <s v="5 Servicios"/>
    <s v="SERVICIO"/>
    <s v="CACHORRO"/>
    <s v="SERVICIOS"/>
    <s v="SERVICIOS"/>
    <m/>
    <m/>
    <m/>
    <s v="4800981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Noche"/>
    <s v="C"/>
    <x v="18"/>
    <s v="Ga"/>
    <m/>
    <s v="6 Rehabilitacion"/>
    <s v="REHABILITACION"/>
    <s v="ESCONDIDA"/>
    <s v="LINEAL"/>
    <s v="EXPLOTACION"/>
    <m/>
    <m/>
    <m/>
    <s v="73491513"/>
    <s v="71475953"/>
    <m/>
    <m/>
    <s v=" "/>
    <n v="2"/>
    <m/>
    <m/>
    <n v="1.2"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n v="1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n v="2"/>
    <m/>
    <n v="3"/>
    <n v="5"/>
    <m/>
    <m/>
    <m/>
    <m/>
    <m/>
    <m/>
    <m/>
    <m/>
    <m/>
    <n v="329.07599999999996"/>
    <n v="0"/>
    <n v="0"/>
    <n v="329.07599999999996"/>
    <n v="89"/>
    <m/>
    <m/>
    <m/>
    <m/>
    <s v=""/>
    <m/>
    <m/>
    <s v=""/>
    <s v=""/>
    <s v=""/>
    <m/>
    <s v=""/>
    <m/>
  </r>
  <r>
    <x v="8"/>
    <s v="Noche"/>
    <s v="C"/>
    <x v="3"/>
    <s v="Tj"/>
    <m/>
    <s v="4 Sostenimiento"/>
    <s v="SOSTENIMIENTO"/>
    <s v="CACHORRO"/>
    <s v="TAJO"/>
    <s v="EXPLOTACION"/>
    <m/>
    <m/>
    <m/>
    <s v="28835300"/>
    <s v="45844439"/>
    <m/>
    <m/>
    <s v=" "/>
    <n v="2"/>
    <m/>
    <m/>
    <n v="1.2"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3"/>
    <m/>
    <n v="4.3499999999999996"/>
    <s v="-"/>
    <m/>
    <n v="1"/>
    <m/>
    <m/>
    <m/>
    <m/>
    <m/>
    <m/>
    <m/>
    <m/>
    <m/>
    <m/>
    <m/>
    <m/>
    <m/>
    <n v="1"/>
    <m/>
    <m/>
    <m/>
    <m/>
    <n v="5.4"/>
    <m/>
    <m/>
    <m/>
    <m/>
    <m/>
    <m/>
    <m/>
    <m/>
    <m/>
    <m/>
    <m/>
    <m/>
    <m/>
    <m/>
    <m/>
    <m/>
    <m/>
    <n v="3"/>
    <n v="2"/>
    <n v="4"/>
    <m/>
    <n v="9"/>
    <m/>
    <m/>
    <n v="10"/>
    <m/>
    <m/>
    <m/>
    <m/>
    <m/>
    <m/>
    <n v="673.553"/>
    <n v="0"/>
    <n v="0"/>
    <n v="673.553"/>
    <n v="283.10000000000002"/>
    <m/>
    <m/>
    <m/>
    <m/>
    <s v=""/>
    <m/>
    <m/>
    <s v=""/>
    <s v=""/>
    <s v=""/>
    <m/>
    <s v=""/>
    <m/>
  </r>
  <r>
    <x v="8"/>
    <s v="Noche"/>
    <s v="C"/>
    <x v="12"/>
    <s v="Tj"/>
    <s v="M"/>
    <s v="2 Voladura"/>
    <s v="SUMINISTROS"/>
    <s v="CACHORRO"/>
    <s v="TAJO"/>
    <s v="EXPLOTACION"/>
    <m/>
    <s v="Breasting"/>
    <m/>
    <s v="44636322"/>
    <s v="41779807"/>
    <m/>
    <m/>
    <s v=" "/>
    <n v="2"/>
    <n v="0.9"/>
    <n v="0.3"/>
    <n v="0.4"/>
    <n v="0.4"/>
    <n v="2"/>
    <s v="125_01"/>
    <n v="1"/>
    <s v="PSECAN_02"/>
    <n v="4"/>
    <n v="3"/>
    <m/>
    <n v="3"/>
    <m/>
    <n v="12"/>
    <m/>
    <m/>
    <n v="3"/>
    <n v="2"/>
    <m/>
    <n v="0"/>
    <n v="0"/>
    <n v="11.399999999999999"/>
    <n v="1.1364000000000001"/>
    <n v="0"/>
    <n v="0"/>
    <n v="0"/>
    <n v="1.1364000000000001"/>
    <n v="3"/>
    <m/>
    <n v="4.3499999999999996"/>
    <s v="-"/>
    <m/>
    <m/>
    <m/>
    <m/>
    <m/>
    <m/>
    <m/>
    <m/>
    <m/>
    <m/>
    <m/>
    <m/>
    <m/>
    <m/>
    <m/>
    <n v="3"/>
    <m/>
    <m/>
    <m/>
    <m/>
    <n v="5.4"/>
    <m/>
    <m/>
    <m/>
    <m/>
    <m/>
    <m/>
    <m/>
    <m/>
    <m/>
    <m/>
    <m/>
    <m/>
    <m/>
    <m/>
    <m/>
    <m/>
    <m/>
    <n v="2"/>
    <n v="6"/>
    <n v="2"/>
    <m/>
    <n v="10"/>
    <m/>
    <m/>
    <n v="12"/>
    <m/>
    <m/>
    <m/>
    <m/>
    <m/>
    <m/>
    <n v="748.92800000000011"/>
    <n v="0"/>
    <n v="0"/>
    <n v="748.92800000000011"/>
    <n v="325.48"/>
    <m/>
    <m/>
    <m/>
    <m/>
    <n v="1.04"/>
    <m/>
    <m/>
    <n v="0.7"/>
    <n v="0.72799999999999998"/>
    <n v="0"/>
    <m/>
    <n v="0"/>
    <m/>
  </r>
  <r>
    <x v="8"/>
    <s v="Noche"/>
    <s v="C"/>
    <x v="20"/>
    <s v="Tj"/>
    <s v="M"/>
    <s v="2 Voladura"/>
    <s v="SUMINISTROS"/>
    <s v="ESCONDIDA"/>
    <s v="TAJO"/>
    <s v="EXPLOTACION"/>
    <m/>
    <s v="Realce"/>
    <m/>
    <s v="41890317"/>
    <s v="71372838"/>
    <m/>
    <m/>
    <s v=" "/>
    <n v="2"/>
    <m/>
    <n v="1.2"/>
    <n v="0.5"/>
    <n v="0.3"/>
    <n v="2"/>
    <s v="125_02"/>
    <n v="1"/>
    <s v="RNP_05"/>
    <n v="5"/>
    <n v="15"/>
    <m/>
    <n v="15"/>
    <n v="40"/>
    <n v="45"/>
    <m/>
    <m/>
    <n v="15"/>
    <n v="5"/>
    <m/>
    <n v="0"/>
    <n v="0"/>
    <n v="71.25"/>
    <n v="4.2614999999999998"/>
    <n v="3.846153846153848"/>
    <n v="0"/>
    <n v="0"/>
    <n v="8.1076538461538483"/>
    <m/>
    <m/>
    <s v="-"/>
    <s v="-"/>
    <m/>
    <m/>
    <m/>
    <m/>
    <m/>
    <m/>
    <m/>
    <m/>
    <m/>
    <m/>
    <m/>
    <m/>
    <m/>
    <m/>
    <m/>
    <m/>
    <m/>
    <m/>
    <m/>
    <m/>
    <m/>
    <m/>
    <m/>
    <m/>
    <n v="2"/>
    <n v="1"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3"/>
    <m/>
    <m/>
    <n v="3.5"/>
    <n v="4.55"/>
    <n v="0"/>
    <m/>
    <n v="0"/>
    <m/>
  </r>
  <r>
    <x v="8"/>
    <s v="Noche"/>
    <s v="C"/>
    <x v="19"/>
    <s v="Es"/>
    <s v="D"/>
    <s v="2 Voladura"/>
    <s v="SUMINISTROS"/>
    <s v="VANESSA"/>
    <s v="LINEAL"/>
    <s v="EXPLORACION"/>
    <m/>
    <s v="Avance"/>
    <m/>
    <s v="42908981"/>
    <s v="70291386"/>
    <m/>
    <m/>
    <s v=" "/>
    <n v="2"/>
    <n v="0.8"/>
    <n v="0.5"/>
    <m/>
    <n v="0.7"/>
    <n v="2"/>
    <s v="125_03"/>
    <n v="1"/>
    <s v="RNP_06"/>
    <n v="4"/>
    <n v="24"/>
    <m/>
    <n v="24"/>
    <n v="42"/>
    <n v="64"/>
    <m/>
    <m/>
    <n v="24"/>
    <n v="4"/>
    <m/>
    <n v="0"/>
    <n v="0"/>
    <n v="91.199999999999989"/>
    <n v="6.0608000000000004"/>
    <n v="4.0384615384615401"/>
    <n v="0"/>
    <n v="0"/>
    <n v="10.099261538461541"/>
    <m/>
    <n v="13"/>
    <s v="-"/>
    <n v="15.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8"/>
    <s v="Noche"/>
    <s v="C"/>
    <x v="0"/>
    <s v="In"/>
    <m/>
    <s v="5 Servicios"/>
    <s v="SERVICIO"/>
    <s v="VANESSA"/>
    <s v="LINEAL"/>
    <s v="EXPLORACION"/>
    <m/>
    <m/>
    <m/>
    <s v="47779767"/>
    <s v="7121130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Noche"/>
    <s v="C"/>
    <x v="6"/>
    <s v="Sn"/>
    <m/>
    <s v="3 Limpieza"/>
    <s v="LIMPIEZA"/>
    <s v="CACHORRO"/>
    <s v="LINEAL"/>
    <s v="PREPARACION"/>
    <m/>
    <m/>
    <m/>
    <s v="45048160"/>
    <s v="10619338"/>
    <m/>
    <m/>
    <s v=" "/>
    <n v="2"/>
    <n v="1.2"/>
    <m/>
    <m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Noche"/>
    <s v="C"/>
    <x v="14"/>
    <s v="Pq"/>
    <m/>
    <s v="5 Servicios"/>
    <s v="SERVICIO"/>
    <s v="ANDREA"/>
    <s v="LINEAL"/>
    <s v="EXPLOTACION"/>
    <m/>
    <m/>
    <m/>
    <s v="41164398"/>
    <s v="28855306"/>
    <s v="28818533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8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Día"/>
    <s v="A"/>
    <x v="3"/>
    <s v="Tj"/>
    <m/>
    <s v="4 Sostenimiento"/>
    <s v="SOSTENIMIENTO"/>
    <s v="CACHORRO"/>
    <s v="TAJO"/>
    <s v="EXPLOTACION"/>
    <m/>
    <m/>
    <m/>
    <s v="47536875"/>
    <s v="71115706"/>
    <m/>
    <m/>
    <s v=" "/>
    <n v="2"/>
    <m/>
    <m/>
    <n v="1.04"/>
    <n v="0.9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2"/>
    <m/>
    <m/>
    <m/>
    <m/>
    <m/>
    <m/>
    <m/>
    <m/>
    <m/>
    <n v="122.158"/>
    <n v="0"/>
    <n v="0"/>
    <n v="122.158"/>
    <n v="35.6"/>
    <m/>
    <m/>
    <m/>
    <m/>
    <s v=""/>
    <m/>
    <m/>
    <s v=""/>
    <s v=""/>
    <s v=""/>
    <m/>
    <s v=""/>
    <m/>
  </r>
  <r>
    <x v="9"/>
    <s v="Día"/>
    <s v="A"/>
    <x v="12"/>
    <s v="Tj"/>
    <m/>
    <s v="4 Sostenimiento"/>
    <s v="SOSTENIMIENTO"/>
    <s v="CACHORRO"/>
    <s v="TAJO"/>
    <s v="EXPLOTACION"/>
    <m/>
    <m/>
    <m/>
    <s v="45368584"/>
    <s v="47978507"/>
    <m/>
    <m/>
    <s v=" "/>
    <n v="2"/>
    <n v="1.04"/>
    <m/>
    <n v="0.57999999999999996"/>
    <n v="0.38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8"/>
    <m/>
    <n v="11.6"/>
    <s v="-"/>
    <m/>
    <m/>
    <m/>
    <m/>
    <m/>
    <m/>
    <m/>
    <m/>
    <m/>
    <n v="1"/>
    <m/>
    <m/>
    <m/>
    <m/>
    <m/>
    <m/>
    <m/>
    <n v="3"/>
    <m/>
    <m/>
    <m/>
    <m/>
    <m/>
    <m/>
    <m/>
    <m/>
    <m/>
    <m/>
    <m/>
    <m/>
    <m/>
    <m/>
    <m/>
    <m/>
    <m/>
    <m/>
    <m/>
    <m/>
    <m/>
    <n v="2"/>
    <n v="1"/>
    <m/>
    <n v="3"/>
    <m/>
    <m/>
    <m/>
    <m/>
    <m/>
    <m/>
    <m/>
    <m/>
    <m/>
    <n v="150.827"/>
    <n v="0"/>
    <n v="0"/>
    <n v="150.827"/>
    <n v="53.400000000000006"/>
    <m/>
    <m/>
    <m/>
    <m/>
    <s v=""/>
    <m/>
    <m/>
    <s v=""/>
    <s v=""/>
    <s v=""/>
    <m/>
    <s v=""/>
    <m/>
  </r>
  <r>
    <x v="9"/>
    <s v="Día"/>
    <s v="A"/>
    <x v="20"/>
    <s v="Tj"/>
    <s v="M"/>
    <s v="2 Voladura"/>
    <s v="SUMINISTROS"/>
    <s v="ESCONDIDA"/>
    <s v="TAJO"/>
    <s v="EXPLOTACION"/>
    <m/>
    <s v="Realce"/>
    <m/>
    <s v="43940707"/>
    <s v="43480867"/>
    <m/>
    <m/>
    <s v=" "/>
    <n v="2"/>
    <m/>
    <n v="0.76"/>
    <n v="0.28000000000000003"/>
    <n v="0.96"/>
    <n v="2"/>
    <s v="126_01"/>
    <n v="1"/>
    <s v="RNP_05"/>
    <n v="4"/>
    <n v="20"/>
    <m/>
    <n v="20"/>
    <n v="20"/>
    <n v="70"/>
    <m/>
    <m/>
    <n v="20"/>
    <n v="3"/>
    <m/>
    <n v="0"/>
    <n v="0"/>
    <n v="76"/>
    <n v="6.6290000000000004"/>
    <n v="1.923076923076924"/>
    <n v="0"/>
    <n v="0"/>
    <n v="8.5520769230769247"/>
    <m/>
    <m/>
    <s v="-"/>
    <s v="-"/>
    <m/>
    <m/>
    <m/>
    <m/>
    <m/>
    <m/>
    <m/>
    <m/>
    <m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4"/>
    <m/>
    <m/>
    <n v="4.67"/>
    <n v="4.8567999999999998"/>
    <n v="0"/>
    <m/>
    <n v="0"/>
    <m/>
  </r>
  <r>
    <x v="9"/>
    <s v="Día"/>
    <s v="A"/>
    <x v="20"/>
    <s v="Tj"/>
    <s v="M"/>
    <s v="2 Voladura"/>
    <s v="SUMINISTROS"/>
    <s v="ESCONDIDA"/>
    <s v="TAJO"/>
    <s v="EXPLOTACION"/>
    <m/>
    <s v="Realce"/>
    <m/>
    <s v="43940707"/>
    <s v="43480867"/>
    <m/>
    <m/>
    <s v=" "/>
    <n v="2"/>
    <m/>
    <n v="0.76"/>
    <n v="0.28000000000000003"/>
    <n v="0.96"/>
    <n v="2"/>
    <s v="126_02"/>
    <n v="1"/>
    <s v="RNP_05"/>
    <n v="4"/>
    <n v="10"/>
    <m/>
    <n v="10"/>
    <m/>
    <n v="40"/>
    <m/>
    <m/>
    <n v="10"/>
    <n v="2"/>
    <m/>
    <n v="0"/>
    <n v="0"/>
    <n v="38"/>
    <n v="3.7880000000000003"/>
    <n v="0"/>
    <n v="0"/>
    <n v="0"/>
    <n v="3.7880000000000003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4"/>
    <m/>
    <m/>
    <n v="2.33"/>
    <n v="2.4232"/>
    <n v="0"/>
    <m/>
    <n v="0"/>
    <m/>
  </r>
  <r>
    <x v="9"/>
    <s v="Día"/>
    <s v="A"/>
    <x v="19"/>
    <s v="Es"/>
    <s v="D"/>
    <s v="2 Voladura"/>
    <s v="SUMINISTROS"/>
    <s v="VANESSA"/>
    <s v="LINEAL"/>
    <s v="EXPLORACION"/>
    <m/>
    <s v="Avance"/>
    <m/>
    <s v="45767528"/>
    <s v="71011238"/>
    <m/>
    <m/>
    <s v=" "/>
    <n v="2"/>
    <n v="1.04"/>
    <n v="0.57999999999999996"/>
    <m/>
    <n v="0.38"/>
    <n v="2"/>
    <s v="126_03"/>
    <n v="1"/>
    <s v="RNP_06"/>
    <n v="4"/>
    <n v="21"/>
    <m/>
    <n v="21"/>
    <n v="21"/>
    <n v="73"/>
    <m/>
    <m/>
    <n v="21"/>
    <n v="4"/>
    <m/>
    <n v="0"/>
    <n v="0"/>
    <n v="79.8"/>
    <n v="6.9131"/>
    <n v="2.0192307692307701"/>
    <n v="0"/>
    <n v="0"/>
    <n v="8.9323307692307701"/>
    <m/>
    <n v="10"/>
    <s v="-"/>
    <n v="12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9"/>
    <s v="Día"/>
    <s v="A"/>
    <x v="21"/>
    <s v="Es"/>
    <s v="D"/>
    <s v="2 Voladura"/>
    <s v="SUMINISTROS"/>
    <s v="VANESSA"/>
    <s v="LINEAL"/>
    <s v="DESARROLLO"/>
    <m/>
    <s v="Avance"/>
    <m/>
    <s v="45767528"/>
    <s v="71011238"/>
    <m/>
    <m/>
    <s v=" "/>
    <n v="2"/>
    <n v="1.04"/>
    <n v="0.57999999999999996"/>
    <m/>
    <n v="0.38"/>
    <n v="2"/>
    <s v="126_04"/>
    <n v="1"/>
    <s v="RNP_06"/>
    <n v="4"/>
    <n v="21"/>
    <m/>
    <n v="21"/>
    <n v="27"/>
    <n v="67"/>
    <m/>
    <m/>
    <n v="21"/>
    <n v="5"/>
    <m/>
    <n v="0"/>
    <n v="0"/>
    <n v="79.8"/>
    <n v="6.3449000000000009"/>
    <n v="2.5961538461538476"/>
    <n v="0"/>
    <n v="0"/>
    <n v="8.9410538461538493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9"/>
    <s v="Día"/>
    <s v="A"/>
    <x v="18"/>
    <s v="Ga"/>
    <m/>
    <s v="6 Rehabilitacion"/>
    <s v="REHABILITACION"/>
    <s v="ESCONDIDA"/>
    <s v="LINEAL"/>
    <s v="EXPLOTACION"/>
    <m/>
    <m/>
    <m/>
    <s v="43908406"/>
    <s v="75693016"/>
    <m/>
    <m/>
    <s v=" "/>
    <n v="2"/>
    <n v="0.38"/>
    <m/>
    <n v="0.76"/>
    <n v="0.8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2"/>
    <n v="3"/>
    <m/>
    <m/>
    <m/>
    <m/>
    <m/>
    <m/>
    <m/>
    <m/>
    <m/>
    <n v="190.715"/>
    <n v="0"/>
    <n v="0"/>
    <n v="190.715"/>
    <n v="53.400000000000006"/>
    <m/>
    <m/>
    <m/>
    <m/>
    <s v=""/>
    <m/>
    <m/>
    <s v=""/>
    <s v=""/>
    <s v=""/>
    <m/>
    <s v=""/>
    <m/>
  </r>
  <r>
    <x v="9"/>
    <s v="Día"/>
    <s v="A"/>
    <x v="14"/>
    <s v="Pq"/>
    <m/>
    <s v="5 Servicios"/>
    <s v="SERVICIO"/>
    <s v="ANDREA"/>
    <s v="LINEAL"/>
    <s v="EXPLOTACION"/>
    <m/>
    <m/>
    <m/>
    <s v="40211240"/>
    <s v="74927770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Día"/>
    <s v="A"/>
    <x v="8"/>
    <s v="Pq"/>
    <m/>
    <s v="5 Servicios"/>
    <s v="SERVICIO"/>
    <s v="ESCONDIDA"/>
    <s v="LINEAL"/>
    <s v="EXPLOTACION"/>
    <m/>
    <m/>
    <m/>
    <s v="29580249"/>
    <s v="29729944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Día"/>
    <s v="A"/>
    <x v="7"/>
    <s v="In"/>
    <m/>
    <s v="5 Servicios"/>
    <s v="SERVICIO"/>
    <s v="CACHORRO"/>
    <s v="LINEAL"/>
    <s v="EXPLORACION"/>
    <m/>
    <m/>
    <m/>
    <s v="28818533"/>
    <s v="47334247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Día"/>
    <s v="A"/>
    <x v="0"/>
    <s v="In"/>
    <m/>
    <s v="5 Servicios"/>
    <s v="SERVICIO"/>
    <s v="VANESSA"/>
    <s v="LINEAL"/>
    <s v="EXPLORACION"/>
    <m/>
    <m/>
    <m/>
    <s v="48514953"/>
    <s v="4483037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Día"/>
    <s v="A"/>
    <x v="9"/>
    <s v="MO"/>
    <m/>
    <s v="5 Servicios"/>
    <s v="SERVICIO"/>
    <s v="INCA"/>
    <s v="SERVICIOS"/>
    <s v="SERVICIOS"/>
    <m/>
    <m/>
    <m/>
    <s v="80310895"/>
    <s v="7533089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Día"/>
    <s v="A"/>
    <x v="10"/>
    <s v="BO"/>
    <m/>
    <s v="5 Servicios"/>
    <s v="SERVICIO"/>
    <s v="CACHORRO"/>
    <s v="SERVICIOS"/>
    <s v="SERVICIOS"/>
    <m/>
    <m/>
    <m/>
    <s v="4800981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Noche"/>
    <s v="C"/>
    <x v="4"/>
    <s v="Cx"/>
    <m/>
    <s v="6 Rehabilitacion"/>
    <s v="REHABILITACION"/>
    <s v="CACHORRO"/>
    <s v="LINEAL"/>
    <s v="EXPLORACION"/>
    <m/>
    <m/>
    <m/>
    <s v="73491513"/>
    <s v="71475953"/>
    <m/>
    <m/>
    <s v=" "/>
    <n v="2"/>
    <n v="0.4"/>
    <m/>
    <n v="1.9"/>
    <n v="0.7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3"/>
    <n v="4"/>
    <m/>
    <m/>
    <m/>
    <m/>
    <m/>
    <m/>
    <m/>
    <m/>
    <m/>
    <n v="284.202"/>
    <n v="0"/>
    <n v="0"/>
    <n v="284.202"/>
    <n v="71.2"/>
    <m/>
    <m/>
    <m/>
    <m/>
    <s v=""/>
    <m/>
    <m/>
    <s v=""/>
    <s v=""/>
    <s v=""/>
    <m/>
    <s v=""/>
    <m/>
  </r>
  <r>
    <x v="9"/>
    <s v="Noche"/>
    <s v="C"/>
    <x v="3"/>
    <s v="Tj"/>
    <s v="M"/>
    <s v="2 Voladura"/>
    <s v="SUMINISTROS"/>
    <s v="CACHORRO"/>
    <s v="TAJO"/>
    <s v="EXPLOTACION"/>
    <m/>
    <s v="Breasting"/>
    <m/>
    <s v="28835300"/>
    <s v="45844439"/>
    <m/>
    <m/>
    <s v=" "/>
    <n v="2"/>
    <m/>
    <n v="0.8"/>
    <n v="0.6"/>
    <n v="0.6"/>
    <n v="2"/>
    <s v="127_01"/>
    <n v="1"/>
    <s v="PSECAN_02"/>
    <n v="4"/>
    <n v="9"/>
    <m/>
    <n v="9"/>
    <m/>
    <n v="36"/>
    <m/>
    <m/>
    <n v="9"/>
    <n v="2"/>
    <m/>
    <n v="0"/>
    <n v="0"/>
    <n v="34.199999999999996"/>
    <n v="3.4092000000000002"/>
    <n v="0"/>
    <n v="0"/>
    <n v="0"/>
    <n v="3.4092000000000002"/>
    <n v="7"/>
    <m/>
    <n v="10.15"/>
    <s v="-"/>
    <m/>
    <m/>
    <m/>
    <m/>
    <m/>
    <m/>
    <n v="1"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m/>
    <m/>
    <n v="1"/>
    <m/>
    <m/>
    <n v="1"/>
    <m/>
    <m/>
    <n v="3"/>
    <m/>
    <m/>
    <m/>
    <m/>
    <m/>
    <m/>
    <n v="118.67400000000001"/>
    <n v="0"/>
    <n v="0"/>
    <n v="118.67400000000001"/>
    <n v="54.67"/>
    <m/>
    <m/>
    <m/>
    <m/>
    <n v="1.04"/>
    <m/>
    <m/>
    <n v="2.1"/>
    <n v="2.1840000000000002"/>
    <n v="0"/>
    <m/>
    <n v="0"/>
    <m/>
  </r>
  <r>
    <x v="9"/>
    <s v="Noche"/>
    <s v="C"/>
    <x v="12"/>
    <s v="Tj"/>
    <s v="M"/>
    <s v="2 Voladura"/>
    <s v="SUMINISTROS"/>
    <s v="CACHORRO"/>
    <s v="TAJO"/>
    <s v="EXPLOTACION"/>
    <m/>
    <s v="Breasting"/>
    <m/>
    <s v="44636322"/>
    <s v="41779807"/>
    <m/>
    <m/>
    <s v=" "/>
    <n v="2"/>
    <m/>
    <n v="0.6"/>
    <n v="0.8"/>
    <n v="0.6"/>
    <n v="2"/>
    <s v="127_02"/>
    <n v="1"/>
    <s v="RNP_07"/>
    <n v="4"/>
    <n v="8"/>
    <m/>
    <n v="8"/>
    <m/>
    <n v="32"/>
    <m/>
    <m/>
    <n v="8"/>
    <n v="2"/>
    <m/>
    <n v="0"/>
    <n v="0"/>
    <n v="30.4"/>
    <n v="3.0304000000000002"/>
    <n v="0"/>
    <n v="0"/>
    <n v="0"/>
    <n v="3.0304000000000002"/>
    <n v="7"/>
    <m/>
    <n v="10.15"/>
    <s v="-"/>
    <n v="1"/>
    <m/>
    <m/>
    <m/>
    <m/>
    <m/>
    <m/>
    <m/>
    <m/>
    <m/>
    <m/>
    <m/>
    <m/>
    <m/>
    <m/>
    <n v="1"/>
    <m/>
    <m/>
    <m/>
    <m/>
    <n v="5.4"/>
    <m/>
    <m/>
    <m/>
    <m/>
    <m/>
    <m/>
    <m/>
    <m/>
    <m/>
    <m/>
    <m/>
    <m/>
    <m/>
    <m/>
    <m/>
    <m/>
    <m/>
    <n v="3"/>
    <n v="4"/>
    <n v="3"/>
    <m/>
    <n v="10"/>
    <m/>
    <m/>
    <n v="12"/>
    <m/>
    <m/>
    <m/>
    <m/>
    <m/>
    <m/>
    <n v="751.42200000000003"/>
    <n v="0"/>
    <n v="0"/>
    <n v="751.42200000000003"/>
    <n v="325.48"/>
    <m/>
    <m/>
    <m/>
    <m/>
    <n v="1.04"/>
    <m/>
    <m/>
    <n v="1.87"/>
    <n v="1.9448000000000001"/>
    <n v="0"/>
    <m/>
    <n v="0"/>
    <m/>
  </r>
  <r>
    <x v="9"/>
    <s v="Noche"/>
    <s v="C"/>
    <x v="20"/>
    <s v="Tj"/>
    <s v="M"/>
    <s v="2 Voladura"/>
    <s v="SUMINISTROS"/>
    <s v="ESCONDIDA"/>
    <s v="TAJO"/>
    <s v="EXPLOTACION"/>
    <m/>
    <s v="Realce"/>
    <m/>
    <s v="41890317"/>
    <s v="71372838"/>
    <m/>
    <m/>
    <s v=" "/>
    <n v="2"/>
    <m/>
    <n v="0.6"/>
    <n v="0.6"/>
    <n v="0.8"/>
    <n v="2"/>
    <s v="127_03"/>
    <n v="1"/>
    <s v="RNP_05"/>
    <n v="4"/>
    <n v="10"/>
    <m/>
    <n v="10"/>
    <n v="10"/>
    <n v="30"/>
    <m/>
    <m/>
    <n v="10"/>
    <n v="2"/>
    <m/>
    <n v="0"/>
    <n v="0"/>
    <n v="38"/>
    <n v="2.8410000000000002"/>
    <n v="0.96153846153846201"/>
    <n v="0"/>
    <n v="0"/>
    <n v="3.8025384615384623"/>
    <m/>
    <m/>
    <s v="-"/>
    <s v="-"/>
    <m/>
    <m/>
    <m/>
    <m/>
    <m/>
    <m/>
    <m/>
    <m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m/>
    <m/>
    <n v="61.079000000000001"/>
    <n v="0"/>
    <n v="0"/>
    <n v="61.079000000000001"/>
    <n v="17.8"/>
    <m/>
    <m/>
    <m/>
    <m/>
    <n v="1.04"/>
    <m/>
    <m/>
    <n v="2.33"/>
    <n v="2.4232"/>
    <n v="0"/>
    <m/>
    <n v="0"/>
    <m/>
  </r>
  <r>
    <x v="9"/>
    <s v="Noche"/>
    <s v="C"/>
    <x v="19"/>
    <s v="Es"/>
    <s v="D"/>
    <s v="2 Voladura"/>
    <s v="SUMINISTROS"/>
    <s v="VANESSA"/>
    <s v="LINEAL"/>
    <s v="EXPLORACION"/>
    <m/>
    <s v="Avance"/>
    <m/>
    <s v="42908981"/>
    <s v="70291386"/>
    <m/>
    <m/>
    <s v=" "/>
    <n v="2"/>
    <n v="0.9"/>
    <n v="0.4"/>
    <n v="0.4"/>
    <n v="0.3"/>
    <n v="2"/>
    <s v="127_04"/>
    <n v="1"/>
    <s v="RNP_06"/>
    <n v="4"/>
    <n v="24"/>
    <m/>
    <n v="24"/>
    <n v="29"/>
    <n v="77"/>
    <m/>
    <m/>
    <n v="24"/>
    <n v="4"/>
    <m/>
    <n v="0"/>
    <n v="0"/>
    <n v="91.199999999999989"/>
    <n v="7.2919"/>
    <n v="2.7884615384615397"/>
    <n v="0"/>
    <n v="0"/>
    <n v="10.08036153846154"/>
    <m/>
    <n v="16"/>
    <s v="-"/>
    <n v="19.68"/>
    <m/>
    <m/>
    <m/>
    <m/>
    <m/>
    <m/>
    <m/>
    <m/>
    <m/>
    <m/>
    <m/>
    <m/>
    <m/>
    <m/>
    <m/>
    <m/>
    <m/>
    <m/>
    <m/>
    <m/>
    <m/>
    <m/>
    <m/>
    <n v="11"/>
    <n v="2"/>
    <m/>
    <m/>
    <m/>
    <m/>
    <n v="8"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9"/>
    <s v="Noche"/>
    <s v="C"/>
    <x v="0"/>
    <s v="In"/>
    <m/>
    <s v="5 Servicios"/>
    <s v="SERVICIO"/>
    <s v="VANESSA"/>
    <s v="LINEAL"/>
    <s v="EXPLORACION"/>
    <m/>
    <m/>
    <m/>
    <s v="47779767"/>
    <s v="7121130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Noche"/>
    <s v="C"/>
    <x v="6"/>
    <s v="Sn"/>
    <m/>
    <s v="3 Limpieza"/>
    <s v="LIMPIEZA"/>
    <s v="CACHORRO"/>
    <s v="LINEAL"/>
    <s v="PREPARACION"/>
    <m/>
    <m/>
    <m/>
    <s v="45048160"/>
    <s v="10619338"/>
    <m/>
    <m/>
    <s v=" "/>
    <n v="2"/>
    <n v="1.4"/>
    <m/>
    <m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Noche"/>
    <s v="C"/>
    <x v="14"/>
    <s v="Pq"/>
    <m/>
    <s v="5 Servicios"/>
    <s v="SERVICIO"/>
    <s v="ANDREA"/>
    <s v="LINEAL"/>
    <s v="EXPLOTACION"/>
    <m/>
    <m/>
    <m/>
    <s v="41164398"/>
    <s v="28855306"/>
    <s v="28818533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9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Día"/>
    <s v="A"/>
    <x v="3"/>
    <s v="Tj"/>
    <s v="M"/>
    <s v="2 Voladura"/>
    <s v="SUMINISTROS"/>
    <s v="CACHORRO"/>
    <s v="TAJO"/>
    <s v="EXPLOTACION"/>
    <m/>
    <s v="Breasting"/>
    <m/>
    <s v="47536875"/>
    <s v="71115706"/>
    <m/>
    <m/>
    <s v=" "/>
    <n v="2"/>
    <n v="0.38"/>
    <n v="0.28000000000000003"/>
    <n v="0.76"/>
    <n v="0.57999999999999996"/>
    <n v="2"/>
    <s v="128_01"/>
    <n v="1"/>
    <s v="PSECAN_02"/>
    <n v="4"/>
    <n v="10"/>
    <m/>
    <n v="10"/>
    <m/>
    <n v="40"/>
    <m/>
    <m/>
    <n v="10"/>
    <n v="2"/>
    <m/>
    <n v="0"/>
    <n v="0"/>
    <n v="38"/>
    <n v="3.7880000000000003"/>
    <n v="0"/>
    <n v="0"/>
    <n v="0"/>
    <n v="3.7880000000000003"/>
    <n v="3"/>
    <m/>
    <n v="4.3499999999999996"/>
    <s v="-"/>
    <m/>
    <n v="1"/>
    <m/>
    <m/>
    <m/>
    <m/>
    <m/>
    <m/>
    <m/>
    <n v="1"/>
    <m/>
    <m/>
    <m/>
    <m/>
    <m/>
    <n v="1"/>
    <m/>
    <n v="2.42"/>
    <m/>
    <m/>
    <n v="4.9000000000000004"/>
    <m/>
    <m/>
    <m/>
    <m/>
    <m/>
    <m/>
    <m/>
    <m/>
    <m/>
    <m/>
    <m/>
    <m/>
    <m/>
    <m/>
    <m/>
    <m/>
    <m/>
    <n v="2"/>
    <n v="2"/>
    <n v="4"/>
    <m/>
    <n v="8"/>
    <m/>
    <m/>
    <n v="8"/>
    <m/>
    <m/>
    <m/>
    <m/>
    <m/>
    <m/>
    <n v="593.19000000000005"/>
    <n v="0"/>
    <n v="0"/>
    <n v="593.19000000000005"/>
    <n v="240.72"/>
    <m/>
    <m/>
    <m/>
    <m/>
    <n v="1.04"/>
    <m/>
    <m/>
    <n v="2.33"/>
    <n v="2.4232"/>
    <n v="0"/>
    <m/>
    <n v="0"/>
    <m/>
  </r>
  <r>
    <x v="10"/>
    <s v="Día"/>
    <s v="A"/>
    <x v="12"/>
    <s v="Tj"/>
    <s v="M"/>
    <s v="2 Voladura"/>
    <s v="SUMINISTROS"/>
    <s v="CACHORRO"/>
    <s v="TAJO"/>
    <s v="EXPLOTACION"/>
    <m/>
    <s v="Breasting"/>
    <m/>
    <s v="45368584"/>
    <s v="47978507"/>
    <m/>
    <m/>
    <s v=" "/>
    <n v="2"/>
    <n v="0.38"/>
    <n v="0.28000000000000003"/>
    <n v="0.76"/>
    <n v="0.57999999999999996"/>
    <n v="2"/>
    <s v="128_02"/>
    <n v="1"/>
    <s v="RNP_07"/>
    <n v="4"/>
    <n v="10"/>
    <m/>
    <n v="10"/>
    <m/>
    <n v="40"/>
    <m/>
    <m/>
    <n v="10"/>
    <n v="2"/>
    <m/>
    <n v="0"/>
    <n v="0"/>
    <n v="38"/>
    <n v="3.7880000000000003"/>
    <n v="0"/>
    <n v="0"/>
    <n v="0"/>
    <n v="3.7880000000000003"/>
    <n v="4"/>
    <m/>
    <n v="5.8"/>
    <s v="-"/>
    <m/>
    <n v="1"/>
    <m/>
    <m/>
    <m/>
    <m/>
    <m/>
    <m/>
    <m/>
    <n v="1"/>
    <m/>
    <m/>
    <m/>
    <m/>
    <m/>
    <n v="1"/>
    <m/>
    <n v="2.64"/>
    <m/>
    <m/>
    <n v="6.3"/>
    <m/>
    <m/>
    <m/>
    <m/>
    <m/>
    <m/>
    <m/>
    <m/>
    <m/>
    <m/>
    <m/>
    <m/>
    <m/>
    <m/>
    <m/>
    <m/>
    <m/>
    <n v="2"/>
    <n v="2"/>
    <n v="4"/>
    <m/>
    <n v="8"/>
    <m/>
    <m/>
    <n v="10"/>
    <m/>
    <m/>
    <m/>
    <m/>
    <m/>
    <m/>
    <n v="642.39"/>
    <n v="0"/>
    <n v="0"/>
    <n v="642.39"/>
    <n v="265.3"/>
    <m/>
    <m/>
    <m/>
    <m/>
    <n v="1.04"/>
    <m/>
    <m/>
    <n v="2.33"/>
    <n v="2.4232"/>
    <n v="0"/>
    <m/>
    <n v="0"/>
    <m/>
  </r>
  <r>
    <x v="10"/>
    <s v="Día"/>
    <s v="A"/>
    <x v="20"/>
    <s v="Tj"/>
    <s v="M"/>
    <s v="2 Voladura"/>
    <s v="SUMINISTROS"/>
    <s v="ESCONDIDA"/>
    <s v="TAJO"/>
    <s v="EXPLOTACION"/>
    <m/>
    <s v="Realce"/>
    <m/>
    <s v="43940707"/>
    <s v="43480867"/>
    <m/>
    <m/>
    <s v=" "/>
    <n v="2"/>
    <n v="0.96"/>
    <n v="0.28000000000000003"/>
    <m/>
    <n v="0.76"/>
    <n v="2"/>
    <s v="128_03"/>
    <n v="1"/>
    <s v="RNP_05"/>
    <n v="4"/>
    <n v="10"/>
    <m/>
    <n v="10"/>
    <m/>
    <n v="40"/>
    <m/>
    <m/>
    <n v="10"/>
    <n v="2"/>
    <m/>
    <n v="0"/>
    <n v="0"/>
    <n v="38"/>
    <n v="3.7880000000000003"/>
    <n v="0"/>
    <n v="0"/>
    <n v="0"/>
    <n v="3.7880000000000003"/>
    <n v="7"/>
    <m/>
    <n v="10.15"/>
    <s v="-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4"/>
    <m/>
    <m/>
    <n v="2.33"/>
    <n v="2.4232"/>
    <n v="0"/>
    <m/>
    <n v="0"/>
    <m/>
  </r>
  <r>
    <x v="10"/>
    <s v="Día"/>
    <s v="A"/>
    <x v="19"/>
    <s v="Es"/>
    <s v="D"/>
    <s v="2 Voladura"/>
    <s v="SUMINISTROS"/>
    <s v="VANESSA"/>
    <s v="LINEAL"/>
    <s v="EXPLORACION"/>
    <m/>
    <s v="Desquinche"/>
    <m/>
    <s v="45767528"/>
    <s v="71011238"/>
    <m/>
    <m/>
    <s v=" "/>
    <n v="2"/>
    <n v="0.96"/>
    <n v="0.28000000000000003"/>
    <m/>
    <n v="0.76"/>
    <n v="2"/>
    <s v="128_04"/>
    <n v="1"/>
    <s v="RNP_06"/>
    <n v="3"/>
    <n v="7"/>
    <m/>
    <n v="7"/>
    <m/>
    <n v="21"/>
    <m/>
    <m/>
    <n v="7"/>
    <n v="2"/>
    <m/>
    <n v="0"/>
    <n v="0"/>
    <n v="19.95"/>
    <n v="1.9887000000000001"/>
    <n v="0"/>
    <n v="0"/>
    <n v="0"/>
    <n v="1.9887000000000001"/>
    <m/>
    <n v="6"/>
    <s v="-"/>
    <n v="7.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0.81"/>
    <m/>
    <m/>
    <s v=""/>
    <n v="0"/>
    <n v="0"/>
    <m/>
    <n v="0"/>
    <m/>
  </r>
  <r>
    <x v="10"/>
    <s v="Día"/>
    <s v="A"/>
    <x v="21"/>
    <s v="Es"/>
    <s v="D"/>
    <s v="2 Voladura"/>
    <s v="SUMINISTROS"/>
    <s v="VANESSA"/>
    <s v="LINEAL"/>
    <s v="DESARROLLO"/>
    <m/>
    <s v="Desquinche"/>
    <m/>
    <s v="45767528"/>
    <s v="71011238"/>
    <m/>
    <m/>
    <s v=" "/>
    <n v="2"/>
    <n v="0.96"/>
    <n v="0.28000000000000003"/>
    <m/>
    <n v="0.76"/>
    <n v="2"/>
    <s v="128_05"/>
    <n v="1"/>
    <s v="RNP_06"/>
    <n v="3"/>
    <n v="8"/>
    <m/>
    <n v="8"/>
    <m/>
    <n v="24"/>
    <m/>
    <m/>
    <n v="8"/>
    <n v="2"/>
    <m/>
    <n v="0"/>
    <n v="0"/>
    <n v="22.799999999999997"/>
    <n v="2.2728000000000002"/>
    <n v="0"/>
    <n v="0"/>
    <n v="0"/>
    <n v="2.2728000000000002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0.81"/>
    <m/>
    <m/>
    <s v=""/>
    <n v="0"/>
    <n v="0"/>
    <m/>
    <n v="0"/>
    <m/>
  </r>
  <r>
    <x v="10"/>
    <s v="Día"/>
    <s v="A"/>
    <x v="4"/>
    <s v="Cx"/>
    <m/>
    <s v="6 Rehabilitacion"/>
    <s v="REHABILITACION"/>
    <s v="CACHORRO"/>
    <s v="LINEAL"/>
    <s v="EXPLORACION"/>
    <m/>
    <m/>
    <m/>
    <s v="43908406"/>
    <s v="75693016"/>
    <m/>
    <m/>
    <s v=" "/>
    <n v="2"/>
    <m/>
    <m/>
    <n v="1.04"/>
    <n v="0.9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n v="1"/>
    <m/>
    <m/>
    <m/>
    <m/>
    <m/>
    <m/>
    <m/>
    <m/>
    <m/>
    <m/>
    <m/>
    <m/>
    <m/>
    <m/>
    <m/>
    <m/>
    <m/>
    <m/>
    <n v="7.2"/>
    <m/>
    <m/>
    <m/>
    <m/>
    <m/>
    <m/>
    <m/>
    <m/>
    <m/>
    <m/>
    <m/>
    <m/>
    <m/>
    <m/>
    <m/>
    <m/>
    <m/>
    <m/>
    <m/>
    <m/>
    <n v="3"/>
    <n v="3"/>
    <m/>
    <m/>
    <n v="6"/>
    <m/>
    <m/>
    <m/>
    <m/>
    <m/>
    <m/>
    <n v="386.928"/>
    <n v="0"/>
    <n v="0"/>
    <n v="386.928"/>
    <n v="127.14"/>
    <m/>
    <m/>
    <m/>
    <m/>
    <s v=""/>
    <m/>
    <m/>
    <s v=""/>
    <s v=""/>
    <s v=""/>
    <m/>
    <s v=""/>
    <m/>
  </r>
  <r>
    <x v="10"/>
    <s v="Día"/>
    <s v="A"/>
    <x v="14"/>
    <s v="Pq"/>
    <m/>
    <s v="5 Servicios"/>
    <s v="SERVICIO"/>
    <s v="ANDREA"/>
    <s v="LINEAL"/>
    <s v="EXPLOTACION"/>
    <m/>
    <m/>
    <m/>
    <s v="40211240"/>
    <s v="74927770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Día"/>
    <s v="A"/>
    <x v="8"/>
    <s v="Pq"/>
    <m/>
    <s v="5 Servicios"/>
    <s v="SERVICIO"/>
    <s v="ESCONDIDA"/>
    <s v="LINEAL"/>
    <s v="EXPLOTACION"/>
    <m/>
    <m/>
    <m/>
    <s v="29580249"/>
    <s v="29729944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Día"/>
    <s v="A"/>
    <x v="7"/>
    <s v="In"/>
    <m/>
    <s v="5 Servicios"/>
    <s v="SERVICIO"/>
    <s v="CACHORRO"/>
    <s v="LINEAL"/>
    <s v="EXPLORACION"/>
    <m/>
    <m/>
    <m/>
    <s v="28818533"/>
    <s v="47334247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Día"/>
    <s v="A"/>
    <x v="0"/>
    <s v="In"/>
    <m/>
    <s v="5 Servicios"/>
    <s v="SERVICIO"/>
    <s v="VANESSA"/>
    <s v="LINEAL"/>
    <s v="EXPLORACION"/>
    <m/>
    <m/>
    <m/>
    <s v="48514953"/>
    <s v="4483037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Día"/>
    <s v="A"/>
    <x v="9"/>
    <s v="MO"/>
    <m/>
    <s v="5 Servicios"/>
    <s v="SERVICIO"/>
    <s v="INCA"/>
    <s v="SERVICIOS"/>
    <s v="SERVICIOS"/>
    <m/>
    <m/>
    <m/>
    <s v="80310895"/>
    <s v="7533089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Día"/>
    <s v="A"/>
    <x v="10"/>
    <s v="BO"/>
    <m/>
    <s v="5 Servicios"/>
    <s v="SERVICIO"/>
    <s v="CACHORRO"/>
    <s v="SERVICIOS"/>
    <s v="SERVICIOS"/>
    <m/>
    <m/>
    <m/>
    <s v="4800981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Noche"/>
    <s v="C"/>
    <x v="4"/>
    <s v="Cx"/>
    <m/>
    <s v="6 Rehabilitacion"/>
    <s v="REHABILITACION"/>
    <s v="CACHORRO"/>
    <s v="LINEAL"/>
    <s v="EXPLORACION"/>
    <m/>
    <m/>
    <m/>
    <s v="73491513"/>
    <s v="71475953"/>
    <m/>
    <m/>
    <s v=" "/>
    <n v="2"/>
    <n v="0.4"/>
    <m/>
    <n v="0.9"/>
    <n v="0.7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  <m/>
    <m/>
    <n v="5"/>
    <n v="6"/>
    <m/>
    <m/>
    <n v="11"/>
    <m/>
    <m/>
    <n v="7"/>
    <m/>
    <m/>
    <m/>
    <m/>
    <m/>
    <m/>
    <n v="597.25900000000001"/>
    <n v="0"/>
    <n v="0"/>
    <n v="597.25900000000001"/>
    <n v="281.83000000000004"/>
    <m/>
    <m/>
    <m/>
    <m/>
    <s v=""/>
    <m/>
    <m/>
    <s v=""/>
    <s v=""/>
    <s v=""/>
    <m/>
    <s v=""/>
    <m/>
  </r>
  <r>
    <x v="10"/>
    <s v="Noche"/>
    <s v="C"/>
    <x v="3"/>
    <s v="Tj"/>
    <s v="M"/>
    <s v="2 Voladura"/>
    <s v="SUMINISTROS"/>
    <s v="CACHORRO"/>
    <s v="TAJO"/>
    <s v="EXPLOTACION"/>
    <m/>
    <s v="Breasting"/>
    <m/>
    <s v="28835300"/>
    <s v="45844439"/>
    <m/>
    <m/>
    <s v=" "/>
    <n v="2"/>
    <n v="0.9"/>
    <n v="0.7"/>
    <m/>
    <n v="0.4"/>
    <n v="2"/>
    <s v="129_01"/>
    <n v="1"/>
    <s v="PSECAN_02"/>
    <n v="4"/>
    <n v="12"/>
    <m/>
    <n v="12"/>
    <m/>
    <n v="35"/>
    <m/>
    <m/>
    <n v="12"/>
    <n v="3"/>
    <m/>
    <n v="0"/>
    <n v="0"/>
    <n v="45.599999999999994"/>
    <n v="3.3145000000000002"/>
    <n v="0"/>
    <n v="0"/>
    <n v="0"/>
    <n v="3.3145000000000002"/>
    <n v="4"/>
    <m/>
    <n v="5.8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4"/>
    <m/>
    <m/>
    <n v="2.8"/>
    <n v="2.9119999999999999"/>
    <n v="0"/>
    <m/>
    <n v="0"/>
    <m/>
  </r>
  <r>
    <x v="10"/>
    <s v="Noche"/>
    <s v="C"/>
    <x v="12"/>
    <s v="Tj"/>
    <s v="M"/>
    <s v="2 Voladura"/>
    <s v="SUMINISTROS"/>
    <s v="CACHORRO"/>
    <s v="TAJO"/>
    <s v="EXPLOTACION"/>
    <m/>
    <s v="Breasting"/>
    <m/>
    <s v="44636322"/>
    <s v="41779807"/>
    <m/>
    <m/>
    <s v=" "/>
    <n v="2"/>
    <n v="0.9"/>
    <n v="0.3"/>
    <n v="0.4"/>
    <n v="0.4"/>
    <n v="2"/>
    <s v="129_02"/>
    <n v="1"/>
    <s v="RNP_07"/>
    <n v="4"/>
    <n v="3"/>
    <m/>
    <n v="3"/>
    <m/>
    <n v="9"/>
    <m/>
    <m/>
    <n v="3"/>
    <n v="2"/>
    <m/>
    <n v="0"/>
    <n v="0"/>
    <n v="11.399999999999999"/>
    <n v="0.85230000000000006"/>
    <n v="0"/>
    <n v="0"/>
    <n v="0"/>
    <n v="0.85230000000000006"/>
    <n v="5"/>
    <m/>
    <n v="7.25"/>
    <s v="-"/>
    <m/>
    <m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4"/>
    <m/>
    <n v="6"/>
    <m/>
    <m/>
    <n v="6"/>
    <m/>
    <m/>
    <m/>
    <m/>
    <m/>
    <m/>
    <n v="481.66400000000004"/>
    <n v="0"/>
    <n v="0"/>
    <n v="481.66400000000004"/>
    <n v="180.54000000000002"/>
    <m/>
    <m/>
    <m/>
    <m/>
    <n v="1.04"/>
    <m/>
    <m/>
    <n v="0.7"/>
    <n v="0.72799999999999998"/>
    <n v="0"/>
    <m/>
    <n v="0"/>
    <m/>
  </r>
  <r>
    <x v="10"/>
    <s v="Noche"/>
    <s v="C"/>
    <x v="20"/>
    <s v="Tj"/>
    <m/>
    <s v="4 Sostenimiento"/>
    <s v="SOSTENIMIENTO"/>
    <s v="ESCONDIDA"/>
    <s v="TAJO"/>
    <s v="EXPLOTACION"/>
    <m/>
    <m/>
    <m/>
    <s v="41890317"/>
    <s v="71372838"/>
    <m/>
    <m/>
    <s v=" "/>
    <n v="2"/>
    <n v="0.8"/>
    <m/>
    <n v="0.7"/>
    <n v="0.5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5"/>
    <m/>
    <n v="7.25"/>
    <s v="-"/>
    <m/>
    <m/>
    <m/>
    <m/>
    <m/>
    <m/>
    <m/>
    <m/>
    <m/>
    <m/>
    <n v="2"/>
    <m/>
    <m/>
    <m/>
    <m/>
    <m/>
    <m/>
    <n v="3.06"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n v="4"/>
    <m/>
    <n v="61.079000000000001"/>
    <n v="52.488"/>
    <n v="102.35159999999999"/>
    <n v="163.4306"/>
    <n v="78.680000000000007"/>
    <m/>
    <m/>
    <m/>
    <m/>
    <s v=""/>
    <m/>
    <m/>
    <s v=""/>
    <s v=""/>
    <s v=""/>
    <m/>
    <s v=""/>
    <m/>
  </r>
  <r>
    <x v="10"/>
    <s v="Noche"/>
    <s v="C"/>
    <x v="19"/>
    <s v="Es"/>
    <s v="D"/>
    <s v="2 Voladura"/>
    <s v="SUMINISTROS"/>
    <s v="VANESSA"/>
    <s v="LINEAL"/>
    <s v="EXPLORACION"/>
    <m/>
    <s v="Avance"/>
    <m/>
    <s v="42908981"/>
    <s v="70291386"/>
    <m/>
    <m/>
    <s v=" "/>
    <n v="2"/>
    <n v="0.9"/>
    <n v="0.3"/>
    <n v="0.4"/>
    <n v="0.4"/>
    <n v="2"/>
    <s v="129_03"/>
    <n v="1"/>
    <s v="RNP_06"/>
    <n v="3"/>
    <n v="4"/>
    <m/>
    <n v="4"/>
    <m/>
    <n v="12"/>
    <m/>
    <m/>
    <n v="4"/>
    <n v="2"/>
    <m/>
    <n v="0"/>
    <n v="0"/>
    <n v="11.399999999999999"/>
    <n v="1.1364000000000001"/>
    <n v="0"/>
    <n v="0"/>
    <n v="0"/>
    <n v="1.1364000000000001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0.81"/>
    <m/>
    <m/>
    <s v=""/>
    <n v="0"/>
    <n v="0"/>
    <m/>
    <n v="0"/>
    <m/>
  </r>
  <r>
    <x v="10"/>
    <s v="Noche"/>
    <s v="C"/>
    <x v="0"/>
    <s v="In"/>
    <m/>
    <s v="5 Servicios"/>
    <s v="SERVICIO"/>
    <s v="VANESSA"/>
    <s v="LINEAL"/>
    <s v="EXPLORACION"/>
    <m/>
    <m/>
    <m/>
    <s v="47779767"/>
    <s v="7121130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Noche"/>
    <s v="C"/>
    <x v="6"/>
    <s v="Sn"/>
    <m/>
    <s v="3 Limpieza"/>
    <s v="LIMPIEZA"/>
    <s v="CACHORRO"/>
    <s v="LINEAL"/>
    <s v="PREPARACION"/>
    <m/>
    <m/>
    <m/>
    <s v="45048160"/>
    <s v="10619338"/>
    <m/>
    <m/>
    <s v=" "/>
    <n v="2"/>
    <n v="1.4"/>
    <m/>
    <m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Noche"/>
    <s v="C"/>
    <x v="14"/>
    <s v="Pq"/>
    <m/>
    <s v="5 Servicios"/>
    <s v="SERVICIO"/>
    <s v="ANDREA"/>
    <s v="LINEAL"/>
    <s v="EXPLOTACION"/>
    <m/>
    <m/>
    <m/>
    <s v="41164398"/>
    <s v="28855306"/>
    <s v="28818533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0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Día"/>
    <s v="A"/>
    <x v="3"/>
    <s v="Tj"/>
    <s v="M"/>
    <s v="2 Voladura"/>
    <s v="SUMINISTROS"/>
    <s v="CACHORRO"/>
    <s v="TAJO"/>
    <s v="EXPLOTACION"/>
    <m/>
    <s v="Breasting"/>
    <m/>
    <s v="47536875"/>
    <s v="71115706"/>
    <m/>
    <m/>
    <s v=" "/>
    <n v="2"/>
    <m/>
    <n v="0.28000000000000003"/>
    <n v="0.96"/>
    <n v="0.76"/>
    <n v="2"/>
    <s v="130_01"/>
    <n v="1"/>
    <s v="PSECAN_02"/>
    <n v="4"/>
    <n v="10"/>
    <m/>
    <n v="10"/>
    <m/>
    <n v="40"/>
    <m/>
    <m/>
    <n v="10"/>
    <n v="2"/>
    <m/>
    <n v="0"/>
    <n v="0"/>
    <n v="38"/>
    <n v="3.7880000000000003"/>
    <n v="0"/>
    <n v="0"/>
    <n v="0"/>
    <n v="3.7880000000000003"/>
    <n v="12"/>
    <m/>
    <n v="17.399999999999999"/>
    <s v="-"/>
    <m/>
    <n v="1"/>
    <m/>
    <m/>
    <m/>
    <m/>
    <m/>
    <m/>
    <m/>
    <n v="1"/>
    <m/>
    <m/>
    <m/>
    <m/>
    <m/>
    <n v="1"/>
    <m/>
    <m/>
    <m/>
    <m/>
    <n v="5"/>
    <m/>
    <m/>
    <m/>
    <m/>
    <m/>
    <m/>
    <m/>
    <m/>
    <m/>
    <m/>
    <m/>
    <m/>
    <m/>
    <m/>
    <m/>
    <m/>
    <m/>
    <n v="2"/>
    <n v="2"/>
    <n v="4"/>
    <m/>
    <n v="8"/>
    <m/>
    <m/>
    <n v="10"/>
    <m/>
    <m/>
    <m/>
    <m/>
    <m/>
    <m/>
    <n v="642.39"/>
    <n v="0"/>
    <n v="0"/>
    <n v="642.39"/>
    <n v="265.3"/>
    <m/>
    <m/>
    <m/>
    <m/>
    <n v="1.04"/>
    <m/>
    <m/>
    <n v="2.33"/>
    <n v="2.4232"/>
    <n v="0"/>
    <m/>
    <n v="0"/>
    <m/>
  </r>
  <r>
    <x v="11"/>
    <s v="Día"/>
    <s v="A"/>
    <x v="12"/>
    <s v="Tj"/>
    <m/>
    <s v="4 Sostenimiento"/>
    <s v="SOSTENIMIENTO"/>
    <s v="CACHORRO"/>
    <s v="TAJO"/>
    <s v="EXPLOTACION"/>
    <m/>
    <m/>
    <m/>
    <s v="45368584"/>
    <s v="47978507"/>
    <m/>
    <m/>
    <s v=" "/>
    <n v="2"/>
    <n v="0.66"/>
    <m/>
    <n v="0.57999999999999996"/>
    <n v="0.76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5"/>
    <m/>
    <n v="7.25"/>
    <s v="-"/>
    <m/>
    <m/>
    <m/>
    <m/>
    <m/>
    <m/>
    <m/>
    <m/>
    <m/>
    <m/>
    <m/>
    <m/>
    <m/>
    <m/>
    <m/>
    <n v="1"/>
    <m/>
    <m/>
    <m/>
    <m/>
    <n v="5"/>
    <m/>
    <m/>
    <m/>
    <m/>
    <m/>
    <m/>
    <m/>
    <m/>
    <m/>
    <m/>
    <m/>
    <m/>
    <m/>
    <m/>
    <m/>
    <m/>
    <m/>
    <n v="2"/>
    <n v="2"/>
    <m/>
    <m/>
    <n v="4"/>
    <m/>
    <m/>
    <n v="9"/>
    <m/>
    <m/>
    <m/>
    <m/>
    <m/>
    <m/>
    <n v="373.47400000000005"/>
    <n v="0"/>
    <n v="0"/>
    <n v="373.47400000000005"/>
    <n v="181.81"/>
    <m/>
    <m/>
    <m/>
    <m/>
    <s v=""/>
    <m/>
    <m/>
    <s v=""/>
    <s v=""/>
    <s v=""/>
    <m/>
    <s v=""/>
    <m/>
  </r>
  <r>
    <x v="11"/>
    <s v="Día"/>
    <s v="A"/>
    <x v="20"/>
    <s v="Tj"/>
    <m/>
    <s v="4 Sostenimiento"/>
    <s v="SOSTENIMIENTO"/>
    <s v="ESCONDIDA"/>
    <s v="TAJO"/>
    <s v="EXPLOTACION"/>
    <m/>
    <m/>
    <m/>
    <s v="43940707"/>
    <s v="43480867"/>
    <m/>
    <m/>
    <s v=" "/>
    <n v="2"/>
    <n v="1.04"/>
    <m/>
    <n v="0.48"/>
    <n v="0.4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n v="1"/>
    <n v="1"/>
    <m/>
    <m/>
    <m/>
    <m/>
    <m/>
    <m/>
    <n v="3"/>
    <m/>
    <m/>
    <m/>
    <m/>
    <m/>
    <m/>
    <m/>
    <m/>
    <m/>
    <m/>
    <m/>
    <m/>
    <m/>
    <m/>
    <m/>
    <m/>
    <m/>
    <m/>
    <m/>
    <m/>
    <m/>
    <m/>
    <n v="1"/>
    <m/>
    <n v="1"/>
    <m/>
    <m/>
    <m/>
    <m/>
    <m/>
    <m/>
    <m/>
    <n v="5"/>
    <m/>
    <n v="61.079000000000001"/>
    <n v="65.61"/>
    <n v="127.9395"/>
    <n v="189.01849999999999"/>
    <n v="93.9"/>
    <m/>
    <m/>
    <m/>
    <m/>
    <s v=""/>
    <m/>
    <m/>
    <s v=""/>
    <s v=""/>
    <s v=""/>
    <m/>
    <s v=""/>
    <m/>
  </r>
  <r>
    <x v="11"/>
    <s v="Día"/>
    <s v="A"/>
    <x v="19"/>
    <s v="Es"/>
    <m/>
    <s v="4 Sostenimiento"/>
    <s v="SOSTENIMIENTO"/>
    <s v="VANESSA"/>
    <s v="LINEAL"/>
    <s v="EXPLORACION"/>
    <m/>
    <m/>
    <m/>
    <s v="45767528"/>
    <s v="71011238"/>
    <m/>
    <m/>
    <s v=" "/>
    <n v="2"/>
    <n v="0.57999999999999996"/>
    <m/>
    <n v="0.76"/>
    <n v="0.6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n v="10"/>
    <s v="-"/>
    <n v="12.3"/>
    <m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6"/>
    <m/>
    <n v="7"/>
    <m/>
    <m/>
    <m/>
    <m/>
    <m/>
    <m/>
    <m/>
    <m/>
    <m/>
    <n v="397.637"/>
    <n v="0"/>
    <n v="0"/>
    <n v="397.637"/>
    <n v="124.60000000000001"/>
    <m/>
    <m/>
    <m/>
    <m/>
    <s v=""/>
    <m/>
    <m/>
    <s v=""/>
    <s v=""/>
    <s v=""/>
    <m/>
    <s v=""/>
    <m/>
  </r>
  <r>
    <x v="11"/>
    <s v="Día"/>
    <s v="A"/>
    <x v="4"/>
    <s v="Cx"/>
    <m/>
    <s v="6 Rehabilitacion"/>
    <s v="REHABILITACION"/>
    <s v="CACHORRO"/>
    <s v="LINEAL"/>
    <s v="EXPLORACION"/>
    <m/>
    <m/>
    <m/>
    <s v="43908406"/>
    <s v="75693016"/>
    <m/>
    <m/>
    <s v=" "/>
    <n v="2"/>
    <m/>
    <m/>
    <n v="1.04"/>
    <n v="0.9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n v="1"/>
    <m/>
    <m/>
    <m/>
    <m/>
    <m/>
    <m/>
    <m/>
    <m/>
    <m/>
    <m/>
    <m/>
    <m/>
    <m/>
    <m/>
    <m/>
    <m/>
    <m/>
    <m/>
    <m/>
    <n v="10.4"/>
    <m/>
    <m/>
    <m/>
    <m/>
    <m/>
    <m/>
    <m/>
    <m/>
    <m/>
    <m/>
    <m/>
    <m/>
    <m/>
    <m/>
    <m/>
    <m/>
    <m/>
    <n v="1"/>
    <m/>
    <m/>
    <n v="3"/>
    <n v="4"/>
    <m/>
    <m/>
    <n v="12"/>
    <m/>
    <m/>
    <m/>
    <m/>
    <m/>
    <m/>
    <n v="565.69100000000003"/>
    <n v="0"/>
    <n v="0"/>
    <n v="565.69100000000003"/>
    <n v="218.68"/>
    <m/>
    <m/>
    <m/>
    <m/>
    <s v=""/>
    <m/>
    <m/>
    <s v=""/>
    <s v=""/>
    <s v=""/>
    <m/>
    <s v=""/>
    <m/>
  </r>
  <r>
    <x v="11"/>
    <s v="Día"/>
    <s v="A"/>
    <x v="8"/>
    <s v="Pq"/>
    <m/>
    <s v="5 Servicios"/>
    <s v="SERVICIO"/>
    <s v="ESCONDIDA"/>
    <s v="LINEAL"/>
    <s v="EXPLOTACION"/>
    <m/>
    <m/>
    <m/>
    <s v="29580249"/>
    <s v="29729944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Día"/>
    <s v="A"/>
    <x v="14"/>
    <s v="Pq"/>
    <m/>
    <s v="5 Servicios"/>
    <s v="SERVICIO"/>
    <s v="ANDREA"/>
    <s v="LINEAL"/>
    <s v="EXPLOTACION"/>
    <m/>
    <m/>
    <m/>
    <s v="40211240"/>
    <s v="74927770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Día"/>
    <s v="A"/>
    <x v="7"/>
    <s v="In"/>
    <m/>
    <s v="5 Servicios"/>
    <s v="SERVICIO"/>
    <s v="CACHORRO"/>
    <s v="LINEAL"/>
    <s v="EXPLORACION"/>
    <m/>
    <m/>
    <m/>
    <s v="28818533"/>
    <s v="47334247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Día"/>
    <s v="A"/>
    <x v="0"/>
    <s v="In"/>
    <m/>
    <s v="5 Servicios"/>
    <s v="SERVICIO"/>
    <s v="VANESSA"/>
    <s v="LINEAL"/>
    <s v="EXPLORACION"/>
    <m/>
    <m/>
    <m/>
    <s v="48514953"/>
    <s v="4483037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Día"/>
    <s v="A"/>
    <x v="9"/>
    <s v="MO"/>
    <m/>
    <s v="5 Servicios"/>
    <s v="SERVICIO"/>
    <s v="INCA"/>
    <s v="SERVICIOS"/>
    <s v="SERVICIOS"/>
    <m/>
    <m/>
    <m/>
    <s v="80310895"/>
    <s v="7533089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Día"/>
    <s v="A"/>
    <x v="10"/>
    <s v="BO"/>
    <m/>
    <s v="5 Servicios"/>
    <s v="SERVICIO"/>
    <s v="CACHORRO"/>
    <s v="SERVICIOS"/>
    <s v="SERVICIOS"/>
    <m/>
    <m/>
    <m/>
    <s v="4800981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Noche"/>
    <s v="C"/>
    <x v="4"/>
    <s v="Cx"/>
    <m/>
    <s v="3 Limpieza"/>
    <s v="LIMPIEZA"/>
    <s v="CACHORRO"/>
    <s v="LINEAL"/>
    <s v="EXPLORACION"/>
    <m/>
    <m/>
    <m/>
    <s v="73491513"/>
    <s v="71475953"/>
    <m/>
    <m/>
    <s v=" "/>
    <n v="2"/>
    <n v="1.2"/>
    <m/>
    <m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n v="5"/>
    <s v="-"/>
    <n v="6.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Noche"/>
    <s v="C"/>
    <x v="3"/>
    <s v="Tj"/>
    <s v="M"/>
    <s v="2 Voladura"/>
    <s v="SUMINISTROS"/>
    <s v="CACHORRO"/>
    <s v="TAJO"/>
    <s v="EXPLOTACION"/>
    <m/>
    <s v="Breasting"/>
    <m/>
    <s v="28835300"/>
    <s v="45844439"/>
    <m/>
    <m/>
    <s v=" "/>
    <n v="2"/>
    <n v="0.3"/>
    <n v="0.4"/>
    <n v="0.9"/>
    <n v="0.4"/>
    <n v="2"/>
    <s v="131_01"/>
    <n v="1"/>
    <s v="PSECAN_02"/>
    <n v="4"/>
    <n v="7"/>
    <m/>
    <n v="7"/>
    <m/>
    <n v="28"/>
    <m/>
    <m/>
    <n v="7"/>
    <n v="2"/>
    <m/>
    <n v="0"/>
    <n v="0"/>
    <n v="26.599999999999998"/>
    <n v="2.6516000000000002"/>
    <n v="0"/>
    <n v="0"/>
    <n v="0"/>
    <n v="2.6516000000000002"/>
    <m/>
    <m/>
    <s v="-"/>
    <s v="-"/>
    <m/>
    <n v="1"/>
    <m/>
    <m/>
    <m/>
    <m/>
    <m/>
    <m/>
    <m/>
    <n v="1"/>
    <m/>
    <m/>
    <m/>
    <m/>
    <m/>
    <n v="1"/>
    <m/>
    <m/>
    <n v="5.4"/>
    <m/>
    <m/>
    <m/>
    <m/>
    <m/>
    <m/>
    <m/>
    <m/>
    <m/>
    <m/>
    <m/>
    <m/>
    <m/>
    <m/>
    <m/>
    <m/>
    <m/>
    <m/>
    <m/>
    <n v="2"/>
    <n v="2"/>
    <n v="4"/>
    <m/>
    <n v="8"/>
    <m/>
    <m/>
    <n v="10"/>
    <m/>
    <m/>
    <m/>
    <m/>
    <m/>
    <m/>
    <n v="642.39"/>
    <n v="0"/>
    <n v="0"/>
    <n v="642.39"/>
    <n v="265.3"/>
    <m/>
    <m/>
    <m/>
    <m/>
    <n v="1.04"/>
    <m/>
    <m/>
    <n v="1.63"/>
    <n v="1.6952"/>
    <n v="0"/>
    <m/>
    <n v="0"/>
    <m/>
  </r>
  <r>
    <x v="11"/>
    <s v="Noche"/>
    <s v="C"/>
    <x v="12"/>
    <s v="Tj"/>
    <m/>
    <s v="4 Sostenimiento"/>
    <s v="SOSTENIMIENTO"/>
    <s v="CACHORRO"/>
    <s v="TAJO"/>
    <s v="EXPLOTACION"/>
    <m/>
    <m/>
    <m/>
    <s v="44636322"/>
    <s v="41779807"/>
    <m/>
    <m/>
    <s v=" "/>
    <n v="2"/>
    <n v="1.1000000000000001"/>
    <m/>
    <n v="0.4"/>
    <n v="0.5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8"/>
    <m/>
    <n v="11.6"/>
    <s v="-"/>
    <m/>
    <m/>
    <m/>
    <m/>
    <m/>
    <m/>
    <m/>
    <m/>
    <m/>
    <m/>
    <m/>
    <m/>
    <m/>
    <m/>
    <m/>
    <m/>
    <m/>
    <n v="3.6"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Noche"/>
    <s v="C"/>
    <x v="20"/>
    <s v="Tj"/>
    <m/>
    <s v="4 Sostenimiento"/>
    <s v="SOSTENIMIENTO"/>
    <s v="ESCONDIDA"/>
    <s v="TAJO"/>
    <s v="EXPLOTACION"/>
    <m/>
    <m/>
    <m/>
    <s v="41890317"/>
    <s v="71372838"/>
    <m/>
    <m/>
    <s v=" "/>
    <n v="2"/>
    <n v="1.1000000000000001"/>
    <m/>
    <n v="0.4"/>
    <n v="0.5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5"/>
    <m/>
    <n v="7.25"/>
    <s v="-"/>
    <m/>
    <m/>
    <m/>
    <m/>
    <m/>
    <m/>
    <m/>
    <m/>
    <m/>
    <n v="1"/>
    <m/>
    <m/>
    <m/>
    <m/>
    <m/>
    <m/>
    <m/>
    <n v="3.9"/>
    <m/>
    <m/>
    <m/>
    <m/>
    <m/>
    <m/>
    <m/>
    <m/>
    <m/>
    <m/>
    <m/>
    <m/>
    <m/>
    <m/>
    <m/>
    <m/>
    <m/>
    <m/>
    <m/>
    <m/>
    <m/>
    <m/>
    <m/>
    <m/>
    <n v="0"/>
    <n v="1"/>
    <m/>
    <m/>
    <m/>
    <m/>
    <m/>
    <m/>
    <m/>
    <m/>
    <n v="81.438000000000002"/>
    <n v="0"/>
    <n v="0"/>
    <n v="81.438000000000002"/>
    <n v="46.3"/>
    <m/>
    <m/>
    <m/>
    <m/>
    <s v=""/>
    <m/>
    <m/>
    <s v=""/>
    <s v=""/>
    <s v=""/>
    <m/>
    <s v=""/>
    <m/>
  </r>
  <r>
    <x v="11"/>
    <s v="Noche"/>
    <s v="C"/>
    <x v="19"/>
    <s v="Es"/>
    <s v="D"/>
    <s v="2 Voladura"/>
    <s v="SUMINISTROS"/>
    <s v="VANESSA"/>
    <s v="LINEAL"/>
    <s v="EXPLORACION"/>
    <m/>
    <s v="Desquinche"/>
    <m/>
    <s v="42908981"/>
    <s v="70291386"/>
    <m/>
    <m/>
    <s v=" "/>
    <n v="2"/>
    <n v="0.4"/>
    <n v="0.3"/>
    <n v="0.9"/>
    <n v="0.4"/>
    <n v="2"/>
    <s v="131_02"/>
    <n v="1"/>
    <s v="RNP_06"/>
    <n v="4"/>
    <n v="7"/>
    <m/>
    <n v="7"/>
    <n v="7"/>
    <n v="18"/>
    <m/>
    <m/>
    <n v="7"/>
    <n v="2"/>
    <m/>
    <n v="0"/>
    <n v="0"/>
    <n v="26.599999999999998"/>
    <n v="1.7046000000000001"/>
    <n v="0.67307692307692335"/>
    <n v="0"/>
    <n v="0"/>
    <n v="2.3776769230769235"/>
    <m/>
    <m/>
    <s v="-"/>
    <s v="-"/>
    <m/>
    <n v="1"/>
    <m/>
    <m/>
    <m/>
    <m/>
    <m/>
    <n v="2"/>
    <m/>
    <m/>
    <m/>
    <m/>
    <m/>
    <m/>
    <m/>
    <n v="1"/>
    <m/>
    <m/>
    <n v="10"/>
    <m/>
    <m/>
    <m/>
    <m/>
    <m/>
    <m/>
    <m/>
    <m/>
    <m/>
    <m/>
    <m/>
    <m/>
    <m/>
    <m/>
    <m/>
    <m/>
    <m/>
    <m/>
    <m/>
    <n v="12"/>
    <n v="4"/>
    <n v="3"/>
    <n v="1"/>
    <n v="20"/>
    <m/>
    <m/>
    <m/>
    <m/>
    <m/>
    <m/>
    <n v="20"/>
    <m/>
    <m/>
    <n v="816.46499999999992"/>
    <n v="131.22"/>
    <n v="255.87899999999999"/>
    <n v="1072.3439999999998"/>
    <n v="610.20000000000005"/>
    <m/>
    <m/>
    <m/>
    <m/>
    <n v="1.08"/>
    <m/>
    <m/>
    <s v=""/>
    <n v="0"/>
    <n v="0"/>
    <m/>
    <n v="0"/>
    <m/>
  </r>
  <r>
    <x v="11"/>
    <s v="Noche"/>
    <s v="C"/>
    <x v="0"/>
    <s v="In"/>
    <m/>
    <s v="5 Servicios"/>
    <s v="SERVICIO"/>
    <s v="VANESSA"/>
    <s v="LINEAL"/>
    <s v="EXPLORACION"/>
    <m/>
    <m/>
    <m/>
    <s v="47779767"/>
    <s v="7121130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Noche"/>
    <s v="C"/>
    <x v="6"/>
    <s v="Sn"/>
    <m/>
    <s v="3 Limpieza"/>
    <s v="LIMPIEZA"/>
    <s v="CACHORRO"/>
    <s v="LINEAL"/>
    <s v="PREPARACION"/>
    <m/>
    <m/>
    <m/>
    <s v="45048160"/>
    <s v="10619338"/>
    <m/>
    <m/>
    <s v=" "/>
    <n v="2"/>
    <n v="1.4"/>
    <m/>
    <m/>
    <n v="0.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Noche"/>
    <s v="C"/>
    <x v="14"/>
    <s v="Pq"/>
    <m/>
    <s v="5 Servicios"/>
    <s v="SERVICIO"/>
    <s v="ANDREA"/>
    <s v="LINEAL"/>
    <s v="EXPLOTACION"/>
    <m/>
    <m/>
    <m/>
    <s v="41164398"/>
    <s v="28855306"/>
    <s v="28818533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1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Día"/>
    <s v="A"/>
    <x v="3"/>
    <s v="Tj"/>
    <m/>
    <s v="4 Sostenimiento"/>
    <s v="SOSTENIMIENTO"/>
    <s v="CACHORRO"/>
    <s v="TAJO"/>
    <s v="EXPLOTACION"/>
    <m/>
    <m/>
    <m/>
    <s v="47536875"/>
    <s v="71115706"/>
    <m/>
    <m/>
    <s v=" "/>
    <n v="2"/>
    <n v="0.28000000000000003"/>
    <m/>
    <n v="0.96"/>
    <n v="0.76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4"/>
    <m/>
    <n v="5.8"/>
    <s v="-"/>
    <m/>
    <n v="1"/>
    <m/>
    <m/>
    <m/>
    <m/>
    <m/>
    <m/>
    <m/>
    <n v="1"/>
    <m/>
    <m/>
    <m/>
    <m/>
    <m/>
    <n v="1"/>
    <m/>
    <m/>
    <m/>
    <m/>
    <n v="4.74"/>
    <m/>
    <m/>
    <m/>
    <m/>
    <m/>
    <m/>
    <m/>
    <m/>
    <m/>
    <m/>
    <m/>
    <m/>
    <m/>
    <m/>
    <m/>
    <m/>
    <m/>
    <n v="2"/>
    <n v="2"/>
    <n v="4"/>
    <m/>
    <n v="8"/>
    <m/>
    <m/>
    <n v="9"/>
    <m/>
    <m/>
    <m/>
    <m/>
    <m/>
    <m/>
    <n v="617.79"/>
    <n v="0"/>
    <n v="0"/>
    <n v="617.79"/>
    <n v="253.01"/>
    <m/>
    <m/>
    <m/>
    <m/>
    <s v=""/>
    <m/>
    <m/>
    <s v=""/>
    <s v=""/>
    <s v=""/>
    <m/>
    <s v=""/>
    <m/>
  </r>
  <r>
    <x v="12"/>
    <s v="Día"/>
    <s v="A"/>
    <x v="12"/>
    <s v="Tj"/>
    <s v="M"/>
    <s v="2 Voladura"/>
    <s v="SUMINISTROS"/>
    <s v="CACHORRO"/>
    <s v="TAJO"/>
    <s v="EXPLOTACION"/>
    <m/>
    <s v="Breasting"/>
    <m/>
    <s v="45368584"/>
    <s v="47978507"/>
    <m/>
    <m/>
    <s v=" "/>
    <n v="2"/>
    <n v="0.96"/>
    <n v="0.28000000000000003"/>
    <m/>
    <n v="0.76"/>
    <n v="2"/>
    <s v="132_01"/>
    <n v="1"/>
    <s v="RNP_02"/>
    <n v="4"/>
    <n v="5"/>
    <m/>
    <n v="5"/>
    <m/>
    <n v="20"/>
    <m/>
    <m/>
    <n v="5"/>
    <n v="2"/>
    <m/>
    <n v="0"/>
    <n v="0"/>
    <n v="19"/>
    <n v="1.8940000000000001"/>
    <n v="0"/>
    <n v="0"/>
    <n v="0"/>
    <n v="1.8940000000000001"/>
    <n v="7"/>
    <m/>
    <n v="10.15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4"/>
    <m/>
    <m/>
    <n v="1.17"/>
    <n v="1.2167999999999999"/>
    <n v="0"/>
    <m/>
    <n v="0"/>
    <m/>
  </r>
  <r>
    <x v="12"/>
    <s v="Día"/>
    <s v="A"/>
    <x v="20"/>
    <s v="Tj"/>
    <s v="M"/>
    <s v="2 Voladura"/>
    <s v="SUMINISTROS"/>
    <s v="ESCONDIDA"/>
    <s v="TAJO"/>
    <s v="EXPLOTACION"/>
    <m/>
    <s v="Realce"/>
    <m/>
    <s v="43940707"/>
    <s v="43480867"/>
    <m/>
    <m/>
    <s v=" "/>
    <n v="2"/>
    <n v="0.66"/>
    <n v="0.38"/>
    <n v="0.38"/>
    <n v="0.57999999999999996"/>
    <n v="2"/>
    <s v="132_02"/>
    <n v="1"/>
    <s v="RNP_05"/>
    <n v="4"/>
    <n v="6"/>
    <m/>
    <n v="6"/>
    <n v="6"/>
    <n v="27"/>
    <m/>
    <m/>
    <n v="6"/>
    <n v="2"/>
    <m/>
    <n v="0"/>
    <n v="0"/>
    <n v="22.799999999999997"/>
    <n v="2.5569000000000002"/>
    <n v="0.5769230769230772"/>
    <n v="0"/>
    <n v="0"/>
    <n v="3.1338230769230773"/>
    <m/>
    <m/>
    <s v="-"/>
    <s v="-"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4"/>
    <m/>
    <m/>
    <n v="1.4"/>
    <n v="1.456"/>
    <n v="0"/>
    <m/>
    <n v="0"/>
    <m/>
  </r>
  <r>
    <x v="12"/>
    <s v="Día"/>
    <s v="A"/>
    <x v="20"/>
    <s v="Tj"/>
    <s v="M"/>
    <s v="2 Voladura"/>
    <s v="SUMINISTROS"/>
    <s v="ESCONDIDA"/>
    <s v="TAJO"/>
    <s v="EXPLOTACION"/>
    <m/>
    <s v="Realce"/>
    <m/>
    <s v="43940707"/>
    <s v="43480867"/>
    <m/>
    <m/>
    <s v=" "/>
    <n v="2"/>
    <n v="0.66"/>
    <n v="0.38"/>
    <n v="0.38"/>
    <n v="0.57999999999999996"/>
    <n v="2"/>
    <s v="132_03"/>
    <n v="1"/>
    <s v="RNP_05"/>
    <n v="4"/>
    <n v="18"/>
    <m/>
    <n v="18"/>
    <n v="11"/>
    <n v="69"/>
    <m/>
    <m/>
    <n v="18"/>
    <n v="3"/>
    <m/>
    <n v="0"/>
    <n v="0"/>
    <n v="68.399999999999991"/>
    <n v="6.5343"/>
    <n v="1.0576923076923082"/>
    <n v="0"/>
    <n v="0"/>
    <n v="7.5919923076923084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4"/>
    <m/>
    <m/>
    <n v="4.2"/>
    <n v="4.3680000000000003"/>
    <n v="0"/>
    <m/>
    <n v="0"/>
    <m/>
  </r>
  <r>
    <x v="12"/>
    <s v="Día"/>
    <s v="A"/>
    <x v="19"/>
    <s v="Es"/>
    <s v="D"/>
    <s v="2 Voladura"/>
    <s v="SUMINISTROS"/>
    <s v="VANESSA"/>
    <s v="LINEAL"/>
    <s v="EXPLORACION"/>
    <m/>
    <s v="Desquinche"/>
    <m/>
    <s v="45767528"/>
    <s v="71011238"/>
    <m/>
    <m/>
    <s v=" "/>
    <n v="2"/>
    <n v="0.57999999999999996"/>
    <n v="0.28000000000000003"/>
    <n v="0.76"/>
    <n v="0.38"/>
    <n v="2"/>
    <s v="132_04"/>
    <n v="1"/>
    <s v="RNP_06"/>
    <n v="4"/>
    <n v="7"/>
    <m/>
    <n v="7"/>
    <n v="7"/>
    <n v="14"/>
    <m/>
    <m/>
    <n v="7"/>
    <n v="3"/>
    <m/>
    <n v="0"/>
    <n v="0"/>
    <n v="26.599999999999998"/>
    <n v="1.3258000000000001"/>
    <n v="0.67307692307692335"/>
    <n v="0"/>
    <n v="0"/>
    <n v="1.9988769230769234"/>
    <m/>
    <n v="4"/>
    <s v="-"/>
    <n v="4.92"/>
    <m/>
    <n v="1"/>
    <m/>
    <m/>
    <m/>
    <m/>
    <m/>
    <m/>
    <m/>
    <m/>
    <m/>
    <m/>
    <m/>
    <m/>
    <m/>
    <n v="1"/>
    <m/>
    <m/>
    <m/>
    <m/>
    <n v="4.7"/>
    <m/>
    <m/>
    <m/>
    <m/>
    <m/>
    <m/>
    <m/>
    <m/>
    <m/>
    <m/>
    <m/>
    <m/>
    <m/>
    <m/>
    <m/>
    <m/>
    <m/>
    <n v="2"/>
    <n v="2"/>
    <n v="3"/>
    <m/>
    <n v="7"/>
    <m/>
    <m/>
    <n v="12"/>
    <m/>
    <m/>
    <m/>
    <m/>
    <m/>
    <m/>
    <n v="630.51100000000008"/>
    <n v="0"/>
    <n v="0"/>
    <n v="630.51100000000008"/>
    <n v="272.08"/>
    <m/>
    <m/>
    <m/>
    <m/>
    <n v="1.08"/>
    <m/>
    <m/>
    <s v=""/>
    <n v="0"/>
    <n v="0"/>
    <m/>
    <n v="0"/>
    <m/>
  </r>
  <r>
    <x v="12"/>
    <s v="Día"/>
    <s v="A"/>
    <x v="4"/>
    <s v="Cx"/>
    <m/>
    <s v="6 Rehabilitacion"/>
    <s v="REHABILITACION"/>
    <s v="CACHORRO"/>
    <s v="LINEAL"/>
    <s v="EXPLORACION"/>
    <m/>
    <m/>
    <m/>
    <s v="43908406"/>
    <s v="75693016"/>
    <m/>
    <m/>
    <s v=" "/>
    <n v="2"/>
    <m/>
    <m/>
    <n v="1.04"/>
    <n v="0.96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n v="1"/>
    <m/>
    <m/>
    <m/>
    <m/>
    <m/>
    <m/>
    <m/>
    <m/>
    <m/>
    <m/>
    <m/>
    <m/>
    <m/>
    <m/>
    <m/>
    <m/>
    <m/>
    <m/>
    <m/>
    <n v="3.5"/>
    <m/>
    <m/>
    <m/>
    <m/>
    <m/>
    <m/>
    <m/>
    <m/>
    <m/>
    <m/>
    <m/>
    <m/>
    <m/>
    <m/>
    <m/>
    <m/>
    <m/>
    <m/>
    <m/>
    <m/>
    <n v="3"/>
    <n v="3"/>
    <m/>
    <m/>
    <n v="6"/>
    <m/>
    <m/>
    <m/>
    <m/>
    <m/>
    <m/>
    <n v="386.928"/>
    <n v="0"/>
    <n v="0"/>
    <n v="386.928"/>
    <n v="127.14"/>
    <m/>
    <m/>
    <m/>
    <m/>
    <s v=""/>
    <m/>
    <m/>
    <s v=""/>
    <s v=""/>
    <s v=""/>
    <m/>
    <s v=""/>
    <m/>
  </r>
  <r>
    <x v="12"/>
    <s v="Día"/>
    <s v="A"/>
    <x v="14"/>
    <s v="Pq"/>
    <m/>
    <s v="5 Servicios"/>
    <s v="SERVICIO"/>
    <s v="ANDREA"/>
    <s v="LINEAL"/>
    <s v="EXPLOTACION"/>
    <m/>
    <m/>
    <m/>
    <s v="40211240"/>
    <s v="74927770"/>
    <s v="28818533"/>
    <m/>
    <s v=" "/>
    <n v="3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Día"/>
    <s v="A"/>
    <x v="7"/>
    <s v="In"/>
    <m/>
    <s v="5 Servicios"/>
    <s v="SERVICIO"/>
    <s v="CACHORRO"/>
    <s v="LINEAL"/>
    <s v="EXPLORACION"/>
    <m/>
    <m/>
    <m/>
    <s v="29580249"/>
    <s v="29729944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Día"/>
    <s v="A"/>
    <x v="0"/>
    <s v="In"/>
    <m/>
    <s v="5 Servicios"/>
    <s v="SERVICIO"/>
    <s v="VANESSA"/>
    <s v="LINEAL"/>
    <s v="EXPLORACION"/>
    <m/>
    <m/>
    <m/>
    <s v="48514953"/>
    <s v="4483037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Día"/>
    <s v="A"/>
    <x v="9"/>
    <s v="MO"/>
    <m/>
    <s v="5 Servicios"/>
    <s v="SERVICIO"/>
    <s v="INCA"/>
    <s v="SERVICIOS"/>
    <s v="SERVICIOS"/>
    <m/>
    <m/>
    <m/>
    <s v="80310895"/>
    <s v="75330895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Día"/>
    <s v="A"/>
    <x v="10"/>
    <s v="BO"/>
    <m/>
    <s v="5 Servicios"/>
    <s v="SERVICIO"/>
    <s v="CACHORRO"/>
    <s v="SERVICIOS"/>
    <s v="SERVICIOS"/>
    <m/>
    <m/>
    <m/>
    <s v="48009811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Noche"/>
    <s v="C"/>
    <x v="4"/>
    <s v="Cx"/>
    <m/>
    <s v="6 Rehabilitacion"/>
    <s v="REHABILITACION"/>
    <s v="CACHORRO"/>
    <s v="LINEAL"/>
    <s v="EXPLORACION"/>
    <m/>
    <m/>
    <m/>
    <s v="73491513"/>
    <s v="71475953"/>
    <m/>
    <m/>
    <s v=" "/>
    <n v="2"/>
    <n v="1.2"/>
    <m/>
    <m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n v="4"/>
    <s v="-"/>
    <n v="4.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Noche"/>
    <s v="C"/>
    <x v="3"/>
    <s v="Tj"/>
    <s v="M"/>
    <s v="2 Voladura"/>
    <s v="SUMINISTROS"/>
    <s v="CACHORRO"/>
    <s v="TAJO"/>
    <s v="EXPLOTACION"/>
    <m/>
    <s v="Breasting"/>
    <m/>
    <s v="28835300"/>
    <s v="45844439"/>
    <m/>
    <m/>
    <s v=" "/>
    <n v="2"/>
    <n v="0.9"/>
    <n v="0.4"/>
    <n v="0.4"/>
    <n v="0.3"/>
    <n v="2"/>
    <s v="133_01"/>
    <n v="1"/>
    <s v="PSECAN_02"/>
    <n v="4"/>
    <n v="10"/>
    <m/>
    <n v="10"/>
    <m/>
    <n v="40"/>
    <m/>
    <m/>
    <n v="10"/>
    <n v="3"/>
    <m/>
    <n v="0"/>
    <n v="0"/>
    <n v="38"/>
    <n v="3.7880000000000003"/>
    <n v="0"/>
    <n v="0"/>
    <n v="0"/>
    <n v="3.7880000000000003"/>
    <n v="7"/>
    <m/>
    <n v="10.15"/>
    <s v="-"/>
    <m/>
    <m/>
    <m/>
    <m/>
    <m/>
    <m/>
    <m/>
    <m/>
    <m/>
    <m/>
    <m/>
    <m/>
    <m/>
    <m/>
    <m/>
    <m/>
    <m/>
    <n v="1.7"/>
    <m/>
    <m/>
    <m/>
    <m/>
    <m/>
    <m/>
    <m/>
    <m/>
    <m/>
    <m/>
    <m/>
    <m/>
    <m/>
    <m/>
    <m/>
    <m/>
    <m/>
    <m/>
    <m/>
    <m/>
    <m/>
    <n v="2"/>
    <m/>
    <m/>
    <n v="2"/>
    <m/>
    <m/>
    <n v="10"/>
    <m/>
    <m/>
    <m/>
    <m/>
    <m/>
    <m/>
    <n v="335.74799999999999"/>
    <n v="0"/>
    <n v="0"/>
    <n v="335.74799999999999"/>
    <n v="158.5"/>
    <m/>
    <m/>
    <m/>
    <m/>
    <n v="1.04"/>
    <m/>
    <m/>
    <n v="2.33"/>
    <n v="2.4232"/>
    <n v="0"/>
    <m/>
    <n v="0"/>
    <m/>
  </r>
  <r>
    <x v="12"/>
    <s v="Noche"/>
    <s v="C"/>
    <x v="3"/>
    <s v="Tj"/>
    <s v="M"/>
    <s v="2 Voladura"/>
    <s v="SUMINISTROS"/>
    <s v="CACHORRO"/>
    <s v="TAJO"/>
    <s v="EXPLOTACION"/>
    <m/>
    <s v="Desquinche"/>
    <m/>
    <s v="28835300"/>
    <s v="45844439"/>
    <m/>
    <m/>
    <s v=" "/>
    <n v="2"/>
    <n v="0.9"/>
    <n v="0.4"/>
    <n v="0.4"/>
    <n v="0.3"/>
    <n v="2"/>
    <s v="133_02"/>
    <n v="1"/>
    <s v="PSECAN_02"/>
    <n v="4"/>
    <n v="3"/>
    <m/>
    <n v="3"/>
    <m/>
    <n v="14"/>
    <m/>
    <m/>
    <n v="3"/>
    <n v="1"/>
    <m/>
    <n v="0"/>
    <n v="0"/>
    <n v="11.399999999999999"/>
    <n v="1.3258000000000001"/>
    <n v="0"/>
    <n v="0"/>
    <n v="0"/>
    <n v="1.3258000000000001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4"/>
    <m/>
    <m/>
    <n v="0.7"/>
    <n v="0.72799999999999998"/>
    <n v="0"/>
    <m/>
    <n v="0"/>
    <m/>
  </r>
  <r>
    <x v="12"/>
    <s v="Noche"/>
    <s v="C"/>
    <x v="12"/>
    <s v="Tj"/>
    <s v="M"/>
    <s v="2 Voladura"/>
    <s v="SUMINISTROS"/>
    <s v="CACHORRO"/>
    <s v="TAJO"/>
    <s v="EXPLOTACION"/>
    <m/>
    <s v="Breasting"/>
    <m/>
    <s v="44636322"/>
    <s v="41779807"/>
    <m/>
    <m/>
    <s v=" "/>
    <n v="2"/>
    <m/>
    <n v="0.4"/>
    <n v="0.8"/>
    <n v="0.8"/>
    <n v="2"/>
    <s v="133_03"/>
    <n v="1"/>
    <s v="RNP_07"/>
    <n v="4"/>
    <n v="8"/>
    <m/>
    <n v="8"/>
    <m/>
    <n v="30"/>
    <m/>
    <m/>
    <n v="8"/>
    <n v="2"/>
    <m/>
    <n v="0"/>
    <n v="0"/>
    <n v="30.4"/>
    <n v="2.8410000000000002"/>
    <n v="0"/>
    <n v="0"/>
    <n v="0"/>
    <n v="2.8410000000000002"/>
    <n v="2"/>
    <m/>
    <n v="2.9"/>
    <s v="-"/>
    <m/>
    <m/>
    <m/>
    <m/>
    <m/>
    <m/>
    <m/>
    <m/>
    <m/>
    <m/>
    <m/>
    <m/>
    <n v="1"/>
    <m/>
    <m/>
    <m/>
    <m/>
    <n v="2.2000000000000002"/>
    <m/>
    <m/>
    <m/>
    <m/>
    <m/>
    <m/>
    <m/>
    <m/>
    <m/>
    <m/>
    <m/>
    <m/>
    <m/>
    <m/>
    <m/>
    <m/>
    <m/>
    <m/>
    <m/>
    <m/>
    <m/>
    <n v="1"/>
    <n v="1"/>
    <m/>
    <n v="2"/>
    <m/>
    <m/>
    <n v="5"/>
    <m/>
    <m/>
    <m/>
    <m/>
    <m/>
    <m/>
    <n v="228.953"/>
    <n v="0"/>
    <n v="0"/>
    <n v="228.953"/>
    <n v="97.05"/>
    <m/>
    <m/>
    <m/>
    <m/>
    <n v="1.04"/>
    <m/>
    <m/>
    <n v="1.87"/>
    <n v="1.9448000000000001"/>
    <n v="0"/>
    <m/>
    <n v="0"/>
    <m/>
  </r>
  <r>
    <x v="12"/>
    <s v="Noche"/>
    <s v="C"/>
    <x v="20"/>
    <s v="Tj"/>
    <m/>
    <s v="4 Sostenimiento"/>
    <s v="SOSTENIMIENTO"/>
    <s v="ESCONDIDA"/>
    <s v="TAJO"/>
    <s v="EXPLOTACION"/>
    <m/>
    <m/>
    <m/>
    <s v="41890317"/>
    <s v="71372838"/>
    <m/>
    <m/>
    <s v=" "/>
    <n v="2"/>
    <n v="0.8"/>
    <m/>
    <n v="0.8"/>
    <n v="0.4"/>
    <n v="2"/>
    <m/>
    <s v=""/>
    <m/>
    <m/>
    <s v=""/>
    <m/>
    <s v=""/>
    <m/>
    <m/>
    <m/>
    <m/>
    <m/>
    <m/>
    <m/>
    <s v=""/>
    <s v=""/>
    <s v=""/>
    <s v=""/>
    <s v=""/>
    <s v=""/>
    <s v=""/>
    <s v=""/>
    <n v="5"/>
    <m/>
    <n v="7.25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Noche"/>
    <s v="C"/>
    <x v="19"/>
    <s v="Es"/>
    <s v="D"/>
    <s v="2 Voladura"/>
    <s v="SUMINISTROS"/>
    <s v="VANESSA"/>
    <s v="LINEAL"/>
    <s v="EXPLORACION"/>
    <m/>
    <s v="Avance"/>
    <m/>
    <s v="42908981"/>
    <s v="70291386"/>
    <m/>
    <m/>
    <s v=" "/>
    <n v="2"/>
    <n v="0.9"/>
    <n v="0.4"/>
    <n v="0.4"/>
    <n v="0.3"/>
    <n v="2"/>
    <s v="133_04"/>
    <n v="1"/>
    <s v="RNP_06"/>
    <n v="4"/>
    <n v="22"/>
    <m/>
    <n v="22"/>
    <n v="22"/>
    <n v="76"/>
    <m/>
    <m/>
    <n v="22"/>
    <n v="4"/>
    <m/>
    <n v="0"/>
    <n v="0"/>
    <n v="83.6"/>
    <n v="7.1972000000000005"/>
    <n v="2.1153846153846163"/>
    <n v="0"/>
    <n v="0"/>
    <n v="9.3125846153846172"/>
    <m/>
    <n v="8"/>
    <s v="-"/>
    <n v="9.84"/>
    <m/>
    <n v="1"/>
    <m/>
    <m/>
    <m/>
    <m/>
    <m/>
    <m/>
    <m/>
    <m/>
    <m/>
    <m/>
    <m/>
    <m/>
    <m/>
    <n v="1"/>
    <m/>
    <m/>
    <m/>
    <m/>
    <n v="5.7"/>
    <m/>
    <m/>
    <m/>
    <m/>
    <m/>
    <m/>
    <m/>
    <m/>
    <m/>
    <m/>
    <m/>
    <m/>
    <m/>
    <m/>
    <m/>
    <m/>
    <m/>
    <n v="2"/>
    <n v="2"/>
    <n v="3"/>
    <m/>
    <n v="7"/>
    <m/>
    <m/>
    <n v="12"/>
    <m/>
    <m/>
    <m/>
    <m/>
    <m/>
    <m/>
    <n v="630.51100000000008"/>
    <n v="0"/>
    <n v="0"/>
    <n v="630.51100000000008"/>
    <n v="272.08"/>
    <m/>
    <m/>
    <m/>
    <m/>
    <n v="1.08"/>
    <m/>
    <m/>
    <s v=""/>
    <n v="0"/>
    <n v="0"/>
    <m/>
    <n v="0"/>
    <m/>
  </r>
  <r>
    <x v="12"/>
    <s v="Noche"/>
    <s v="C"/>
    <x v="19"/>
    <s v="Es"/>
    <s v="D"/>
    <s v="2 Voladura"/>
    <s v="SUMINISTROS"/>
    <s v="VANESSA"/>
    <s v="LINEAL"/>
    <s v="EXPLORACION"/>
    <m/>
    <s v="Desquinche"/>
    <m/>
    <s v="42908981"/>
    <s v="70291386"/>
    <m/>
    <m/>
    <s v=" "/>
    <n v="2"/>
    <n v="0.9"/>
    <n v="0.4"/>
    <n v="0.4"/>
    <n v="0.3"/>
    <n v="2"/>
    <s v="133_05"/>
    <n v="1"/>
    <s v="RNP_06"/>
    <n v="4"/>
    <n v="4"/>
    <m/>
    <n v="4"/>
    <m/>
    <n v="16"/>
    <m/>
    <m/>
    <n v="4"/>
    <n v="1"/>
    <m/>
    <n v="0"/>
    <n v="0"/>
    <n v="15.2"/>
    <n v="1.5152000000000001"/>
    <n v="0"/>
    <n v="0"/>
    <n v="0"/>
    <n v="1.5152000000000001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n v="1.08"/>
    <m/>
    <m/>
    <s v=""/>
    <n v="0"/>
    <n v="0"/>
    <m/>
    <n v="0"/>
    <m/>
  </r>
  <r>
    <x v="12"/>
    <s v="Noche"/>
    <s v="C"/>
    <x v="0"/>
    <s v="In"/>
    <m/>
    <s v="5 Servicios"/>
    <s v="SERVICIO"/>
    <s v="VANESSA"/>
    <s v="LINEAL"/>
    <s v="EXPLORACION"/>
    <m/>
    <m/>
    <m/>
    <s v="47779767"/>
    <s v="71211301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Noche"/>
    <s v="C"/>
    <x v="7"/>
    <s v="In"/>
    <m/>
    <s v="5 Servicios"/>
    <s v="SERVICIO"/>
    <s v="CACHORRO"/>
    <s v="LINEAL"/>
    <s v="EXPLORACION"/>
    <m/>
    <m/>
    <m/>
    <s v="10657720"/>
    <s v="44870112"/>
    <m/>
    <m/>
    <s v=" "/>
    <n v="2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Noche"/>
    <s v="C"/>
    <x v="6"/>
    <s v="Sn"/>
    <m/>
    <s v="3 Limpieza"/>
    <s v="LIMPIEZA"/>
    <s v="CACHORRO"/>
    <s v="LINEAL"/>
    <s v="PREPARACION"/>
    <m/>
    <m/>
    <m/>
    <s v="45048160"/>
    <s v="10619338"/>
    <m/>
    <m/>
    <s v=" "/>
    <n v="2"/>
    <n v="1.2"/>
    <m/>
    <m/>
    <n v="0.8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Noche"/>
    <s v="C"/>
    <x v="14"/>
    <s v="Pq"/>
    <m/>
    <s v="5 Servicios"/>
    <s v="SERVICIO"/>
    <s v="ANDREA"/>
    <s v="LINEAL"/>
    <s v="EXPLOTACION"/>
    <m/>
    <m/>
    <m/>
    <s v="41164398"/>
    <s v="28855306"/>
    <s v="28818533"/>
    <m/>
    <s v=" "/>
    <n v="3"/>
    <m/>
    <m/>
    <m/>
    <n v="2"/>
    <n v="2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0"/>
    <m/>
    <m/>
    <m/>
    <m/>
    <n v="1"/>
    <m/>
    <m/>
    <m/>
    <m/>
    <n v="0"/>
    <n v="0"/>
    <n v="0"/>
    <n v="0"/>
    <n v="38.14"/>
    <m/>
    <m/>
    <m/>
    <m/>
    <s v=""/>
    <m/>
    <m/>
    <s v=""/>
    <s v=""/>
    <s v=""/>
    <m/>
    <s v=""/>
    <m/>
  </r>
  <r>
    <x v="12"/>
    <s v="Noche"/>
    <s v="C"/>
    <x v="9"/>
    <s v="MO"/>
    <m/>
    <s v="5 Servicios"/>
    <s v="SERVICIO"/>
    <s v="INCA"/>
    <s v="SERVICIOS"/>
    <s v="SERVICIOS"/>
    <m/>
    <m/>
    <m/>
    <s v="19976729"/>
    <s v="72951628"/>
    <m/>
    <m/>
    <s v=" "/>
    <n v="2"/>
    <m/>
    <m/>
    <m/>
    <n v="3"/>
    <n v="3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2"/>
    <s v="Noche"/>
    <s v="C"/>
    <x v="10"/>
    <s v="BO"/>
    <m/>
    <s v="5 Servicios"/>
    <s v="SERVICIO"/>
    <s v="CACHORRO"/>
    <s v="SERVICIOS"/>
    <s v="SERVICIOS"/>
    <m/>
    <m/>
    <m/>
    <s v="20439986"/>
    <m/>
    <m/>
    <m/>
    <s v=" "/>
    <n v="1"/>
    <m/>
    <m/>
    <m/>
    <n v="1"/>
    <n v="1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n v="0"/>
    <n v="0"/>
    <n v="0"/>
    <n v="0"/>
    <n v="0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  <r>
    <x v="13"/>
    <m/>
    <m/>
    <x v="22"/>
    <s v=""/>
    <m/>
    <m/>
    <s v=""/>
    <s v=""/>
    <s v=""/>
    <s v=""/>
    <m/>
    <m/>
    <m/>
    <m/>
    <m/>
    <m/>
    <m/>
    <s v=" "/>
    <s v=""/>
    <m/>
    <m/>
    <m/>
    <m/>
    <n v="0"/>
    <m/>
    <s v=""/>
    <m/>
    <m/>
    <s v=""/>
    <m/>
    <s v=""/>
    <m/>
    <m/>
    <m/>
    <m/>
    <m/>
    <m/>
    <m/>
    <s v=""/>
    <s v=""/>
    <s v=""/>
    <s v=""/>
    <s v=""/>
    <s v=""/>
    <s v=""/>
    <s v=""/>
    <m/>
    <m/>
    <s v="-"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m/>
    <m/>
    <m/>
    <m/>
    <m/>
    <m/>
    <m/>
    <m/>
    <s v=""/>
    <s v=""/>
    <s v=""/>
    <s v=""/>
    <s v=""/>
    <m/>
    <m/>
    <m/>
    <m/>
    <s v=""/>
    <m/>
    <m/>
    <s v=""/>
    <s v=""/>
    <s v=""/>
    <m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AL27" firstHeaderRow="0" firstDataRow="1" firstDataCol="1" rowPageCount="1" colPageCount="1"/>
  <pivotFields count="121">
    <pivotField axis="axisPage" multipleItemSelectionAllowed="1" showAll="0">
      <items count="179">
        <item h="1" m="1" x="36"/>
        <item h="1" m="1" x="158"/>
        <item h="1" m="1" x="117"/>
        <item h="1" m="1" x="76"/>
        <item h="1" m="1" x="44"/>
        <item h="1" m="1" x="167"/>
        <item h="1" m="1" x="124"/>
        <item h="1" m="1" x="83"/>
        <item h="1" m="1" x="41"/>
        <item h="1" m="1" x="163"/>
        <item h="1" m="1" x="121"/>
        <item h="1" m="1" x="80"/>
        <item h="1" m="1" x="38"/>
        <item x="13"/>
        <item h="1" m="1" x="160"/>
        <item h="1" m="1" x="118"/>
        <item h="1" m="1" x="77"/>
        <item h="1" m="1" x="34"/>
        <item h="1" m="1" x="156"/>
        <item h="1" m="1" x="115"/>
        <item h="1" m="1" x="75"/>
        <item h="1" m="1" x="33"/>
        <item h="1" m="1" x="155"/>
        <item h="1" m="1" x="113"/>
        <item h="1" m="1" x="72"/>
        <item h="1" m="1" x="30"/>
        <item h="1" m="1" x="152"/>
        <item h="1" m="1" x="110"/>
        <item h="1" m="1" x="69"/>
        <item m="1" x="27"/>
        <item m="1" x="149"/>
        <item m="1" x="107"/>
        <item m="1" x="66"/>
        <item m="1" x="24"/>
        <item m="1" x="146"/>
        <item h="1" m="1" x="73"/>
        <item h="1" m="1" x="31"/>
        <item h="1" m="1" x="153"/>
        <item h="1" m="1" x="111"/>
        <item h="1" m="1" x="70"/>
        <item h="1" m="1" x="28"/>
        <item h="1" m="1" x="150"/>
        <item h="1" m="1" x="108"/>
        <item h="1" m="1" x="67"/>
        <item h="1" m="1" x="25"/>
        <item h="1" m="1" x="147"/>
        <item h="1" m="1" x="105"/>
        <item h="1" m="1" x="64"/>
        <item h="1" m="1" x="22"/>
        <item h="1" m="1" x="144"/>
        <item h="1" m="1" x="103"/>
        <item h="1" m="1" x="62"/>
        <item h="1" m="1" x="19"/>
        <item h="1" m="1" x="141"/>
        <item h="1" m="1" x="99"/>
        <item h="1" m="1" x="59"/>
        <item h="1" m="1" x="16"/>
        <item m="1" x="138"/>
        <item m="1" x="96"/>
        <item m="1" x="56"/>
        <item m="1" x="177"/>
        <item m="1" x="135"/>
        <item m="1" x="92"/>
        <item m="1" x="52"/>
        <item m="1" x="174"/>
        <item h="1" m="1" x="132"/>
        <item h="1" m="1" x="101"/>
        <item h="1" m="1" x="60"/>
        <item h="1" m="1" x="17"/>
        <item h="1" m="1" x="139"/>
        <item h="1" m="1" x="97"/>
        <item h="1" m="1" x="57"/>
        <item h="1" m="1" x="14"/>
        <item h="1" m="1" x="136"/>
        <item h="1" m="1" x="94"/>
        <item h="1" m="1" x="54"/>
        <item h="1" m="1" x="175"/>
        <item h="1" m="1" x="133"/>
        <item h="1" m="1" x="90"/>
        <item h="1" m="1" x="50"/>
        <item h="1" m="1" x="172"/>
        <item h="1" m="1" x="130"/>
        <item h="1" m="1" x="88"/>
        <item h="1" m="1" x="48"/>
        <item h="1" m="1" x="170"/>
        <item h="1" m="1" x="127"/>
        <item h="1" m="1" x="85"/>
        <item h="1" m="1" x="43"/>
        <item h="1" m="1" x="165"/>
        <item h="1" m="1" x="123"/>
        <item h="1" m="1" x="82"/>
        <item h="1" m="1" x="40"/>
        <item h="1" m="1" x="162"/>
        <item m="1" x="120"/>
        <item m="1" x="79"/>
        <item m="1" x="37"/>
        <item m="1" x="159"/>
        <item h="1" m="1" x="129"/>
        <item h="1" m="1" x="87"/>
        <item h="1" m="1" x="46"/>
        <item h="1" m="1" x="169"/>
        <item h="1" m="1" x="126"/>
        <item h="1" m="1" x="84"/>
        <item h="1" m="1" x="42"/>
        <item h="1" m="1" x="164"/>
        <item h="1" m="1" x="122"/>
        <item h="1" m="1" x="81"/>
        <item m="1" x="39"/>
        <item m="1" x="161"/>
        <item m="1" x="119"/>
        <item m="1" x="78"/>
        <item m="1" x="35"/>
        <item m="1" x="157"/>
        <item m="1" x="116"/>
        <item m="1" x="166"/>
        <item h="1" m="1" x="114"/>
        <item h="1" m="1" x="74"/>
        <item h="1" m="1" x="32"/>
        <item h="1" m="1" x="154"/>
        <item m="1" x="112"/>
        <item m="1" x="71"/>
        <item m="1" x="29"/>
        <item m="1" x="151"/>
        <item m="1" x="109"/>
        <item m="1" x="68"/>
        <item m="1" x="26"/>
        <item h="1" m="1" x="148"/>
        <item h="1" m="1" x="106"/>
        <item h="1" m="1" x="65"/>
        <item m="1" x="23"/>
        <item m="1" x="145"/>
        <item m="1" x="104"/>
        <item m="1" x="63"/>
        <item m="1" x="20"/>
        <item m="1" x="142"/>
        <item m="1" x="100"/>
        <item h="1" m="1" x="93"/>
        <item h="1" m="1" x="53"/>
        <item h="1" m="1" x="21"/>
        <item h="1" m="1" x="143"/>
        <item h="1" m="1" x="102"/>
        <item h="1" m="1" x="61"/>
        <item h="1" m="1" x="18"/>
        <item h="1" m="1" x="140"/>
        <item h="1" m="1" x="98"/>
        <item h="1" m="1" x="58"/>
        <item h="1" m="1" x="15"/>
        <item h="1" m="1" x="137"/>
        <item h="1" m="1" x="95"/>
        <item h="1" m="1" x="55"/>
        <item h="1" m="1" x="176"/>
        <item h="1" m="1" x="134"/>
        <item h="1" m="1" x="91"/>
        <item h="1" m="1" x="51"/>
        <item h="1" m="1" x="173"/>
        <item h="1" m="1" x="131"/>
        <item h="1" m="1" x="89"/>
        <item m="1" x="49"/>
        <item m="1" x="171"/>
        <item m="1" x="128"/>
        <item m="1" x="86"/>
        <item m="1" x="45"/>
        <item m="1" x="168"/>
        <item m="1" x="125"/>
        <item x="0"/>
        <item x="1"/>
        <item x="2"/>
        <item x="3"/>
        <item x="4"/>
        <item x="5"/>
        <item x="6"/>
        <item x="7"/>
        <item h="1" m="1" x="47"/>
        <item x="8"/>
        <item x="9"/>
        <item x="10"/>
        <item x="11"/>
        <item x="12"/>
        <item t="default"/>
      </items>
    </pivotField>
    <pivotField showAll="0"/>
    <pivotField showAll="0"/>
    <pivotField axis="axisRow" showAll="0">
      <items count="118">
        <item m="1" x="116"/>
        <item x="10"/>
        <item m="1" x="49"/>
        <item m="1" x="85"/>
        <item x="1"/>
        <item m="1" x="99"/>
        <item m="1" x="95"/>
        <item m="1" x="33"/>
        <item x="7"/>
        <item x="0"/>
        <item m="1" x="87"/>
        <item x="9"/>
        <item x="14"/>
        <item x="8"/>
        <item m="1" x="110"/>
        <item m="1" x="63"/>
        <item m="1" x="65"/>
        <item m="1" x="24"/>
        <item m="1" x="67"/>
        <item x="22"/>
        <item m="1" x="23"/>
        <item m="1" x="37"/>
        <item m="1" x="27"/>
        <item m="1" x="72"/>
        <item m="1" x="54"/>
        <item m="1" x="53"/>
        <item m="1" x="92"/>
        <item m="1" x="93"/>
        <item x="4"/>
        <item m="1" x="106"/>
        <item m="1" x="113"/>
        <item m="1" x="64"/>
        <item m="1" x="79"/>
        <item m="1" x="28"/>
        <item m="1" x="73"/>
        <item m="1" x="78"/>
        <item m="1" x="43"/>
        <item m="1" x="114"/>
        <item m="1" x="94"/>
        <item m="1" x="100"/>
        <item m="1" x="26"/>
        <item m="1" x="52"/>
        <item m="1" x="42"/>
        <item m="1" x="89"/>
        <item m="1" x="90"/>
        <item m="1" x="41"/>
        <item m="1" x="77"/>
        <item m="1" x="38"/>
        <item m="1" x="39"/>
        <item m="1" x="66"/>
        <item m="1" x="84"/>
        <item m="1" x="57"/>
        <item m="1" x="83"/>
        <item m="1" x="32"/>
        <item m="1" x="101"/>
        <item m="1" x="30"/>
        <item m="1" x="56"/>
        <item m="1" x="55"/>
        <item m="1" x="115"/>
        <item m="1" x="58"/>
        <item m="1" x="46"/>
        <item m="1" x="103"/>
        <item m="1" x="98"/>
        <item m="1" x="96"/>
        <item m="1" x="97"/>
        <item m="1" x="60"/>
        <item m="1" x="74"/>
        <item m="1" x="40"/>
        <item m="1" x="111"/>
        <item m="1" x="50"/>
        <item m="1" x="48"/>
        <item m="1" x="31"/>
        <item m="1" x="80"/>
        <item m="1" x="45"/>
        <item m="1" x="70"/>
        <item x="13"/>
        <item m="1" x="59"/>
        <item m="1" x="61"/>
        <item m="1" x="62"/>
        <item m="1" x="69"/>
        <item m="1" x="108"/>
        <item m="1" x="88"/>
        <item m="1" x="82"/>
        <item m="1" x="44"/>
        <item m="1" x="36"/>
        <item m="1" x="76"/>
        <item m="1" x="75"/>
        <item m="1" x="109"/>
        <item x="20"/>
        <item x="12"/>
        <item m="1" x="35"/>
        <item m="1" x="107"/>
        <item x="17"/>
        <item m="1" x="86"/>
        <item m="1" x="25"/>
        <item x="5"/>
        <item m="1" x="29"/>
        <item m="1" x="81"/>
        <item m="1" x="47"/>
        <item x="3"/>
        <item x="18"/>
        <item m="1" x="34"/>
        <item m="1" x="51"/>
        <item m="1" x="105"/>
        <item m="1" x="112"/>
        <item x="6"/>
        <item m="1" x="68"/>
        <item x="19"/>
        <item m="1" x="102"/>
        <item m="1" x="104"/>
        <item m="1" x="71"/>
        <item m="1" x="91"/>
        <item x="2"/>
        <item x="11"/>
        <item x="15"/>
        <item x="16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4">
    <i>
      <x v="1"/>
    </i>
    <i>
      <x v="4"/>
    </i>
    <i>
      <x v="8"/>
    </i>
    <i>
      <x v="9"/>
    </i>
    <i>
      <x v="11"/>
    </i>
    <i>
      <x v="12"/>
    </i>
    <i>
      <x v="13"/>
    </i>
    <i>
      <x v="19"/>
    </i>
    <i>
      <x v="28"/>
    </i>
    <i>
      <x v="75"/>
    </i>
    <i>
      <x v="88"/>
    </i>
    <i>
      <x v="89"/>
    </i>
    <i>
      <x v="92"/>
    </i>
    <i>
      <x v="95"/>
    </i>
    <i>
      <x v="99"/>
    </i>
    <i>
      <x v="100"/>
    </i>
    <i>
      <x v="105"/>
    </i>
    <i>
      <x v="107"/>
    </i>
    <i>
      <x v="112"/>
    </i>
    <i>
      <x v="113"/>
    </i>
    <i>
      <x v="114"/>
    </i>
    <i>
      <x v="115"/>
    </i>
    <i>
      <x v="116"/>
    </i>
    <i t="grand">
      <x/>
    </i>
  </rowItems>
  <colFields count="1">
    <field x="-2"/>
  </colFields>
  <colItems count="3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</colItems>
  <pageFields count="1">
    <pageField fld="0" hier="-1"/>
  </pageFields>
  <dataFields count="37">
    <dataField name=" Cuadro en Snv y Tj" fld="52" baseField="3" baseItem="1"/>
    <dataField name=" Cuadro en Ch" fld="53" baseField="3" baseItem="1"/>
    <dataField name="Cuenta de Cuadro en Gal y Cx2" fld="51" subtotal="countNums" baseField="3" baseItem="1"/>
    <dataField name="Cuenta de Cuadro en Pq y Inc y Est" fld="54" subtotal="countNums" baseField="3" baseItem="1"/>
    <dataField name=" Cuadro cojo en Gal / Cx / Inc y Ch" fld="55" baseField="3" baseItem="1"/>
    <dataField name=" Cuadro cojo en Snv y Tj" fld="56" baseField="3" baseItem="1"/>
    <dataField name=" Poste" fld="57" baseField="0" baseItem="0"/>
    <dataField name=" Tirante" fld="58" baseField="3" baseItem="1"/>
    <dataField name=" Puntal de seguridad" fld="59" baseField="0" baseItem="0"/>
    <dataField name=" Puntal en línea" fld="60" baseField="0" baseItem="0"/>
    <dataField name=" Puntal de caja" fld="61" baseField="0" baseItem="0"/>
    <dataField name=" Puntal de guardacabeza" fld="62" baseField="0" baseItem="0"/>
    <dataField name=" Puntal de avance" fld="63" baseField="0" baseItem="0"/>
    <dataField name=" Puntal de 5&quot;" fld="64" baseField="3" baseItem="1"/>
    <dataField name=" Entablado" fld="65" baseField="0" baseItem="0"/>
    <dataField name=" Encribado" fld="66" baseField="0" baseItem="0"/>
    <dataField name=" Anillado" fld="67" baseField="3" baseItem="1"/>
    <dataField name=" Guardacabeza" fld="68" baseField="3" baseItem="1"/>
    <dataField name=" Embolillado" fld="69" baseField="3" baseItem="1"/>
    <dataField name=" Barrera" fld="70" baseField="0" baseItem="0"/>
    <dataField name=" Enrrejado" fld="71" baseField="0" baseItem="0"/>
    <dataField name=" Plataforma Winche" fld="72" baseField="3" baseItem="1"/>
    <dataField name=" Split Set 2'" fld="73" baseField="0" baseItem="0"/>
    <dataField name=" Split Set 4' S/P" fld="74" baseField="0" baseItem="0"/>
    <dataField name=" Split Set 4' C/P" fld="75" baseField="0" baseItem="0"/>
    <dataField name=" Split Set 5' S/P" fld="76" baseField="3" baseItem="1"/>
    <dataField name=" Split Set 5' C/P" fld="77" baseField="0" baseItem="0"/>
    <dataField name=" Split Set 6' S/P" fld="78" baseField="3" baseItem="1"/>
    <dataField name=" Split Set 6' C/P" fld="79" baseField="0" baseItem="0"/>
    <dataField name=" Malla electrosoldada" fld="80" baseField="0" baseItem="0"/>
    <dataField name=" Riel 30 lb/yd" fld="81" baseField="0" baseItem="0"/>
    <dataField name="Suma de Escalera" fld="82" baseField="0" baseItem="0"/>
    <dataField name=" Descanso" fld="83" baseField="0" baseItem="0"/>
    <dataField name=" Durmiente" fld="84" baseField="3" baseItem="1"/>
    <dataField name=" Tolva americana en Snv y Tj" fld="85" baseField="0" baseItem="0"/>
    <dataField name=" Tolva colgante en Snv y Tj" fld="86" baseField="3" baseItem="1"/>
    <dataField name="Cuenta de Cuadro en Gal y Cx" fld="51" subtotal="countNums" baseField="3" baseItem="1"/>
  </dataFields>
  <formats count="82">
    <format dxfId="163">
      <pivotArea dataOnly="0" labelOnly="1" outline="0" fieldPosition="0">
        <references count="1">
          <reference field="4294967294" count="34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62">
      <pivotArea dataOnly="0" labelOnly="1" outline="0" fieldPosition="0">
        <references count="1">
          <reference field="4294967294" count="34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61">
      <pivotArea outline="0" collapsedLevelsAreSubtotals="1" fieldPosition="0"/>
    </format>
    <format dxfId="160">
      <pivotArea dataOnly="0" labelOnly="1" outline="0" fieldPosition="0">
        <references count="1">
          <reference field="0" count="0"/>
        </references>
      </pivotArea>
    </format>
    <format dxfId="159">
      <pivotArea dataOnly="0" labelOnly="1" outline="0" fieldPosition="0">
        <references count="1">
          <reference field="4294967294" count="34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58">
      <pivotArea outline="0" collapsedLevelsAreSubtotals="1" fieldPosition="0"/>
    </format>
    <format dxfId="157">
      <pivotArea dataOnly="0" labelOnly="1" outline="0" fieldPosition="0">
        <references count="1">
          <reference field="0" count="0"/>
        </references>
      </pivotArea>
    </format>
    <format dxfId="156">
      <pivotArea dataOnly="0" labelOnly="1" outline="0" fieldPosition="0">
        <references count="1">
          <reference field="4294967294" count="34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55">
      <pivotArea outline="0" collapsedLevelsAreSubtotals="1" fieldPosition="0">
        <references count="1">
          <reference field="4294967294" count="31" selected="0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54">
      <pivotArea dataOnly="0" labelOnly="1" fieldPosition="0">
        <references count="1">
          <reference field="3" count="16">
            <x v="0"/>
            <x v="1"/>
            <x v="3"/>
            <x v="5"/>
            <x v="6"/>
            <x v="7"/>
            <x v="8"/>
            <x v="9"/>
            <x v="11"/>
            <x v="12"/>
            <x v="14"/>
            <x v="15"/>
            <x v="16"/>
            <x v="17"/>
            <x v="18"/>
            <x v="19"/>
          </reference>
        </references>
      </pivotArea>
    </format>
    <format dxfId="153">
      <pivotArea dataOnly="0" labelOnly="1" grandRow="1" outline="0" fieldPosition="0"/>
    </format>
    <format dxfId="152">
      <pivotArea field="3" type="button" dataOnly="0" labelOnly="1" outline="0" axis="axisRow" fieldPosition="0"/>
    </format>
    <format dxfId="151">
      <pivotArea outline="0" collapsedLevelsAreSubtotals="1" fieldPosition="0">
        <references count="1">
          <reference field="4294967294" count="31" selected="0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50">
      <pivotArea field="3" type="button" dataOnly="0" labelOnly="1" outline="0" axis="axisRow" fieldPosition="0"/>
    </format>
    <format dxfId="149">
      <pivotArea dataOnly="0" labelOnly="1" fieldPosition="0">
        <references count="1">
          <reference field="3" count="23">
            <x v="1"/>
            <x v="6"/>
            <x v="8"/>
            <x v="9"/>
            <x v="10"/>
            <x v="11"/>
            <x v="12"/>
            <x v="13"/>
            <x v="15"/>
            <x v="17"/>
            <x v="18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48">
      <pivotArea dataOnly="0" labelOnly="1" grandRow="1" outline="0" fieldPosition="0"/>
    </format>
    <format dxfId="147">
      <pivotArea dataOnly="0" labelOnly="1" outline="0" fieldPosition="0">
        <references count="1">
          <reference field="4294967294" count="31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46">
      <pivotArea field="3" type="button" dataOnly="0" labelOnly="1" outline="0" axis="axisRow" fieldPosition="0"/>
    </format>
    <format dxfId="145">
      <pivotArea dataOnly="0" labelOnly="1" outline="0" fieldPosition="0">
        <references count="1">
          <reference field="4294967294" count="31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44">
      <pivotArea field="3" type="button" dataOnly="0" labelOnly="1" outline="0" axis="axisRow" fieldPosition="0"/>
    </format>
    <format dxfId="143">
      <pivotArea dataOnly="0" labelOnly="1" outline="0" fieldPosition="0">
        <references count="1">
          <reference field="4294967294" count="31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42">
      <pivotArea field="3" type="button" dataOnly="0" labelOnly="1" outline="0" axis="axisRow" fieldPosition="0"/>
    </format>
    <format dxfId="141">
      <pivotArea dataOnly="0" labelOnly="1" outline="0" fieldPosition="0">
        <references count="1">
          <reference field="4294967294" count="31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40">
      <pivotArea field="3" type="button" dataOnly="0" labelOnly="1" outline="0" axis="axisRow" fieldPosition="0"/>
    </format>
    <format dxfId="139">
      <pivotArea dataOnly="0" labelOnly="1" outline="0" fieldPosition="0">
        <references count="1">
          <reference field="4294967294" count="34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38">
      <pivotArea field="3" type="button" dataOnly="0" labelOnly="1" outline="0" axis="axisRow" fieldPosition="0"/>
    </format>
    <format dxfId="137">
      <pivotArea dataOnly="0" labelOnly="1" outline="0" fieldPosition="0">
        <references count="1">
          <reference field="4294967294" count="34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36">
      <pivotArea dataOnly="0" labelOnly="1" outline="0" fieldPosition="0">
        <references count="1">
          <reference field="4294967294" count="34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dataOnly="0" labelOnly="1" fieldPosition="0">
        <references count="1">
          <reference field="3" count="23">
            <x v="1"/>
            <x v="6"/>
            <x v="8"/>
            <x v="9"/>
            <x v="10"/>
            <x v="11"/>
            <x v="12"/>
            <x v="13"/>
            <x v="15"/>
            <x v="17"/>
            <x v="18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32">
      <pivotArea dataOnly="0" labelOnly="1" grandRow="1" outline="0" fieldPosition="0"/>
    </format>
    <format dxfId="131">
      <pivotArea dataOnly="0" labelOnly="1" outline="0" fieldPosition="0">
        <references count="1">
          <reference field="4294967294" count="34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30">
      <pivotArea grandRow="1" outline="0" collapsedLevelsAreSubtotals="1" fieldPosition="0"/>
    </format>
    <format dxfId="129">
      <pivotArea dataOnly="0" labelOnly="1" grandRow="1" outline="0" fieldPosition="0"/>
    </format>
    <format dxfId="1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6">
      <pivotArea outline="0" collapsedLevelsAreSubtotals="1" fieldPosition="0">
        <references count="1">
          <reference field="4294967294" count="34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125">
      <pivotArea dataOnly="0" labelOnly="1" fieldPosition="0">
        <references count="1">
          <reference field="3" count="22">
            <x v="1"/>
            <x v="8"/>
            <x v="9"/>
            <x v="10"/>
            <x v="11"/>
            <x v="12"/>
            <x v="13"/>
            <x v="16"/>
            <x v="17"/>
            <x v="20"/>
            <x v="21"/>
            <x v="24"/>
            <x v="29"/>
            <x v="30"/>
            <x v="31"/>
            <x v="32"/>
            <x v="33"/>
            <x v="34"/>
            <x v="35"/>
            <x v="36"/>
            <x v="37"/>
            <x v="38"/>
          </reference>
        </references>
      </pivotArea>
    </format>
    <format dxfId="124">
      <pivotArea dataOnly="0" labelOnly="1" grandRow="1" outline="0" fieldPosition="0"/>
    </format>
    <format dxfId="123">
      <pivotArea dataOnly="0" labelOnly="1" outline="0" fieldPosition="0">
        <references count="1">
          <reference field="4294967294" count="34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36"/>
          </reference>
        </references>
      </pivotArea>
    </format>
    <format dxfId="121">
      <pivotArea collapsedLevelsAreSubtotals="1" fieldPosition="0">
        <references count="1">
          <reference field="3" count="20">
            <x v="8"/>
            <x v="9"/>
            <x v="10"/>
            <x v="11"/>
            <x v="12"/>
            <x v="13"/>
            <x v="16"/>
            <x v="21"/>
            <x v="22"/>
            <x v="24"/>
            <x v="35"/>
            <x v="39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20">
      <pivotArea grandRow="1" outline="0" collapsedLevelsAreSubtotals="1" fieldPosition="0"/>
    </format>
    <format dxfId="119">
      <pivotArea dataOnly="0" labelOnly="1" fieldPosition="0">
        <references count="1">
          <reference field="3" count="20">
            <x v="8"/>
            <x v="9"/>
            <x v="10"/>
            <x v="11"/>
            <x v="12"/>
            <x v="13"/>
            <x v="16"/>
            <x v="21"/>
            <x v="22"/>
            <x v="24"/>
            <x v="35"/>
            <x v="39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18">
      <pivotArea dataOnly="0" labelOnly="1" grandRow="1" outline="0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dataOnly="0" labelOnly="1" fieldPosition="0">
        <references count="1">
          <reference field="3" count="21">
            <x v="1"/>
            <x v="8"/>
            <x v="9"/>
            <x v="10"/>
            <x v="11"/>
            <x v="12"/>
            <x v="13"/>
            <x v="16"/>
            <x v="21"/>
            <x v="22"/>
            <x v="24"/>
            <x v="35"/>
            <x v="39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14">
      <pivotArea dataOnly="0" labelOnly="1" grandRow="1" outline="0" fieldPosition="0"/>
    </format>
    <format dxfId="113">
      <pivotArea outline="0" collapsedLevelsAreSubtotals="1" fieldPosition="0"/>
    </format>
    <format dxfId="112">
      <pivotArea dataOnly="0" labelOnly="1" fieldPosition="0">
        <references count="1">
          <reference field="3" count="23">
            <x v="0"/>
            <x v="1"/>
            <x v="8"/>
            <x v="9"/>
            <x v="10"/>
            <x v="11"/>
            <x v="12"/>
            <x v="13"/>
            <x v="16"/>
            <x v="22"/>
            <x v="24"/>
            <x v="35"/>
            <x v="39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1">
          <reference field="3" count="23">
            <x v="0"/>
            <x v="1"/>
            <x v="8"/>
            <x v="9"/>
            <x v="10"/>
            <x v="11"/>
            <x v="12"/>
            <x v="13"/>
            <x v="16"/>
            <x v="22"/>
            <x v="24"/>
            <x v="35"/>
            <x v="39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09">
      <pivotArea outline="0" collapsedLevelsAreSubtotals="1" fieldPosition="0"/>
    </format>
    <format dxfId="108">
      <pivotArea dataOnly="0" labelOnly="1" fieldPosition="0">
        <references count="1">
          <reference field="3" count="21">
            <x v="0"/>
            <x v="1"/>
            <x v="7"/>
            <x v="8"/>
            <x v="9"/>
            <x v="10"/>
            <x v="11"/>
            <x v="12"/>
            <x v="13"/>
            <x v="16"/>
            <x v="18"/>
            <x v="22"/>
            <x v="24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07">
      <pivotArea collapsedLevelsAreSubtotals="1" fieldPosition="0">
        <references count="1">
          <reference field="3" count="11">
            <x v="22"/>
            <x v="23"/>
            <x v="24"/>
            <x v="34"/>
            <x v="49"/>
            <x v="53"/>
            <x v="54"/>
            <x v="56"/>
            <x v="58"/>
            <x v="61"/>
            <x v="62"/>
          </reference>
        </references>
      </pivotArea>
    </format>
    <format dxfId="106">
      <pivotArea grandRow="1" outline="0" collapsedLevelsAreSubtotals="1" fieldPosition="0"/>
    </format>
    <format dxfId="105">
      <pivotArea dataOnly="0" labelOnly="1" fieldPosition="0">
        <references count="1">
          <reference field="3" count="11">
            <x v="22"/>
            <x v="23"/>
            <x v="24"/>
            <x v="34"/>
            <x v="49"/>
            <x v="53"/>
            <x v="54"/>
            <x v="56"/>
            <x v="58"/>
            <x v="61"/>
            <x v="62"/>
          </reference>
        </references>
      </pivotArea>
    </format>
    <format dxfId="104">
      <pivotArea dataOnly="0" labelOnly="1" grandRow="1" outline="0" fieldPosition="0"/>
    </format>
    <format dxfId="103">
      <pivotArea collapsedLevelsAreSubtotals="1" fieldPosition="0">
        <references count="1">
          <reference field="3" count="11">
            <x v="22"/>
            <x v="23"/>
            <x v="24"/>
            <x v="34"/>
            <x v="49"/>
            <x v="53"/>
            <x v="54"/>
            <x v="56"/>
            <x v="58"/>
            <x v="61"/>
            <x v="62"/>
          </reference>
        </references>
      </pivotArea>
    </format>
    <format dxfId="102">
      <pivotArea grandRow="1" outline="0" collapsedLevelsAreSubtotals="1" fieldPosition="0"/>
    </format>
    <format dxfId="101">
      <pivotArea dataOnly="0" labelOnly="1" fieldPosition="0">
        <references count="1">
          <reference field="3" count="11">
            <x v="22"/>
            <x v="23"/>
            <x v="24"/>
            <x v="34"/>
            <x v="49"/>
            <x v="53"/>
            <x v="54"/>
            <x v="56"/>
            <x v="58"/>
            <x v="61"/>
            <x v="62"/>
          </reference>
        </references>
      </pivotArea>
    </format>
    <format dxfId="100">
      <pivotArea dataOnly="0" labelOnly="1" grandRow="1" outline="0" fieldPosition="0"/>
    </format>
    <format dxfId="99">
      <pivotArea dataOnly="0" labelOnly="1" fieldPosition="0">
        <references count="1">
          <reference field="3" count="10">
            <x v="22"/>
            <x v="23"/>
            <x v="24"/>
            <x v="34"/>
            <x v="49"/>
            <x v="53"/>
            <x v="54"/>
            <x v="56"/>
            <x v="58"/>
            <x v="61"/>
          </reference>
        </references>
      </pivotArea>
    </format>
    <format dxfId="98">
      <pivotArea outline="0" collapsedLevelsAreSubtotals="1" fieldPosition="0">
        <references count="1">
          <reference field="4294967294" count="24" selected="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97">
      <pivotArea dataOnly="0" labelOnly="1" fieldPosition="0">
        <references count="1">
          <reference field="3" count="16">
            <x v="1"/>
            <x v="8"/>
            <x v="9"/>
            <x v="11"/>
            <x v="12"/>
            <x v="22"/>
            <x v="23"/>
            <x v="24"/>
            <x v="34"/>
            <x v="49"/>
            <x v="53"/>
            <x v="54"/>
            <x v="56"/>
            <x v="58"/>
            <x v="61"/>
            <x v="62"/>
          </reference>
        </references>
      </pivotArea>
    </format>
    <format dxfId="96">
      <pivotArea collapsedLevelsAreSubtotals="1" fieldPosition="0">
        <references count="1">
          <reference field="3" count="17">
            <x v="0"/>
            <x v="1"/>
            <x v="7"/>
            <x v="8"/>
            <x v="9"/>
            <x v="11"/>
            <x v="12"/>
            <x v="13"/>
            <x v="22"/>
            <x v="24"/>
            <x v="49"/>
            <x v="54"/>
            <x v="58"/>
            <x v="61"/>
            <x v="63"/>
            <x v="64"/>
            <x v="65"/>
          </reference>
        </references>
      </pivotArea>
    </format>
    <format dxfId="95">
      <pivotArea dataOnly="0" labelOnly="1" fieldPosition="0">
        <references count="1">
          <reference field="3" count="17">
            <x v="0"/>
            <x v="1"/>
            <x v="7"/>
            <x v="8"/>
            <x v="9"/>
            <x v="11"/>
            <x v="12"/>
            <x v="13"/>
            <x v="22"/>
            <x v="24"/>
            <x v="49"/>
            <x v="54"/>
            <x v="58"/>
            <x v="61"/>
            <x v="63"/>
            <x v="64"/>
            <x v="65"/>
          </reference>
        </references>
      </pivotArea>
    </format>
    <format dxfId="94">
      <pivotArea dataOnly="0" labelOnly="1" outline="0" fieldPosition="0">
        <references count="1">
          <reference field="4294967294" count="36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</references>
      </pivotArea>
    </format>
    <format dxfId="93">
      <pivotArea collapsedLevelsAreSubtotals="1" fieldPosition="0">
        <references count="1">
          <reference field="3" count="17">
            <x v="0"/>
            <x v="1"/>
            <x v="7"/>
            <x v="8"/>
            <x v="9"/>
            <x v="11"/>
            <x v="12"/>
            <x v="13"/>
            <x v="22"/>
            <x v="24"/>
            <x v="49"/>
            <x v="54"/>
            <x v="58"/>
            <x v="61"/>
            <x v="63"/>
            <x v="64"/>
            <x v="65"/>
          </reference>
        </references>
      </pivotArea>
    </format>
    <format dxfId="92">
      <pivotArea dataOnly="0" labelOnly="1" fieldPosition="0">
        <references count="1">
          <reference field="3" count="17">
            <x v="0"/>
            <x v="1"/>
            <x v="7"/>
            <x v="8"/>
            <x v="9"/>
            <x v="11"/>
            <x v="12"/>
            <x v="13"/>
            <x v="22"/>
            <x v="24"/>
            <x v="49"/>
            <x v="54"/>
            <x v="58"/>
            <x v="61"/>
            <x v="63"/>
            <x v="64"/>
            <x v="65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3" type="button" dataOnly="0" labelOnly="1" outline="0" axis="axisRow" fieldPosition="0"/>
    </format>
    <format dxfId="87">
      <pivotArea dataOnly="0" labelOnly="1" fieldPosition="0">
        <references count="1">
          <reference field="3" count="19">
            <x v="1"/>
            <x v="2"/>
            <x v="7"/>
            <x v="8"/>
            <x v="9"/>
            <x v="10"/>
            <x v="11"/>
            <x v="12"/>
            <x v="13"/>
            <x v="19"/>
            <x v="22"/>
            <x v="24"/>
            <x v="28"/>
            <x v="49"/>
            <x v="67"/>
            <x v="72"/>
            <x v="73"/>
            <x v="74"/>
            <x v="75"/>
          </reference>
        </references>
      </pivotArea>
    </format>
    <format dxfId="86">
      <pivotArea dataOnly="0" labelOnly="1" grandRow="1" outline="0" fieldPosition="0"/>
    </format>
    <format dxfId="85">
      <pivotArea dataOnly="0" labelOnly="1" outline="0" fieldPosition="0">
        <references count="1">
          <reference field="4294967294" count="3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</references>
      </pivotArea>
    </format>
    <format dxfId="84">
      <pivotArea outline="0" collapsedLevelsAreSubtotals="1" fieldPosition="0"/>
    </format>
    <format dxfId="83">
      <pivotArea dataOnly="0" labelOnly="1" fieldPosition="0">
        <references count="1">
          <reference field="3" count="18">
            <x v="1"/>
            <x v="2"/>
            <x v="7"/>
            <x v="8"/>
            <x v="9"/>
            <x v="10"/>
            <x v="11"/>
            <x v="12"/>
            <x v="13"/>
            <x v="22"/>
            <x v="24"/>
            <x v="28"/>
            <x v="49"/>
            <x v="67"/>
            <x v="72"/>
            <x v="73"/>
            <x v="74"/>
            <x v="75"/>
          </reference>
        </references>
      </pivotArea>
    </format>
    <format dxfId="82">
      <pivotArea dataOnly="0" labelOnly="1" grandRow="1" outline="0" fieldPosition="0"/>
    </format>
  </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_TIPO_ROCA" displayName="TB_TIPO_ROCA" ref="A1:D6" totalsRowShown="0">
  <autoFilter ref="A1:D6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TIPO"/>
    <tableColumn id="2" xr3:uid="{00000000-0010-0000-0000-000002000000}" name="RMR"/>
    <tableColumn id="3" xr3:uid="{00000000-0010-0000-0000-000003000000}" name="CLASE"/>
    <tableColumn id="4" xr3:uid="{00000000-0010-0000-0000-000004000000}" name="S. ROTURA"/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B_T_ROTURA" displayName="TB_T_ROTURA" ref="J12:J16" totalsRowShown="0">
  <autoFilter ref="J12:J16" xr:uid="{00000000-0009-0000-0100-00000B000000}">
    <filterColumn colId="0" hiddenButton="1"/>
  </autoFilter>
  <tableColumns count="1">
    <tableColumn id="1" xr3:uid="{00000000-0010-0000-0900-000001000000}" name="T_ROTURA"/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B_ETAPA" displayName="TB_ETAPA" ref="J18:J22" totalsRowShown="0">
  <autoFilter ref="J18:J22" xr:uid="{00000000-0009-0000-0100-00000C000000}">
    <filterColumn colId="0" hiddenButton="1"/>
  </autoFilter>
  <tableColumns count="1">
    <tableColumn id="1" xr3:uid="{00000000-0010-0000-0A00-000001000000}" name="ETAPA"/>
  </tableColumns>
  <tableStyleInfo name="TableStyleLight9" showFirstColumn="0" showLastColumn="0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B_PROGRAMA" displayName="TB_PROGRAMA" ref="J24:J30" totalsRowShown="0">
  <autoFilter ref="J24:J30" xr:uid="{00000000-0009-0000-0100-00000D000000}">
    <filterColumn colId="0" hiddenButton="1"/>
  </autoFilter>
  <tableColumns count="1">
    <tableColumn id="1" xr3:uid="{00000000-0010-0000-0B00-000001000000}" name="PROGRAMA"/>
  </tableColumns>
  <tableStyleInfo name="TableStyleLight9" showFirstColumn="0" showLastColumn="0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B_T_PROGRAMA" displayName="TB_T_PROGRAMA" ref="J32:J34" totalsRowShown="0">
  <autoFilter ref="J32:J34" xr:uid="{00000000-0009-0000-0100-000010000000}">
    <filterColumn colId="0" hiddenButton="1"/>
  </autoFilter>
  <tableColumns count="1">
    <tableColumn id="1" xr3:uid="{00000000-0010-0000-0C00-000001000000}" name="PROGRAMA"/>
  </tableColumns>
  <tableStyleInfo name="TableStyleLight9" showFirstColumn="0" showLastColumn="0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D000000}" name="MAQ_PERF" displayName="MAQ_PERF" ref="AE1:AI21" totalsRowShown="0" headerRowDxfId="511" dataDxfId="510">
  <autoFilter ref="AE1:AI21" xr:uid="{00000000-0009-0000-0100-000016000000}"/>
  <sortState xmlns:xlrd2="http://schemas.microsoft.com/office/spreadsheetml/2017/richdata2" ref="AE2:AI21">
    <sortCondition ref="AG1:AG21"/>
  </sortState>
  <tableColumns count="5">
    <tableColumn id="1" xr3:uid="{00000000-0010-0000-0D00-000001000000}" name="AREA" dataDxfId="509"/>
    <tableColumn id="2" xr3:uid="{00000000-0010-0000-0D00-000002000000}" name="FAMILIA" dataDxfId="508"/>
    <tableColumn id="3" xr3:uid="{00000000-0010-0000-0D00-000003000000}" name="CODIGO" dataDxfId="507"/>
    <tableColumn id="4" xr3:uid="{00000000-0010-0000-0D00-000004000000}" name="SERIE" dataDxfId="506"/>
    <tableColumn id="5" xr3:uid="{00000000-0010-0000-0D00-000005000000}" name="ESTADO" dataDxfId="5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E000000}" name="PALA_NEUM" displayName="PALA_NEUM" ref="AK1:AO5" totalsRowShown="0" headerRowDxfId="504" dataDxfId="503">
  <autoFilter ref="AK1:AO5" xr:uid="{00000000-0009-0000-0100-000017000000}"/>
  <tableColumns count="5">
    <tableColumn id="2" xr3:uid="{00000000-0010-0000-0E00-000002000000}" name="AREA" dataDxfId="502"/>
    <tableColumn id="3" xr3:uid="{00000000-0010-0000-0E00-000003000000}" name="FAMILIA" dataDxfId="501"/>
    <tableColumn id="4" xr3:uid="{00000000-0010-0000-0E00-000004000000}" name="CODIGO" dataDxfId="500"/>
    <tableColumn id="5" xr3:uid="{00000000-0010-0000-0E00-000005000000}" name="SERIE" dataDxfId="499"/>
    <tableColumn id="6" xr3:uid="{00000000-0010-0000-0E00-000006000000}" name="ESTADO" dataDxfId="49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F000000}" name="WINCHE" displayName="WINCHE" ref="AQ1:AU16" totalsRowShown="0" headerRowDxfId="497" dataDxfId="496">
  <autoFilter ref="AQ1:AU16" xr:uid="{00000000-0009-0000-0100-000018000000}"/>
  <tableColumns count="5">
    <tableColumn id="1" xr3:uid="{00000000-0010-0000-0F00-000001000000}" name="AREA" dataDxfId="495"/>
    <tableColumn id="2" xr3:uid="{00000000-0010-0000-0F00-000002000000}" name="FAMILIA" dataDxfId="494"/>
    <tableColumn id="3" xr3:uid="{00000000-0010-0000-0F00-000003000000}" name="CODIGO" dataDxfId="493"/>
    <tableColumn id="4" xr3:uid="{00000000-0010-0000-0F00-000004000000}" name="SERIE" dataDxfId="492"/>
    <tableColumn id="5" xr3:uid="{00000000-0010-0000-0F00-000005000000}" name="ESTADO" dataDxfId="49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0000000}" name="PRINC_ACT" displayName="PRINC_ACT" ref="AW1:AW6" totalsRowShown="0" dataDxfId="490">
  <autoFilter ref="AW1:AW6" xr:uid="{00000000-0009-0000-0100-000019000000}"/>
  <tableColumns count="1">
    <tableColumn id="1" xr3:uid="{00000000-0010-0000-1000-000001000000}" name="PRINCIPAL ACT" dataDxfId="48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1000000}" name="TURNO" displayName="TURNO" ref="AW8:AW10" totalsRowShown="0" headerRowDxfId="488" dataDxfId="487">
  <autoFilter ref="AW8:AW10" xr:uid="{00000000-0009-0000-0100-00001A000000}"/>
  <tableColumns count="1">
    <tableColumn id="1" xr3:uid="{00000000-0010-0000-1100-000001000000}" name="TURNO" dataDxfId="48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2000000}" name="GUARDIA" displayName="GUARDIA" ref="AW12:AW16" totalsRowShown="0" headerRowDxfId="485" dataDxfId="484">
  <autoFilter ref="AW12:AW16" xr:uid="{00000000-0009-0000-0100-00001B000000}"/>
  <tableColumns count="1">
    <tableColumn id="1" xr3:uid="{00000000-0010-0000-1200-000001000000}" name="GUARDIA" dataDxfId="4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_MATERIAL" displayName="TB_MATERIAL" ref="F1:H3" totalsRowShown="0">
  <autoFilter ref="F1:H3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100-000001000000}" name="MATERIAL"/>
    <tableColumn id="2" xr3:uid="{00000000-0010-0000-0100-000002000000}" name="DENSIDAD" dataDxfId="532"/>
    <tableColumn id="3" xr3:uid="{00000000-0010-0000-0100-000003000000}" name="HUMEDAD" dataDxfId="531"/>
  </tableColumns>
  <tableStyleInfo name="TableStyleLight9" showFirstColumn="0" showLastColumn="0" showRowStripes="1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3000000}" name="TIPO_AVANCE" displayName="TIPO_AVANCE" ref="AW18:AW25" totalsRowShown="0" headerRowDxfId="482" dataDxfId="481">
  <autoFilter ref="AW18:AW25" xr:uid="{00000000-0009-0000-0100-00001C000000}"/>
  <tableColumns count="1">
    <tableColumn id="1" xr3:uid="{00000000-0010-0000-1300-000001000000}" name="TIPO AVANCE" dataDxfId="48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4000000}" name="PE_EMUL_1000" displayName="PE_EMUL_1000" ref="AY1:AZ2" totalsRowShown="0">
  <autoFilter ref="AY1:AZ2" xr:uid="{00000000-0009-0000-0100-000012000000}"/>
  <tableColumns count="2">
    <tableColumn id="1" xr3:uid="{00000000-0010-0000-1400-000001000000}" name="EXPLOSIVO"/>
    <tableColumn id="2" xr3:uid="{00000000-0010-0000-1400-000002000000}" name="PE" dataDxfId="47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5000000}" name="PE_EMUL_3000" displayName="PE_EMUL_3000" ref="AY4:AZ5" totalsRowShown="0">
  <autoFilter ref="AY4:AZ5" xr:uid="{00000000-0009-0000-0100-000014000000}"/>
  <tableColumns count="2">
    <tableColumn id="1" xr3:uid="{00000000-0010-0000-1500-000001000000}" name="EXPLOSIVO"/>
    <tableColumn id="2" xr3:uid="{00000000-0010-0000-1500-000002000000}" name="PE" dataDxfId="47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6000000}" name="PE_PULV_65" displayName="PE_PULV_65" ref="AY7:AZ8" totalsRowShown="0">
  <autoFilter ref="AY7:AZ8" xr:uid="{00000000-0009-0000-0100-000015000000}"/>
  <tableColumns count="2">
    <tableColumn id="1" xr3:uid="{00000000-0010-0000-1600-000001000000}" name="EXPLOSIVO"/>
    <tableColumn id="2" xr3:uid="{00000000-0010-0000-1600-000002000000}" name="PE" dataDxfId="47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7000000}" name="PE_SEMIGEL_65" displayName="PE_SEMIGEL_65" ref="AY10:AZ11" totalsRowShown="0">
  <autoFilter ref="AY10:AZ11" xr:uid="{00000000-0009-0000-0100-00000E000000}"/>
  <tableColumns count="2">
    <tableColumn id="1" xr3:uid="{00000000-0010-0000-1700-000001000000}" name="EXPLOSIVO"/>
    <tableColumn id="2" xr3:uid="{00000000-0010-0000-1700-000002000000}" name="PE" dataDxfId="47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8000000}" name="TB_CECO" displayName="TB_CECO" ref="A1:H6047" totalsRowShown="0" headerRowDxfId="444">
  <autoFilter ref="A1:H6047" xr:uid="{00000000-0009-0000-0100-000001000000}"/>
  <sortState xmlns:xlrd2="http://schemas.microsoft.com/office/spreadsheetml/2017/richdata2" ref="A5950:H5959">
    <sortCondition descending="1" ref="A1:A5984"/>
  </sortState>
  <tableColumns count="8">
    <tableColumn id="1" xr3:uid="{00000000-0010-0000-1800-000001000000}" name="CECO_L" dataDxfId="443">
      <calculatedColumnFormula>MID(TB_CECO[[#This Row],[CECO_T]],1,5)</calculatedColumnFormula>
    </tableColumn>
    <tableColumn id="2" xr3:uid="{00000000-0010-0000-1800-000002000000}" name="LABOR" dataDxfId="442">
      <calculatedColumnFormula>MID(TB_CECO[[#This Row],[TRABAJO]],1,SEARCH(",",TB_CECO[[#This Row],[TRABAJO]],1)-1)</calculatedColumnFormula>
    </tableColumn>
    <tableColumn id="7" xr3:uid="{00000000-0010-0000-1800-000007000000}" name="TRABAJO" dataDxfId="441">
      <calculatedColumnFormula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calculatedColumnFormula>
    </tableColumn>
    <tableColumn id="3" xr3:uid="{00000000-0010-0000-1800-000003000000}" name="ZONA" dataDxfId="440">
      <calculatedColumnFormula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calculatedColumnFormula>
    </tableColumn>
    <tableColumn id="4" xr3:uid="{00000000-0010-0000-1800-000004000000}" name="ETAPA" dataDxfId="439">
      <calculatedColumnFormula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calculatedColumnFormula>
    </tableColumn>
    <tableColumn id="5" xr3:uid="{00000000-0010-0000-1800-000005000000}" name="CECO_T" dataDxfId="438"/>
    <tableColumn id="6" xr3:uid="{00000000-0010-0000-1800-000006000000}" name="CECO_COMPLETO"/>
    <tableColumn id="12" xr3:uid="{00000000-0010-0000-1800-00000C000000}" name="TIPO_LABOR" dataDxfId="437">
      <calculatedColumnFormula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calculatedColumnFormula>
    </tableColumn>
  </tableColumns>
  <tableStyleInfo name="TableStyleLight9" showFirstColumn="0" showLastColumn="0" showRowStripes="1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9000000}" name="BD_MO" displayName="BD_MO" ref="A2:DR544" totalsRowCount="1" headerRowDxfId="410" dataDxfId="409" totalsRowDxfId="408">
  <autoFilter ref="A2:DR543" xr:uid="{00000000-0009-0000-0100-000013000000}"/>
  <tableColumns count="122">
    <tableColumn id="1" xr3:uid="{00000000-0010-0000-1900-000001000000}" name="FECHA" dataDxfId="407" totalsRowDxfId="406"/>
    <tableColumn id="2" xr3:uid="{00000000-0010-0000-1900-000002000000}" name="TURNO" dataDxfId="405" totalsRowDxfId="404"/>
    <tableColumn id="3" xr3:uid="{00000000-0010-0000-1900-000003000000}" name="GUARDIA" dataDxfId="403" totalsRowDxfId="402"/>
    <tableColumn id="4" xr3:uid="{00000000-0010-0000-1900-000004000000}" name="LABOR" dataDxfId="401" totalsRowDxfId="400"/>
    <tableColumn id="5" xr3:uid="{00000000-0010-0000-1900-000005000000}" name="ABREV" dataDxfId="399" totalsRowDxfId="398">
      <calculatedColumnFormula>LEFT(BD_MO[[#This Row],[LABOR]],2)</calculatedColumnFormula>
    </tableColumn>
    <tableColumn id="6" xr3:uid="{00000000-0010-0000-1900-000006000000}" name="M o D" dataDxfId="397" totalsRowDxfId="396"/>
    <tableColumn id="7" xr3:uid="{00000000-0010-0000-1900-000007000000}" name="PRINCIPAL TAREA" dataDxfId="395" totalsRowDxfId="394"/>
    <tableColumn id="8" xr3:uid="{00000000-0010-0000-1900-000008000000}" name="ACTIVIDAD" dataDxfId="393" totalsRowDxfId="392">
      <calculatedColumnFormula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calculatedColumnFormula>
    </tableColumn>
    <tableColumn id="9" xr3:uid="{00000000-0010-0000-1900-000009000000}" name="ZONA" dataDxfId="391" totalsRowDxfId="390">
      <calculatedColumnFormula>IF(BD_MO[FECHA]&lt;&gt;"",VLOOKUP(BD_MO[LABOR],TB_CECO[[LABOR]:[CECO_T]],3,FALSE),"")</calculatedColumnFormula>
    </tableColumn>
    <tableColumn id="10" xr3:uid="{00000000-0010-0000-1900-00000A000000}" name="TIPO LABOR" dataDxfId="389" totalsRowDxfId="388">
      <calculatedColumnFormula>IF(BD_MO[FECHA]&lt;&gt;"",VLOOKUP(BD_MO[LABOR],D_CECO!B:H,7,FALSE),"")</calculatedColumnFormula>
    </tableColumn>
    <tableColumn id="11" xr3:uid="{00000000-0010-0000-1900-00000B000000}" name="ETAPA" dataDxfId="387" totalsRowDxfId="386">
      <calculatedColumnFormula>IF(BD_MO[FECHA]&lt;&gt;"",VLOOKUP(BD_MO[LABOR],D_CECO!B:H,4,FALSE),"")</calculatedColumnFormula>
    </tableColumn>
    <tableColumn id="12" xr3:uid="{00000000-0010-0000-1900-00000C000000}" name="NIVEL" dataDxfId="385" totalsRowDxfId="384"/>
    <tableColumn id="13" xr3:uid="{00000000-0010-0000-1900-00000D000000}" name="TIPO AVANCE" dataDxfId="383" totalsRowDxfId="382"/>
    <tableColumn id="14" xr3:uid="{00000000-0010-0000-1900-00000E000000}" name="CCOSTOS" dataDxfId="381" totalsRowDxfId="380"/>
    <tableColumn id="15" xr3:uid="{00000000-0010-0000-1900-00000F000000}" name="DNI" dataDxfId="379" totalsRowDxfId="378"/>
    <tableColumn id="17" xr3:uid="{00000000-0010-0000-1900-000011000000}" name="DNI 2" dataDxfId="377" totalsRowDxfId="376"/>
    <tableColumn id="19" xr3:uid="{00000000-0010-0000-1900-000013000000}" name="DNI 3" dataDxfId="375" totalsRowDxfId="374"/>
    <tableColumn id="22" xr3:uid="{00000000-0010-0000-1900-000016000000}" name="DNI 4" dataDxfId="373" totalsRowDxfId="372"/>
    <tableColumn id="23" xr3:uid="{00000000-0010-0000-1900-000017000000}" name="4TO HOMBRE" dataDxfId="371" totalsRowDxfId="370">
      <calculatedColumnFormula>IFERROR(VLOOKUP(BD_MO[DNI 4],#REF!,2,FALSE)," ")</calculatedColumnFormula>
    </tableColumn>
    <tableColumn id="25" xr3:uid="{00000000-0010-0000-1900-000019000000}" name="HG" totalsRowFunction="sum" dataDxfId="369" totalsRowDxfId="368">
      <calculatedColumnFormula>+IF(BD_MO[[#This Row],[FECHA]]&lt;&gt;"",COUNTA(BD_MO[[#This Row],[DNI]],BD_MO[[#This Row],[DNI 2]],BD_MO[[#This Row],[DNI 3]],BD_MO[[#This Row],[DNI 4]]),"")</calculatedColumnFormula>
    </tableColumn>
    <tableColumn id="26" xr3:uid="{00000000-0010-0000-1900-00001A000000}" name="LIMP" dataDxfId="367" totalsRowDxfId="366"/>
    <tableColumn id="27" xr3:uid="{00000000-0010-0000-1900-00001B000000}" name="PV" dataDxfId="365" totalsRowDxfId="364"/>
    <tableColumn id="28" xr3:uid="{00000000-0010-0000-1900-00001C000000}" name="STTO" dataDxfId="363" totalsRowDxfId="362"/>
    <tableColumn id="29" xr3:uid="{00000000-0010-0000-1900-00001D000000}" name="SERV" dataDxfId="361" totalsRowDxfId="360"/>
    <tableColumn id="30" xr3:uid="{00000000-0010-0000-1900-00001E000000}" name="TAREOS" dataDxfId="359" totalsRowDxfId="358">
      <calculatedColumnFormula>SUM(BD_MO[[#This Row],[LIMP]:[SERV]])</calculatedColumnFormula>
    </tableColumn>
    <tableColumn id="33" xr3:uid="{00000000-0010-0000-1900-000021000000}" name="N° VALE" dataDxfId="357" totalsRowDxfId="356"/>
    <tableColumn id="52" xr3:uid="{00000000-0010-0000-1900-000034000000}" name="N° DISP" dataDxfId="355" totalsRowDxfId="354">
      <calculatedColumnFormula>+IF(BD_MO[[#This Row],[N° VALE]]&lt;&gt;"",1,"")</calculatedColumnFormula>
    </tableColumn>
    <tableColumn id="53" xr3:uid="{00000000-0010-0000-1900-000035000000}" name="PERFORADORA" dataDxfId="353" totalsRowDxfId="352"/>
    <tableColumn id="54" xr3:uid="{00000000-0010-0000-1900-000036000000}" name="BARRA" dataDxfId="351" totalsRowDxfId="350"/>
    <tableColumn id="55" xr3:uid="{00000000-0010-0000-1900-000037000000}" name="N° TALADROS" totalsRowFunction="sum" dataDxfId="349" totalsRowDxfId="348">
      <calculatedColumnFormula>+IF(BD_MO[[#This Row],[N° VALE]]&lt;&gt;"",BD_MO[[#This Row],[FULMINANTE N° 08]]+BD_MO[CARMEX 7''],"")</calculatedColumnFormula>
    </tableColumn>
    <tableColumn id="56" xr3:uid="{00000000-0010-0000-1900-000038000000}" name="N° TAL. VACIOS" dataDxfId="347" totalsRowDxfId="346"/>
    <tableColumn id="57" xr3:uid="{00000000-0010-0000-1900-000039000000}" name="N°  TOTAL TALADROS" totalsRowFunction="sum" dataDxfId="345" totalsRowDxfId="344">
      <calculatedColumnFormula>+IF(BD_MO[[#This Row],[N° VALE]]&lt;&gt;"",BD_MO[[#This Row],[N° TALADROS]]+BD_MO[[#This Row],[N° TAL. VACIOS]],"")</calculatedColumnFormula>
    </tableColumn>
    <tableColumn id="129" xr3:uid="{00000000-0010-0000-1900-000081000000}" name="EMULNOR 3000 (N° CART.)" totalsRowFunction="sum" dataDxfId="343" totalsRowDxfId="342"/>
    <tableColumn id="58" xr3:uid="{00000000-0010-0000-1900-00003A000000}" name="EMULNOR 1000 (N° CART.)" totalsRowFunction="sum" dataDxfId="341" totalsRowDxfId="340"/>
    <tableColumn id="59" xr3:uid="{00000000-0010-0000-1900-00003B000000}" name="PULVERULENTA (N° CART.)" totalsRowFunction="sum" dataDxfId="339" totalsRowDxfId="338"/>
    <tableColumn id="137" xr3:uid="{00000000-0010-0000-1900-000089000000}" name="SEMIGELATINA (N° CART.)" totalsRowFunction="sum" dataDxfId="337" totalsRowDxfId="336"/>
    <tableColumn id="130" xr3:uid="{00000000-0010-0000-1900-000082000000}" name="CARMEX 7'" totalsRowFunction="sum" dataDxfId="335" totalsRowDxfId="334"/>
    <tableColumn id="61" xr3:uid="{00000000-0010-0000-1900-00003D000000}" name="MECHA RAPIDA Z18" totalsRowFunction="sum" dataDxfId="333" totalsRowDxfId="332"/>
    <tableColumn id="62" xr3:uid="{00000000-0010-0000-1900-00003E000000}" name="FULMINANTE N° 08" dataDxfId="331" totalsRowDxfId="330"/>
    <tableColumn id="64" xr3:uid="{00000000-0010-0000-1900-000040000000}" name="MECHA DE SEGURIDAD" dataDxfId="329" totalsRowDxfId="328">
      <calculatedColumnFormula>+IF(BD_MO[[#This Row],[N° TALADROS]]&lt;&gt;"",IF(BD_MO[[#This Row],[FULMINANTE N° 08]]&lt;&gt;0,BD_MO[[#This Row],[FULMINANTE N° 08]]*IF(BD_MO[[#This Row],[BARRA]]=5,2.14,IF(BD_MO[[#This Row],[BARRA]]=8,2.75,1.83)),0),"")</calculatedColumnFormula>
    </tableColumn>
    <tableColumn id="65" xr3:uid="{00000000-0010-0000-1900-000041000000}" name="CONECTOR P/ MECHA" dataDxfId="327" totalsRowDxfId="326">
      <calculatedColumnFormula>+IF(BD_MO[[#This Row],[N° VALE]]&lt;&gt;"",IF(BD_MO[[#This Row],[FULMINANTE N° 08]]&lt;&gt;"",BD_MO[[#This Row],[FULMINANTE N° 08]],IF(BD_MO[[#This Row],[CARMEX 7'']]&lt;&gt;0,0,"")),"")</calculatedColumnFormula>
    </tableColumn>
    <tableColumn id="66" xr3:uid="{00000000-0010-0000-1900-000042000000}" name="PIES PERF REALES" totalsRowFunction="sum" dataDxfId="325" totalsRowDxfId="324">
      <calculatedColumnFormula>+IF(BD_MO[[#This Row],[N° VALE]]&lt;&gt;"",BD_MO[[#This Row],[N°  TOTAL TALADROS]]*BD_MO[[#This Row],[BARRA]]*0.95,"")</calculatedColumnFormula>
    </tableColumn>
    <tableColumn id="67" xr3:uid="{00000000-0010-0000-1900-000043000000}" name="KG EXPLO EMULN 1000" dataDxfId="323" totalsRowDxfId="322">
      <calculatedColumnFormula>+IF(BD_MO[[#This Row],[N° VALE]]&lt;&gt;"",BD_MO[[#This Row],[EMULNOR 1000 (N° CART.)]]*PE_EMUL_1000[PE],"")</calculatedColumnFormula>
    </tableColumn>
    <tableColumn id="131" xr3:uid="{00000000-0010-0000-1900-000083000000}" name="KG EXPLO EMULN 3000" dataDxfId="321" totalsRowDxfId="320">
      <calculatedColumnFormula>+IF(BD_MO[[#This Row],[N° VALE]]&lt;&gt;"",BD_MO[[#This Row],[EMULNOR 3000 (N° CART.)]]*PE_EMUL_3000[PE],"")</calculatedColumnFormula>
    </tableColumn>
    <tableColumn id="68" xr3:uid="{00000000-0010-0000-1900-000044000000}" name="KG EXPLO PULVE" dataDxfId="319" totalsRowDxfId="318">
      <calculatedColumnFormula>+IF(BD_MO[[#This Row],[N° VALE]]&lt;&gt;"",BD_MO[[#This Row],[PULVERULENTA (N° CART.)]]*PE_PULV_65[PE],"")</calculatedColumnFormula>
    </tableColumn>
    <tableColumn id="138" xr3:uid="{00000000-0010-0000-1900-00008A000000}" name="KG EXPLO SEMIGEL" dataDxfId="317" totalsRowDxfId="316">
      <calculatedColumnFormula>+IF(BD_MO[[#This Row],[N° DISP]]&lt;&gt;"",BD_MO[[#This Row],[SEMIGELATINA (N° CART.)]]*PE_SEMIGEL_65[PE],"")</calculatedColumnFormula>
    </tableColumn>
    <tableColumn id="70" xr3:uid="{00000000-0010-0000-1900-000046000000}" name="KG EXPLO TOTAL" totalsRowFunction="sum" dataDxfId="315" totalsRowDxfId="314">
      <calculatedColumnFormula>+IF(BD_MO[N° VALE]&lt;&gt;"",BD_MO[[#This Row],[KG EXPLO SEMIGEL]]+BD_MO[[#This Row],[KG EXPLO PULVE]]+BD_MO[[#This Row],[KG EXPLO EMULN 3000]]+BD_MO[[#This Row],[KG EXPLO EMULN 1000]],"")</calculatedColumnFormula>
    </tableColumn>
    <tableColumn id="71" xr3:uid="{00000000-0010-0000-1900-000047000000}" name="MINERAL (U-35)" dataDxfId="313" totalsRowDxfId="312"/>
    <tableColumn id="72" xr3:uid="{00000000-0010-0000-1900-000048000000}" name="DESMONTE (U-35)" dataDxfId="311" totalsRowDxfId="310"/>
    <tableColumn id="73" xr3:uid="{00000000-0010-0000-1900-000049000000}" name="MINERAL (TON)" dataDxfId="309" totalsRowDxfId="308">
      <calculatedColumnFormula>+IF(BD_MO[[#This Row],[MINERAL (U-35)]]&lt;&gt;"",BD_MO[[#This Row],[MINERAL (U-35)]]*1.45,"-")</calculatedColumnFormula>
    </tableColumn>
    <tableColumn id="74" xr3:uid="{00000000-0010-0000-1900-00004A000000}" name="DESMONTE (TON)" dataDxfId="307" totalsRowDxfId="306">
      <calculatedColumnFormula>+IF(BD_MO[[#This Row],[DESMONTE (U-35)]]&lt;&gt;"",BD_MO[[#This Row],[DESMONTE (U-35)]]*1.23,"-")</calculatedColumnFormula>
    </tableColumn>
    <tableColumn id="75" xr3:uid="{00000000-0010-0000-1900-00004B000000}" name="Cuadro en Gal y Cx" totalsRowFunction="sum" dataDxfId="305" totalsRowDxfId="304"/>
    <tableColumn id="76" xr3:uid="{00000000-0010-0000-1900-00004C000000}" name="Cuadro en Snv y Tj" totalsRowFunction="sum" dataDxfId="303" totalsRowDxfId="302"/>
    <tableColumn id="77" xr3:uid="{00000000-0010-0000-1900-00004D000000}" name="Cuadro en Ch" totalsRowFunction="sum" dataDxfId="301" totalsRowDxfId="300"/>
    <tableColumn id="78" xr3:uid="{00000000-0010-0000-1900-00004E000000}" name="Cuadro en Pq y Inc y Est" totalsRowFunction="sum" dataDxfId="299" totalsRowDxfId="298"/>
    <tableColumn id="79" xr3:uid="{00000000-0010-0000-1900-00004F000000}" name="Cuadro cojo en Gal / Cx / Inc y Ch" totalsRowFunction="sum" dataDxfId="297" totalsRowDxfId="296"/>
    <tableColumn id="80" xr3:uid="{00000000-0010-0000-1900-000050000000}" name="Cuadro cojo en Snv y Tj" totalsRowFunction="sum" dataDxfId="295" totalsRowDxfId="294"/>
    <tableColumn id="81" xr3:uid="{00000000-0010-0000-1900-000051000000}" name="Poste" totalsRowFunction="sum" dataDxfId="293" totalsRowDxfId="292"/>
    <tableColumn id="82" xr3:uid="{00000000-0010-0000-1900-000052000000}" name="Tirante" totalsRowFunction="sum" dataDxfId="291" totalsRowDxfId="290"/>
    <tableColumn id="83" xr3:uid="{00000000-0010-0000-1900-000053000000}" name="Puntal de seguridad" totalsRowFunction="sum" dataDxfId="289" totalsRowDxfId="288"/>
    <tableColumn id="84" xr3:uid="{00000000-0010-0000-1900-000054000000}" name="Puntal en línea" totalsRowFunction="sum" dataDxfId="287" totalsRowDxfId="286"/>
    <tableColumn id="85" xr3:uid="{00000000-0010-0000-1900-000055000000}" name="Puntal de caja" totalsRowFunction="sum" dataDxfId="285" totalsRowDxfId="284"/>
    <tableColumn id="86" xr3:uid="{00000000-0010-0000-1900-000056000000}" name="Puntal de guardacabeza" totalsRowFunction="sum" dataDxfId="283" totalsRowDxfId="282"/>
    <tableColumn id="87" xr3:uid="{00000000-0010-0000-1900-000057000000}" name="Puntal de avance" totalsRowFunction="sum" dataDxfId="281" totalsRowDxfId="280"/>
    <tableColumn id="90" xr3:uid="{00000000-0010-0000-1900-00005A000000}" name="Puntal de 5&quot;" totalsRowFunction="sum" dataDxfId="279" totalsRowDxfId="278"/>
    <tableColumn id="91" xr3:uid="{00000000-0010-0000-1900-00005B000000}" name="Entablado" totalsRowFunction="sum" dataDxfId="277" totalsRowDxfId="276"/>
    <tableColumn id="92" xr3:uid="{00000000-0010-0000-1900-00005C000000}" name="Encribado" totalsRowFunction="sum" dataDxfId="275" totalsRowDxfId="274"/>
    <tableColumn id="93" xr3:uid="{00000000-0010-0000-1900-00005D000000}" name="Anillado" totalsRowFunction="sum" dataDxfId="273" totalsRowDxfId="272"/>
    <tableColumn id="94" xr3:uid="{00000000-0010-0000-1900-00005E000000}" name="Guardacabeza" totalsRowFunction="sum" dataDxfId="271" totalsRowDxfId="270"/>
    <tableColumn id="95" xr3:uid="{00000000-0010-0000-1900-00005F000000}" name="Embolillado" totalsRowFunction="sum" dataDxfId="269" totalsRowDxfId="268"/>
    <tableColumn id="96" xr3:uid="{00000000-0010-0000-1900-000060000000}" name="Barrera" totalsRowFunction="sum" dataDxfId="267" totalsRowDxfId="266">
      <calculatedColumnFormula>1.8*1.2</calculatedColumnFormula>
    </tableColumn>
    <tableColumn id="97" xr3:uid="{00000000-0010-0000-1900-000061000000}" name="Enrrejado" totalsRowFunction="sum" dataDxfId="265" totalsRowDxfId="264"/>
    <tableColumn id="98" xr3:uid="{00000000-0010-0000-1900-000062000000}" name="Plataforma Winche" totalsRowFunction="sum" dataDxfId="263" totalsRowDxfId="262"/>
    <tableColumn id="99" xr3:uid="{00000000-0010-0000-1900-000063000000}" name="Split Set 2'" totalsRowFunction="sum" dataDxfId="261" totalsRowDxfId="260"/>
    <tableColumn id="100" xr3:uid="{00000000-0010-0000-1900-000064000000}" name="Split Set 4' S/P" totalsRowFunction="sum" dataDxfId="259" totalsRowDxfId="258"/>
    <tableColumn id="101" xr3:uid="{00000000-0010-0000-1900-000065000000}" name="Split Set 4' C/P" totalsRowFunction="sum" dataDxfId="257" totalsRowDxfId="256"/>
    <tableColumn id="140" xr3:uid="{00000000-0010-0000-1900-00008C000000}" name="Split Set 5' S/P" dataDxfId="255" totalsRowDxfId="254"/>
    <tableColumn id="139" xr3:uid="{00000000-0010-0000-1900-00008B000000}" name="Split Set 5' C/P" dataDxfId="253" totalsRowDxfId="252"/>
    <tableColumn id="102" xr3:uid="{00000000-0010-0000-1900-000066000000}" name="Split Set 6' S/P" totalsRowFunction="sum" dataDxfId="251" totalsRowDxfId="250"/>
    <tableColumn id="103" xr3:uid="{00000000-0010-0000-1900-000067000000}" name="Split Set 6' C/P" totalsRowFunction="sum" dataDxfId="249" totalsRowDxfId="248"/>
    <tableColumn id="104" xr3:uid="{00000000-0010-0000-1900-000068000000}" name="Malla electrosoldada" totalsRowFunction="sum" dataDxfId="247" totalsRowDxfId="246"/>
    <tableColumn id="105" xr3:uid="{00000000-0010-0000-1900-000069000000}" name="Riel 30 lb/yd" totalsRowFunction="sum" dataDxfId="245" totalsRowDxfId="244"/>
    <tableColumn id="106" xr3:uid="{00000000-0010-0000-1900-00006A000000}" name="Escalera" totalsRowFunction="sum" dataDxfId="243" totalsRowDxfId="242"/>
    <tableColumn id="107" xr3:uid="{00000000-0010-0000-1900-00006B000000}" name="Descanso" totalsRowFunction="sum" dataDxfId="241" totalsRowDxfId="240"/>
    <tableColumn id="108" xr3:uid="{00000000-0010-0000-1900-00006C000000}" name="Durmiente" totalsRowFunction="sum" dataDxfId="239" totalsRowDxfId="238"/>
    <tableColumn id="109" xr3:uid="{00000000-0010-0000-1900-00006D000000}" name="Tolva americana en Snv y Tj" totalsRowFunction="sum" dataDxfId="237" totalsRowDxfId="236"/>
    <tableColumn id="110" xr3:uid="{00000000-0010-0000-1900-00006E000000}" name="Tolva colgante en Snv y Tj" totalsRowFunction="sum" dataDxfId="235" totalsRowDxfId="234"/>
    <tableColumn id="111" xr3:uid="{00000000-0010-0000-1900-00006F000000}" name="Taladros de servicio" totalsRowFunction="sum" dataDxfId="233" totalsRowDxfId="232"/>
    <tableColumn id="112" xr3:uid="{00000000-0010-0000-1900-000070000000}" name="PUNTAL 4&quot;" dataDxfId="231" totalsRowDxfId="230"/>
    <tableColumn id="113" xr3:uid="{00000000-0010-0000-1900-000071000000}" name="PUNTAL 5&quot;" dataDxfId="229" totalsRowDxfId="228"/>
    <tableColumn id="114" xr3:uid="{00000000-0010-0000-1900-000072000000}" name="PUNTAL 6&quot;" dataDxfId="227" totalsRowDxfId="226"/>
    <tableColumn id="115" xr3:uid="{00000000-0010-0000-1900-000073000000}" name="PUNTAL 7&quot;" dataDxfId="225" totalsRowDxfId="224"/>
    <tableColumn id="116" xr3:uid="{00000000-0010-0000-1900-000074000000}" name="PUNTAL 8&quot;" dataDxfId="223" totalsRowDxfId="222"/>
    <tableColumn id="117" xr3:uid="{00000000-0010-0000-1900-000075000000}" name="TOTAL REDONDOS" dataDxfId="221" totalsRowDxfId="220">
      <calculatedColumnFormula>+IF(BD_MO[[#This Row],[FECHA]]&lt;&gt;"",BD_MO[[#This Row],[PUNTAL 4"]]+BD_MO[[#This Row],[PUNTAL 5"]]+BD_MO[[#This Row],[PUNTAL 6"]]+BD_MO[[#This Row],[PUNTAL 7"]]+BD_MO[[#This Row],[PUNTAL 8"]],"")</calculatedColumnFormula>
    </tableColumn>
    <tableColumn id="118" xr3:uid="{00000000-0010-0000-1900-000076000000}" name="PUNTAL 7&quot;_4m" dataDxfId="219" totalsRowDxfId="218"/>
    <tableColumn id="119" xr3:uid="{00000000-0010-0000-1900-000077000000}" name="PUNTAL 8&quot;_4m" dataDxfId="217" totalsRowDxfId="216"/>
    <tableColumn id="120" xr3:uid="{00000000-0010-0000-1900-000078000000}" name="CANTONERA" dataDxfId="215" totalsRowDxfId="214"/>
    <tableColumn id="121" xr3:uid="{00000000-0010-0000-1900-000079000000}" name="DURMIENTE2" dataDxfId="213" totalsRowDxfId="212"/>
    <tableColumn id="122" xr3:uid="{00000000-0010-0000-1900-00007A000000}" name="ESCALERA 4m" dataDxfId="211" totalsRowDxfId="210"/>
    <tableColumn id="123" xr3:uid="{00000000-0010-0000-1900-00007B000000}" name="LISTONES" dataDxfId="209" totalsRowDxfId="208"/>
    <tableColumn id="124" xr3:uid="{00000000-0010-0000-1900-00007C000000}" name="TABLA 1&quot;x8&quot;x3m" dataDxfId="207" totalsRowDxfId="206"/>
    <tableColumn id="125" xr3:uid="{00000000-0010-0000-1900-00007D000000}" name="TABLA 2&quot;x8&quot;x3m" dataDxfId="205" totalsRowDxfId="204"/>
    <tableColumn id="126" xr3:uid="{00000000-0010-0000-1900-00007E000000}" name="CAÑAS UND." dataDxfId="203" totalsRowDxfId="202"/>
    <tableColumn id="127" xr3:uid="{00000000-0010-0000-1900-00007F000000}" name="KG. MADERA REDONDA" totalsRowFunction="sum" dataDxfId="201" totalsRowDxfId="200">
      <calculatedColumnFormula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calculatedColumnFormula>
    </tableColumn>
    <tableColumn id="128" xr3:uid="{00000000-0010-0000-1900-000080000000}" name="PIE2 MADERA ASERRADA" totalsRowFunction="sum" dataDxfId="199" totalsRowDxfId="198">
      <calculatedColumnFormula>+IF(BD_MO[[#This Row],[FECHA]]&lt;&gt;"",BD_MO[[#This Row],[DURMIENTE2]]*6.561+BD_MO[[#This Row],[LISTONES]]*4.921+BD_MO[[#This Row],[TABLA 1"x8"x3m]]*6.561+BD_MO[[#This Row],[TABLA 2"x8"x3m]]*13.122,"")</calculatedColumnFormula>
    </tableColumn>
    <tableColumn id="88" xr3:uid="{00000000-0010-0000-1900-000058000000}" name="KG MADERA ASERRADA" totalsRowFunction="sum" dataDxfId="197" totalsRowDxfId="196">
      <calculatedColumnFormula>+IF(BD_MO[[#This Row],[FECHA]]&lt;&gt;"",BD_MO[[#This Row],[PIE2 MADERA ASERRADA]]*1.95,"")</calculatedColumnFormula>
    </tableColumn>
    <tableColumn id="89" xr3:uid="{00000000-0010-0000-1900-000059000000}" name="KG MADERA TOTAL" totalsRowFunction="sum" dataDxfId="195" totalsRowDxfId="194">
      <calculatedColumnFormula>+IF(BD_MO[[#This Row],[FECHA]]&lt;&gt;"",BD_MO[[#This Row],[KG. MADERA REDONDA]]+BD_MO[[#This Row],[KG MADERA ASERRADA]],"")</calculatedColumnFormula>
    </tableColumn>
    <tableColumn id="35" xr3:uid="{00000000-0010-0000-1900-000023000000}" name="COSTO MADERA" totalsRowFunction="sum" dataDxfId="193" totalsRowDxfId="192">
      <calculatedColumnFormula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calculatedColumnFormula>
    </tableColumn>
    <tableColumn id="36" xr3:uid="{00000000-0010-0000-1900-000024000000}" name="PALA" dataDxfId="191" totalsRowDxfId="190"/>
    <tableColumn id="37" xr3:uid="{00000000-0010-0000-1900-000025000000}" name="HRS. PALA" dataDxfId="189" totalsRowDxfId="188"/>
    <tableColumn id="38" xr3:uid="{00000000-0010-0000-1900-000026000000}" name="WINCHE" dataDxfId="187" totalsRowDxfId="186"/>
    <tableColumn id="39" xr3:uid="{00000000-0010-0000-1900-000027000000}" name="HRS. WINCHE" dataDxfId="185" totalsRowDxfId="184"/>
    <tableColumn id="34" xr3:uid="{00000000-0010-0000-1900-000022000000}" name="AVANCE TEÓRICO" totalsRowFunction="sum" dataDxfId="183" totalsRowDxfId="182">
      <calculatedColumnFormula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calculatedColumnFormula>
    </tableColumn>
    <tableColumn id="42" xr3:uid="{00000000-0010-0000-1900-00002A000000}" name="ANCHO LABOR" dataDxfId="181" totalsRowDxfId="180"/>
    <tableColumn id="43" xr3:uid="{00000000-0010-0000-1900-00002B000000}" name="L2/Altura" dataDxfId="179" totalsRowDxfId="178"/>
    <tableColumn id="45" xr3:uid="{00000000-0010-0000-1900-00002D000000}" name="LONG. CORTE" dataDxfId="177" totalsRowDxfId="176">
      <calculatedColumnFormula>+IF(AND(BD_MO[[#This Row],[PRINCIPAL TAREA]]="2 Voladura",BD_MO[[#This Row],[TIPO LABOR]]="TAJO"),IF(BD_MO[[#This Row],[ANCHO LABOR]]&lt;=0.7,ROUND(BD_MO[[#This Row],[N°  TOTAL TALADROS]]*7/30,2),ROUND(BD_MO[[#This Row],[N°  TOTAL TALADROS]]*7/50,2)),"")</calculatedColumnFormula>
    </tableColumn>
    <tableColumn id="46" xr3:uid="{00000000-0010-0000-1900-00002E000000}" name="AV*LC" dataDxfId="175" totalsRowDxfId="174">
      <calculatedColumnFormula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calculatedColumnFormula>
    </tableColumn>
    <tableColumn id="47" xr3:uid="{00000000-0010-0000-1900-00002F000000}" name="ROTURA TMH TEORICO" dataDxfId="173" totalsRowDxfId="172">
      <calculatedColumnFormula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calculatedColumnFormula>
    </tableColumn>
    <tableColumn id="48" xr3:uid="{00000000-0010-0000-1900-000030000000}" name="ROTURA TMH" totalsRowFunction="sum" dataDxfId="171" totalsRowDxfId="170">
      <calculatedColumnFormula>0.4711*21</calculatedColumnFormula>
    </tableColumn>
    <tableColumn id="49" xr3:uid="{00000000-0010-0000-1900-000031000000}" name="ROTURA (m3)" dataDxfId="169" totalsRowDxfId="168">
      <calculatedColumnFormula>+IF(BD_MO[[#This Row],[M o D]]&lt;&gt;"",IF(BD_MO[[#This Row],[M o D]]="M",BD_MO[[#This Row],[ROTURA TMH]]/2.65,BD_MO[[#This Row],[ROTURA TMH]]/2.4),"")</calculatedColumnFormula>
    </tableColumn>
    <tableColumn id="50" xr3:uid="{00000000-0010-0000-1900-000032000000}" name="AVANCE (m)" totalsRowFunction="sum" dataDxfId="167" totalsRowDxfId="166"/>
    <tableColumn id="18" xr3:uid="{00000000-0010-0000-1900-000012000000}" name="EFICIENCIA DE VOLADURA (%)" dataDxfId="165" totalsRowDxfId="164">
      <calculatedColumnFormula>(BD_MO[[#This Row],[AVANCE (m)]]/BD_MO[[#This Row],[AVANCE TEÓRICO]])*100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_Fc" displayName="TB_Fc" ref="J1:J2" totalsRowShown="0">
  <autoFilter ref="J1:J2" xr:uid="{00000000-0009-0000-0100-000004000000}">
    <filterColumn colId="0" hiddenButton="1"/>
  </autoFilter>
  <tableColumns count="1">
    <tableColumn id="1" xr3:uid="{00000000-0010-0000-0200-000001000000}" name="Fc" dataDxfId="530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8" displayName="Tabla8" ref="L1:Q16" totalsRowShown="0">
  <autoFilter ref="L1:Q16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300-000001000000}" name="ABR"/>
    <tableColumn id="2" xr3:uid="{00000000-0010-0000-0300-000002000000}" name="LABOR"/>
    <tableColumn id="11" xr3:uid="{00000000-0010-0000-0300-00000B000000}" name="SECCION"/>
    <tableColumn id="12" xr3:uid="{00000000-0010-0000-0300-00000C000000}" name="BASE_M" dataDxfId="529">
      <calculatedColumnFormula>VLOOKUP(Tabla8[[#This Row],[SECCION]],TB_SECCION[],4,0)</calculatedColumnFormula>
    </tableColumn>
    <tableColumn id="13" xr3:uid="{00000000-0010-0000-0300-00000D000000}" name="ALTURA_M" dataDxfId="528">
      <calculatedColumnFormula>VLOOKUP(Tabla8[[#This Row],[SECCION]],TB_SECCION[],5,0)</calculatedColumnFormula>
    </tableColumn>
    <tableColumn id="14" xr3:uid="{00000000-0010-0000-0300-00000E000000}" name="AREA_M2" dataDxfId="527">
      <calculatedColumnFormula>VLOOKUP(Tabla8[[#This Row],[SECCION]],TB_SECCION[],6,0)</calculatedColumn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B_CONVERSION" displayName="TB_CONVERSION" ref="J4:J5" totalsRowShown="0" dataDxfId="526">
  <autoFilter ref="J4:J5" xr:uid="{00000000-0009-0000-0100-000006000000}">
    <filterColumn colId="0" hiddenButton="1"/>
  </autoFilter>
  <tableColumns count="1">
    <tableColumn id="1" xr3:uid="{00000000-0010-0000-0400-000001000000}" name="CONVERSION" dataDxfId="52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B_SECCION" displayName="TB_SECCION" ref="A8:F16" totalsRowShown="0">
  <autoFilter ref="A8:F16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500-000001000000}" name="SECCION"/>
    <tableColumn id="2" xr3:uid="{00000000-0010-0000-0500-000002000000}" name="BASE_P" dataDxfId="524"/>
    <tableColumn id="3" xr3:uid="{00000000-0010-0000-0500-000003000000}" name="ALTURA_P" dataDxfId="523">
      <calculatedColumnFormula>_xlfn.NUMBERVALUE(RIGHT(A9,1))</calculatedColumnFormula>
    </tableColumn>
    <tableColumn id="4" xr3:uid="{00000000-0010-0000-0500-000004000000}" name="BASE_M" dataDxfId="522">
      <calculatedColumnFormula>ROUND(TB_SECCION[[#This Row],[BASE_P]]/TB_CONVERSION[CONVERSION],1)</calculatedColumnFormula>
    </tableColumn>
    <tableColumn id="5" xr3:uid="{00000000-0010-0000-0500-000005000000}" name="ALTURA_M" dataDxfId="521">
      <calculatedColumnFormula>ROUND(TB_SECCION[[#This Row],[ALTURA_P]]/TB_CONVERSION[CONVERSION],1)</calculatedColumnFormula>
    </tableColumn>
    <tableColumn id="6" xr3:uid="{00000000-0010-0000-0500-000006000000}" name="AREA_M2" dataDxfId="520">
      <calculatedColumnFormula>TB_SECCION[[#This Row],[BASE_M]]*TB_SECCION[[#This Row],[ALTURA_M]]</calculatedColumnFormula>
    </tableColumn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B_SEMANA" displayName="TB_SEMANA" ref="S1:X53" totalsRowShown="0">
  <autoFilter ref="S1:X53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600-000001000000}" name="SEMANA"/>
    <tableColumn id="2" xr3:uid="{00000000-0010-0000-0600-000002000000}" name="FECHA_INI" dataDxfId="519">
      <calculatedColumnFormula>U1+1</calculatedColumnFormula>
    </tableColumn>
    <tableColumn id="3" xr3:uid="{00000000-0010-0000-0600-000003000000}" name="FECHA_FIN" dataDxfId="518"/>
    <tableColumn id="5" xr3:uid="{00000000-0010-0000-0600-000005000000}" name="FIN_MES" dataDxfId="517">
      <calculatedColumnFormula>EOMONTH(TB_SEMANA[[#This Row],[FECHA_INI]],0)</calculatedColumnFormula>
    </tableColumn>
    <tableColumn id="4" xr3:uid="{00000000-0010-0000-0600-000004000000}" name="INI_MES" dataDxfId="516">
      <calculatedColumnFormula>TB_SEMANA[[#This Row],[FIN_MES]]+1</calculatedColumnFormula>
    </tableColumn>
    <tableColumn id="6" xr3:uid="{00000000-0010-0000-0600-000006000000}" name="CIERRE" dataDxfId="515">
      <calculatedColumnFormula>IF(MONTH(TB_SEMANA[[#This Row],[FECHA_INI]])=MONTH(TB_SEMANA[[#This Row],[FECHA_FIN]]),"NO","SI")</calculatedColumnFormula>
    </tableColumn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a31" displayName="Tabla31" ref="Z1:AC13" totalsRowShown="0">
  <autoFilter ref="Z1:AC13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MES"/>
    <tableColumn id="2" xr3:uid="{00000000-0010-0000-0700-000002000000}" name="FECHA_INI" dataDxfId="514"/>
    <tableColumn id="3" xr3:uid="{00000000-0010-0000-0700-000003000000}" name="FECHA_FIN" dataDxfId="513">
      <calculatedColumnFormula>EOMONTH(Tabla31[[#This Row],[FECHA_INI]],0)</calculatedColumnFormula>
    </tableColumn>
    <tableColumn id="4" xr3:uid="{00000000-0010-0000-0700-000004000000}" name="N_DIAS" dataDxfId="512">
      <calculatedColumnFormula>Tabla31[[#This Row],[FECHA_FIN]]-Tabla31[[#This Row],[FECHA_INI]]+1</calculatedColumnFormula>
    </tableColumn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B_T_SEMANA" displayName="TB_T_SEMANA" ref="J7:J10" totalsRowShown="0">
  <autoFilter ref="J7:J10" xr:uid="{00000000-0009-0000-0100-00000A000000}">
    <filterColumn colId="0" hiddenButton="1"/>
  </autoFilter>
  <tableColumns count="1">
    <tableColumn id="1" xr3:uid="{00000000-0010-0000-0800-000001000000}" name="TIPO_SEMAN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rgb="FFFFC000"/>
  </sheetPr>
  <dimension ref="A1:AZ53"/>
  <sheetViews>
    <sheetView showGridLines="0" topLeftCell="S1" workbookViewId="0">
      <selection activeCell="Y12" sqref="Y12"/>
    </sheetView>
  </sheetViews>
  <sheetFormatPr baseColWidth="10" defaultRowHeight="15" x14ac:dyDescent="0.25"/>
  <cols>
    <col min="1" max="1" width="8.7109375" bestFit="1" customWidth="1"/>
    <col min="2" max="2" width="7.5703125" bestFit="1" customWidth="1"/>
    <col min="3" max="3" width="10.85546875" bestFit="1" customWidth="1"/>
    <col min="4" max="4" width="10.42578125" bestFit="1" customWidth="1"/>
    <col min="6" max="6" width="10.85546875" bestFit="1" customWidth="1"/>
    <col min="7" max="7" width="12.28515625" customWidth="1"/>
    <col min="8" max="8" width="10.42578125" bestFit="1" customWidth="1"/>
    <col min="10" max="10" width="15.42578125" customWidth="1"/>
    <col min="12" max="12" width="4.85546875" customWidth="1"/>
    <col min="13" max="13" width="17.28515625" bestFit="1" customWidth="1"/>
    <col min="19" max="19" width="8.85546875" bestFit="1" customWidth="1"/>
    <col min="20" max="20" width="10.28515625" bestFit="1" customWidth="1"/>
    <col min="21" max="21" width="10.7109375" bestFit="1" customWidth="1"/>
    <col min="22" max="22" width="8.85546875" bestFit="1" customWidth="1"/>
    <col min="23" max="23" width="8.42578125" bestFit="1" customWidth="1"/>
    <col min="24" max="24" width="7" bestFit="1" customWidth="1"/>
    <col min="26" max="26" width="11.7109375" bestFit="1" customWidth="1"/>
    <col min="27" max="27" width="10.28515625" bestFit="1" customWidth="1"/>
    <col min="28" max="28" width="10.7109375" bestFit="1" customWidth="1"/>
    <col min="29" max="29" width="7.5703125" bestFit="1" customWidth="1"/>
    <col min="31" max="31" width="10.28515625" style="12" bestFit="1" customWidth="1"/>
    <col min="32" max="32" width="25.7109375" style="12" bestFit="1" customWidth="1"/>
    <col min="33" max="33" width="12.85546875" style="12" bestFit="1" customWidth="1"/>
    <col min="34" max="34" width="13.7109375" style="12" bestFit="1" customWidth="1"/>
    <col min="35" max="35" width="12.5703125" style="12" bestFit="1" customWidth="1"/>
    <col min="38" max="38" width="21.85546875" bestFit="1" customWidth="1"/>
    <col min="40" max="40" width="21.5703125" bestFit="1" customWidth="1"/>
    <col min="43" max="43" width="11.42578125" style="12"/>
    <col min="44" max="44" width="28.42578125" style="12" bestFit="1" customWidth="1"/>
    <col min="45" max="45" width="12.5703125" style="12" bestFit="1" customWidth="1"/>
    <col min="46" max="46" width="15.140625" style="12" bestFit="1" customWidth="1"/>
    <col min="47" max="47" width="11.42578125" style="12"/>
    <col min="49" max="49" width="17.5703125" customWidth="1"/>
    <col min="51" max="51" width="34.28515625" bestFit="1" customWidth="1"/>
    <col min="52" max="52" width="12.5703125" style="12" bestFit="1" customWidth="1"/>
  </cols>
  <sheetData>
    <row r="1" spans="1:52" x14ac:dyDescent="0.25">
      <c r="A1" t="s">
        <v>10425</v>
      </c>
      <c r="B1" t="s">
        <v>10426</v>
      </c>
      <c r="C1" t="s">
        <v>10427</v>
      </c>
      <c r="D1" t="s">
        <v>10428</v>
      </c>
      <c r="F1" t="s">
        <v>10429</v>
      </c>
      <c r="G1" t="s">
        <v>10430</v>
      </c>
      <c r="H1" t="s">
        <v>10431</v>
      </c>
      <c r="J1" t="s">
        <v>10432</v>
      </c>
      <c r="L1" t="s">
        <v>10433</v>
      </c>
      <c r="M1" t="s">
        <v>1</v>
      </c>
      <c r="N1" t="s">
        <v>10434</v>
      </c>
      <c r="O1" t="s">
        <v>10435</v>
      </c>
      <c r="P1" t="s">
        <v>10436</v>
      </c>
      <c r="Q1" t="s">
        <v>10437</v>
      </c>
      <c r="S1" t="s">
        <v>10438</v>
      </c>
      <c r="T1" t="s">
        <v>10439</v>
      </c>
      <c r="U1" t="s">
        <v>10440</v>
      </c>
      <c r="V1" t="s">
        <v>10441</v>
      </c>
      <c r="W1" t="s">
        <v>10442</v>
      </c>
      <c r="X1" t="s">
        <v>10443</v>
      </c>
      <c r="Z1" t="s">
        <v>10444</v>
      </c>
      <c r="AA1" t="s">
        <v>10439</v>
      </c>
      <c r="AB1" t="s">
        <v>10440</v>
      </c>
      <c r="AC1" t="s">
        <v>10445</v>
      </c>
      <c r="AE1" s="12" t="s">
        <v>10608</v>
      </c>
      <c r="AF1" s="12" t="s">
        <v>10609</v>
      </c>
      <c r="AG1" s="12" t="s">
        <v>10610</v>
      </c>
      <c r="AH1" s="12" t="s">
        <v>10611</v>
      </c>
      <c r="AI1" s="12" t="s">
        <v>10612</v>
      </c>
      <c r="AK1" s="12" t="s">
        <v>10608</v>
      </c>
      <c r="AL1" s="12" t="s">
        <v>10609</v>
      </c>
      <c r="AM1" s="12" t="s">
        <v>10610</v>
      </c>
      <c r="AN1" s="12" t="s">
        <v>10611</v>
      </c>
      <c r="AO1" s="12" t="s">
        <v>10612</v>
      </c>
      <c r="AQ1" s="12" t="s">
        <v>10608</v>
      </c>
      <c r="AR1" s="12" t="s">
        <v>10609</v>
      </c>
      <c r="AS1" s="12" t="s">
        <v>10610</v>
      </c>
      <c r="AT1" s="12" t="s">
        <v>10611</v>
      </c>
      <c r="AU1" s="12" t="s">
        <v>10612</v>
      </c>
      <c r="AW1" s="11" t="s">
        <v>10711</v>
      </c>
      <c r="AY1" t="s">
        <v>10715</v>
      </c>
      <c r="AZ1" s="12" t="s">
        <v>10716</v>
      </c>
    </row>
    <row r="2" spans="1:52" x14ac:dyDescent="0.25">
      <c r="A2" t="s">
        <v>10446</v>
      </c>
      <c r="B2" t="s">
        <v>10447</v>
      </c>
      <c r="C2" t="s">
        <v>10448</v>
      </c>
      <c r="D2">
        <v>0</v>
      </c>
      <c r="F2" t="s">
        <v>10449</v>
      </c>
      <c r="G2" s="2">
        <v>2.65</v>
      </c>
      <c r="H2" s="3">
        <v>5.5E-2</v>
      </c>
      <c r="J2" s="4">
        <v>1.1023000000000001</v>
      </c>
      <c r="L2" t="s">
        <v>10450</v>
      </c>
      <c r="M2" t="s">
        <v>10451</v>
      </c>
      <c r="N2" t="s">
        <v>10452</v>
      </c>
      <c r="O2" s="5">
        <f>VLOOKUP(Tabla8[[#This Row],[SECCION]],TB_SECCION[],4,0)</f>
        <v>2.1</v>
      </c>
      <c r="P2" s="5">
        <f>VLOOKUP(Tabla8[[#This Row],[SECCION]],TB_SECCION[],5,0)</f>
        <v>2.4</v>
      </c>
      <c r="Q2" s="6">
        <f>VLOOKUP(Tabla8[[#This Row],[SECCION]],TB_SECCION[],6,0)</f>
        <v>5.04</v>
      </c>
      <c r="S2" t="s">
        <v>10453</v>
      </c>
      <c r="T2" s="7">
        <v>44197</v>
      </c>
      <c r="U2" s="7">
        <f>T2+6</f>
        <v>44203</v>
      </c>
      <c r="V2" s="7">
        <f>EOMONTH(TB_SEMANA[[#This Row],[FECHA_INI]],0)</f>
        <v>44227</v>
      </c>
      <c r="W2" s="7">
        <f>TB_SEMANA[[#This Row],[FIN_MES]]+1</f>
        <v>44228</v>
      </c>
      <c r="X2" s="1" t="str">
        <f>IF(MONTH(TB_SEMANA[[#This Row],[FECHA_INI]])=MONTH(TB_SEMANA[[#This Row],[FECHA_FIN]]),"NO","SI")</f>
        <v>NO</v>
      </c>
      <c r="Z2" t="s">
        <v>10454</v>
      </c>
      <c r="AA2" s="7">
        <v>44197</v>
      </c>
      <c r="AB2" s="7">
        <f>EOMONTH(Tabla31[[#This Row],[FECHA_INI]],0)</f>
        <v>44227</v>
      </c>
      <c r="AC2">
        <f>Tabla31[[#This Row],[FECHA_FIN]]-Tabla31[[#This Row],[FECHA_INI]]+1</f>
        <v>31</v>
      </c>
      <c r="AE2" s="12" t="s">
        <v>10613</v>
      </c>
      <c r="AF2" s="12" t="s">
        <v>10614</v>
      </c>
      <c r="AG2" s="12" t="s">
        <v>10623</v>
      </c>
      <c r="AH2" s="12" t="s">
        <v>10624</v>
      </c>
      <c r="AI2" s="12" t="s">
        <v>10616</v>
      </c>
      <c r="AK2" s="12" t="s">
        <v>10613</v>
      </c>
      <c r="AL2" s="12" t="s">
        <v>10617</v>
      </c>
      <c r="AM2" s="12" t="s">
        <v>10618</v>
      </c>
      <c r="AN2" s="12" t="s">
        <v>10619</v>
      </c>
      <c r="AO2" s="12" t="s">
        <v>10616</v>
      </c>
      <c r="AQ2" s="12" t="s">
        <v>10613</v>
      </c>
      <c r="AR2" s="12" t="s">
        <v>10620</v>
      </c>
      <c r="AS2" s="12" t="s">
        <v>10621</v>
      </c>
      <c r="AT2" s="12" t="s">
        <v>10622</v>
      </c>
      <c r="AU2" s="12" t="s">
        <v>10616</v>
      </c>
      <c r="AW2" s="13" t="s">
        <v>10648</v>
      </c>
      <c r="AY2" t="s">
        <v>10712</v>
      </c>
      <c r="AZ2" s="25">
        <v>9.4700000000000006E-2</v>
      </c>
    </row>
    <row r="3" spans="1:52" x14ac:dyDescent="0.25">
      <c r="A3" t="s">
        <v>10455</v>
      </c>
      <c r="B3" t="s">
        <v>10456</v>
      </c>
      <c r="C3" t="s">
        <v>10457</v>
      </c>
      <c r="D3">
        <v>0</v>
      </c>
      <c r="F3" t="s">
        <v>10458</v>
      </c>
      <c r="G3" s="2">
        <v>2.4</v>
      </c>
      <c r="H3" s="3">
        <v>5.5E-2</v>
      </c>
      <c r="L3" t="s">
        <v>10459</v>
      </c>
      <c r="M3" t="s">
        <v>10460</v>
      </c>
      <c r="N3" t="s">
        <v>10452</v>
      </c>
      <c r="O3" s="5">
        <f>VLOOKUP(Tabla8[[#This Row],[SECCION]],TB_SECCION[],4,0)</f>
        <v>2.1</v>
      </c>
      <c r="P3" s="5">
        <f>VLOOKUP(Tabla8[[#This Row],[SECCION]],TB_SECCION[],5,0)</f>
        <v>2.4</v>
      </c>
      <c r="Q3" s="6">
        <f>VLOOKUP(Tabla8[[#This Row],[SECCION]],TB_SECCION[],6,0)</f>
        <v>5.04</v>
      </c>
      <c r="S3" t="s">
        <v>10461</v>
      </c>
      <c r="T3" s="7">
        <f>U2+1</f>
        <v>44204</v>
      </c>
      <c r="U3" s="7">
        <f t="shared" ref="U3:U52" si="0">T3+6</f>
        <v>44210</v>
      </c>
      <c r="V3" s="7">
        <f>EOMONTH(TB_SEMANA[[#This Row],[FECHA_INI]],0)</f>
        <v>44227</v>
      </c>
      <c r="W3" s="7">
        <f>TB_SEMANA[[#This Row],[FIN_MES]]+1</f>
        <v>44228</v>
      </c>
      <c r="X3" s="1" t="str">
        <f>IF(MONTH(TB_SEMANA[[#This Row],[FECHA_INI]])=MONTH(TB_SEMANA[[#This Row],[FECHA_FIN]]),"NO","SI")</f>
        <v>NO</v>
      </c>
      <c r="Z3" t="s">
        <v>10462</v>
      </c>
      <c r="AA3" s="7">
        <v>44228</v>
      </c>
      <c r="AB3" s="7">
        <f>EOMONTH(Tabla31[[#This Row],[FECHA_INI]],0)</f>
        <v>44255</v>
      </c>
      <c r="AC3">
        <f>Tabla31[[#This Row],[FECHA_FIN]]-Tabla31[[#This Row],[FECHA_INI]]+1</f>
        <v>28</v>
      </c>
      <c r="AE3" s="12" t="s">
        <v>10613</v>
      </c>
      <c r="AF3" s="12" t="s">
        <v>10614</v>
      </c>
      <c r="AG3" s="12" t="s">
        <v>10630</v>
      </c>
      <c r="AH3" s="12" t="s">
        <v>10631</v>
      </c>
      <c r="AI3" s="12" t="s">
        <v>10616</v>
      </c>
      <c r="AK3" s="12" t="s">
        <v>10613</v>
      </c>
      <c r="AL3" s="12" t="s">
        <v>10617</v>
      </c>
      <c r="AM3" s="12" t="s">
        <v>10625</v>
      </c>
      <c r="AN3" s="12" t="s">
        <v>10626</v>
      </c>
      <c r="AO3" s="12" t="s">
        <v>10616</v>
      </c>
      <c r="AQ3" s="12" t="s">
        <v>10613</v>
      </c>
      <c r="AR3" s="12" t="s">
        <v>10627</v>
      </c>
      <c r="AS3" s="12" t="s">
        <v>10628</v>
      </c>
      <c r="AT3" s="12" t="s">
        <v>10629</v>
      </c>
      <c r="AU3" s="12" t="s">
        <v>10616</v>
      </c>
      <c r="AW3" s="13" t="s">
        <v>10656</v>
      </c>
      <c r="AZ3" s="25"/>
    </row>
    <row r="4" spans="1:52" x14ac:dyDescent="0.25">
      <c r="A4" t="s">
        <v>10463</v>
      </c>
      <c r="B4" t="s">
        <v>10464</v>
      </c>
      <c r="C4" t="s">
        <v>10465</v>
      </c>
      <c r="D4">
        <v>0.05</v>
      </c>
      <c r="J4" t="s">
        <v>10466</v>
      </c>
      <c r="L4" t="s">
        <v>10467</v>
      </c>
      <c r="M4" t="s">
        <v>10468</v>
      </c>
      <c r="N4" t="s">
        <v>10469</v>
      </c>
      <c r="O4" s="5">
        <f>VLOOKUP(Tabla8[[#This Row],[SECCION]],TB_SECCION[],4,0)</f>
        <v>2.4</v>
      </c>
      <c r="P4" s="5">
        <f>VLOOKUP(Tabla8[[#This Row],[SECCION]],TB_SECCION[],5,0)</f>
        <v>1.2</v>
      </c>
      <c r="Q4" s="6">
        <f>VLOOKUP(Tabla8[[#This Row],[SECCION]],TB_SECCION[],6,0)</f>
        <v>2.88</v>
      </c>
      <c r="S4" t="s">
        <v>10470</v>
      </c>
      <c r="T4" s="7">
        <f t="shared" ref="T4:T53" si="1">U3+1</f>
        <v>44211</v>
      </c>
      <c r="U4" s="7">
        <f t="shared" si="0"/>
        <v>44217</v>
      </c>
      <c r="V4" s="7">
        <f>EOMONTH(TB_SEMANA[[#This Row],[FECHA_INI]],0)</f>
        <v>44227</v>
      </c>
      <c r="W4" s="7">
        <f>TB_SEMANA[[#This Row],[FIN_MES]]+1</f>
        <v>44228</v>
      </c>
      <c r="X4" s="1" t="str">
        <f>IF(MONTH(TB_SEMANA[[#This Row],[FECHA_INI]])=MONTH(TB_SEMANA[[#This Row],[FECHA_FIN]]),"NO","SI")</f>
        <v>NO</v>
      </c>
      <c r="Z4" t="s">
        <v>10471</v>
      </c>
      <c r="AA4" s="7">
        <v>44256</v>
      </c>
      <c r="AB4" s="7">
        <f>EOMONTH(Tabla31[[#This Row],[FECHA_INI]],0)</f>
        <v>44286</v>
      </c>
      <c r="AC4">
        <f>Tabla31[[#This Row],[FECHA_FIN]]-Tabla31[[#This Row],[FECHA_INI]]+1</f>
        <v>31</v>
      </c>
      <c r="AE4" s="12" t="s">
        <v>10613</v>
      </c>
      <c r="AF4" s="12" t="s">
        <v>10614</v>
      </c>
      <c r="AG4" s="12" t="s">
        <v>10637</v>
      </c>
      <c r="AH4" s="12">
        <v>184126</v>
      </c>
      <c r="AI4" s="12" t="s">
        <v>10616</v>
      </c>
      <c r="AK4" s="12" t="s">
        <v>10613</v>
      </c>
      <c r="AL4" s="12" t="s">
        <v>10617</v>
      </c>
      <c r="AM4" s="12" t="s">
        <v>10632</v>
      </c>
      <c r="AN4" s="12" t="s">
        <v>10633</v>
      </c>
      <c r="AO4" s="12" t="s">
        <v>10634</v>
      </c>
      <c r="AQ4" s="12" t="s">
        <v>10613</v>
      </c>
      <c r="AR4" s="12" t="s">
        <v>10635</v>
      </c>
      <c r="AS4" s="12" t="s">
        <v>10636</v>
      </c>
      <c r="AU4" s="12" t="s">
        <v>10616</v>
      </c>
      <c r="AW4" s="13" t="s">
        <v>10662</v>
      </c>
      <c r="AY4" t="s">
        <v>10715</v>
      </c>
      <c r="AZ4" s="12" t="s">
        <v>10716</v>
      </c>
    </row>
    <row r="5" spans="1:52" x14ac:dyDescent="0.25">
      <c r="A5" t="s">
        <v>10472</v>
      </c>
      <c r="B5" t="s">
        <v>10473</v>
      </c>
      <c r="C5" t="s">
        <v>10474</v>
      </c>
      <c r="D5">
        <v>0.1</v>
      </c>
      <c r="J5" s="8">
        <v>3.28084</v>
      </c>
      <c r="L5" t="s">
        <v>10467</v>
      </c>
      <c r="M5" t="s">
        <v>10475</v>
      </c>
      <c r="N5" t="s">
        <v>10476</v>
      </c>
      <c r="O5" s="5">
        <f>VLOOKUP(Tabla8[[#This Row],[SECCION]],TB_SECCION[],4,0)</f>
        <v>1.2</v>
      </c>
      <c r="P5" s="5">
        <f>VLOOKUP(Tabla8[[#This Row],[SECCION]],TB_SECCION[],5,0)</f>
        <v>1.8</v>
      </c>
      <c r="Q5" s="6">
        <f>VLOOKUP(Tabla8[[#This Row],[SECCION]],TB_SECCION[],6,0)</f>
        <v>2.16</v>
      </c>
      <c r="S5" t="s">
        <v>10477</v>
      </c>
      <c r="T5" s="7">
        <f t="shared" si="1"/>
        <v>44218</v>
      </c>
      <c r="U5" s="7">
        <f t="shared" si="0"/>
        <v>44224</v>
      </c>
      <c r="V5" s="7">
        <f>EOMONTH(TB_SEMANA[[#This Row],[FECHA_INI]],0)</f>
        <v>44227</v>
      </c>
      <c r="W5" s="7">
        <f>TB_SEMANA[[#This Row],[FIN_MES]]+1</f>
        <v>44228</v>
      </c>
      <c r="X5" s="1" t="str">
        <f>IF(MONTH(TB_SEMANA[[#This Row],[FECHA_INI]])=MONTH(TB_SEMANA[[#This Row],[FECHA_FIN]]),"NO","SI")</f>
        <v>NO</v>
      </c>
      <c r="Z5" t="s">
        <v>10478</v>
      </c>
      <c r="AA5" s="7">
        <v>44287</v>
      </c>
      <c r="AB5" s="7">
        <f>EOMONTH(Tabla31[[#This Row],[FECHA_INI]],0)</f>
        <v>44316</v>
      </c>
      <c r="AC5">
        <f>Tabla31[[#This Row],[FECHA_FIN]]-Tabla31[[#This Row],[FECHA_INI]]+1</f>
        <v>30</v>
      </c>
      <c r="AE5" s="12" t="s">
        <v>10613</v>
      </c>
      <c r="AF5" s="12" t="s">
        <v>10614</v>
      </c>
      <c r="AG5" s="12" t="s">
        <v>10615</v>
      </c>
      <c r="AI5" s="12" t="s">
        <v>10616</v>
      </c>
      <c r="AK5" s="12" t="s">
        <v>10613</v>
      </c>
      <c r="AL5" s="12" t="s">
        <v>10617</v>
      </c>
      <c r="AM5" s="12" t="s">
        <v>10638</v>
      </c>
      <c r="AN5" s="12" t="s">
        <v>10639</v>
      </c>
      <c r="AO5" s="12" t="s">
        <v>10616</v>
      </c>
      <c r="AQ5" s="12" t="s">
        <v>10613</v>
      </c>
      <c r="AR5" s="12" t="s">
        <v>10635</v>
      </c>
      <c r="AS5" s="12" t="s">
        <v>10640</v>
      </c>
      <c r="AU5" s="12" t="s">
        <v>10616</v>
      </c>
      <c r="AW5" s="13" t="s">
        <v>10669</v>
      </c>
      <c r="AY5" t="s">
        <v>10714</v>
      </c>
      <c r="AZ5" s="25">
        <v>9.6153846153846201E-2</v>
      </c>
    </row>
    <row r="6" spans="1:52" x14ac:dyDescent="0.25">
      <c r="A6" t="s">
        <v>10479</v>
      </c>
      <c r="B6" t="s">
        <v>10480</v>
      </c>
      <c r="C6" t="s">
        <v>10481</v>
      </c>
      <c r="D6">
        <v>0.1</v>
      </c>
      <c r="L6" t="s">
        <v>10482</v>
      </c>
      <c r="M6" t="s">
        <v>10483</v>
      </c>
      <c r="N6" t="s">
        <v>10484</v>
      </c>
      <c r="O6" s="5">
        <f>VLOOKUP(Tabla8[[#This Row],[SECCION]],TB_SECCION[],4,0)</f>
        <v>3</v>
      </c>
      <c r="P6" s="5">
        <f>VLOOKUP(Tabla8[[#This Row],[SECCION]],TB_SECCION[],5,0)</f>
        <v>1.8</v>
      </c>
      <c r="Q6" s="6">
        <f>VLOOKUP(Tabla8[[#This Row],[SECCION]],TB_SECCION[],6,0)</f>
        <v>5.4</v>
      </c>
      <c r="S6" t="s">
        <v>10485</v>
      </c>
      <c r="T6" s="7">
        <f t="shared" si="1"/>
        <v>44225</v>
      </c>
      <c r="U6" s="7">
        <f t="shared" si="0"/>
        <v>44231</v>
      </c>
      <c r="V6" s="7">
        <f>EOMONTH(TB_SEMANA[[#This Row],[FECHA_INI]],0)</f>
        <v>44227</v>
      </c>
      <c r="W6" s="7">
        <f>TB_SEMANA[[#This Row],[FIN_MES]]+1</f>
        <v>44228</v>
      </c>
      <c r="X6" s="1" t="str">
        <f>IF(MONTH(TB_SEMANA[[#This Row],[FECHA_INI]])=MONTH(TB_SEMANA[[#This Row],[FECHA_FIN]]),"NO","SI")</f>
        <v>SI</v>
      </c>
      <c r="Z6" t="s">
        <v>10486</v>
      </c>
      <c r="AA6" s="7">
        <v>44317</v>
      </c>
      <c r="AB6" s="7">
        <f>EOMONTH(Tabla31[[#This Row],[FECHA_INI]],0)</f>
        <v>44347</v>
      </c>
      <c r="AC6">
        <f>Tabla31[[#This Row],[FECHA_FIN]]-Tabla31[[#This Row],[FECHA_INI]]+1</f>
        <v>31</v>
      </c>
      <c r="AE6" s="12" t="s">
        <v>10613</v>
      </c>
      <c r="AF6" s="12" t="s">
        <v>10614</v>
      </c>
      <c r="AG6" s="12" t="s">
        <v>10677</v>
      </c>
      <c r="AH6" s="12" t="s">
        <v>10678</v>
      </c>
      <c r="AI6" s="12" t="s">
        <v>10616</v>
      </c>
      <c r="AQ6" s="12" t="s">
        <v>10613</v>
      </c>
      <c r="AR6" s="12" t="s">
        <v>10635</v>
      </c>
      <c r="AS6" s="12" t="s">
        <v>10642</v>
      </c>
      <c r="AT6" s="12" t="s">
        <v>10643</v>
      </c>
      <c r="AU6" s="12" t="s">
        <v>10616</v>
      </c>
      <c r="AW6" s="13" t="s">
        <v>10673</v>
      </c>
    </row>
    <row r="7" spans="1:52" x14ac:dyDescent="0.25">
      <c r="J7" t="s">
        <v>10487</v>
      </c>
      <c r="L7" t="s">
        <v>10488</v>
      </c>
      <c r="M7" t="s">
        <v>10489</v>
      </c>
      <c r="N7" t="s">
        <v>10476</v>
      </c>
      <c r="O7" s="5">
        <f>VLOOKUP(Tabla8[[#This Row],[SECCION]],TB_SECCION[],4,0)</f>
        <v>1.2</v>
      </c>
      <c r="P7" s="5">
        <f>VLOOKUP(Tabla8[[#This Row],[SECCION]],TB_SECCION[],5,0)</f>
        <v>1.8</v>
      </c>
      <c r="Q7" s="6">
        <f>VLOOKUP(Tabla8[[#This Row],[SECCION]],TB_SECCION[],6,0)</f>
        <v>2.16</v>
      </c>
      <c r="S7" t="s">
        <v>10490</v>
      </c>
      <c r="T7" s="7">
        <f t="shared" si="1"/>
        <v>44232</v>
      </c>
      <c r="U7" s="7">
        <f t="shared" si="0"/>
        <v>44238</v>
      </c>
      <c r="V7" s="7">
        <f>EOMONTH(TB_SEMANA[[#This Row],[FECHA_INI]],0)</f>
        <v>44255</v>
      </c>
      <c r="W7" s="7">
        <f>TB_SEMANA[[#This Row],[FIN_MES]]+1</f>
        <v>44256</v>
      </c>
      <c r="X7" s="1" t="str">
        <f>IF(MONTH(TB_SEMANA[[#This Row],[FECHA_INI]])=MONTH(TB_SEMANA[[#This Row],[FECHA_FIN]]),"NO","SI")</f>
        <v>NO</v>
      </c>
      <c r="Z7" t="s">
        <v>10491</v>
      </c>
      <c r="AA7" s="7">
        <v>44348</v>
      </c>
      <c r="AB7" s="7">
        <f>EOMONTH(Tabla31[[#This Row],[FECHA_INI]],0)</f>
        <v>44377</v>
      </c>
      <c r="AC7">
        <f>Tabla31[[#This Row],[FECHA_FIN]]-Tabla31[[#This Row],[FECHA_INI]]+1</f>
        <v>30</v>
      </c>
      <c r="AE7" s="12" t="s">
        <v>10613</v>
      </c>
      <c r="AF7" s="12" t="s">
        <v>10614</v>
      </c>
      <c r="AG7" s="12" t="s">
        <v>10684</v>
      </c>
      <c r="AH7" s="12" t="s">
        <v>10685</v>
      </c>
      <c r="AI7" s="12" t="s">
        <v>10616</v>
      </c>
      <c r="AQ7" s="12" t="s">
        <v>10613</v>
      </c>
      <c r="AR7" s="12" t="s">
        <v>10649</v>
      </c>
      <c r="AS7" s="12" t="s">
        <v>10650</v>
      </c>
      <c r="AT7" s="12" t="s">
        <v>10651</v>
      </c>
      <c r="AU7" s="12" t="s">
        <v>10616</v>
      </c>
      <c r="AY7" t="s">
        <v>10715</v>
      </c>
      <c r="AZ7" s="12" t="s">
        <v>10716</v>
      </c>
    </row>
    <row r="8" spans="1:52" x14ac:dyDescent="0.25">
      <c r="A8" t="s">
        <v>10434</v>
      </c>
      <c r="B8" t="s">
        <v>10492</v>
      </c>
      <c r="C8" t="s">
        <v>10493</v>
      </c>
      <c r="D8" t="s">
        <v>10435</v>
      </c>
      <c r="E8" t="s">
        <v>10436</v>
      </c>
      <c r="F8" t="s">
        <v>10437</v>
      </c>
      <c r="J8" t="s">
        <v>10494</v>
      </c>
      <c r="L8" t="s">
        <v>10495</v>
      </c>
      <c r="M8" t="s">
        <v>10496</v>
      </c>
      <c r="N8" t="s">
        <v>10476</v>
      </c>
      <c r="O8" s="5">
        <f>VLOOKUP(Tabla8[[#This Row],[SECCION]],TB_SECCION[],4,0)</f>
        <v>1.2</v>
      </c>
      <c r="P8" s="5">
        <f>VLOOKUP(Tabla8[[#This Row],[SECCION]],TB_SECCION[],5,0)</f>
        <v>1.8</v>
      </c>
      <c r="Q8" s="6">
        <f>VLOOKUP(Tabla8[[#This Row],[SECCION]],TB_SECCION[],6,0)</f>
        <v>2.16</v>
      </c>
      <c r="S8" t="s">
        <v>10497</v>
      </c>
      <c r="T8" s="7">
        <f t="shared" si="1"/>
        <v>44239</v>
      </c>
      <c r="U8" s="7">
        <f t="shared" si="0"/>
        <v>44245</v>
      </c>
      <c r="V8" s="7">
        <f>EOMONTH(TB_SEMANA[[#This Row],[FECHA_INI]],0)</f>
        <v>44255</v>
      </c>
      <c r="W8" s="7">
        <f>TB_SEMANA[[#This Row],[FIN_MES]]+1</f>
        <v>44256</v>
      </c>
      <c r="X8" s="1" t="str">
        <f>IF(MONTH(TB_SEMANA[[#This Row],[FECHA_INI]])=MONTH(TB_SEMANA[[#This Row],[FECHA_FIN]]),"NO","SI")</f>
        <v>NO</v>
      </c>
      <c r="Z8" t="s">
        <v>10498</v>
      </c>
      <c r="AA8" s="7">
        <v>44378</v>
      </c>
      <c r="AB8" s="7">
        <f>EOMONTH(Tabla31[[#This Row],[FECHA_INI]],0)</f>
        <v>44408</v>
      </c>
      <c r="AC8">
        <f>Tabla31[[#This Row],[FECHA_FIN]]-Tabla31[[#This Row],[FECHA_INI]]+1</f>
        <v>31</v>
      </c>
      <c r="AE8" s="12" t="s">
        <v>10613</v>
      </c>
      <c r="AF8" s="12" t="s">
        <v>10614</v>
      </c>
      <c r="AG8" s="12" t="s">
        <v>10691</v>
      </c>
      <c r="AI8" s="12" t="s">
        <v>10616</v>
      </c>
      <c r="AQ8" s="12" t="s">
        <v>10613</v>
      </c>
      <c r="AR8" s="12" t="s">
        <v>10657</v>
      </c>
      <c r="AS8" s="12" t="s">
        <v>10658</v>
      </c>
      <c r="AT8" s="12" t="s">
        <v>10651</v>
      </c>
      <c r="AU8" s="12" t="s">
        <v>10616</v>
      </c>
      <c r="AW8" s="13" t="s">
        <v>10588</v>
      </c>
      <c r="AY8" t="s">
        <v>10713</v>
      </c>
      <c r="AZ8" s="25">
        <v>7.9113924050632903E-2</v>
      </c>
    </row>
    <row r="9" spans="1:52" x14ac:dyDescent="0.25">
      <c r="A9" t="s">
        <v>10499</v>
      </c>
      <c r="B9" s="9">
        <f>_xlfn.NUMBERVALUE(LEFT(A9,1))</f>
        <v>4</v>
      </c>
      <c r="C9" s="9">
        <f>_xlfn.NUMBERVALUE(RIGHT(A9,1))</f>
        <v>4</v>
      </c>
      <c r="D9" s="5">
        <f>ROUND(TB_SECCION[[#This Row],[BASE_P]]/TB_CONVERSION[CONVERSION],1)</f>
        <v>1.2</v>
      </c>
      <c r="E9" s="5">
        <f>ROUND(TB_SECCION[[#This Row],[ALTURA_P]]/TB_CONVERSION[CONVERSION],1)</f>
        <v>1.2</v>
      </c>
      <c r="F9" s="6">
        <f>TB_SECCION[[#This Row],[BASE_M]]*TB_SECCION[[#This Row],[ALTURA_M]]</f>
        <v>1.44</v>
      </c>
      <c r="J9" t="s">
        <v>10500</v>
      </c>
      <c r="L9" t="s">
        <v>10501</v>
      </c>
      <c r="M9" t="s">
        <v>10502</v>
      </c>
      <c r="N9" t="s">
        <v>10476</v>
      </c>
      <c r="O9" s="5">
        <f>VLOOKUP(Tabla8[[#This Row],[SECCION]],TB_SECCION[],4,0)</f>
        <v>1.2</v>
      </c>
      <c r="P9" s="5">
        <f>VLOOKUP(Tabla8[[#This Row],[SECCION]],TB_SECCION[],5,0)</f>
        <v>1.8</v>
      </c>
      <c r="Q9" s="6">
        <f>VLOOKUP(Tabla8[[#This Row],[SECCION]],TB_SECCION[],6,0)</f>
        <v>2.16</v>
      </c>
      <c r="S9" t="s">
        <v>10503</v>
      </c>
      <c r="T9" s="7">
        <f t="shared" si="1"/>
        <v>44246</v>
      </c>
      <c r="U9" s="7">
        <f t="shared" si="0"/>
        <v>44252</v>
      </c>
      <c r="V9" s="7">
        <f>EOMONTH(TB_SEMANA[[#This Row],[FECHA_INI]],0)</f>
        <v>44255</v>
      </c>
      <c r="W9" s="7">
        <f>TB_SEMANA[[#This Row],[FIN_MES]]+1</f>
        <v>44256</v>
      </c>
      <c r="X9" s="1" t="str">
        <f>IF(MONTH(TB_SEMANA[[#This Row],[FECHA_INI]])=MONTH(TB_SEMANA[[#This Row],[FECHA_FIN]]),"NO","SI")</f>
        <v>NO</v>
      </c>
      <c r="Z9" t="s">
        <v>10504</v>
      </c>
      <c r="AA9" s="7">
        <v>44409</v>
      </c>
      <c r="AB9" s="7">
        <f>EOMONTH(Tabla31[[#This Row],[FECHA_INI]],0)</f>
        <v>44439</v>
      </c>
      <c r="AC9">
        <f>Tabla31[[#This Row],[FECHA_FIN]]-Tabla31[[#This Row],[FECHA_INI]]+1</f>
        <v>31</v>
      </c>
      <c r="AE9" s="12" t="s">
        <v>10613</v>
      </c>
      <c r="AF9" s="12" t="s">
        <v>10614</v>
      </c>
      <c r="AG9" s="12" t="s">
        <v>10705</v>
      </c>
      <c r="AH9" s="12" t="s">
        <v>10706</v>
      </c>
      <c r="AI9" s="12" t="s">
        <v>10707</v>
      </c>
      <c r="AQ9" s="12" t="s">
        <v>10613</v>
      </c>
      <c r="AR9" s="12" t="s">
        <v>10663</v>
      </c>
      <c r="AS9" s="12" t="s">
        <v>10664</v>
      </c>
      <c r="AT9" s="12" t="s">
        <v>10665</v>
      </c>
      <c r="AU9" s="12" t="s">
        <v>10616</v>
      </c>
      <c r="AW9" s="13" t="s">
        <v>10647</v>
      </c>
    </row>
    <row r="10" spans="1:52" x14ac:dyDescent="0.25">
      <c r="A10" t="s">
        <v>10476</v>
      </c>
      <c r="B10" s="9">
        <f t="shared" ref="B10:B15" si="2">_xlfn.NUMBERVALUE(LEFT(A10,1))</f>
        <v>4</v>
      </c>
      <c r="C10" s="9">
        <f t="shared" ref="C10:C16" si="3">_xlfn.NUMBERVALUE(RIGHT(A10,1))</f>
        <v>6</v>
      </c>
      <c r="D10" s="5">
        <f>ROUND(TB_SECCION[[#This Row],[BASE_P]]/TB_CONVERSION[CONVERSION],1)</f>
        <v>1.2</v>
      </c>
      <c r="E10" s="5">
        <f>ROUND(TB_SECCION[[#This Row],[ALTURA_P]]/TB_CONVERSION[CONVERSION],1)</f>
        <v>1.8</v>
      </c>
      <c r="F10" s="6">
        <f>TB_SECCION[[#This Row],[BASE_M]]*TB_SECCION[[#This Row],[ALTURA_M]]</f>
        <v>2.16</v>
      </c>
      <c r="J10" t="s">
        <v>10505</v>
      </c>
      <c r="L10" t="s">
        <v>10506</v>
      </c>
      <c r="M10" t="s">
        <v>10507</v>
      </c>
      <c r="N10" t="s">
        <v>10508</v>
      </c>
      <c r="O10" s="5">
        <f>VLOOKUP(Tabla8[[#This Row],[SECCION]],TB_SECCION[],4,0)</f>
        <v>1.8</v>
      </c>
      <c r="P10" s="5">
        <f>VLOOKUP(Tabla8[[#This Row],[SECCION]],TB_SECCION[],5,0)</f>
        <v>1.8</v>
      </c>
      <c r="Q10" s="6">
        <f>VLOOKUP(Tabla8[[#This Row],[SECCION]],TB_SECCION[],6,0)</f>
        <v>3.24</v>
      </c>
      <c r="S10" t="s">
        <v>10509</v>
      </c>
      <c r="T10" s="7">
        <f t="shared" si="1"/>
        <v>44253</v>
      </c>
      <c r="U10" s="7">
        <f t="shared" si="0"/>
        <v>44259</v>
      </c>
      <c r="V10" s="7">
        <f>EOMONTH(TB_SEMANA[[#This Row],[FECHA_INI]],0)</f>
        <v>44255</v>
      </c>
      <c r="W10" s="7">
        <f>TB_SEMANA[[#This Row],[FIN_MES]]+1</f>
        <v>44256</v>
      </c>
      <c r="X10" s="1" t="str">
        <f>IF(MONTH(TB_SEMANA[[#This Row],[FECHA_INI]])=MONTH(TB_SEMANA[[#This Row],[FECHA_FIN]]),"NO","SI")</f>
        <v>SI</v>
      </c>
      <c r="Z10" t="s">
        <v>10510</v>
      </c>
      <c r="AA10" s="7">
        <v>44440</v>
      </c>
      <c r="AB10" s="7">
        <f>EOMONTH(Tabla31[[#This Row],[FECHA_INI]],0)</f>
        <v>44469</v>
      </c>
      <c r="AC10">
        <f>Tabla31[[#This Row],[FECHA_FIN]]-Tabla31[[#This Row],[FECHA_INI]]+1</f>
        <v>30</v>
      </c>
      <c r="AE10" s="12" t="s">
        <v>10613</v>
      </c>
      <c r="AF10" s="12" t="s">
        <v>10614</v>
      </c>
      <c r="AG10" s="12" t="s">
        <v>10708</v>
      </c>
      <c r="AI10" s="12" t="s">
        <v>10707</v>
      </c>
      <c r="AQ10" s="12" t="s">
        <v>10613</v>
      </c>
      <c r="AR10" s="12" t="s">
        <v>10674</v>
      </c>
      <c r="AS10" s="12" t="s">
        <v>10675</v>
      </c>
      <c r="AT10" s="12" t="s">
        <v>10676</v>
      </c>
      <c r="AU10" s="12" t="s">
        <v>10616</v>
      </c>
      <c r="AW10" s="13" t="s">
        <v>10655</v>
      </c>
      <c r="AY10" t="s">
        <v>10715</v>
      </c>
      <c r="AZ10" s="12" t="s">
        <v>10716</v>
      </c>
    </row>
    <row r="11" spans="1:52" x14ac:dyDescent="0.25">
      <c r="A11" t="s">
        <v>10508</v>
      </c>
      <c r="B11" s="9">
        <f t="shared" si="2"/>
        <v>6</v>
      </c>
      <c r="C11" s="9">
        <f t="shared" si="3"/>
        <v>6</v>
      </c>
      <c r="D11" s="5">
        <f>ROUND(TB_SECCION[[#This Row],[BASE_P]]/TB_CONVERSION[CONVERSION],1)</f>
        <v>1.8</v>
      </c>
      <c r="E11" s="5">
        <f>ROUND(TB_SECCION[[#This Row],[ALTURA_P]]/TB_CONVERSION[CONVERSION],1)</f>
        <v>1.8</v>
      </c>
      <c r="F11" s="6">
        <f>TB_SECCION[[#This Row],[BASE_M]]*TB_SECCION[[#This Row],[ALTURA_M]]</f>
        <v>3.24</v>
      </c>
      <c r="L11" t="s">
        <v>10511</v>
      </c>
      <c r="M11" t="s">
        <v>10512</v>
      </c>
      <c r="N11" t="s">
        <v>10452</v>
      </c>
      <c r="O11" s="5">
        <f>VLOOKUP(Tabla8[[#This Row],[SECCION]],TB_SECCION[],4,0)</f>
        <v>2.1</v>
      </c>
      <c r="P11" s="5">
        <f>VLOOKUP(Tabla8[[#This Row],[SECCION]],TB_SECCION[],5,0)</f>
        <v>2.4</v>
      </c>
      <c r="Q11" s="6">
        <f>VLOOKUP(Tabla8[[#This Row],[SECCION]],TB_SECCION[],6,0)</f>
        <v>5.04</v>
      </c>
      <c r="S11" t="s">
        <v>10513</v>
      </c>
      <c r="T11" s="7">
        <f t="shared" si="1"/>
        <v>44260</v>
      </c>
      <c r="U11" s="7">
        <f t="shared" si="0"/>
        <v>44266</v>
      </c>
      <c r="V11" s="7">
        <f>EOMONTH(TB_SEMANA[[#This Row],[FECHA_INI]],0)</f>
        <v>44286</v>
      </c>
      <c r="W11" s="7">
        <f>TB_SEMANA[[#This Row],[FIN_MES]]+1</f>
        <v>44287</v>
      </c>
      <c r="X11" s="1" t="str">
        <f>IF(MONTH(TB_SEMANA[[#This Row],[FECHA_INI]])=MONTH(TB_SEMANA[[#This Row],[FECHA_FIN]]),"NO","SI")</f>
        <v>NO</v>
      </c>
      <c r="Z11" t="s">
        <v>10514</v>
      </c>
      <c r="AA11" s="7">
        <v>44470</v>
      </c>
      <c r="AB11" s="7">
        <f>EOMONTH(Tabla31[[#This Row],[FECHA_INI]],0)</f>
        <v>44500</v>
      </c>
      <c r="AC11">
        <f>Tabla31[[#This Row],[FECHA_FIN]]-Tabla31[[#This Row],[FECHA_INI]]+1</f>
        <v>31</v>
      </c>
      <c r="AE11" s="12" t="s">
        <v>10613</v>
      </c>
      <c r="AF11" s="12" t="s">
        <v>10614</v>
      </c>
      <c r="AG11" s="12" t="s">
        <v>10709</v>
      </c>
      <c r="AI11" s="12" t="s">
        <v>10707</v>
      </c>
      <c r="AQ11" s="12" t="s">
        <v>10613</v>
      </c>
      <c r="AR11" s="12" t="s">
        <v>10681</v>
      </c>
      <c r="AS11" s="12" t="s">
        <v>10682</v>
      </c>
      <c r="AT11" s="12" t="s">
        <v>10683</v>
      </c>
      <c r="AU11" s="12" t="s">
        <v>10616</v>
      </c>
      <c r="AY11" t="s">
        <v>11411</v>
      </c>
      <c r="AZ11" s="25">
        <v>8.0128205128205093E-2</v>
      </c>
    </row>
    <row r="12" spans="1:52" x14ac:dyDescent="0.25">
      <c r="A12" t="s">
        <v>10515</v>
      </c>
      <c r="B12" s="9">
        <f t="shared" si="2"/>
        <v>7</v>
      </c>
      <c r="C12" s="9">
        <f t="shared" si="3"/>
        <v>6</v>
      </c>
      <c r="D12" s="5">
        <f>ROUND(TB_SECCION[[#This Row],[BASE_P]]/TB_CONVERSION[CONVERSION],1)</f>
        <v>2.1</v>
      </c>
      <c r="E12" s="5">
        <f>ROUND(TB_SECCION[[#This Row],[ALTURA_P]]/TB_CONVERSION[CONVERSION],1)</f>
        <v>1.8</v>
      </c>
      <c r="F12" s="6">
        <f>TB_SECCION[[#This Row],[BASE_M]]*TB_SECCION[[#This Row],[ALTURA_M]]</f>
        <v>3.7800000000000002</v>
      </c>
      <c r="J12" t="s">
        <v>10516</v>
      </c>
      <c r="L12" t="s">
        <v>10517</v>
      </c>
      <c r="M12" t="s">
        <v>10518</v>
      </c>
      <c r="N12" t="s">
        <v>10452</v>
      </c>
      <c r="O12" s="5">
        <f>VLOOKUP(Tabla8[[#This Row],[SECCION]],TB_SECCION[],4,0)</f>
        <v>2.1</v>
      </c>
      <c r="P12" s="5">
        <f>VLOOKUP(Tabla8[[#This Row],[SECCION]],TB_SECCION[],5,0)</f>
        <v>2.4</v>
      </c>
      <c r="Q12" s="6">
        <f>VLOOKUP(Tabla8[[#This Row],[SECCION]],TB_SECCION[],6,0)</f>
        <v>5.04</v>
      </c>
      <c r="S12" t="s">
        <v>10519</v>
      </c>
      <c r="T12" s="7">
        <f t="shared" si="1"/>
        <v>44267</v>
      </c>
      <c r="U12" s="7">
        <f t="shared" si="0"/>
        <v>44273</v>
      </c>
      <c r="V12" s="7">
        <f>EOMONTH(TB_SEMANA[[#This Row],[FECHA_INI]],0)</f>
        <v>44286</v>
      </c>
      <c r="W12" s="7">
        <f>TB_SEMANA[[#This Row],[FIN_MES]]+1</f>
        <v>44287</v>
      </c>
      <c r="X12" s="1" t="str">
        <f>IF(MONTH(TB_SEMANA[[#This Row],[FECHA_INI]])=MONTH(TB_SEMANA[[#This Row],[FECHA_FIN]]),"NO","SI")</f>
        <v>NO</v>
      </c>
      <c r="Z12" t="s">
        <v>10520</v>
      </c>
      <c r="AA12" s="7">
        <v>44501</v>
      </c>
      <c r="AB12" s="7">
        <f>EOMONTH(Tabla31[[#This Row],[FECHA_INI]],0)</f>
        <v>44530</v>
      </c>
      <c r="AC12">
        <f>Tabla31[[#This Row],[FECHA_FIN]]-Tabla31[[#This Row],[FECHA_INI]]+1</f>
        <v>30</v>
      </c>
      <c r="AE12" s="12" t="s">
        <v>10613</v>
      </c>
      <c r="AF12" s="12" t="s">
        <v>10614</v>
      </c>
      <c r="AG12" s="12" t="s">
        <v>10695</v>
      </c>
      <c r="AH12" s="12" t="s">
        <v>10696</v>
      </c>
      <c r="AI12" s="12" t="s">
        <v>10616</v>
      </c>
      <c r="AQ12" s="12" t="s">
        <v>10613</v>
      </c>
      <c r="AR12" s="12" t="s">
        <v>10688</v>
      </c>
      <c r="AS12" s="12" t="s">
        <v>10689</v>
      </c>
      <c r="AT12" s="12" t="s">
        <v>10690</v>
      </c>
      <c r="AU12" s="12" t="s">
        <v>10616</v>
      </c>
      <c r="AW12" s="14" t="s">
        <v>10589</v>
      </c>
    </row>
    <row r="13" spans="1:52" x14ac:dyDescent="0.25">
      <c r="A13" t="s">
        <v>10452</v>
      </c>
      <c r="B13" s="9">
        <f t="shared" si="2"/>
        <v>7</v>
      </c>
      <c r="C13" s="9">
        <f t="shared" si="3"/>
        <v>8</v>
      </c>
      <c r="D13" s="5">
        <f>ROUND(TB_SECCION[[#This Row],[BASE_P]]/TB_CONVERSION[CONVERSION],1)</f>
        <v>2.1</v>
      </c>
      <c r="E13" s="5">
        <f>ROUND(TB_SECCION[[#This Row],[ALTURA_P]]/TB_CONVERSION[CONVERSION],1)</f>
        <v>2.4</v>
      </c>
      <c r="F13" s="6">
        <f>TB_SECCION[[#This Row],[BASE_M]]*TB_SECCION[[#This Row],[ALTURA_M]]</f>
        <v>5.04</v>
      </c>
      <c r="J13" t="s">
        <v>10502</v>
      </c>
      <c r="L13" t="s">
        <v>10521</v>
      </c>
      <c r="M13" t="s">
        <v>10522</v>
      </c>
      <c r="N13" t="s">
        <v>10476</v>
      </c>
      <c r="O13" s="5">
        <f>VLOOKUP(Tabla8[[#This Row],[SECCION]],TB_SECCION[],4,0)</f>
        <v>1.2</v>
      </c>
      <c r="P13" s="5">
        <f>VLOOKUP(Tabla8[[#This Row],[SECCION]],TB_SECCION[],5,0)</f>
        <v>1.8</v>
      </c>
      <c r="Q13" s="6">
        <f>VLOOKUP(Tabla8[[#This Row],[SECCION]],TB_SECCION[],6,0)</f>
        <v>2.16</v>
      </c>
      <c r="S13" t="s">
        <v>10523</v>
      </c>
      <c r="T13" s="7">
        <f t="shared" si="1"/>
        <v>44274</v>
      </c>
      <c r="U13" s="7">
        <f t="shared" si="0"/>
        <v>44280</v>
      </c>
      <c r="V13" s="7">
        <f>EOMONTH(TB_SEMANA[[#This Row],[FECHA_INI]],0)</f>
        <v>44286</v>
      </c>
      <c r="W13" s="7">
        <f>TB_SEMANA[[#This Row],[FIN_MES]]+1</f>
        <v>44287</v>
      </c>
      <c r="X13" s="1" t="str">
        <f>IF(MONTH(TB_SEMANA[[#This Row],[FECHA_INI]])=MONTH(TB_SEMANA[[#This Row],[FECHA_FIN]]),"NO","SI")</f>
        <v>NO</v>
      </c>
      <c r="Z13" t="s">
        <v>10524</v>
      </c>
      <c r="AA13" s="7">
        <v>44531</v>
      </c>
      <c r="AB13" s="7">
        <f>EOMONTH(Tabla31[[#This Row],[FECHA_INI]],0)</f>
        <v>44561</v>
      </c>
      <c r="AC13">
        <f>Tabla31[[#This Row],[FECHA_FIN]]-Tabla31[[#This Row],[FECHA_INI]]+1</f>
        <v>31</v>
      </c>
      <c r="AE13" s="12" t="s">
        <v>10613</v>
      </c>
      <c r="AF13" s="12" t="s">
        <v>10699</v>
      </c>
      <c r="AG13" s="12" t="s">
        <v>10700</v>
      </c>
      <c r="AH13" s="12" t="s">
        <v>10701</v>
      </c>
      <c r="AI13" s="12" t="s">
        <v>10616</v>
      </c>
      <c r="AQ13" s="12" t="s">
        <v>10613</v>
      </c>
      <c r="AR13" s="12" t="s">
        <v>10692</v>
      </c>
      <c r="AS13" s="12" t="s">
        <v>10693</v>
      </c>
      <c r="AT13" s="12" t="s">
        <v>10694</v>
      </c>
      <c r="AU13" s="12" t="s">
        <v>10616</v>
      </c>
      <c r="AW13" s="13" t="s">
        <v>10668</v>
      </c>
    </row>
    <row r="14" spans="1:52" x14ac:dyDescent="0.25">
      <c r="A14" t="s">
        <v>10469</v>
      </c>
      <c r="B14" s="9">
        <f t="shared" si="2"/>
        <v>8</v>
      </c>
      <c r="C14" s="9">
        <f t="shared" si="3"/>
        <v>4</v>
      </c>
      <c r="D14" s="5">
        <f>ROUND(TB_SECCION[[#This Row],[BASE_P]]/TB_CONVERSION[CONVERSION],1)</f>
        <v>2.4</v>
      </c>
      <c r="E14" s="5">
        <f>ROUND(TB_SECCION[[#This Row],[ALTURA_P]]/TB_CONVERSION[CONVERSION],1)</f>
        <v>1.2</v>
      </c>
      <c r="F14" s="6">
        <f>TB_SECCION[[#This Row],[BASE_M]]*TB_SECCION[[#This Row],[ALTURA_M]]</f>
        <v>2.88</v>
      </c>
      <c r="J14" t="s">
        <v>10525</v>
      </c>
      <c r="L14" t="s">
        <v>10526</v>
      </c>
      <c r="M14" t="s">
        <v>10527</v>
      </c>
      <c r="N14" t="s">
        <v>10452</v>
      </c>
      <c r="O14" s="5">
        <f>VLOOKUP(Tabla8[[#This Row],[SECCION]],TB_SECCION[],4,0)</f>
        <v>2.1</v>
      </c>
      <c r="P14" s="5">
        <f>VLOOKUP(Tabla8[[#This Row],[SECCION]],TB_SECCION[],5,0)</f>
        <v>2.4</v>
      </c>
      <c r="Q14" s="6">
        <f>VLOOKUP(Tabla8[[#This Row],[SECCION]],TB_SECCION[],6,0)</f>
        <v>5.04</v>
      </c>
      <c r="S14" t="s">
        <v>10528</v>
      </c>
      <c r="T14" s="7">
        <f t="shared" si="1"/>
        <v>44281</v>
      </c>
      <c r="U14" s="7">
        <f t="shared" si="0"/>
        <v>44287</v>
      </c>
      <c r="V14" s="7">
        <f>EOMONTH(TB_SEMANA[[#This Row],[FECHA_INI]],0)</f>
        <v>44286</v>
      </c>
      <c r="W14" s="7">
        <f>TB_SEMANA[[#This Row],[FIN_MES]]+1</f>
        <v>44287</v>
      </c>
      <c r="X14" s="1" t="str">
        <f>IF(MONTH(TB_SEMANA[[#This Row],[FECHA_INI]])=MONTH(TB_SEMANA[[#This Row],[FECHA_FIN]]),"NO","SI")</f>
        <v>SI</v>
      </c>
      <c r="AE14" s="12" t="s">
        <v>10613</v>
      </c>
      <c r="AF14" s="12" t="s">
        <v>10699</v>
      </c>
      <c r="AG14" s="12" t="s">
        <v>10703</v>
      </c>
      <c r="AH14" s="12">
        <v>214478</v>
      </c>
      <c r="AI14" s="12" t="s">
        <v>10616</v>
      </c>
      <c r="AQ14" s="12" t="s">
        <v>10613</v>
      </c>
      <c r="AR14" s="12" t="s">
        <v>10697</v>
      </c>
      <c r="AS14" s="12" t="s">
        <v>10698</v>
      </c>
      <c r="AT14" s="12" t="s">
        <v>10651</v>
      </c>
      <c r="AU14" s="12" t="s">
        <v>10616</v>
      </c>
      <c r="AW14" s="13" t="s">
        <v>10672</v>
      </c>
    </row>
    <row r="15" spans="1:52" x14ac:dyDescent="0.25">
      <c r="A15" t="s">
        <v>10476</v>
      </c>
      <c r="B15" s="9">
        <f t="shared" si="2"/>
        <v>4</v>
      </c>
      <c r="C15" s="9">
        <f t="shared" si="3"/>
        <v>6</v>
      </c>
      <c r="D15" s="5">
        <f>ROUND(TB_SECCION[[#This Row],[BASE_P]]/TB_CONVERSION[CONVERSION],1)</f>
        <v>1.2</v>
      </c>
      <c r="E15" s="5">
        <f>ROUND(TB_SECCION[[#This Row],[ALTURA_P]]/TB_CONVERSION[CONVERSION],1)</f>
        <v>1.8</v>
      </c>
      <c r="F15" s="6">
        <f>TB_SECCION[[#This Row],[BASE_M]]*TB_SECCION[[#This Row],[ALTURA_M]]</f>
        <v>2.16</v>
      </c>
      <c r="J15" t="s">
        <v>10529</v>
      </c>
      <c r="L15" t="s">
        <v>10530</v>
      </c>
      <c r="M15" t="s">
        <v>10531</v>
      </c>
      <c r="N15" t="s">
        <v>10515</v>
      </c>
      <c r="O15" s="5">
        <f>VLOOKUP(Tabla8[[#This Row],[SECCION]],TB_SECCION[],4,0)</f>
        <v>2.1</v>
      </c>
      <c r="P15" s="5">
        <f>VLOOKUP(Tabla8[[#This Row],[SECCION]],TB_SECCION[],5,0)</f>
        <v>1.8</v>
      </c>
      <c r="Q15" s="6">
        <f>VLOOKUP(Tabla8[[#This Row],[SECCION]],TB_SECCION[],6,0)</f>
        <v>3.7800000000000002</v>
      </c>
      <c r="S15" t="s">
        <v>10532</v>
      </c>
      <c r="T15" s="7">
        <f t="shared" si="1"/>
        <v>44288</v>
      </c>
      <c r="U15" s="7">
        <f t="shared" si="0"/>
        <v>44294</v>
      </c>
      <c r="V15" s="7">
        <f>EOMONTH(TB_SEMANA[[#This Row],[FECHA_INI]],0)</f>
        <v>44316</v>
      </c>
      <c r="W15" s="7">
        <f>TB_SEMANA[[#This Row],[FIN_MES]]+1</f>
        <v>44317</v>
      </c>
      <c r="X15" s="1" t="str">
        <f>IF(MONTH(TB_SEMANA[[#This Row],[FECHA_INI]])=MONTH(TB_SEMANA[[#This Row],[FECHA_FIN]]),"NO","SI")</f>
        <v>NO</v>
      </c>
      <c r="AE15" s="12" t="s">
        <v>10613</v>
      </c>
      <c r="AF15" s="12" t="s">
        <v>10614</v>
      </c>
      <c r="AG15" s="12" t="s">
        <v>10641</v>
      </c>
      <c r="AH15" s="12">
        <v>1449214</v>
      </c>
      <c r="AI15" s="12" t="s">
        <v>10616</v>
      </c>
      <c r="AQ15" s="12" t="s">
        <v>10613</v>
      </c>
      <c r="AR15" s="12" t="s">
        <v>10697</v>
      </c>
      <c r="AS15" s="12" t="s">
        <v>10702</v>
      </c>
      <c r="AT15" s="12" t="s">
        <v>10651</v>
      </c>
      <c r="AU15" s="12" t="s">
        <v>10616</v>
      </c>
      <c r="AW15" s="13" t="s">
        <v>10680</v>
      </c>
    </row>
    <row r="16" spans="1:52" x14ac:dyDescent="0.25">
      <c r="A16" t="s">
        <v>10484</v>
      </c>
      <c r="B16" s="9">
        <f>_xlfn.NUMBERVALUE(LEFT(A16,2))</f>
        <v>10</v>
      </c>
      <c r="C16" s="9">
        <f t="shared" si="3"/>
        <v>6</v>
      </c>
      <c r="D16" s="5">
        <f>ROUND(TB_SECCION[[#This Row],[BASE_P]]/TB_CONVERSION[CONVERSION],1)</f>
        <v>3</v>
      </c>
      <c r="E16" s="5">
        <f>ROUND(TB_SECCION[[#This Row],[ALTURA_P]]/TB_CONVERSION[CONVERSION],1)</f>
        <v>1.8</v>
      </c>
      <c r="F16" s="6">
        <f>TB_SECCION[[#This Row],[BASE_M]]*TB_SECCION[[#This Row],[ALTURA_M]]</f>
        <v>5.4</v>
      </c>
      <c r="J16" t="s">
        <v>10533</v>
      </c>
      <c r="L16" t="s">
        <v>10534</v>
      </c>
      <c r="M16" t="s">
        <v>10535</v>
      </c>
      <c r="N16" t="s">
        <v>10499</v>
      </c>
      <c r="O16" s="5">
        <f>VLOOKUP(Tabla8[[#This Row],[SECCION]],TB_SECCION[],4,0)</f>
        <v>1.2</v>
      </c>
      <c r="P16" s="5">
        <f>VLOOKUP(Tabla8[[#This Row],[SECCION]],TB_SECCION[],5,0)</f>
        <v>1.2</v>
      </c>
      <c r="Q16" s="6">
        <f>VLOOKUP(Tabla8[[#This Row],[SECCION]],TB_SECCION[],6,0)</f>
        <v>1.44</v>
      </c>
      <c r="S16" t="s">
        <v>10536</v>
      </c>
      <c r="T16" s="7">
        <f t="shared" si="1"/>
        <v>44295</v>
      </c>
      <c r="U16" s="7">
        <f t="shared" si="0"/>
        <v>44301</v>
      </c>
      <c r="V16" s="7">
        <f>EOMONTH(TB_SEMANA[[#This Row],[FECHA_INI]],0)</f>
        <v>44316</v>
      </c>
      <c r="W16" s="7">
        <f>TB_SEMANA[[#This Row],[FIN_MES]]+1</f>
        <v>44317</v>
      </c>
      <c r="X16" s="1" t="str">
        <f>IF(MONTH(TB_SEMANA[[#This Row],[FECHA_INI]])=MONTH(TB_SEMANA[[#This Row],[FECHA_FIN]]),"NO","SI")</f>
        <v>NO</v>
      </c>
      <c r="AE16" s="12" t="s">
        <v>10613</v>
      </c>
      <c r="AF16" s="12" t="s">
        <v>10614</v>
      </c>
      <c r="AG16" s="12" t="s">
        <v>10644</v>
      </c>
      <c r="AH16" s="12" t="s">
        <v>10645</v>
      </c>
      <c r="AI16" s="12" t="s">
        <v>10616</v>
      </c>
      <c r="AQ16" s="12" t="s">
        <v>10613</v>
      </c>
      <c r="AR16" s="12" t="s">
        <v>10635</v>
      </c>
      <c r="AS16" s="12" t="s">
        <v>10704</v>
      </c>
      <c r="AU16" s="12" t="s">
        <v>10616</v>
      </c>
      <c r="AW16" s="13" t="s">
        <v>10687</v>
      </c>
    </row>
    <row r="17" spans="10:49" x14ac:dyDescent="0.25">
      <c r="S17" t="s">
        <v>10537</v>
      </c>
      <c r="T17" s="7">
        <f t="shared" si="1"/>
        <v>44302</v>
      </c>
      <c r="U17" s="7">
        <f t="shared" si="0"/>
        <v>44308</v>
      </c>
      <c r="V17" s="7">
        <f>EOMONTH(TB_SEMANA[[#This Row],[FECHA_INI]],0)</f>
        <v>44316</v>
      </c>
      <c r="W17" s="7">
        <f>TB_SEMANA[[#This Row],[FIN_MES]]+1</f>
        <v>44317</v>
      </c>
      <c r="X17" s="1" t="str">
        <f>IF(MONTH(TB_SEMANA[[#This Row],[FECHA_INI]])=MONTH(TB_SEMANA[[#This Row],[FECHA_FIN]]),"NO","SI")</f>
        <v>NO</v>
      </c>
      <c r="AE17" s="12" t="s">
        <v>10613</v>
      </c>
      <c r="AF17" s="12" t="s">
        <v>10614</v>
      </c>
      <c r="AG17" s="12" t="s">
        <v>10652</v>
      </c>
      <c r="AH17" s="12" t="s">
        <v>10653</v>
      </c>
      <c r="AI17" s="12" t="s">
        <v>10616</v>
      </c>
    </row>
    <row r="18" spans="10:49" x14ac:dyDescent="0.25">
      <c r="J18" t="s">
        <v>4</v>
      </c>
      <c r="S18" t="s">
        <v>10538</v>
      </c>
      <c r="T18" s="7">
        <f t="shared" si="1"/>
        <v>44309</v>
      </c>
      <c r="U18" s="7">
        <f t="shared" si="0"/>
        <v>44315</v>
      </c>
      <c r="V18" s="7">
        <f>EOMONTH(TB_SEMANA[[#This Row],[FECHA_INI]],0)</f>
        <v>44316</v>
      </c>
      <c r="W18" s="7">
        <f>TB_SEMANA[[#This Row],[FIN_MES]]+1</f>
        <v>44317</v>
      </c>
      <c r="X18" s="1" t="str">
        <f>IF(MONTH(TB_SEMANA[[#This Row],[FECHA_INI]])=MONTH(TB_SEMANA[[#This Row],[FECHA_FIN]]),"NO","SI")</f>
        <v>NO</v>
      </c>
      <c r="Y18" s="10"/>
      <c r="AE18" s="12" t="s">
        <v>10613</v>
      </c>
      <c r="AF18" s="12" t="s">
        <v>10614</v>
      </c>
      <c r="AG18" s="12" t="s">
        <v>10659</v>
      </c>
      <c r="AH18" s="12" t="s">
        <v>10660</v>
      </c>
      <c r="AI18" s="12" t="s">
        <v>10616</v>
      </c>
      <c r="AW18" s="12" t="s">
        <v>10593</v>
      </c>
    </row>
    <row r="19" spans="10:49" x14ac:dyDescent="0.25">
      <c r="J19" t="s">
        <v>10539</v>
      </c>
      <c r="S19" t="s">
        <v>10540</v>
      </c>
      <c r="T19" s="7">
        <f t="shared" si="1"/>
        <v>44316</v>
      </c>
      <c r="U19" s="7">
        <f t="shared" si="0"/>
        <v>44322</v>
      </c>
      <c r="V19" s="7">
        <f>EOMONTH(TB_SEMANA[[#This Row],[FECHA_INI]],0)</f>
        <v>44316</v>
      </c>
      <c r="W19" s="7">
        <f>TB_SEMANA[[#This Row],[FIN_MES]]+1</f>
        <v>44317</v>
      </c>
      <c r="X19" s="1" t="str">
        <f>IF(MONTH(TB_SEMANA[[#This Row],[FECHA_INI]])=MONTH(TB_SEMANA[[#This Row],[FECHA_FIN]]),"NO","SI")</f>
        <v>SI</v>
      </c>
      <c r="AE19" s="12" t="s">
        <v>10613</v>
      </c>
      <c r="AF19" s="12" t="s">
        <v>10614</v>
      </c>
      <c r="AG19" s="12" t="s">
        <v>10666</v>
      </c>
      <c r="AI19" s="12" t="s">
        <v>10616</v>
      </c>
      <c r="AW19" s="15" t="s">
        <v>10646</v>
      </c>
    </row>
    <row r="20" spans="10:49" x14ac:dyDescent="0.25">
      <c r="J20" t="s">
        <v>10541</v>
      </c>
      <c r="S20" t="s">
        <v>10542</v>
      </c>
      <c r="T20" s="7">
        <f t="shared" si="1"/>
        <v>44323</v>
      </c>
      <c r="U20" s="7">
        <f t="shared" si="0"/>
        <v>44329</v>
      </c>
      <c r="V20" s="7">
        <f>EOMONTH(TB_SEMANA[[#This Row],[FECHA_INI]],0)</f>
        <v>44347</v>
      </c>
      <c r="W20" s="7">
        <f>TB_SEMANA[[#This Row],[FIN_MES]]+1</f>
        <v>44348</v>
      </c>
      <c r="X20" s="1" t="str">
        <f>IF(MONTH(TB_SEMANA[[#This Row],[FECHA_INI]])=MONTH(TB_SEMANA[[#This Row],[FECHA_FIN]]),"NO","SI")</f>
        <v>NO</v>
      </c>
      <c r="AE20" s="12" t="s">
        <v>10613</v>
      </c>
      <c r="AF20" s="12" t="s">
        <v>10614</v>
      </c>
      <c r="AG20" s="12" t="s">
        <v>10670</v>
      </c>
      <c r="AI20" s="12" t="s">
        <v>10616</v>
      </c>
      <c r="AW20" s="15" t="s">
        <v>10654</v>
      </c>
    </row>
    <row r="21" spans="10:49" x14ac:dyDescent="0.25">
      <c r="J21" t="s">
        <v>10543</v>
      </c>
      <c r="S21" t="s">
        <v>10544</v>
      </c>
      <c r="T21" s="7">
        <f t="shared" si="1"/>
        <v>44330</v>
      </c>
      <c r="U21" s="7">
        <f t="shared" si="0"/>
        <v>44336</v>
      </c>
      <c r="V21" s="7">
        <f>EOMONTH(TB_SEMANA[[#This Row],[FECHA_INI]],0)</f>
        <v>44347</v>
      </c>
      <c r="W21" s="7">
        <f>TB_SEMANA[[#This Row],[FIN_MES]]+1</f>
        <v>44348</v>
      </c>
      <c r="X21" s="1" t="str">
        <f>IF(MONTH(TB_SEMANA[[#This Row],[FECHA_INI]])=MONTH(TB_SEMANA[[#This Row],[FECHA_FIN]]),"NO","SI")</f>
        <v>NO</v>
      </c>
      <c r="AE21" s="12" t="s">
        <v>10613</v>
      </c>
      <c r="AF21" s="12" t="s">
        <v>10699</v>
      </c>
      <c r="AG21" s="12" t="s">
        <v>10710</v>
      </c>
      <c r="AI21" s="12" t="s">
        <v>10616</v>
      </c>
      <c r="AW21" s="15" t="s">
        <v>10661</v>
      </c>
    </row>
    <row r="22" spans="10:49" x14ac:dyDescent="0.25">
      <c r="J22" t="s">
        <v>10545</v>
      </c>
      <c r="S22" t="s">
        <v>10546</v>
      </c>
      <c r="T22" s="7">
        <f t="shared" si="1"/>
        <v>44337</v>
      </c>
      <c r="U22" s="7">
        <f t="shared" si="0"/>
        <v>44343</v>
      </c>
      <c r="V22" s="7">
        <f>EOMONTH(TB_SEMANA[[#This Row],[FECHA_INI]],0)</f>
        <v>44347</v>
      </c>
      <c r="W22" s="7">
        <f>TB_SEMANA[[#This Row],[FIN_MES]]+1</f>
        <v>44348</v>
      </c>
      <c r="X22" s="1" t="str">
        <f>IF(MONTH(TB_SEMANA[[#This Row],[FECHA_INI]])=MONTH(TB_SEMANA[[#This Row],[FECHA_FIN]]),"NO","SI")</f>
        <v>NO</v>
      </c>
      <c r="AW22" s="15" t="s">
        <v>10686</v>
      </c>
    </row>
    <row r="23" spans="10:49" x14ac:dyDescent="0.25">
      <c r="S23" t="s">
        <v>10547</v>
      </c>
      <c r="T23" s="7">
        <f t="shared" si="1"/>
        <v>44344</v>
      </c>
      <c r="U23" s="7">
        <f t="shared" si="0"/>
        <v>44350</v>
      </c>
      <c r="V23" s="7">
        <f>EOMONTH(TB_SEMANA[[#This Row],[FECHA_INI]],0)</f>
        <v>44347</v>
      </c>
      <c r="W23" s="7">
        <f>TB_SEMANA[[#This Row],[FIN_MES]]+1</f>
        <v>44348</v>
      </c>
      <c r="X23" s="1" t="str">
        <f>IF(MONTH(TB_SEMANA[[#This Row],[FECHA_INI]])=MONTH(TB_SEMANA[[#This Row],[FECHA_FIN]]),"NO","SI")</f>
        <v>SI</v>
      </c>
      <c r="AW23" s="15" t="s">
        <v>10679</v>
      </c>
    </row>
    <row r="24" spans="10:49" x14ac:dyDescent="0.25">
      <c r="J24" t="s">
        <v>10548</v>
      </c>
      <c r="S24" t="s">
        <v>10549</v>
      </c>
      <c r="T24" s="7">
        <f t="shared" si="1"/>
        <v>44351</v>
      </c>
      <c r="U24" s="7">
        <f t="shared" si="0"/>
        <v>44357</v>
      </c>
      <c r="V24" s="7">
        <f>EOMONTH(TB_SEMANA[[#This Row],[FECHA_INI]],0)</f>
        <v>44377</v>
      </c>
      <c r="W24" s="7">
        <f>TB_SEMANA[[#This Row],[FIN_MES]]+1</f>
        <v>44378</v>
      </c>
      <c r="X24" s="1" t="str">
        <f>IF(MONTH(TB_SEMANA[[#This Row],[FECHA_INI]])=MONTH(TB_SEMANA[[#This Row],[FECHA_FIN]]),"NO","SI")</f>
        <v>NO</v>
      </c>
      <c r="AW24" s="15" t="s">
        <v>10667</v>
      </c>
    </row>
    <row r="25" spans="10:49" x14ac:dyDescent="0.25">
      <c r="J25" t="s">
        <v>10550</v>
      </c>
      <c r="S25" t="s">
        <v>10551</v>
      </c>
      <c r="T25" s="7">
        <f t="shared" si="1"/>
        <v>44358</v>
      </c>
      <c r="U25" s="7">
        <f t="shared" si="0"/>
        <v>44364</v>
      </c>
      <c r="V25" s="7">
        <f>EOMONTH(TB_SEMANA[[#This Row],[FECHA_INI]],0)</f>
        <v>44377</v>
      </c>
      <c r="W25" s="7">
        <f>TB_SEMANA[[#This Row],[FIN_MES]]+1</f>
        <v>44378</v>
      </c>
      <c r="X25" s="1" t="str">
        <f>IF(MONTH(TB_SEMANA[[#This Row],[FECHA_INI]])=MONTH(TB_SEMANA[[#This Row],[FECHA_FIN]]),"NO","SI")</f>
        <v>NO</v>
      </c>
      <c r="AW25" s="15" t="s">
        <v>10671</v>
      </c>
    </row>
    <row r="26" spans="10:49" x14ac:dyDescent="0.25">
      <c r="J26" t="s">
        <v>10552</v>
      </c>
      <c r="S26" t="s">
        <v>10553</v>
      </c>
      <c r="T26" s="7">
        <f t="shared" si="1"/>
        <v>44365</v>
      </c>
      <c r="U26" s="7">
        <f t="shared" si="0"/>
        <v>44371</v>
      </c>
      <c r="V26" s="7">
        <f>EOMONTH(TB_SEMANA[[#This Row],[FECHA_INI]],0)</f>
        <v>44377</v>
      </c>
      <c r="W26" s="7">
        <f>TB_SEMANA[[#This Row],[FIN_MES]]+1</f>
        <v>44378</v>
      </c>
      <c r="X26" s="1" t="str">
        <f>IF(MONTH(TB_SEMANA[[#This Row],[FECHA_INI]])=MONTH(TB_SEMANA[[#This Row],[FECHA_FIN]]),"NO","SI")</f>
        <v>NO</v>
      </c>
      <c r="AW26" s="12"/>
    </row>
    <row r="27" spans="10:49" x14ac:dyDescent="0.25">
      <c r="J27" t="s">
        <v>10554</v>
      </c>
      <c r="S27" t="s">
        <v>10555</v>
      </c>
      <c r="T27" s="7">
        <f t="shared" si="1"/>
        <v>44372</v>
      </c>
      <c r="U27" s="7">
        <f t="shared" si="0"/>
        <v>44378</v>
      </c>
      <c r="V27" s="7">
        <f>EOMONTH(TB_SEMANA[[#This Row],[FECHA_INI]],0)</f>
        <v>44377</v>
      </c>
      <c r="W27" s="7">
        <f>TB_SEMANA[[#This Row],[FIN_MES]]+1</f>
        <v>44378</v>
      </c>
      <c r="X27" s="1" t="str">
        <f>IF(MONTH(TB_SEMANA[[#This Row],[FECHA_INI]])=MONTH(TB_SEMANA[[#This Row],[FECHA_FIN]]),"NO","SI")</f>
        <v>SI</v>
      </c>
    </row>
    <row r="28" spans="10:49" x14ac:dyDescent="0.25">
      <c r="J28" t="s">
        <v>10556</v>
      </c>
      <c r="S28" t="s">
        <v>10557</v>
      </c>
      <c r="T28" s="7">
        <f t="shared" si="1"/>
        <v>44379</v>
      </c>
      <c r="U28" s="7">
        <f t="shared" si="0"/>
        <v>44385</v>
      </c>
      <c r="V28" s="7">
        <f>EOMONTH(TB_SEMANA[[#This Row],[FECHA_INI]],0)</f>
        <v>44408</v>
      </c>
      <c r="W28" s="7">
        <f>TB_SEMANA[[#This Row],[FIN_MES]]+1</f>
        <v>44409</v>
      </c>
      <c r="X28" s="1" t="str">
        <f>IF(MONTH(TB_SEMANA[[#This Row],[FECHA_INI]])=MONTH(TB_SEMANA[[#This Row],[FECHA_FIN]]),"NO","SI")</f>
        <v>NO</v>
      </c>
    </row>
    <row r="29" spans="10:49" x14ac:dyDescent="0.25">
      <c r="J29" t="s">
        <v>10558</v>
      </c>
      <c r="S29" t="s">
        <v>10559</v>
      </c>
      <c r="T29" s="7">
        <f t="shared" si="1"/>
        <v>44386</v>
      </c>
      <c r="U29" s="7">
        <f t="shared" si="0"/>
        <v>44392</v>
      </c>
      <c r="V29" s="7">
        <f>EOMONTH(TB_SEMANA[[#This Row],[FECHA_INI]],0)</f>
        <v>44408</v>
      </c>
      <c r="W29" s="7">
        <f>TB_SEMANA[[#This Row],[FIN_MES]]+1</f>
        <v>44409</v>
      </c>
      <c r="X29" s="1" t="str">
        <f>IF(MONTH(TB_SEMANA[[#This Row],[FECHA_INI]])=MONTH(TB_SEMANA[[#This Row],[FECHA_FIN]]),"NO","SI")</f>
        <v>NO</v>
      </c>
    </row>
    <row r="30" spans="10:49" x14ac:dyDescent="0.25">
      <c r="J30" t="s">
        <v>10560</v>
      </c>
      <c r="S30" t="s">
        <v>10561</v>
      </c>
      <c r="T30" s="7">
        <f t="shared" si="1"/>
        <v>44393</v>
      </c>
      <c r="U30" s="7">
        <f t="shared" si="0"/>
        <v>44399</v>
      </c>
      <c r="V30" s="7">
        <f>EOMONTH(TB_SEMANA[[#This Row],[FECHA_INI]],0)</f>
        <v>44408</v>
      </c>
      <c r="W30" s="7">
        <f>TB_SEMANA[[#This Row],[FIN_MES]]+1</f>
        <v>44409</v>
      </c>
      <c r="X30" s="1" t="str">
        <f>IF(MONTH(TB_SEMANA[[#This Row],[FECHA_INI]])=MONTH(TB_SEMANA[[#This Row],[FECHA_FIN]]),"NO","SI")</f>
        <v>NO</v>
      </c>
    </row>
    <row r="31" spans="10:49" x14ac:dyDescent="0.25">
      <c r="S31" t="s">
        <v>10562</v>
      </c>
      <c r="T31" s="7">
        <f t="shared" si="1"/>
        <v>44400</v>
      </c>
      <c r="U31" s="7">
        <f t="shared" si="0"/>
        <v>44406</v>
      </c>
      <c r="V31" s="7">
        <f>EOMONTH(TB_SEMANA[[#This Row],[FECHA_INI]],0)</f>
        <v>44408</v>
      </c>
      <c r="W31" s="7">
        <f>TB_SEMANA[[#This Row],[FIN_MES]]+1</f>
        <v>44409</v>
      </c>
      <c r="X31" s="1" t="str">
        <f>IF(MONTH(TB_SEMANA[[#This Row],[FECHA_INI]])=MONTH(TB_SEMANA[[#This Row],[FECHA_FIN]]),"NO","SI")</f>
        <v>NO</v>
      </c>
    </row>
    <row r="32" spans="10:49" x14ac:dyDescent="0.25">
      <c r="J32" t="s">
        <v>10548</v>
      </c>
      <c r="S32" t="s">
        <v>10563</v>
      </c>
      <c r="T32" s="7">
        <f t="shared" si="1"/>
        <v>44407</v>
      </c>
      <c r="U32" s="7">
        <f t="shared" si="0"/>
        <v>44413</v>
      </c>
      <c r="V32" s="7">
        <f>EOMONTH(TB_SEMANA[[#This Row],[FECHA_INI]],0)</f>
        <v>44408</v>
      </c>
      <c r="W32" s="7">
        <f>TB_SEMANA[[#This Row],[FIN_MES]]+1</f>
        <v>44409</v>
      </c>
      <c r="X32" s="1" t="str">
        <f>IF(MONTH(TB_SEMANA[[#This Row],[FECHA_INI]])=MONTH(TB_SEMANA[[#This Row],[FECHA_FIN]]),"NO","SI")</f>
        <v>SI</v>
      </c>
    </row>
    <row r="33" spans="10:24" x14ac:dyDescent="0.25">
      <c r="J33" t="s">
        <v>10575</v>
      </c>
      <c r="S33" t="s">
        <v>10564</v>
      </c>
      <c r="T33" s="7">
        <f t="shared" si="1"/>
        <v>44414</v>
      </c>
      <c r="U33" s="7">
        <f t="shared" si="0"/>
        <v>44420</v>
      </c>
      <c r="V33" s="7">
        <f>EOMONTH(TB_SEMANA[[#This Row],[FECHA_INI]],0)</f>
        <v>44439</v>
      </c>
      <c r="W33" s="7">
        <f>TB_SEMANA[[#This Row],[FIN_MES]]+1</f>
        <v>44440</v>
      </c>
      <c r="X33" s="1" t="str">
        <f>IF(MONTH(TB_SEMANA[[#This Row],[FECHA_INI]])=MONTH(TB_SEMANA[[#This Row],[FECHA_FIN]]),"NO","SI")</f>
        <v>NO</v>
      </c>
    </row>
    <row r="34" spans="10:24" x14ac:dyDescent="0.25">
      <c r="J34" t="s">
        <v>10577</v>
      </c>
      <c r="S34" t="s">
        <v>10565</v>
      </c>
      <c r="T34" s="7">
        <f t="shared" si="1"/>
        <v>44421</v>
      </c>
      <c r="U34" s="7">
        <f t="shared" si="0"/>
        <v>44427</v>
      </c>
      <c r="V34" s="7">
        <f>EOMONTH(TB_SEMANA[[#This Row],[FECHA_INI]],0)</f>
        <v>44439</v>
      </c>
      <c r="W34" s="7">
        <f>TB_SEMANA[[#This Row],[FIN_MES]]+1</f>
        <v>44440</v>
      </c>
      <c r="X34" s="1" t="str">
        <f>IF(MONTH(TB_SEMANA[[#This Row],[FECHA_INI]])=MONTH(TB_SEMANA[[#This Row],[FECHA_FIN]]),"NO","SI")</f>
        <v>NO</v>
      </c>
    </row>
    <row r="35" spans="10:24" x14ac:dyDescent="0.25">
      <c r="S35" t="s">
        <v>10566</v>
      </c>
      <c r="T35" s="7">
        <f t="shared" si="1"/>
        <v>44428</v>
      </c>
      <c r="U35" s="7">
        <f t="shared" si="0"/>
        <v>44434</v>
      </c>
      <c r="V35" s="7">
        <f>EOMONTH(TB_SEMANA[[#This Row],[FECHA_INI]],0)</f>
        <v>44439</v>
      </c>
      <c r="W35" s="7">
        <f>TB_SEMANA[[#This Row],[FIN_MES]]+1</f>
        <v>44440</v>
      </c>
      <c r="X35" s="1" t="str">
        <f>IF(MONTH(TB_SEMANA[[#This Row],[FECHA_INI]])=MONTH(TB_SEMANA[[#This Row],[FECHA_FIN]]),"NO","SI")</f>
        <v>NO</v>
      </c>
    </row>
    <row r="36" spans="10:24" x14ac:dyDescent="0.25">
      <c r="S36" t="s">
        <v>10567</v>
      </c>
      <c r="T36" s="7">
        <f t="shared" si="1"/>
        <v>44435</v>
      </c>
      <c r="U36" s="7">
        <f t="shared" si="0"/>
        <v>44441</v>
      </c>
      <c r="V36" s="7">
        <f>EOMONTH(TB_SEMANA[[#This Row],[FECHA_INI]],0)</f>
        <v>44439</v>
      </c>
      <c r="W36" s="7">
        <f>TB_SEMANA[[#This Row],[FIN_MES]]+1</f>
        <v>44440</v>
      </c>
      <c r="X36" s="1" t="str">
        <f>IF(MONTH(TB_SEMANA[[#This Row],[FECHA_INI]])=MONTH(TB_SEMANA[[#This Row],[FECHA_FIN]]),"NO","SI")</f>
        <v>SI</v>
      </c>
    </row>
    <row r="37" spans="10:24" x14ac:dyDescent="0.25">
      <c r="S37" t="s">
        <v>10568</v>
      </c>
      <c r="T37" s="7">
        <f t="shared" si="1"/>
        <v>44442</v>
      </c>
      <c r="U37" s="7">
        <f t="shared" si="0"/>
        <v>44448</v>
      </c>
      <c r="V37" s="7">
        <f>EOMONTH(TB_SEMANA[[#This Row],[FECHA_INI]],0)</f>
        <v>44469</v>
      </c>
      <c r="W37" s="7">
        <f>TB_SEMANA[[#This Row],[FIN_MES]]+1</f>
        <v>44470</v>
      </c>
      <c r="X37" s="1" t="str">
        <f>IF(MONTH(TB_SEMANA[[#This Row],[FECHA_INI]])=MONTH(TB_SEMANA[[#This Row],[FECHA_FIN]]),"NO","SI")</f>
        <v>NO</v>
      </c>
    </row>
    <row r="38" spans="10:24" x14ac:dyDescent="0.25">
      <c r="S38" t="s">
        <v>10569</v>
      </c>
      <c r="T38" s="7">
        <f t="shared" si="1"/>
        <v>44449</v>
      </c>
      <c r="U38" s="7">
        <f t="shared" si="0"/>
        <v>44455</v>
      </c>
      <c r="V38" s="7">
        <f>EOMONTH(TB_SEMANA[[#This Row],[FECHA_INI]],0)</f>
        <v>44469</v>
      </c>
      <c r="W38" s="7">
        <f>TB_SEMANA[[#This Row],[FIN_MES]]+1</f>
        <v>44470</v>
      </c>
      <c r="X38" s="1" t="str">
        <f>IF(MONTH(TB_SEMANA[[#This Row],[FECHA_INI]])=MONTH(TB_SEMANA[[#This Row],[FECHA_FIN]]),"NO","SI")</f>
        <v>NO</v>
      </c>
    </row>
    <row r="39" spans="10:24" x14ac:dyDescent="0.25">
      <c r="S39" t="s">
        <v>10570</v>
      </c>
      <c r="T39" s="7">
        <f t="shared" si="1"/>
        <v>44456</v>
      </c>
      <c r="U39" s="7">
        <f t="shared" si="0"/>
        <v>44462</v>
      </c>
      <c r="V39" s="7">
        <f>EOMONTH(TB_SEMANA[[#This Row],[FECHA_INI]],0)</f>
        <v>44469</v>
      </c>
      <c r="W39" s="7">
        <f>TB_SEMANA[[#This Row],[FIN_MES]]+1</f>
        <v>44470</v>
      </c>
      <c r="X39" s="1" t="str">
        <f>IF(MONTH(TB_SEMANA[[#This Row],[FECHA_INI]])=MONTH(TB_SEMANA[[#This Row],[FECHA_FIN]]),"NO","SI")</f>
        <v>NO</v>
      </c>
    </row>
    <row r="40" spans="10:24" x14ac:dyDescent="0.25">
      <c r="S40" t="s">
        <v>10571</v>
      </c>
      <c r="T40" s="7">
        <f t="shared" si="1"/>
        <v>44463</v>
      </c>
      <c r="U40" s="7">
        <f t="shared" si="0"/>
        <v>44469</v>
      </c>
      <c r="V40" s="7">
        <f>EOMONTH(TB_SEMANA[[#This Row],[FECHA_INI]],0)</f>
        <v>44469</v>
      </c>
      <c r="W40" s="7">
        <f>TB_SEMANA[[#This Row],[FIN_MES]]+1</f>
        <v>44470</v>
      </c>
      <c r="X40" s="1" t="str">
        <f>IF(MONTH(TB_SEMANA[[#This Row],[FECHA_INI]])=MONTH(TB_SEMANA[[#This Row],[FECHA_FIN]]),"NO","SI")</f>
        <v>NO</v>
      </c>
    </row>
    <row r="41" spans="10:24" x14ac:dyDescent="0.25">
      <c r="S41" t="s">
        <v>10572</v>
      </c>
      <c r="T41" s="7">
        <f t="shared" si="1"/>
        <v>44470</v>
      </c>
      <c r="U41" s="7">
        <f t="shared" si="0"/>
        <v>44476</v>
      </c>
      <c r="V41" s="7">
        <f>EOMONTH(TB_SEMANA[[#This Row],[FECHA_INI]],0)</f>
        <v>44500</v>
      </c>
      <c r="W41" s="7">
        <f>TB_SEMANA[[#This Row],[FIN_MES]]+1</f>
        <v>44501</v>
      </c>
      <c r="X41" s="1" t="str">
        <f>IF(MONTH(TB_SEMANA[[#This Row],[FECHA_INI]])=MONTH(TB_SEMANA[[#This Row],[FECHA_FIN]]),"NO","SI")</f>
        <v>NO</v>
      </c>
    </row>
    <row r="42" spans="10:24" x14ac:dyDescent="0.25">
      <c r="S42" t="s">
        <v>10573</v>
      </c>
      <c r="T42" s="7">
        <f t="shared" si="1"/>
        <v>44477</v>
      </c>
      <c r="U42" s="7">
        <f t="shared" si="0"/>
        <v>44483</v>
      </c>
      <c r="V42" s="7">
        <f>EOMONTH(TB_SEMANA[[#This Row],[FECHA_INI]],0)</f>
        <v>44500</v>
      </c>
      <c r="W42" s="7">
        <f>TB_SEMANA[[#This Row],[FIN_MES]]+1</f>
        <v>44501</v>
      </c>
      <c r="X42" s="1" t="str">
        <f>IF(MONTH(TB_SEMANA[[#This Row],[FECHA_INI]])=MONTH(TB_SEMANA[[#This Row],[FECHA_FIN]]),"NO","SI")</f>
        <v>NO</v>
      </c>
    </row>
    <row r="43" spans="10:24" x14ac:dyDescent="0.25">
      <c r="S43" t="s">
        <v>10574</v>
      </c>
      <c r="T43" s="7">
        <f t="shared" si="1"/>
        <v>44484</v>
      </c>
      <c r="U43" s="7">
        <f t="shared" si="0"/>
        <v>44490</v>
      </c>
      <c r="V43" s="7">
        <f>EOMONTH(TB_SEMANA[[#This Row],[FECHA_INI]],0)</f>
        <v>44500</v>
      </c>
      <c r="W43" s="7">
        <f>TB_SEMANA[[#This Row],[FIN_MES]]+1</f>
        <v>44501</v>
      </c>
      <c r="X43" s="1" t="str">
        <f>IF(MONTH(TB_SEMANA[[#This Row],[FECHA_INI]])=MONTH(TB_SEMANA[[#This Row],[FECHA_FIN]]),"NO","SI")</f>
        <v>NO</v>
      </c>
    </row>
    <row r="44" spans="10:24" x14ac:dyDescent="0.25">
      <c r="S44" t="s">
        <v>10576</v>
      </c>
      <c r="T44" s="7">
        <f t="shared" si="1"/>
        <v>44491</v>
      </c>
      <c r="U44" s="7">
        <f t="shared" si="0"/>
        <v>44497</v>
      </c>
      <c r="V44" s="7">
        <f>EOMONTH(TB_SEMANA[[#This Row],[FECHA_INI]],0)</f>
        <v>44500</v>
      </c>
      <c r="W44" s="7">
        <f>TB_SEMANA[[#This Row],[FIN_MES]]+1</f>
        <v>44501</v>
      </c>
      <c r="X44" s="1" t="str">
        <f>IF(MONTH(TB_SEMANA[[#This Row],[FECHA_INI]])=MONTH(TB_SEMANA[[#This Row],[FECHA_FIN]]),"NO","SI")</f>
        <v>NO</v>
      </c>
    </row>
    <row r="45" spans="10:24" x14ac:dyDescent="0.25">
      <c r="S45" t="s">
        <v>10578</v>
      </c>
      <c r="T45" s="7">
        <f t="shared" si="1"/>
        <v>44498</v>
      </c>
      <c r="U45" s="7">
        <f t="shared" si="0"/>
        <v>44504</v>
      </c>
      <c r="V45" s="7">
        <f>EOMONTH(TB_SEMANA[[#This Row],[FECHA_INI]],0)</f>
        <v>44500</v>
      </c>
      <c r="W45" s="7">
        <f>TB_SEMANA[[#This Row],[FIN_MES]]+1</f>
        <v>44501</v>
      </c>
      <c r="X45" s="1" t="str">
        <f>IF(MONTH(TB_SEMANA[[#This Row],[FECHA_INI]])=MONTH(TB_SEMANA[[#This Row],[FECHA_FIN]]),"NO","SI")</f>
        <v>SI</v>
      </c>
    </row>
    <row r="46" spans="10:24" x14ac:dyDescent="0.25">
      <c r="S46" t="s">
        <v>10579</v>
      </c>
      <c r="T46" s="7">
        <f t="shared" si="1"/>
        <v>44505</v>
      </c>
      <c r="U46" s="7">
        <f t="shared" si="0"/>
        <v>44511</v>
      </c>
      <c r="V46" s="7">
        <f>EOMONTH(TB_SEMANA[[#This Row],[FECHA_INI]],0)</f>
        <v>44530</v>
      </c>
      <c r="W46" s="7">
        <f>TB_SEMANA[[#This Row],[FIN_MES]]+1</f>
        <v>44531</v>
      </c>
      <c r="X46" s="1" t="str">
        <f>IF(MONTH(TB_SEMANA[[#This Row],[FECHA_INI]])=MONTH(TB_SEMANA[[#This Row],[FECHA_FIN]]),"NO","SI")</f>
        <v>NO</v>
      </c>
    </row>
    <row r="47" spans="10:24" x14ac:dyDescent="0.25">
      <c r="S47" t="s">
        <v>10580</v>
      </c>
      <c r="T47" s="7">
        <f t="shared" si="1"/>
        <v>44512</v>
      </c>
      <c r="U47" s="7">
        <f t="shared" si="0"/>
        <v>44518</v>
      </c>
      <c r="V47" s="7">
        <f>EOMONTH(TB_SEMANA[[#This Row],[FECHA_INI]],0)</f>
        <v>44530</v>
      </c>
      <c r="W47" s="7">
        <f>TB_SEMANA[[#This Row],[FIN_MES]]+1</f>
        <v>44531</v>
      </c>
      <c r="X47" s="1" t="str">
        <f>IF(MONTH(TB_SEMANA[[#This Row],[FECHA_INI]])=MONTH(TB_SEMANA[[#This Row],[FECHA_FIN]]),"NO","SI")</f>
        <v>NO</v>
      </c>
    </row>
    <row r="48" spans="10:24" x14ac:dyDescent="0.25">
      <c r="S48" t="s">
        <v>10581</v>
      </c>
      <c r="T48" s="7">
        <f t="shared" si="1"/>
        <v>44519</v>
      </c>
      <c r="U48" s="7">
        <f t="shared" si="0"/>
        <v>44525</v>
      </c>
      <c r="V48" s="7">
        <f>EOMONTH(TB_SEMANA[[#This Row],[FECHA_INI]],0)</f>
        <v>44530</v>
      </c>
      <c r="W48" s="7">
        <f>TB_SEMANA[[#This Row],[FIN_MES]]+1</f>
        <v>44531</v>
      </c>
      <c r="X48" s="1" t="str">
        <f>IF(MONTH(TB_SEMANA[[#This Row],[FECHA_INI]])=MONTH(TB_SEMANA[[#This Row],[FECHA_FIN]]),"NO","SI")</f>
        <v>NO</v>
      </c>
    </row>
    <row r="49" spans="19:24" x14ac:dyDescent="0.25">
      <c r="S49" t="s">
        <v>10582</v>
      </c>
      <c r="T49" s="7">
        <f t="shared" si="1"/>
        <v>44526</v>
      </c>
      <c r="U49" s="7">
        <f t="shared" si="0"/>
        <v>44532</v>
      </c>
      <c r="V49" s="7">
        <f>EOMONTH(TB_SEMANA[[#This Row],[FECHA_INI]],0)</f>
        <v>44530</v>
      </c>
      <c r="W49" s="7">
        <f>TB_SEMANA[[#This Row],[FIN_MES]]+1</f>
        <v>44531</v>
      </c>
      <c r="X49" s="1" t="str">
        <f>IF(MONTH(TB_SEMANA[[#This Row],[FECHA_INI]])=MONTH(TB_SEMANA[[#This Row],[FECHA_FIN]]),"NO","SI")</f>
        <v>SI</v>
      </c>
    </row>
    <row r="50" spans="19:24" x14ac:dyDescent="0.25">
      <c r="S50" t="s">
        <v>10583</v>
      </c>
      <c r="T50" s="7">
        <f t="shared" si="1"/>
        <v>44533</v>
      </c>
      <c r="U50" s="7">
        <f t="shared" si="0"/>
        <v>44539</v>
      </c>
      <c r="V50" s="7">
        <f>EOMONTH(TB_SEMANA[[#This Row],[FECHA_INI]],0)</f>
        <v>44561</v>
      </c>
      <c r="W50" s="7">
        <f>TB_SEMANA[[#This Row],[FIN_MES]]+1</f>
        <v>44562</v>
      </c>
      <c r="X50" s="1" t="str">
        <f>IF(MONTH(TB_SEMANA[[#This Row],[FECHA_INI]])=MONTH(TB_SEMANA[[#This Row],[FECHA_FIN]]),"NO","SI")</f>
        <v>NO</v>
      </c>
    </row>
    <row r="51" spans="19:24" x14ac:dyDescent="0.25">
      <c r="S51" t="s">
        <v>10584</v>
      </c>
      <c r="T51" s="7">
        <f t="shared" si="1"/>
        <v>44540</v>
      </c>
      <c r="U51" s="7">
        <f t="shared" si="0"/>
        <v>44546</v>
      </c>
      <c r="V51" s="7">
        <f>EOMONTH(TB_SEMANA[[#This Row],[FECHA_INI]],0)</f>
        <v>44561</v>
      </c>
      <c r="W51" s="7">
        <f>TB_SEMANA[[#This Row],[FIN_MES]]+1</f>
        <v>44562</v>
      </c>
      <c r="X51" s="1" t="str">
        <f>IF(MONTH(TB_SEMANA[[#This Row],[FECHA_INI]])=MONTH(TB_SEMANA[[#This Row],[FECHA_FIN]]),"NO","SI")</f>
        <v>NO</v>
      </c>
    </row>
    <row r="52" spans="19:24" x14ac:dyDescent="0.25">
      <c r="S52" t="s">
        <v>10585</v>
      </c>
      <c r="T52" s="7">
        <f t="shared" si="1"/>
        <v>44547</v>
      </c>
      <c r="U52" s="7">
        <f t="shared" si="0"/>
        <v>44553</v>
      </c>
      <c r="V52" s="7">
        <f>EOMONTH(TB_SEMANA[[#This Row],[FECHA_INI]],0)</f>
        <v>44561</v>
      </c>
      <c r="W52" s="7">
        <f>TB_SEMANA[[#This Row],[FIN_MES]]+1</f>
        <v>44562</v>
      </c>
      <c r="X52" s="1" t="str">
        <f>IF(MONTH(TB_SEMANA[[#This Row],[FECHA_INI]])=MONTH(TB_SEMANA[[#This Row],[FECHA_FIN]]),"NO","SI")</f>
        <v>NO</v>
      </c>
    </row>
    <row r="53" spans="19:24" x14ac:dyDescent="0.25">
      <c r="S53" t="s">
        <v>10586</v>
      </c>
      <c r="T53" s="7">
        <f t="shared" si="1"/>
        <v>44554</v>
      </c>
      <c r="U53" s="7">
        <v>44561</v>
      </c>
      <c r="V53" s="7">
        <f>EOMONTH(TB_SEMANA[[#This Row],[FECHA_INI]],0)</f>
        <v>44561</v>
      </c>
      <c r="W53" s="7">
        <f>TB_SEMANA[[#This Row],[FIN_MES]]+1</f>
        <v>44562</v>
      </c>
      <c r="X53" s="1" t="str">
        <f>IF(MONTH(TB_SEMANA[[#This Row],[FECHA_INI]])=MONTH(TB_SEMANA[[#This Row],[FECHA_FIN]]),"NO","SI")</f>
        <v>NO</v>
      </c>
    </row>
  </sheetData>
  <conditionalFormatting sqref="X2:X53">
    <cfRule type="cellIs" dxfId="533" priority="3" operator="equal">
      <formula>"SI"</formula>
    </cfRule>
  </conditionalFormatting>
  <dataValidations disablePrompts="1" count="1">
    <dataValidation type="list" allowBlank="1" showInputMessage="1" showErrorMessage="1" sqref="N2:N16" xr:uid="{00000000-0002-0000-0000-000000000000}">
      <formula1>$A$9:$A$16</formula1>
    </dataValidation>
  </dataValidations>
  <pageMargins left="0.7" right="0.7" top="0.75" bottom="0.75" header="0.3" footer="0.3"/>
  <pageSetup paperSize="9" orientation="portrait" r:id="rId1"/>
  <tableParts count="2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FFC000"/>
  </sheetPr>
  <dimension ref="A1:H6047"/>
  <sheetViews>
    <sheetView showGridLines="0" zoomScale="115" zoomScaleNormal="115" workbookViewId="0">
      <selection activeCell="B6034" sqref="B6034"/>
    </sheetView>
  </sheetViews>
  <sheetFormatPr baseColWidth="10" defaultRowHeight="15" x14ac:dyDescent="0.25"/>
  <cols>
    <col min="1" max="1" width="7.5703125" bestFit="1" customWidth="1"/>
    <col min="2" max="2" width="27.28515625" bestFit="1" customWidth="1"/>
    <col min="3" max="3" width="61.42578125" customWidth="1"/>
    <col min="4" max="4" width="11" bestFit="1" customWidth="1"/>
    <col min="5" max="5" width="13.7109375" bestFit="1" customWidth="1"/>
    <col min="6" max="6" width="10.140625" customWidth="1"/>
    <col min="7" max="7" width="58.42578125" customWidth="1"/>
    <col min="8" max="8" width="13.85546875" customWidth="1"/>
  </cols>
  <sheetData>
    <row r="1" spans="1:8" s="16" customFormat="1" ht="15.7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10724</v>
      </c>
    </row>
    <row r="2" spans="1:8" ht="15" customHeight="1" x14ac:dyDescent="0.25">
      <c r="A2" s="1" t="str">
        <f>MID(TB_CECO[[#This Row],[CECO_T]],1,5)</f>
        <v>6A19</v>
      </c>
      <c r="B2" s="1" t="str">
        <f>MID(TB_CECO[[#This Row],[TRABAJO]],1,SEARCH(",",TB_CECO[[#This Row],[TRABAJO]],1)-1)</f>
        <v>MOTORISTAS</v>
      </c>
      <c r="C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MOTORISTAS,SERVICIOS</v>
      </c>
      <c r="D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SERVICIOS</v>
      </c>
      <c r="F2" s="47" t="s">
        <v>10718</v>
      </c>
      <c r="G2" t="s">
        <v>10720</v>
      </c>
      <c r="H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SERVICIOS</v>
      </c>
    </row>
    <row r="3" spans="1:8" ht="15" customHeight="1" x14ac:dyDescent="0.25">
      <c r="A3" s="1" t="str">
        <f>MID(TB_CECO[[#This Row],[CECO_T]],1,5)</f>
        <v>6A1B</v>
      </c>
      <c r="B3" s="1" t="str">
        <f>MID(TB_CECO[[#This Row],[TRABAJO]],1,SEARCH(",",TB_CECO[[#This Row],[TRABAJO]],1)-1)</f>
        <v>BODEGUERO</v>
      </c>
      <c r="C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BODEGUERO,SERVICIOS</v>
      </c>
      <c r="D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SERVICIOS</v>
      </c>
      <c r="F3" s="47" t="s">
        <v>10719</v>
      </c>
      <c r="G3" t="s">
        <v>10721</v>
      </c>
      <c r="H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SERVICIOS</v>
      </c>
    </row>
    <row r="4" spans="1:8" ht="15" customHeight="1" x14ac:dyDescent="0.25">
      <c r="A4" s="1" t="str">
        <f>MID(TB_CECO[[#This Row],[CECO_T]],1,5)</f>
        <v>6A1B</v>
      </c>
      <c r="B4" s="1" t="str">
        <f>MID(TB_CECO[[#This Row],[TRABAJO]],1,SEARCH(",",TB_CECO[[#This Row],[TRABAJO]],1)-1)</f>
        <v>HERRERIA</v>
      </c>
      <c r="C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HERRERIA,SERVICIOS</v>
      </c>
      <c r="D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SERVICIOS</v>
      </c>
      <c r="F4" s="47" t="s">
        <v>10719</v>
      </c>
      <c r="G4" t="s">
        <v>10722</v>
      </c>
      <c r="H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SERVICIOS</v>
      </c>
    </row>
    <row r="5" spans="1:8" ht="15" customHeight="1" x14ac:dyDescent="0.25">
      <c r="A5" s="1" t="str">
        <f>MID(TB_CECO[[#This Row],[CECO_T]],1,5)</f>
        <v>6A1B</v>
      </c>
      <c r="B5" s="1" t="str">
        <f>MID(TB_CECO[[#This Row],[TRABAJO]],1,SEARCH(",",TB_CECO[[#This Row],[TRABAJO]],1)-1)</f>
        <v>CARRILANO</v>
      </c>
      <c r="C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CARRILANO,SERVICIOS</v>
      </c>
      <c r="D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SERVICIOS</v>
      </c>
      <c r="F5" s="47" t="s">
        <v>10719</v>
      </c>
      <c r="G5" t="s">
        <v>10723</v>
      </c>
      <c r="H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SERVICIOS</v>
      </c>
    </row>
    <row r="6" spans="1:8" ht="15" customHeight="1" x14ac:dyDescent="0.25">
      <c r="A6" t="str">
        <f>MID(TB_CECO[[#This Row],[CECO_T]],1,5)</f>
        <v>11002</v>
      </c>
      <c r="B6" t="str">
        <f>MID(TB_CECO[[#This Row],[TRABAJO]],1,SEARCH(",",TB_CECO[[#This Row],[TRABAJO]],1)-1)</f>
        <v>GA 170 NE Cx.128 NE</v>
      </c>
      <c r="C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NE,DESQUINCHE   </v>
      </c>
      <c r="D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" s="47" t="s">
        <v>7</v>
      </c>
      <c r="G6" t="s">
        <v>8</v>
      </c>
      <c r="H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" spans="1:8" ht="15" customHeight="1" x14ac:dyDescent="0.25">
      <c r="A7" t="str">
        <f>MID(TB_CECO[[#This Row],[CECO_T]],1,5)</f>
        <v>11002</v>
      </c>
      <c r="B7" t="str">
        <f>MID(TB_CECO[[#This Row],[TRABAJO]],1,SEARCH(",",TB_CECO[[#This Row],[TRABAJO]],1)-1)</f>
        <v>GA 170 NE Cx.128 NE</v>
      </c>
      <c r="C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NE,ENMADERADO   </v>
      </c>
      <c r="D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" s="47" t="s">
        <v>9</v>
      </c>
      <c r="G7" t="s">
        <v>10</v>
      </c>
      <c r="H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" spans="1:8" ht="15" customHeight="1" x14ac:dyDescent="0.25">
      <c r="A8" t="str">
        <f>MID(TB_CECO[[#This Row],[CECO_T]],1,5)</f>
        <v>11002</v>
      </c>
      <c r="B8" t="str">
        <f>MID(TB_CECO[[#This Row],[TRABAJO]],1,SEARCH(",",TB_CECO[[#This Row],[TRABAJO]],1)-1)</f>
        <v>GA 170 NE Cx.128 NE</v>
      </c>
      <c r="C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NE,LIMPIEZA     </v>
      </c>
      <c r="D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" s="47" t="s">
        <v>11</v>
      </c>
      <c r="G8" t="s">
        <v>12</v>
      </c>
      <c r="H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" spans="1:8" ht="15" customHeight="1" x14ac:dyDescent="0.25">
      <c r="A9" t="str">
        <f>MID(TB_CECO[[#This Row],[CECO_T]],1,5)</f>
        <v>11002</v>
      </c>
      <c r="B9" t="str">
        <f>MID(TB_CECO[[#This Row],[TRABAJO]],1,SEARCH(",",TB_CECO[[#This Row],[TRABAJO]],1)-1)</f>
        <v>GA 170 NE Cx.128 NE</v>
      </c>
      <c r="C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NE,SERVIC       </v>
      </c>
      <c r="D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" s="47" t="s">
        <v>13</v>
      </c>
      <c r="G9" t="s">
        <v>14</v>
      </c>
      <c r="H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" spans="1:8" ht="15" customHeight="1" x14ac:dyDescent="0.25">
      <c r="A10" t="str">
        <f>MID(TB_CECO[[#This Row],[CECO_T]],1,5)</f>
        <v>11002</v>
      </c>
      <c r="B10" t="str">
        <f>MID(TB_CECO[[#This Row],[TRABAJO]],1,SEARCH(",",TB_CECO[[#This Row],[TRABAJO]],1)-1)</f>
        <v>GA 170 NE Cx.128 NE</v>
      </c>
      <c r="C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NE,EXTRACCION   </v>
      </c>
      <c r="D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" s="47" t="s">
        <v>15</v>
      </c>
      <c r="G10" t="s">
        <v>16</v>
      </c>
      <c r="H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" spans="1:8" ht="15" customHeight="1" x14ac:dyDescent="0.25">
      <c r="A11" t="str">
        <f>MID(TB_CECO[[#This Row],[CECO_T]],1,5)</f>
        <v>11002</v>
      </c>
      <c r="B11" t="str">
        <f>MID(TB_CECO[[#This Row],[TRABAJO]],1,SEARCH(",",TB_CECO[[#This Row],[TRABAJO]],1)-1)</f>
        <v>GA 170 NE Cx.128 NE</v>
      </c>
      <c r="C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NE,SPLIT SET    </v>
      </c>
      <c r="D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1" s="47" t="s">
        <v>17</v>
      </c>
      <c r="G11" t="s">
        <v>18</v>
      </c>
      <c r="H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" spans="1:8" ht="15" customHeight="1" x14ac:dyDescent="0.25">
      <c r="A12" t="str">
        <f>MID(TB_CECO[[#This Row],[CECO_T]],1,5)</f>
        <v>11002</v>
      </c>
      <c r="B12" t="str">
        <f>MID(TB_CECO[[#This Row],[TRABAJO]],1,SEARCH(",",TB_CECO[[#This Row],[TRABAJO]],1)-1)</f>
        <v>GA 170 NE Cx.128 NE</v>
      </c>
      <c r="C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 170 NE Cx.128 NE,SPLIT CON MAL</v>
      </c>
      <c r="D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" s="47" t="s">
        <v>19</v>
      </c>
      <c r="G12" t="s">
        <v>20</v>
      </c>
      <c r="H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" spans="1:8" ht="15" customHeight="1" x14ac:dyDescent="0.25">
      <c r="A13" t="str">
        <f>MID(TB_CECO[[#This Row],[CECO_T]],1,5)</f>
        <v>11002</v>
      </c>
      <c r="B13" t="str">
        <f>MID(TB_CECO[[#This Row],[TRABAJO]],1,SEARCH(",",TB_CECO[[#This Row],[TRABAJO]],1)-1)</f>
        <v>GA 170 NE Cx.128 NE</v>
      </c>
      <c r="C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 170 NE Cx.128 NE,IZAJE Y DESCE</v>
      </c>
      <c r="D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3" s="47" t="s">
        <v>21</v>
      </c>
      <c r="G13" t="s">
        <v>22</v>
      </c>
      <c r="H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" spans="1:8" ht="15" customHeight="1" x14ac:dyDescent="0.25">
      <c r="A14" t="str">
        <f>MID(TB_CECO[[#This Row],[CECO_T]],1,5)</f>
        <v>11002</v>
      </c>
      <c r="B14" t="str">
        <f>MID(TB_CECO[[#This Row],[TRABAJO]],1,SEARCH(",",TB_CECO[[#This Row],[TRABAJO]],1)-1)</f>
        <v>GA 170 NE Cx.128 NE</v>
      </c>
      <c r="C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NE,PERFORACION  </v>
      </c>
      <c r="D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" s="47" t="s">
        <v>23</v>
      </c>
      <c r="G14" t="s">
        <v>24</v>
      </c>
      <c r="H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" spans="1:8" ht="15" customHeight="1" x14ac:dyDescent="0.25">
      <c r="A15" t="str">
        <f>MID(TB_CECO[[#This Row],[CECO_T]],1,5)</f>
        <v>11101</v>
      </c>
      <c r="B15" t="str">
        <f>MID(TB_CECO[[#This Row],[TRABAJO]],1,SEARCH(",",TB_CECO[[#This Row],[TRABAJO]],1)-1)</f>
        <v xml:space="preserve"> Cx.128 NE_GL.028 NE </v>
      </c>
      <c r="C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DESQUINCH</v>
      </c>
      <c r="D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" s="47" t="s">
        <v>25</v>
      </c>
      <c r="G15" t="s">
        <v>26</v>
      </c>
      <c r="H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" spans="1:8" ht="15" customHeight="1" x14ac:dyDescent="0.25">
      <c r="A16" t="str">
        <f>MID(TB_CECO[[#This Row],[CECO_T]],1,5)</f>
        <v>11101</v>
      </c>
      <c r="B16" t="str">
        <f>MID(TB_CECO[[#This Row],[TRABAJO]],1,SEARCH(",",TB_CECO[[#This Row],[TRABAJO]],1)-1)</f>
        <v xml:space="preserve"> Cx.128 NE_GL.028 NE </v>
      </c>
      <c r="C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ENMADERAD</v>
      </c>
      <c r="D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" s="47" t="s">
        <v>27</v>
      </c>
      <c r="G16" t="s">
        <v>28</v>
      </c>
      <c r="H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" spans="1:8" ht="15" customHeight="1" x14ac:dyDescent="0.25">
      <c r="A17" t="str">
        <f>MID(TB_CECO[[#This Row],[CECO_T]],1,5)</f>
        <v>11101</v>
      </c>
      <c r="B17" t="str">
        <f>MID(TB_CECO[[#This Row],[TRABAJO]],1,SEARCH(",",TB_CECO[[#This Row],[TRABAJO]],1)-1)</f>
        <v xml:space="preserve"> Cx.128 NE_GL.028 NE </v>
      </c>
      <c r="C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LIMPIEZA </v>
      </c>
      <c r="D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" s="47" t="s">
        <v>29</v>
      </c>
      <c r="G17" t="s">
        <v>30</v>
      </c>
      <c r="H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" spans="1:8" ht="15" customHeight="1" x14ac:dyDescent="0.25">
      <c r="A18" t="str">
        <f>MID(TB_CECO[[#This Row],[CECO_T]],1,5)</f>
        <v>11101</v>
      </c>
      <c r="B18" t="str">
        <f>MID(TB_CECO[[#This Row],[TRABAJO]],1,SEARCH(",",TB_CECO[[#This Row],[TRABAJO]],1)-1)</f>
        <v xml:space="preserve"> Cx.128 NE_GL.028 NE </v>
      </c>
      <c r="C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SERVICIOS</v>
      </c>
      <c r="D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" s="47" t="s">
        <v>31</v>
      </c>
      <c r="G18" t="s">
        <v>32</v>
      </c>
      <c r="H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" spans="1:8" ht="15" customHeight="1" x14ac:dyDescent="0.25">
      <c r="A19" t="str">
        <f>MID(TB_CECO[[#This Row],[CECO_T]],1,5)</f>
        <v>11101</v>
      </c>
      <c r="B19" t="str">
        <f>MID(TB_CECO[[#This Row],[TRABAJO]],1,SEARCH(",",TB_CECO[[#This Row],[TRABAJO]],1)-1)</f>
        <v xml:space="preserve"> Cx.128 NE_GL.028 NE </v>
      </c>
      <c r="C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EXTRACCIO</v>
      </c>
      <c r="D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" s="47" t="s">
        <v>33</v>
      </c>
      <c r="G19" t="s">
        <v>34</v>
      </c>
      <c r="H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" spans="1:8" ht="15" customHeight="1" x14ac:dyDescent="0.25">
      <c r="A20" t="str">
        <f>MID(TB_CECO[[#This Row],[CECO_T]],1,5)</f>
        <v>11101</v>
      </c>
      <c r="B20" t="str">
        <f>MID(TB_CECO[[#This Row],[TRABAJO]],1,SEARCH(",",TB_CECO[[#This Row],[TRABAJO]],1)-1)</f>
        <v xml:space="preserve"> Cx.128 NE_GL.028 NE </v>
      </c>
      <c r="C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SPLIT SET</v>
      </c>
      <c r="D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" s="47" t="s">
        <v>35</v>
      </c>
      <c r="G20" t="s">
        <v>36</v>
      </c>
      <c r="H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" spans="1:8" ht="15" customHeight="1" x14ac:dyDescent="0.25">
      <c r="A21" t="str">
        <f>MID(TB_CECO[[#This Row],[CECO_T]],1,5)</f>
        <v>11101</v>
      </c>
      <c r="B21" t="str">
        <f>MID(TB_CECO[[#This Row],[TRABAJO]],1,SEARCH(",",TB_CECO[[#This Row],[TRABAJO]],1)-1)</f>
        <v xml:space="preserve"> Cx.128 NE_GL.028 NE </v>
      </c>
      <c r="C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SPLIT CON</v>
      </c>
      <c r="D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" s="47" t="s">
        <v>37</v>
      </c>
      <c r="G21" t="s">
        <v>38</v>
      </c>
      <c r="H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" spans="1:8" ht="15" customHeight="1" x14ac:dyDescent="0.25">
      <c r="A22" t="str">
        <f>MID(TB_CECO[[#This Row],[CECO_T]],1,5)</f>
        <v>11101</v>
      </c>
      <c r="B22" t="str">
        <f>MID(TB_CECO[[#This Row],[TRABAJO]],1,SEARCH(",",TB_CECO[[#This Row],[TRABAJO]],1)-1)</f>
        <v xml:space="preserve"> Cx.128 NE_GL.028 NE </v>
      </c>
      <c r="C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IZAJE Y D</v>
      </c>
      <c r="D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" s="47" t="s">
        <v>39</v>
      </c>
      <c r="G22" t="s">
        <v>40</v>
      </c>
      <c r="H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" spans="1:8" ht="15" customHeight="1" x14ac:dyDescent="0.25">
      <c r="A23" t="str">
        <f>MID(TB_CECO[[#This Row],[CECO_T]],1,5)</f>
        <v>11101</v>
      </c>
      <c r="B23" t="str">
        <f>MID(TB_CECO[[#This Row],[TRABAJO]],1,SEARCH(",",TB_CECO[[#This Row],[TRABAJO]],1)-1)</f>
        <v xml:space="preserve"> Cx.128 NE_GL.028 NE </v>
      </c>
      <c r="C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PERFORACI</v>
      </c>
      <c r="D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" s="47" t="s">
        <v>41</v>
      </c>
      <c r="G23" t="s">
        <v>42</v>
      </c>
      <c r="H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" spans="1:8" ht="15" customHeight="1" x14ac:dyDescent="0.25">
      <c r="A24" t="str">
        <f>MID(TB_CECO[[#This Row],[CECO_T]],1,5)</f>
        <v>11201</v>
      </c>
      <c r="B24" t="str">
        <f>MID(TB_CECO[[#This Row],[TRABAJO]],1,SEARCH(",",TB_CECO[[#This Row],[TRABAJO]],1)-1)</f>
        <v xml:space="preserve"> CH.045_SN 095-1 SW </v>
      </c>
      <c r="C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DESQUINCHE</v>
      </c>
      <c r="D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" s="47" t="s">
        <v>43</v>
      </c>
      <c r="G24" t="s">
        <v>44</v>
      </c>
      <c r="H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" spans="1:8" ht="15" customHeight="1" x14ac:dyDescent="0.25">
      <c r="A25" t="str">
        <f>MID(TB_CECO[[#This Row],[CECO_T]],1,5)</f>
        <v>11201</v>
      </c>
      <c r="B25" t="str">
        <f>MID(TB_CECO[[#This Row],[TRABAJO]],1,SEARCH(",",TB_CECO[[#This Row],[TRABAJO]],1)-1)</f>
        <v xml:space="preserve"> CH.045_SN 095-1 SW </v>
      </c>
      <c r="C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ENMADERADO</v>
      </c>
      <c r="D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" s="47" t="s">
        <v>45</v>
      </c>
      <c r="G25" t="s">
        <v>46</v>
      </c>
      <c r="H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" spans="1:8" ht="15" customHeight="1" x14ac:dyDescent="0.25">
      <c r="A26" t="str">
        <f>MID(TB_CECO[[#This Row],[CECO_T]],1,5)</f>
        <v>11201</v>
      </c>
      <c r="B26" t="str">
        <f>MID(TB_CECO[[#This Row],[TRABAJO]],1,SEARCH(",",TB_CECO[[#This Row],[TRABAJO]],1)-1)</f>
        <v xml:space="preserve"> CH.045_SN 095-1 SW </v>
      </c>
      <c r="C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LIMPIEZA  </v>
      </c>
      <c r="D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" s="47" t="s">
        <v>47</v>
      </c>
      <c r="G26" t="s">
        <v>48</v>
      </c>
      <c r="H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" spans="1:8" ht="15" customHeight="1" x14ac:dyDescent="0.25">
      <c r="A27" t="str">
        <f>MID(TB_CECO[[#This Row],[CECO_T]],1,5)</f>
        <v>11201</v>
      </c>
      <c r="B27" t="str">
        <f>MID(TB_CECO[[#This Row],[TRABAJO]],1,SEARCH(",",TB_CECO[[#This Row],[TRABAJO]],1)-1)</f>
        <v xml:space="preserve"> CH.045_SN 095-1 SW </v>
      </c>
      <c r="C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SERVICIOS </v>
      </c>
      <c r="D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" s="47" t="s">
        <v>49</v>
      </c>
      <c r="G27" t="s">
        <v>50</v>
      </c>
      <c r="H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" spans="1:8" ht="15" customHeight="1" x14ac:dyDescent="0.25">
      <c r="A28" t="str">
        <f>MID(TB_CECO[[#This Row],[CECO_T]],1,5)</f>
        <v>11201</v>
      </c>
      <c r="B28" t="str">
        <f>MID(TB_CECO[[#This Row],[TRABAJO]],1,SEARCH(",",TB_CECO[[#This Row],[TRABAJO]],1)-1)</f>
        <v xml:space="preserve"> CH.045_SN 095-1 SW </v>
      </c>
      <c r="C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EXTRACCION</v>
      </c>
      <c r="D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" s="47" t="s">
        <v>51</v>
      </c>
      <c r="G28" t="s">
        <v>52</v>
      </c>
      <c r="H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" spans="1:8" ht="15" customHeight="1" x14ac:dyDescent="0.25">
      <c r="A29" t="str">
        <f>MID(TB_CECO[[#This Row],[CECO_T]],1,5)</f>
        <v>11201</v>
      </c>
      <c r="B29" t="str">
        <f>MID(TB_CECO[[#This Row],[TRABAJO]],1,SEARCH(",",TB_CECO[[#This Row],[TRABAJO]],1)-1)</f>
        <v xml:space="preserve"> CH.045_SN 095-1 SW </v>
      </c>
      <c r="C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SPLIT SET </v>
      </c>
      <c r="D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" s="47" t="s">
        <v>53</v>
      </c>
      <c r="G29" t="s">
        <v>54</v>
      </c>
      <c r="H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" spans="1:8" ht="15" customHeight="1" x14ac:dyDescent="0.25">
      <c r="A30" t="str">
        <f>MID(TB_CECO[[#This Row],[CECO_T]],1,5)</f>
        <v>11201</v>
      </c>
      <c r="B30" t="str">
        <f>MID(TB_CECO[[#This Row],[TRABAJO]],1,SEARCH(",",TB_CECO[[#This Row],[TRABAJO]],1)-1)</f>
        <v xml:space="preserve"> CH.045_SN 095-1 SW </v>
      </c>
      <c r="C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SPLIT CON </v>
      </c>
      <c r="D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" s="47" t="s">
        <v>55</v>
      </c>
      <c r="G30" t="s">
        <v>56</v>
      </c>
      <c r="H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" spans="1:8" ht="15" customHeight="1" x14ac:dyDescent="0.25">
      <c r="A31" t="str">
        <f>MID(TB_CECO[[#This Row],[CECO_T]],1,5)</f>
        <v>11201</v>
      </c>
      <c r="B31" t="str">
        <f>MID(TB_CECO[[#This Row],[TRABAJO]],1,SEARCH(",",TB_CECO[[#This Row],[TRABAJO]],1)-1)</f>
        <v xml:space="preserve"> CH.045_SN 095-1 SW </v>
      </c>
      <c r="C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IZAJE Y DE</v>
      </c>
      <c r="D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" s="47" t="s">
        <v>57</v>
      </c>
      <c r="G31" t="s">
        <v>58</v>
      </c>
      <c r="H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" spans="1:8" ht="15" customHeight="1" x14ac:dyDescent="0.25">
      <c r="A32" t="str">
        <f>MID(TB_CECO[[#This Row],[CECO_T]],1,5)</f>
        <v>11201</v>
      </c>
      <c r="B32" t="str">
        <f>MID(TB_CECO[[#This Row],[TRABAJO]],1,SEARCH(",",TB_CECO[[#This Row],[TRABAJO]],1)-1)</f>
        <v xml:space="preserve"> CH.045_SN 095-1 SW </v>
      </c>
      <c r="C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PERFORACIO</v>
      </c>
      <c r="D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" s="47" t="s">
        <v>59</v>
      </c>
      <c r="G32" t="s">
        <v>60</v>
      </c>
      <c r="H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" spans="1:8" ht="15" customHeight="1" x14ac:dyDescent="0.25">
      <c r="A33" t="str">
        <f>MID(TB_CECO[[#This Row],[CECO_T]],1,5)</f>
        <v>11205</v>
      </c>
      <c r="B33" t="str">
        <f>MID(TB_CECO[[#This Row],[TRABAJO]],1,SEARCH(",",TB_CECO[[#This Row],[TRABAJO]],1)-1)</f>
        <v xml:space="preserve"> CH. 025  SNv.039-SW </v>
      </c>
      <c r="C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025  SNv.039-SW , DESQUIN</v>
      </c>
      <c r="D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3" s="47" t="s">
        <v>61</v>
      </c>
      <c r="G33" t="s">
        <v>62</v>
      </c>
      <c r="H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" spans="1:8" ht="15" customHeight="1" x14ac:dyDescent="0.25">
      <c r="A34" t="str">
        <f>MID(TB_CECO[[#This Row],[CECO_T]],1,5)</f>
        <v>11205</v>
      </c>
      <c r="B34" t="str">
        <f>MID(TB_CECO[[#This Row],[TRABAJO]],1,SEARCH(",",TB_CECO[[#This Row],[TRABAJO]],1)-1)</f>
        <v xml:space="preserve"> CH. 025  SNv.039-SW </v>
      </c>
      <c r="C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025  SNv.039-SW , ENMADER</v>
      </c>
      <c r="D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4" s="47" t="s">
        <v>63</v>
      </c>
      <c r="G34" t="s">
        <v>64</v>
      </c>
      <c r="H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" spans="1:8" ht="15" customHeight="1" x14ac:dyDescent="0.25">
      <c r="A35" t="str">
        <f>MID(TB_CECO[[#This Row],[CECO_T]],1,5)</f>
        <v>11205</v>
      </c>
      <c r="B35" t="str">
        <f>MID(TB_CECO[[#This Row],[TRABAJO]],1,SEARCH(",",TB_CECO[[#This Row],[TRABAJO]],1)-1)</f>
        <v xml:space="preserve"> CH. 025  SNv.039-SW </v>
      </c>
      <c r="C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025  SNv.039-SW , LIMPIEZ</v>
      </c>
      <c r="D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5" s="47" t="s">
        <v>65</v>
      </c>
      <c r="G35" t="s">
        <v>66</v>
      </c>
      <c r="H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" spans="1:8" ht="15" customHeight="1" x14ac:dyDescent="0.25">
      <c r="A36" t="str">
        <f>MID(TB_CECO[[#This Row],[CECO_T]],1,5)</f>
        <v>11205</v>
      </c>
      <c r="B36" t="str">
        <f>MID(TB_CECO[[#This Row],[TRABAJO]],1,SEARCH(",",TB_CECO[[#This Row],[TRABAJO]],1)-1)</f>
        <v xml:space="preserve"> CH. 025  SNv.039-SW </v>
      </c>
      <c r="C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025  SNv.039-SW , SERVICI</v>
      </c>
      <c r="D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" s="47" t="s">
        <v>67</v>
      </c>
      <c r="G36" t="s">
        <v>68</v>
      </c>
      <c r="H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" spans="1:8" ht="15" customHeight="1" x14ac:dyDescent="0.25">
      <c r="A37" t="str">
        <f>MID(TB_CECO[[#This Row],[CECO_T]],1,5)</f>
        <v>11205</v>
      </c>
      <c r="B37" t="str">
        <f>MID(TB_CECO[[#This Row],[TRABAJO]],1,SEARCH(",",TB_CECO[[#This Row],[TRABAJO]],1)-1)</f>
        <v xml:space="preserve"> CH. 025  SNv.039-SW </v>
      </c>
      <c r="C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025  SNv.039-SW , EXTRACC</v>
      </c>
      <c r="D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7" s="47" t="s">
        <v>69</v>
      </c>
      <c r="G37" t="s">
        <v>70</v>
      </c>
      <c r="H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" spans="1:8" ht="15" customHeight="1" x14ac:dyDescent="0.25">
      <c r="A38" t="str">
        <f>MID(TB_CECO[[#This Row],[CECO_T]],1,5)</f>
        <v>11205</v>
      </c>
      <c r="B38" t="str">
        <f>MID(TB_CECO[[#This Row],[TRABAJO]],1,SEARCH(",",TB_CECO[[#This Row],[TRABAJO]],1)-1)</f>
        <v xml:space="preserve"> CH. 025  SNv.039-SW </v>
      </c>
      <c r="C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025  SNv.039-SW , split s</v>
      </c>
      <c r="D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8" s="47" t="s">
        <v>71</v>
      </c>
      <c r="G38" t="s">
        <v>72</v>
      </c>
      <c r="H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" spans="1:8" ht="15" customHeight="1" x14ac:dyDescent="0.25">
      <c r="A39" t="str">
        <f>MID(TB_CECO[[#This Row],[CECO_T]],1,5)</f>
        <v>11205</v>
      </c>
      <c r="B39" t="str">
        <f>MID(TB_CECO[[#This Row],[TRABAJO]],1,SEARCH(",",TB_CECO[[#This Row],[TRABAJO]],1)-1)</f>
        <v xml:space="preserve"> CH. 025  SNv.039-SW </v>
      </c>
      <c r="C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025  SNv.039-SW , split c</v>
      </c>
      <c r="D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9" s="47" t="s">
        <v>73</v>
      </c>
      <c r="G39" t="s">
        <v>74</v>
      </c>
      <c r="H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" spans="1:8" ht="15" customHeight="1" x14ac:dyDescent="0.25">
      <c r="A40" t="str">
        <f>MID(TB_CECO[[#This Row],[CECO_T]],1,5)</f>
        <v>11205</v>
      </c>
      <c r="B40" t="str">
        <f>MID(TB_CECO[[#This Row],[TRABAJO]],1,SEARCH(",",TB_CECO[[#This Row],[TRABAJO]],1)-1)</f>
        <v xml:space="preserve"> CH.025 SNv.039-SW</v>
      </c>
      <c r="C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CH.025 SNv.039-SW,IZAJE Y DES</v>
      </c>
      <c r="D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0" s="47" t="s">
        <v>75</v>
      </c>
      <c r="G40" t="s">
        <v>76</v>
      </c>
      <c r="H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" spans="1:8" ht="15" customHeight="1" x14ac:dyDescent="0.25">
      <c r="A41" t="str">
        <f>MID(TB_CECO[[#This Row],[CECO_T]],1,5)</f>
        <v>11205</v>
      </c>
      <c r="B41" t="str">
        <f>MID(TB_CECO[[#This Row],[TRABAJO]],1,SEARCH(",",TB_CECO[[#This Row],[TRABAJO]],1)-1)</f>
        <v xml:space="preserve"> CH. 025  SNv.039-SW </v>
      </c>
      <c r="C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025  SNv.039-SW , PERFORA</v>
      </c>
      <c r="D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" s="47" t="s">
        <v>77</v>
      </c>
      <c r="G41" t="s">
        <v>78</v>
      </c>
      <c r="H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2" spans="1:8" ht="15" customHeight="1" x14ac:dyDescent="0.25">
      <c r="A42" t="str">
        <f>MID(TB_CECO[[#This Row],[CECO_T]],1,5)</f>
        <v>11209</v>
      </c>
      <c r="B42" t="str">
        <f>MID(TB_CECO[[#This Row],[TRABAJO]],1,SEARCH(",",TB_CECO[[#This Row],[TRABAJO]],1)-1)</f>
        <v>CH 580 -1 TJ 580 NE</v>
      </c>
      <c r="C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NE,DESQUINCHE   </v>
      </c>
      <c r="D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2" s="47" t="s">
        <v>79</v>
      </c>
      <c r="G42" t="s">
        <v>80</v>
      </c>
      <c r="H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" spans="1:8" ht="15" customHeight="1" x14ac:dyDescent="0.25">
      <c r="A43" t="str">
        <f>MID(TB_CECO[[#This Row],[CECO_T]],1,5)</f>
        <v>11209</v>
      </c>
      <c r="B43" t="str">
        <f>MID(TB_CECO[[#This Row],[TRABAJO]],1,SEARCH(",",TB_CECO[[#This Row],[TRABAJO]],1)-1)</f>
        <v>CH 580 -1 TJ 580 NE</v>
      </c>
      <c r="C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NE,ENMADERADO   </v>
      </c>
      <c r="D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3" s="47" t="s">
        <v>81</v>
      </c>
      <c r="G43" t="s">
        <v>82</v>
      </c>
      <c r="H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4" spans="1:8" ht="15" customHeight="1" x14ac:dyDescent="0.25">
      <c r="A44" t="str">
        <f>MID(TB_CECO[[#This Row],[CECO_T]],1,5)</f>
        <v>11209</v>
      </c>
      <c r="B44" t="str">
        <f>MID(TB_CECO[[#This Row],[TRABAJO]],1,SEARCH(",",TB_CECO[[#This Row],[TRABAJO]],1)-1)</f>
        <v>CH 580 -1 TJ 580 NE</v>
      </c>
      <c r="C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NE,LIMPIEZA     </v>
      </c>
      <c r="D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4" s="47" t="s">
        <v>83</v>
      </c>
      <c r="G44" t="s">
        <v>84</v>
      </c>
      <c r="H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5" spans="1:8" ht="15" customHeight="1" x14ac:dyDescent="0.25">
      <c r="A45" t="str">
        <f>MID(TB_CECO[[#This Row],[CECO_T]],1,5)</f>
        <v>11209</v>
      </c>
      <c r="B45" t="str">
        <f>MID(TB_CECO[[#This Row],[TRABAJO]],1,SEARCH(",",TB_CECO[[#This Row],[TRABAJO]],1)-1)</f>
        <v>CH 580 -1 TJ 580 NE</v>
      </c>
      <c r="C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NE,SERVICIOS    </v>
      </c>
      <c r="D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5" s="47" t="s">
        <v>85</v>
      </c>
      <c r="G45" t="s">
        <v>86</v>
      </c>
      <c r="H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" spans="1:8" ht="15" customHeight="1" x14ac:dyDescent="0.25">
      <c r="A46" t="str">
        <f>MID(TB_CECO[[#This Row],[CECO_T]],1,5)</f>
        <v>11209</v>
      </c>
      <c r="B46" t="str">
        <f>MID(TB_CECO[[#This Row],[TRABAJO]],1,SEARCH(",",TB_CECO[[#This Row],[TRABAJO]],1)-1)</f>
        <v>CH 580 -1 TJ 580 NE</v>
      </c>
      <c r="C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NE,EXTRACCION   </v>
      </c>
      <c r="D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6" s="47" t="s">
        <v>87</v>
      </c>
      <c r="G46" t="s">
        <v>88</v>
      </c>
      <c r="H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" spans="1:8" ht="15" customHeight="1" x14ac:dyDescent="0.25">
      <c r="A47" t="str">
        <f>MID(TB_CECO[[#This Row],[CECO_T]],1,5)</f>
        <v>11209</v>
      </c>
      <c r="B47" t="str">
        <f>MID(TB_CECO[[#This Row],[TRABAJO]],1,SEARCH(",",TB_CECO[[#This Row],[TRABAJO]],1)-1)</f>
        <v>CH 580 -1 TJ 580 NE</v>
      </c>
      <c r="C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NE,SPLIT SET    </v>
      </c>
      <c r="D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7" s="47" t="s">
        <v>89</v>
      </c>
      <c r="G47" t="s">
        <v>90</v>
      </c>
      <c r="H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" spans="1:8" ht="15" customHeight="1" x14ac:dyDescent="0.25">
      <c r="A48" t="str">
        <f>MID(TB_CECO[[#This Row],[CECO_T]],1,5)</f>
        <v>11209</v>
      </c>
      <c r="B48" t="str">
        <f>MID(TB_CECO[[#This Row],[TRABAJO]],1,SEARCH(",",TB_CECO[[#This Row],[TRABAJO]],1)-1)</f>
        <v>CH 580 -1 TJ 580 NE</v>
      </c>
      <c r="C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580 -1 TJ 580 NE,SPLIT CON MAL</v>
      </c>
      <c r="D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8" s="47" t="s">
        <v>91</v>
      </c>
      <c r="G48" t="s">
        <v>92</v>
      </c>
      <c r="H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" spans="1:8" ht="15" customHeight="1" x14ac:dyDescent="0.25">
      <c r="A49" t="str">
        <f>MID(TB_CECO[[#This Row],[CECO_T]],1,5)</f>
        <v>11209</v>
      </c>
      <c r="B49" t="str">
        <f>MID(TB_CECO[[#This Row],[TRABAJO]],1,SEARCH(",",TB_CECO[[#This Row],[TRABAJO]],1)-1)</f>
        <v>CH 580 -1 TJ 580 NE</v>
      </c>
      <c r="C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580 -1 TJ 580 NE,IZAJE Y DESCE</v>
      </c>
      <c r="D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9" s="47" t="s">
        <v>93</v>
      </c>
      <c r="G49" t="s">
        <v>94</v>
      </c>
      <c r="H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" spans="1:8" ht="15" customHeight="1" x14ac:dyDescent="0.25">
      <c r="A50" t="str">
        <f>MID(TB_CECO[[#This Row],[CECO_T]],1,5)</f>
        <v>11209</v>
      </c>
      <c r="B50" t="str">
        <f>MID(TB_CECO[[#This Row],[TRABAJO]],1,SEARCH(",",TB_CECO[[#This Row],[TRABAJO]],1)-1)</f>
        <v>CH 580 -1 TJ 580 NE</v>
      </c>
      <c r="C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NE,PERFORACION  </v>
      </c>
      <c r="D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" s="47" t="s">
        <v>95</v>
      </c>
      <c r="G50" t="s">
        <v>96</v>
      </c>
      <c r="H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" spans="1:8" ht="15" customHeight="1" x14ac:dyDescent="0.25">
      <c r="A51" t="str">
        <f>MID(TB_CECO[[#This Row],[CECO_T]],1,5)</f>
        <v>11401</v>
      </c>
      <c r="B51" t="str">
        <f>MID(TB_CECO[[#This Row],[TRABAJO]],1,SEARCH(",",TB_CECO[[#This Row],[TRABAJO]],1)-1)</f>
        <v>Snv.095-1-SW_Est.095-1SW</v>
      </c>
      <c r="C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Snv.095-1-SW_Est.095-1SW,DESQU</v>
      </c>
      <c r="D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" s="47" t="s">
        <v>97</v>
      </c>
      <c r="G51" t="s">
        <v>98</v>
      </c>
      <c r="H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" spans="1:8" ht="15" customHeight="1" x14ac:dyDescent="0.25">
      <c r="A52" t="str">
        <f>MID(TB_CECO[[#This Row],[CECO_T]],1,5)</f>
        <v>11401</v>
      </c>
      <c r="B52" t="str">
        <f>MID(TB_CECO[[#This Row],[TRABAJO]],1,SEARCH(",",TB_CECO[[#This Row],[TRABAJO]],1)-1)</f>
        <v>Snv.095-1-SW_Est.095-1 SW</v>
      </c>
      <c r="C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Snv.095-1-SW_Est.095-1 SW,ENMA</v>
      </c>
      <c r="D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" s="47" t="s">
        <v>99</v>
      </c>
      <c r="G52" t="s">
        <v>100</v>
      </c>
      <c r="H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" spans="1:8" ht="15" customHeight="1" x14ac:dyDescent="0.25">
      <c r="A53" t="str">
        <f>MID(TB_CECO[[#This Row],[CECO_T]],1,5)</f>
        <v>11401</v>
      </c>
      <c r="B53" t="str">
        <f>MID(TB_CECO[[#This Row],[TRABAJO]],1,SEARCH(",",TB_CECO[[#This Row],[TRABAJO]],1)-1)</f>
        <v xml:space="preserve"> Snv. 095-1-SW_Est. 095-1 SW </v>
      </c>
      <c r="C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</v>
      </c>
      <c r="D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" s="47" t="s">
        <v>101</v>
      </c>
      <c r="G53" t="s">
        <v>102</v>
      </c>
      <c r="H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" spans="1:8" ht="15" customHeight="1" x14ac:dyDescent="0.25">
      <c r="A54" t="str">
        <f>MID(TB_CECO[[#This Row],[CECO_T]],1,5)</f>
        <v>11401</v>
      </c>
      <c r="B54" t="str">
        <f>MID(TB_CECO[[#This Row],[TRABAJO]],1,SEARCH(",",TB_CECO[[#This Row],[TRABAJO]],1)-1)</f>
        <v>Snv.095-1-SW_Est.095-1 SW</v>
      </c>
      <c r="C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Snv.095-1-SW_Est.095-1 SW,SERVICI</v>
      </c>
      <c r="D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" s="47" t="s">
        <v>103</v>
      </c>
      <c r="G54" t="s">
        <v>104</v>
      </c>
      <c r="H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" spans="1:8" ht="15" customHeight="1" x14ac:dyDescent="0.25">
      <c r="A55" t="str">
        <f>MID(TB_CECO[[#This Row],[CECO_T]],1,5)</f>
        <v>11401</v>
      </c>
      <c r="B55" t="str">
        <f>MID(TB_CECO[[#This Row],[TRABAJO]],1,SEARCH(",",TB_CECO[[#This Row],[TRABAJO]],1)-1)</f>
        <v>Snv.095-1-SW_Est.095-1 SW</v>
      </c>
      <c r="C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Snv.095-1-SW_Est.095-1 SW, EXTR</v>
      </c>
      <c r="D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" s="47" t="s">
        <v>105</v>
      </c>
      <c r="G55" t="s">
        <v>106</v>
      </c>
      <c r="H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" spans="1:8" ht="15" customHeight="1" x14ac:dyDescent="0.25">
      <c r="A56" t="str">
        <f>MID(TB_CECO[[#This Row],[CECO_T]],1,5)</f>
        <v>11401</v>
      </c>
      <c r="B56" t="str">
        <f>MID(TB_CECO[[#This Row],[TRABAJO]],1,SEARCH(",",TB_CECO[[#This Row],[TRABAJO]],1)-1)</f>
        <v xml:space="preserve"> Snv. 095-1-SW_Est. 095-1 SW </v>
      </c>
      <c r="C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</v>
      </c>
      <c r="D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" s="47" t="s">
        <v>107</v>
      </c>
      <c r="G56" t="s">
        <v>102</v>
      </c>
      <c r="H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" spans="1:8" ht="15" customHeight="1" x14ac:dyDescent="0.25">
      <c r="A57" t="str">
        <f>MID(TB_CECO[[#This Row],[CECO_T]],1,5)</f>
        <v>11401</v>
      </c>
      <c r="B57" t="str">
        <f>MID(TB_CECO[[#This Row],[TRABAJO]],1,SEARCH(",",TB_CECO[[#This Row],[TRABAJO]],1)-1)</f>
        <v>Snv.095-1-SW_Est.095-1SW</v>
      </c>
      <c r="C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Snv.095-1-SW_Est.095-1SW,SPLIT CO</v>
      </c>
      <c r="D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" s="47" t="s">
        <v>108</v>
      </c>
      <c r="G57" t="s">
        <v>109</v>
      </c>
      <c r="H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" spans="1:8" ht="15" customHeight="1" x14ac:dyDescent="0.25">
      <c r="A58" t="str">
        <f>MID(TB_CECO[[#This Row],[CECO_T]],1,5)</f>
        <v>11401</v>
      </c>
      <c r="B58" t="str">
        <f>MID(TB_CECO[[#This Row],[TRABAJO]],1,SEARCH(",",TB_CECO[[#This Row],[TRABAJO]],1)-1)</f>
        <v>Snv.095-1-SW_Est.095-1SW</v>
      </c>
      <c r="C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Snv.095-1-SW_Est.095-1SW, IZAJE Y</v>
      </c>
      <c r="D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" s="47" t="s">
        <v>110</v>
      </c>
      <c r="G58" t="s">
        <v>111</v>
      </c>
      <c r="H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" spans="1:8" ht="15" customHeight="1" x14ac:dyDescent="0.25">
      <c r="A59" t="str">
        <f>MID(TB_CECO[[#This Row],[CECO_T]],1,5)</f>
        <v>11401</v>
      </c>
      <c r="B59" t="str">
        <f>MID(TB_CECO[[#This Row],[TRABAJO]],1,SEARCH(",",TB_CECO[[#This Row],[TRABAJO]],1)-1)</f>
        <v>Snv.095-1-SW_Est.095-1 SW</v>
      </c>
      <c r="C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Snv.095-1-SW_Est.095-1 SW, PERFO</v>
      </c>
      <c r="D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" s="47" t="s">
        <v>112</v>
      </c>
      <c r="G59" t="s">
        <v>113</v>
      </c>
      <c r="H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" spans="1:8" ht="15" customHeight="1" x14ac:dyDescent="0.25">
      <c r="A60" t="str">
        <f>MID(TB_CECO[[#This Row],[CECO_T]],1,5)</f>
        <v>11402</v>
      </c>
      <c r="B60" t="str">
        <f>MID(TB_CECO[[#This Row],[TRABAJO]],1,SEARCH(",",TB_CECO[[#This Row],[TRABAJO]],1)-1)</f>
        <v xml:space="preserve"> SN.039-SW Est. 039 SW </v>
      </c>
      <c r="C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DESQU</v>
      </c>
      <c r="D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" s="47" t="s">
        <v>114</v>
      </c>
      <c r="G60" t="s">
        <v>115</v>
      </c>
      <c r="H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1" spans="1:8" ht="15" customHeight="1" x14ac:dyDescent="0.25">
      <c r="A61" t="str">
        <f>MID(TB_CECO[[#This Row],[CECO_T]],1,5)</f>
        <v>11402</v>
      </c>
      <c r="B61" t="str">
        <f>MID(TB_CECO[[#This Row],[TRABAJO]],1,SEARCH(",",TB_CECO[[#This Row],[TRABAJO]],1)-1)</f>
        <v xml:space="preserve"> SN.039-SW Est. 039 SW </v>
      </c>
      <c r="C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ENMAD</v>
      </c>
      <c r="D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1" s="47" t="s">
        <v>116</v>
      </c>
      <c r="G61" t="s">
        <v>117</v>
      </c>
      <c r="H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2" spans="1:8" ht="15" customHeight="1" x14ac:dyDescent="0.25">
      <c r="A62" t="str">
        <f>MID(TB_CECO[[#This Row],[CECO_T]],1,5)</f>
        <v>11402</v>
      </c>
      <c r="B62" t="str">
        <f>MID(TB_CECO[[#This Row],[TRABAJO]],1,SEARCH(",",TB_CECO[[#This Row],[TRABAJO]],1)-1)</f>
        <v xml:space="preserve"> SN.039-SW Est. 039 SW </v>
      </c>
      <c r="C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LIMPI</v>
      </c>
      <c r="D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2" s="47" t="s">
        <v>118</v>
      </c>
      <c r="G62" t="s">
        <v>119</v>
      </c>
      <c r="H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3" spans="1:8" ht="15" customHeight="1" x14ac:dyDescent="0.25">
      <c r="A63" t="str">
        <f>MID(TB_CECO[[#This Row],[CECO_T]],1,5)</f>
        <v>11402</v>
      </c>
      <c r="B63" t="str">
        <f>MID(TB_CECO[[#This Row],[TRABAJO]],1,SEARCH(",",TB_CECO[[#This Row],[TRABAJO]],1)-1)</f>
        <v xml:space="preserve"> SN.039-SW Est. 039 SW </v>
      </c>
      <c r="C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SERVI</v>
      </c>
      <c r="D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3" s="47" t="s">
        <v>120</v>
      </c>
      <c r="G63" t="s">
        <v>121</v>
      </c>
      <c r="H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4" spans="1:8" ht="15" customHeight="1" x14ac:dyDescent="0.25">
      <c r="A64" t="str">
        <f>MID(TB_CECO[[#This Row],[CECO_T]],1,5)</f>
        <v>11402</v>
      </c>
      <c r="B64" t="str">
        <f>MID(TB_CECO[[#This Row],[TRABAJO]],1,SEARCH(",",TB_CECO[[#This Row],[TRABAJO]],1)-1)</f>
        <v xml:space="preserve"> SN.039-SW Est. 039 SW </v>
      </c>
      <c r="C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EXTRA</v>
      </c>
      <c r="D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4" s="47" t="s">
        <v>122</v>
      </c>
      <c r="G64" t="s">
        <v>123</v>
      </c>
      <c r="H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5" spans="1:8" ht="15" customHeight="1" x14ac:dyDescent="0.25">
      <c r="A65" t="str">
        <f>MID(TB_CECO[[#This Row],[CECO_T]],1,5)</f>
        <v>11402</v>
      </c>
      <c r="B65" t="str">
        <f>MID(TB_CECO[[#This Row],[TRABAJO]],1,SEARCH(",",TB_CECO[[#This Row],[TRABAJO]],1)-1)</f>
        <v xml:space="preserve"> SN.039-SW Est. 039 SW </v>
      </c>
      <c r="C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split</v>
      </c>
      <c r="D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5" s="47" t="s">
        <v>124</v>
      </c>
      <c r="G65" t="s">
        <v>125</v>
      </c>
      <c r="H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6" spans="1:8" ht="15" customHeight="1" x14ac:dyDescent="0.25">
      <c r="A66" t="str">
        <f>MID(TB_CECO[[#This Row],[CECO_T]],1,5)</f>
        <v>11402</v>
      </c>
      <c r="B66" t="str">
        <f>MID(TB_CECO[[#This Row],[TRABAJO]],1,SEARCH(",",TB_CECO[[#This Row],[TRABAJO]],1)-1)</f>
        <v xml:space="preserve"> SN.039-SW Est. 039 SW </v>
      </c>
      <c r="C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split</v>
      </c>
      <c r="D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6" s="47" t="s">
        <v>126</v>
      </c>
      <c r="G66" t="s">
        <v>125</v>
      </c>
      <c r="H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7" spans="1:8" ht="15" customHeight="1" x14ac:dyDescent="0.25">
      <c r="A67" t="str">
        <f>MID(TB_CECO[[#This Row],[CECO_T]],1,5)</f>
        <v>11402</v>
      </c>
      <c r="B67" t="str">
        <f>MID(TB_CECO[[#This Row],[TRABAJO]],1,SEARCH(",",TB_CECO[[#This Row],[TRABAJO]],1)-1)</f>
        <v>SN.039-SW Est.039 SW</v>
      </c>
      <c r="C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SN.039-SW Est.039 SW,IZAJE Y DES</v>
      </c>
      <c r="D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7" s="47" t="s">
        <v>127</v>
      </c>
      <c r="G67" t="s">
        <v>128</v>
      </c>
      <c r="H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8" spans="1:8" ht="15" customHeight="1" x14ac:dyDescent="0.25">
      <c r="A68" t="str">
        <f>MID(TB_CECO[[#This Row],[CECO_T]],1,5)</f>
        <v>11402</v>
      </c>
      <c r="B68" t="str">
        <f>MID(TB_CECO[[#This Row],[TRABAJO]],1,SEARCH(",",TB_CECO[[#This Row],[TRABAJO]],1)-1)</f>
        <v xml:space="preserve"> SN.039-SW Est. 039 SW </v>
      </c>
      <c r="C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PERFO</v>
      </c>
      <c r="D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8" s="47" t="s">
        <v>129</v>
      </c>
      <c r="G68" t="s">
        <v>130</v>
      </c>
      <c r="H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9" spans="1:8" ht="15" customHeight="1" x14ac:dyDescent="0.25">
      <c r="A69" t="str">
        <f>MID(TB_CECO[[#This Row],[CECO_T]],1,5)</f>
        <v>11410</v>
      </c>
      <c r="B69" t="str">
        <f>MID(TB_CECO[[#This Row],[TRABAJO]],1,SEARCH(",",TB_CECO[[#This Row],[TRABAJO]],1)-1)</f>
        <v>SNv.580-4SW CH 580</v>
      </c>
      <c r="C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SNv.580-4SW CH 580,DESQUIN       </v>
      </c>
      <c r="D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9" s="47" t="s">
        <v>131</v>
      </c>
      <c r="G69" t="s">
        <v>132</v>
      </c>
      <c r="H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0" spans="1:8" ht="15" customHeight="1" x14ac:dyDescent="0.25">
      <c r="A70" t="str">
        <f>MID(TB_CECO[[#This Row],[CECO_T]],1,5)</f>
        <v>11410</v>
      </c>
      <c r="B70" t="str">
        <f>MID(TB_CECO[[#This Row],[TRABAJO]],1,SEARCH(",",TB_CECO[[#This Row],[TRABAJO]],1)-1)</f>
        <v>SNv.580-4SW CH 580</v>
      </c>
      <c r="C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SNv.580-4SW CH 580,ENMADERADO    </v>
      </c>
      <c r="D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0" s="47" t="s">
        <v>133</v>
      </c>
      <c r="G70" t="s">
        <v>134</v>
      </c>
      <c r="H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1" spans="1:8" ht="15" customHeight="1" x14ac:dyDescent="0.25">
      <c r="A71" t="str">
        <f>MID(TB_CECO[[#This Row],[CECO_T]],1,5)</f>
        <v>11410</v>
      </c>
      <c r="B71" t="str">
        <f>MID(TB_CECO[[#This Row],[TRABAJO]],1,SEARCH(",",TB_CECO[[#This Row],[TRABAJO]],1)-1)</f>
        <v>SNv.580-4SW CH 580</v>
      </c>
      <c r="C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SNv.580-4SW CH 580,LIMPIEZA      </v>
      </c>
      <c r="D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1" s="47" t="s">
        <v>135</v>
      </c>
      <c r="G71" t="s">
        <v>136</v>
      </c>
      <c r="H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2" spans="1:8" ht="15" customHeight="1" x14ac:dyDescent="0.25">
      <c r="A72" t="str">
        <f>MID(TB_CECO[[#This Row],[CECO_T]],1,5)</f>
        <v>11410</v>
      </c>
      <c r="B72" t="str">
        <f>MID(TB_CECO[[#This Row],[TRABAJO]],1,SEARCH(",",TB_CECO[[#This Row],[TRABAJO]],1)-1)</f>
        <v>SNv.580-4SW CH 580</v>
      </c>
      <c r="C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SNv.580-4SW CH 580,SERVICIOS     </v>
      </c>
      <c r="D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2" s="47" t="s">
        <v>137</v>
      </c>
      <c r="G72" t="s">
        <v>138</v>
      </c>
      <c r="H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3" spans="1:8" ht="15" customHeight="1" x14ac:dyDescent="0.25">
      <c r="A73" t="str">
        <f>MID(TB_CECO[[#This Row],[CECO_T]],1,5)</f>
        <v>11410</v>
      </c>
      <c r="B73" t="str">
        <f>MID(TB_CECO[[#This Row],[TRABAJO]],1,SEARCH(",",TB_CECO[[#This Row],[TRABAJO]],1)-1)</f>
        <v>SNv.580-4SW CH 580</v>
      </c>
      <c r="C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SNv.580-4SW CH 580,EXTRACCION    </v>
      </c>
      <c r="D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3" s="47" t="s">
        <v>139</v>
      </c>
      <c r="G73" t="s">
        <v>140</v>
      </c>
      <c r="H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4" spans="1:8" ht="15" customHeight="1" x14ac:dyDescent="0.25">
      <c r="A74" t="str">
        <f>MID(TB_CECO[[#This Row],[CECO_T]],1,5)</f>
        <v>11410</v>
      </c>
      <c r="B74" t="str">
        <f>MID(TB_CECO[[#This Row],[TRABAJO]],1,SEARCH(",",TB_CECO[[#This Row],[TRABAJO]],1)-1)</f>
        <v>SNv.580-4SW CH 580</v>
      </c>
      <c r="C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SNv.580-4SW CH 580,SPLIT SET     </v>
      </c>
      <c r="D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4" s="47" t="s">
        <v>141</v>
      </c>
      <c r="G74" t="s">
        <v>142</v>
      </c>
      <c r="H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5" spans="1:8" ht="15" customHeight="1" x14ac:dyDescent="0.25">
      <c r="A75" t="str">
        <f>MID(TB_CECO[[#This Row],[CECO_T]],1,5)</f>
        <v>11410</v>
      </c>
      <c r="B75" t="str">
        <f>MID(TB_CECO[[#This Row],[TRABAJO]],1,SEARCH(",",TB_CECO[[#This Row],[TRABAJO]],1)-1)</f>
        <v>SNv.580-4SW CH 580</v>
      </c>
      <c r="C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SNv.580-4SW CH 580,SPLIT CON MALL</v>
      </c>
      <c r="D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5" s="47" t="s">
        <v>143</v>
      </c>
      <c r="G75" t="s">
        <v>144</v>
      </c>
      <c r="H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6" spans="1:8" ht="15" customHeight="1" x14ac:dyDescent="0.25">
      <c r="A76" t="str">
        <f>MID(TB_CECO[[#This Row],[CECO_T]],1,5)</f>
        <v>11410</v>
      </c>
      <c r="B76" t="str">
        <f>MID(TB_CECO[[#This Row],[TRABAJO]],1,SEARCH(",",TB_CECO[[#This Row],[TRABAJO]],1)-1)</f>
        <v>SNv.580-4SW CH 580</v>
      </c>
      <c r="C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SNv.580-4SW CH 580,IZAJE Y DESCEN</v>
      </c>
      <c r="D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6" s="47" t="s">
        <v>145</v>
      </c>
      <c r="G76" t="s">
        <v>146</v>
      </c>
      <c r="H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7" spans="1:8" ht="15" customHeight="1" x14ac:dyDescent="0.25">
      <c r="A77" t="str">
        <f>MID(TB_CECO[[#This Row],[CECO_T]],1,5)</f>
        <v>11410</v>
      </c>
      <c r="B77" t="str">
        <f>MID(TB_CECO[[#This Row],[TRABAJO]],1,SEARCH(",",TB_CECO[[#This Row],[TRABAJO]],1)-1)</f>
        <v>SNv.580-4SW CH 580</v>
      </c>
      <c r="C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SNv.580-4SW CH 580,PERFORACION   </v>
      </c>
      <c r="D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7" s="47" t="s">
        <v>147</v>
      </c>
      <c r="G77" t="s">
        <v>148</v>
      </c>
      <c r="H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8" spans="1:8" ht="15" customHeight="1" x14ac:dyDescent="0.25">
      <c r="A78" t="str">
        <f>MID(TB_CECO[[#This Row],[CECO_T]],1,5)</f>
        <v>11413</v>
      </c>
      <c r="B78" t="str">
        <f>MID(TB_CECO[[#This Row],[TRABAJO]],1,SEARCH(",",TB_CECO[[#This Row],[TRABAJO]],1)-1)</f>
        <v>SNV 095 NE EST 095 NE</v>
      </c>
      <c r="C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095 NE,DESQUINCHE </v>
      </c>
      <c r="D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8" s="47" t="s">
        <v>149</v>
      </c>
      <c r="G78" t="s">
        <v>150</v>
      </c>
      <c r="H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9" spans="1:8" ht="15" customHeight="1" x14ac:dyDescent="0.25">
      <c r="A79" t="str">
        <f>MID(TB_CECO[[#This Row],[CECO_T]],1,5)</f>
        <v>11413</v>
      </c>
      <c r="B79" t="str">
        <f>MID(TB_CECO[[#This Row],[TRABAJO]],1,SEARCH(",",TB_CECO[[#This Row],[TRABAJO]],1)-1)</f>
        <v>SNV 095 NE EST 095 NE</v>
      </c>
      <c r="C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095 NE,ENMADERADO </v>
      </c>
      <c r="D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9" s="47" t="s">
        <v>151</v>
      </c>
      <c r="G79" t="s">
        <v>152</v>
      </c>
      <c r="H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0" spans="1:8" ht="15" customHeight="1" x14ac:dyDescent="0.25">
      <c r="A80" t="str">
        <f>MID(TB_CECO[[#This Row],[CECO_T]],1,5)</f>
        <v>11413</v>
      </c>
      <c r="B80" t="str">
        <f>MID(TB_CECO[[#This Row],[TRABAJO]],1,SEARCH(",",TB_CECO[[#This Row],[TRABAJO]],1)-1)</f>
        <v>SNV 095 NE EST 095 NE</v>
      </c>
      <c r="C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095 NE,LIMPIEZA   </v>
      </c>
      <c r="D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0" s="47" t="s">
        <v>153</v>
      </c>
      <c r="G80" t="s">
        <v>154</v>
      </c>
      <c r="H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1" spans="1:8" ht="15" customHeight="1" x14ac:dyDescent="0.25">
      <c r="A81" t="str">
        <f>MID(TB_CECO[[#This Row],[CECO_T]],1,5)</f>
        <v>11413</v>
      </c>
      <c r="B81" t="str">
        <f>MID(TB_CECO[[#This Row],[TRABAJO]],1,SEARCH(",",TB_CECO[[#This Row],[TRABAJO]],1)-1)</f>
        <v>SNV 095 NE EST 095 NE</v>
      </c>
      <c r="C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095 NE,SERVICIOS  </v>
      </c>
      <c r="D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1" s="47" t="s">
        <v>155</v>
      </c>
      <c r="G81" t="s">
        <v>156</v>
      </c>
      <c r="H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2" spans="1:8" ht="15" customHeight="1" x14ac:dyDescent="0.25">
      <c r="A82" t="str">
        <f>MID(TB_CECO[[#This Row],[CECO_T]],1,5)</f>
        <v>11413</v>
      </c>
      <c r="B82" t="str">
        <f>MID(TB_CECO[[#This Row],[TRABAJO]],1,SEARCH(",",TB_CECO[[#This Row],[TRABAJO]],1)-1)</f>
        <v>SNV 095 NE EST 095 NE</v>
      </c>
      <c r="C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095 NE,EXTRACCION </v>
      </c>
      <c r="D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2" s="47" t="s">
        <v>157</v>
      </c>
      <c r="G82" t="s">
        <v>158</v>
      </c>
      <c r="H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3" spans="1:8" ht="15" customHeight="1" x14ac:dyDescent="0.25">
      <c r="A83" t="str">
        <f>MID(TB_CECO[[#This Row],[CECO_T]],1,5)</f>
        <v>11413</v>
      </c>
      <c r="B83" t="str">
        <f>MID(TB_CECO[[#This Row],[TRABAJO]],1,SEARCH(",",TB_CECO[[#This Row],[TRABAJO]],1)-1)</f>
        <v>SNV 095 NE EST 095 NE</v>
      </c>
      <c r="C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095 NE,SPLIT SET  </v>
      </c>
      <c r="D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3" s="47" t="s">
        <v>159</v>
      </c>
      <c r="G83" t="s">
        <v>160</v>
      </c>
      <c r="H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4" spans="1:8" ht="15" customHeight="1" x14ac:dyDescent="0.25">
      <c r="A84" t="str">
        <f>MID(TB_CECO[[#This Row],[CECO_T]],1,5)</f>
        <v>11413</v>
      </c>
      <c r="B84" t="str">
        <f>MID(TB_CECO[[#This Row],[TRABAJO]],1,SEARCH(",",TB_CECO[[#This Row],[TRABAJO]],1)-1)</f>
        <v>SNV 095 NE EST 095 NE</v>
      </c>
      <c r="C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NE EST 095 NE,SPLIT CON MAL</v>
      </c>
      <c r="D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4" s="47" t="s">
        <v>161</v>
      </c>
      <c r="G84" t="s">
        <v>162</v>
      </c>
      <c r="H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5" spans="1:8" ht="15" customHeight="1" x14ac:dyDescent="0.25">
      <c r="A85" t="str">
        <f>MID(TB_CECO[[#This Row],[CECO_T]],1,5)</f>
        <v>11413</v>
      </c>
      <c r="B85" t="str">
        <f>MID(TB_CECO[[#This Row],[TRABAJO]],1,SEARCH(",",TB_CECO[[#This Row],[TRABAJO]],1)-1)</f>
        <v>SNV 095 NE EST 095 NE</v>
      </c>
      <c r="C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NE EST 095 NE,IZAJE Y DESCEN</v>
      </c>
      <c r="D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5" s="47" t="s">
        <v>163</v>
      </c>
      <c r="G85" t="s">
        <v>164</v>
      </c>
      <c r="H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6" spans="1:8" ht="15" customHeight="1" x14ac:dyDescent="0.25">
      <c r="A86" t="str">
        <f>MID(TB_CECO[[#This Row],[CECO_T]],1,5)</f>
        <v>11413</v>
      </c>
      <c r="B86" t="str">
        <f>MID(TB_CECO[[#This Row],[TRABAJO]],1,SEARCH(",",TB_CECO[[#This Row],[TRABAJO]],1)-1)</f>
        <v>SNV 095 NE EST 095 NE</v>
      </c>
      <c r="C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NE EST 095 NE,PERFORACION</v>
      </c>
      <c r="D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6" s="47" t="s">
        <v>165</v>
      </c>
      <c r="G86" t="s">
        <v>166</v>
      </c>
      <c r="H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7" spans="1:8" ht="15" customHeight="1" x14ac:dyDescent="0.25">
      <c r="A87" t="str">
        <f>MID(TB_CECO[[#This Row],[CECO_T]],1,5)</f>
        <v>11417</v>
      </c>
      <c r="B87" t="str">
        <f>MID(TB_CECO[[#This Row],[TRABAJO]],1,SEARCH(",",TB_CECO[[#This Row],[TRABAJO]],1)-1)</f>
        <v>SNV 100-S CH 100</v>
      </c>
      <c r="C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100,DESQUINCHE      </v>
      </c>
      <c r="D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7" s="47" t="s">
        <v>167</v>
      </c>
      <c r="G87" t="s">
        <v>168</v>
      </c>
      <c r="H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8" spans="1:8" ht="15" customHeight="1" x14ac:dyDescent="0.25">
      <c r="A88" t="str">
        <f>MID(TB_CECO[[#This Row],[CECO_T]],1,5)</f>
        <v>11417</v>
      </c>
      <c r="B88" t="str">
        <f>MID(TB_CECO[[#This Row],[TRABAJO]],1,SEARCH(",",TB_CECO[[#This Row],[TRABAJO]],1)-1)</f>
        <v>SNV 100-S CH 100</v>
      </c>
      <c r="C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100,ENMADERADO      </v>
      </c>
      <c r="D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8" s="47" t="s">
        <v>169</v>
      </c>
      <c r="G88" t="s">
        <v>170</v>
      </c>
      <c r="H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9" spans="1:8" ht="15" customHeight="1" x14ac:dyDescent="0.25">
      <c r="A89" t="str">
        <f>MID(TB_CECO[[#This Row],[CECO_T]],1,5)</f>
        <v>11417</v>
      </c>
      <c r="B89" t="str">
        <f>MID(TB_CECO[[#This Row],[TRABAJO]],1,SEARCH(",",TB_CECO[[#This Row],[TRABAJO]],1)-1)</f>
        <v>SNV 100-S CH 100</v>
      </c>
      <c r="C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100,LIMPIEZA        </v>
      </c>
      <c r="D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9" s="47" t="s">
        <v>171</v>
      </c>
      <c r="G89" t="s">
        <v>172</v>
      </c>
      <c r="H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0" spans="1:8" ht="15" customHeight="1" x14ac:dyDescent="0.25">
      <c r="A90" t="str">
        <f>MID(TB_CECO[[#This Row],[CECO_T]],1,5)</f>
        <v>11417</v>
      </c>
      <c r="B90" t="str">
        <f>MID(TB_CECO[[#This Row],[TRABAJO]],1,SEARCH(",",TB_CECO[[#This Row],[TRABAJO]],1)-1)</f>
        <v>SNV 100-S CH 100</v>
      </c>
      <c r="C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100,SERVICIOS       </v>
      </c>
      <c r="D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0" s="47" t="s">
        <v>173</v>
      </c>
      <c r="G90" t="s">
        <v>174</v>
      </c>
      <c r="H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1" spans="1:8" ht="15" customHeight="1" x14ac:dyDescent="0.25">
      <c r="A91" t="str">
        <f>MID(TB_CECO[[#This Row],[CECO_T]],1,5)</f>
        <v>11417</v>
      </c>
      <c r="B91" t="str">
        <f>MID(TB_CECO[[#This Row],[TRABAJO]],1,SEARCH(",",TB_CECO[[#This Row],[TRABAJO]],1)-1)</f>
        <v>SNV 100-S CH 100</v>
      </c>
      <c r="C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100,EXTRACCION      </v>
      </c>
      <c r="D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1" s="47" t="s">
        <v>175</v>
      </c>
      <c r="G91" t="s">
        <v>176</v>
      </c>
      <c r="H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2" spans="1:8" ht="15" customHeight="1" x14ac:dyDescent="0.25">
      <c r="A92" t="str">
        <f>MID(TB_CECO[[#This Row],[CECO_T]],1,5)</f>
        <v>11417</v>
      </c>
      <c r="B92" t="str">
        <f>MID(TB_CECO[[#This Row],[TRABAJO]],1,SEARCH(",",TB_CECO[[#This Row],[TRABAJO]],1)-1)</f>
        <v>SNV 100-S CH 100</v>
      </c>
      <c r="C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100,SPLIT SET       </v>
      </c>
      <c r="D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2" s="47" t="s">
        <v>177</v>
      </c>
      <c r="G92" t="s">
        <v>178</v>
      </c>
      <c r="H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3" spans="1:8" ht="15" customHeight="1" x14ac:dyDescent="0.25">
      <c r="A93" t="str">
        <f>MID(TB_CECO[[#This Row],[CECO_T]],1,5)</f>
        <v>11417</v>
      </c>
      <c r="B93" t="str">
        <f>MID(TB_CECO[[#This Row],[TRABAJO]],1,SEARCH(",",TB_CECO[[#This Row],[TRABAJO]],1)-1)</f>
        <v>SNV 100-S CH 100</v>
      </c>
      <c r="C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100,SPLIT CON MALLA </v>
      </c>
      <c r="D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3" s="47" t="s">
        <v>179</v>
      </c>
      <c r="G93" t="s">
        <v>180</v>
      </c>
      <c r="H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4" spans="1:8" ht="15" customHeight="1" x14ac:dyDescent="0.25">
      <c r="A94" t="str">
        <f>MID(TB_CECO[[#This Row],[CECO_T]],1,5)</f>
        <v>11417</v>
      </c>
      <c r="B94" t="str">
        <f>MID(TB_CECO[[#This Row],[TRABAJO]],1,SEARCH(",",TB_CECO[[#This Row],[TRABAJO]],1)-1)</f>
        <v>SNV 100-S CH 100</v>
      </c>
      <c r="C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100-S CH 100,IZAJE Y DESCENSO</v>
      </c>
      <c r="D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4" s="47" t="s">
        <v>181</v>
      </c>
      <c r="G94" t="s">
        <v>182</v>
      </c>
      <c r="H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5" spans="1:8" ht="15" customHeight="1" x14ac:dyDescent="0.25">
      <c r="A95" t="str">
        <f>MID(TB_CECO[[#This Row],[CECO_T]],1,5)</f>
        <v>11417</v>
      </c>
      <c r="B95" t="str">
        <f>MID(TB_CECO[[#This Row],[TRABAJO]],1,SEARCH(",",TB_CECO[[#This Row],[TRABAJO]],1)-1)</f>
        <v>SNV 100-S CH 100</v>
      </c>
      <c r="C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100,PERFORACION     </v>
      </c>
      <c r="D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5" s="47" t="s">
        <v>183</v>
      </c>
      <c r="G95" t="s">
        <v>184</v>
      </c>
      <c r="H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6" spans="1:8" ht="15" customHeight="1" x14ac:dyDescent="0.25">
      <c r="A96" t="str">
        <f>MID(TB_CECO[[#This Row],[CECO_T]],1,5)</f>
        <v>11418</v>
      </c>
      <c r="B96" t="str">
        <f>MID(TB_CECO[[#This Row],[TRABAJO]],1,SEARCH(",",TB_CECO[[#This Row],[TRABAJO]],1)-1)</f>
        <v>SNV 100-N CH 100</v>
      </c>
      <c r="C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100,DESQUINCHE      </v>
      </c>
      <c r="D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6" s="47" t="s">
        <v>185</v>
      </c>
      <c r="G96" t="s">
        <v>186</v>
      </c>
      <c r="H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7" spans="1:8" ht="15" customHeight="1" x14ac:dyDescent="0.25">
      <c r="A97" t="str">
        <f>MID(TB_CECO[[#This Row],[CECO_T]],1,5)</f>
        <v>11418</v>
      </c>
      <c r="B97" t="str">
        <f>MID(TB_CECO[[#This Row],[TRABAJO]],1,SEARCH(",",TB_CECO[[#This Row],[TRABAJO]],1)-1)</f>
        <v>SNV 100-N CH 100</v>
      </c>
      <c r="C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100,ENMADERADO      </v>
      </c>
      <c r="D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7" s="47" t="s">
        <v>187</v>
      </c>
      <c r="G97" t="s">
        <v>188</v>
      </c>
      <c r="H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8" spans="1:8" ht="15" customHeight="1" x14ac:dyDescent="0.25">
      <c r="A98" t="str">
        <f>MID(TB_CECO[[#This Row],[CECO_T]],1,5)</f>
        <v>11418</v>
      </c>
      <c r="B98" t="str">
        <f>MID(TB_CECO[[#This Row],[TRABAJO]],1,SEARCH(",",TB_CECO[[#This Row],[TRABAJO]],1)-1)</f>
        <v>SNV 100-N CH 100</v>
      </c>
      <c r="C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100,LIMPIEZA        </v>
      </c>
      <c r="D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8" s="47" t="s">
        <v>189</v>
      </c>
      <c r="G98" t="s">
        <v>190</v>
      </c>
      <c r="H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9" spans="1:8" ht="15" customHeight="1" x14ac:dyDescent="0.25">
      <c r="A99" t="str">
        <f>MID(TB_CECO[[#This Row],[CECO_T]],1,5)</f>
        <v>11418</v>
      </c>
      <c r="B99" t="str">
        <f>MID(TB_CECO[[#This Row],[TRABAJO]],1,SEARCH(",",TB_CECO[[#This Row],[TRABAJO]],1)-1)</f>
        <v>SNV 100-N CH 100</v>
      </c>
      <c r="C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100,SERVICIOS       </v>
      </c>
      <c r="D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9" s="47" t="s">
        <v>191</v>
      </c>
      <c r="G99" t="s">
        <v>192</v>
      </c>
      <c r="H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0" spans="1:8" ht="15" customHeight="1" x14ac:dyDescent="0.25">
      <c r="A100" t="str">
        <f>MID(TB_CECO[[#This Row],[CECO_T]],1,5)</f>
        <v>11418</v>
      </c>
      <c r="B100" t="str">
        <f>MID(TB_CECO[[#This Row],[TRABAJO]],1,SEARCH(",",TB_CECO[[#This Row],[TRABAJO]],1)-1)</f>
        <v>SNV 100-N CH 100</v>
      </c>
      <c r="C1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100,EXTRACCION      </v>
      </c>
      <c r="D1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0" s="47" t="s">
        <v>193</v>
      </c>
      <c r="G100" t="s">
        <v>194</v>
      </c>
      <c r="H1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1" spans="1:8" ht="15" customHeight="1" x14ac:dyDescent="0.25">
      <c r="A101" t="str">
        <f>MID(TB_CECO[[#This Row],[CECO_T]],1,5)</f>
        <v>11418</v>
      </c>
      <c r="B101" t="str">
        <f>MID(TB_CECO[[#This Row],[TRABAJO]],1,SEARCH(",",TB_CECO[[#This Row],[TRABAJO]],1)-1)</f>
        <v>SNV 100-N CH 100</v>
      </c>
      <c r="C1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100,SPLIT SET       </v>
      </c>
      <c r="D1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1" s="47" t="s">
        <v>195</v>
      </c>
      <c r="G101" t="s">
        <v>196</v>
      </c>
      <c r="H1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2" spans="1:8" ht="15" customHeight="1" x14ac:dyDescent="0.25">
      <c r="A102" t="str">
        <f>MID(TB_CECO[[#This Row],[CECO_T]],1,5)</f>
        <v>11418</v>
      </c>
      <c r="B102" t="str">
        <f>MID(TB_CECO[[#This Row],[TRABAJO]],1,SEARCH(",",TB_CECO[[#This Row],[TRABAJO]],1)-1)</f>
        <v>SNV 100-N CH 100</v>
      </c>
      <c r="C1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100,SPLIT CON MALLA </v>
      </c>
      <c r="D1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2" s="47" t="s">
        <v>197</v>
      </c>
      <c r="G102" t="s">
        <v>198</v>
      </c>
      <c r="H1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3" spans="1:8" ht="15" customHeight="1" x14ac:dyDescent="0.25">
      <c r="A103" t="str">
        <f>MID(TB_CECO[[#This Row],[CECO_T]],1,5)</f>
        <v>11418</v>
      </c>
      <c r="B103" t="str">
        <f>MID(TB_CECO[[#This Row],[TRABAJO]],1,SEARCH(",",TB_CECO[[#This Row],[TRABAJO]],1)-1)</f>
        <v>SNV 100-N CH 100</v>
      </c>
      <c r="C1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100-N CH 100,IZAJE Y DESCENSO</v>
      </c>
      <c r="D1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3" s="47" t="s">
        <v>199</v>
      </c>
      <c r="G103" t="s">
        <v>200</v>
      </c>
      <c r="H1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4" spans="1:8" ht="15" customHeight="1" x14ac:dyDescent="0.25">
      <c r="A104" t="str">
        <f>MID(TB_CECO[[#This Row],[CECO_T]],1,5)</f>
        <v>11418</v>
      </c>
      <c r="B104" t="str">
        <f>MID(TB_CECO[[#This Row],[TRABAJO]],1,SEARCH(",",TB_CECO[[#This Row],[TRABAJO]],1)-1)</f>
        <v>SNV 100-N CH 100</v>
      </c>
      <c r="C1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100,PERFORACION     </v>
      </c>
      <c r="D1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4" s="47" t="s">
        <v>201</v>
      </c>
      <c r="G104" t="s">
        <v>202</v>
      </c>
      <c r="H1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5" spans="1:8" ht="15" customHeight="1" x14ac:dyDescent="0.25">
      <c r="A105" t="str">
        <f>MID(TB_CECO[[#This Row],[CECO_T]],1,5)</f>
        <v>11419</v>
      </c>
      <c r="B105" t="str">
        <f>MID(TB_CECO[[#This Row],[TRABAJO]],1,SEARCH(",",TB_CECO[[#This Row],[TRABAJO]],1)-1)</f>
        <v>SNV 150-S CH 100</v>
      </c>
      <c r="C1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100,DESQUINCHE      </v>
      </c>
      <c r="D1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5" s="47" t="s">
        <v>203</v>
      </c>
      <c r="G105" t="s">
        <v>204</v>
      </c>
      <c r="H1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6" spans="1:8" ht="15" customHeight="1" x14ac:dyDescent="0.25">
      <c r="A106" t="str">
        <f>MID(TB_CECO[[#This Row],[CECO_T]],1,5)</f>
        <v>11419</v>
      </c>
      <c r="B106" t="str">
        <f>MID(TB_CECO[[#This Row],[TRABAJO]],1,SEARCH(",",TB_CECO[[#This Row],[TRABAJO]],1)-1)</f>
        <v>SNV 150-S CH 100</v>
      </c>
      <c r="C1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100,ENMADERADO      </v>
      </c>
      <c r="D1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6" s="47" t="s">
        <v>205</v>
      </c>
      <c r="G106" t="s">
        <v>206</v>
      </c>
      <c r="H1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7" spans="1:8" ht="15" customHeight="1" x14ac:dyDescent="0.25">
      <c r="A107" t="str">
        <f>MID(TB_CECO[[#This Row],[CECO_T]],1,5)</f>
        <v>11419</v>
      </c>
      <c r="B107" t="str">
        <f>MID(TB_CECO[[#This Row],[TRABAJO]],1,SEARCH(",",TB_CECO[[#This Row],[TRABAJO]],1)-1)</f>
        <v>SNV 150-S CH 100</v>
      </c>
      <c r="C1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100,LIMPIEZA        </v>
      </c>
      <c r="D1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7" s="47" t="s">
        <v>207</v>
      </c>
      <c r="G107" t="s">
        <v>208</v>
      </c>
      <c r="H1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8" spans="1:8" ht="15" customHeight="1" x14ac:dyDescent="0.25">
      <c r="A108" t="str">
        <f>MID(TB_CECO[[#This Row],[CECO_T]],1,5)</f>
        <v>11419</v>
      </c>
      <c r="B108" t="str">
        <f>MID(TB_CECO[[#This Row],[TRABAJO]],1,SEARCH(",",TB_CECO[[#This Row],[TRABAJO]],1)-1)</f>
        <v>SNV 150-S CH 100</v>
      </c>
      <c r="C1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100,SERVICIOS       </v>
      </c>
      <c r="D1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8" s="47" t="s">
        <v>209</v>
      </c>
      <c r="G108" t="s">
        <v>210</v>
      </c>
      <c r="H1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9" spans="1:8" ht="15" customHeight="1" x14ac:dyDescent="0.25">
      <c r="A109" t="str">
        <f>MID(TB_CECO[[#This Row],[CECO_T]],1,5)</f>
        <v>11419</v>
      </c>
      <c r="B109" t="str">
        <f>MID(TB_CECO[[#This Row],[TRABAJO]],1,SEARCH(",",TB_CECO[[#This Row],[TRABAJO]],1)-1)</f>
        <v>SNV 150-S CH 100</v>
      </c>
      <c r="C1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100,EXTRACCION      </v>
      </c>
      <c r="D1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9" s="47" t="s">
        <v>211</v>
      </c>
      <c r="G109" t="s">
        <v>212</v>
      </c>
      <c r="H1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0" spans="1:8" ht="15" customHeight="1" x14ac:dyDescent="0.25">
      <c r="A110" t="str">
        <f>MID(TB_CECO[[#This Row],[CECO_T]],1,5)</f>
        <v>11419</v>
      </c>
      <c r="B110" t="str">
        <f>MID(TB_CECO[[#This Row],[TRABAJO]],1,SEARCH(",",TB_CECO[[#This Row],[TRABAJO]],1)-1)</f>
        <v>SNV 150-S CH 100</v>
      </c>
      <c r="C1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100,SPLIT SET       </v>
      </c>
      <c r="D1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10" s="47" t="s">
        <v>213</v>
      </c>
      <c r="G110" t="s">
        <v>214</v>
      </c>
      <c r="H1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1" spans="1:8" ht="15" customHeight="1" x14ac:dyDescent="0.25">
      <c r="A111" t="str">
        <f>MID(TB_CECO[[#This Row],[CECO_T]],1,5)</f>
        <v>11419</v>
      </c>
      <c r="B111" t="str">
        <f>MID(TB_CECO[[#This Row],[TRABAJO]],1,SEARCH(",",TB_CECO[[#This Row],[TRABAJO]],1)-1)</f>
        <v>SNV 150-S CH 100</v>
      </c>
      <c r="C1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100,SPLIT CON MALLA </v>
      </c>
      <c r="D1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11" s="47" t="s">
        <v>215</v>
      </c>
      <c r="G111" t="s">
        <v>216</v>
      </c>
      <c r="H1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2" spans="1:8" ht="15" customHeight="1" x14ac:dyDescent="0.25">
      <c r="A112" t="str">
        <f>MID(TB_CECO[[#This Row],[CECO_T]],1,5)</f>
        <v>11419</v>
      </c>
      <c r="B112" t="str">
        <f>MID(TB_CECO[[#This Row],[TRABAJO]],1,SEARCH(",",TB_CECO[[#This Row],[TRABAJO]],1)-1)</f>
        <v>SNV 150-S CH 100</v>
      </c>
      <c r="C1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150-S CH 100,IZAJE Y DESCENSO</v>
      </c>
      <c r="D1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12" s="47" t="s">
        <v>217</v>
      </c>
      <c r="G112" t="s">
        <v>218</v>
      </c>
      <c r="H1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3" spans="1:8" ht="15" customHeight="1" x14ac:dyDescent="0.25">
      <c r="A113" t="str">
        <f>MID(TB_CECO[[#This Row],[CECO_T]],1,5)</f>
        <v>11419</v>
      </c>
      <c r="B113" t="str">
        <f>MID(TB_CECO[[#This Row],[TRABAJO]],1,SEARCH(",",TB_CECO[[#This Row],[TRABAJO]],1)-1)</f>
        <v>SNV 150-S CH 100</v>
      </c>
      <c r="C1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100,PERFORACION     </v>
      </c>
      <c r="D1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13" s="47" t="s">
        <v>219</v>
      </c>
      <c r="G113" t="s">
        <v>220</v>
      </c>
      <c r="H1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4" spans="1:8" ht="15" customHeight="1" x14ac:dyDescent="0.25">
      <c r="A114" t="str">
        <f>MID(TB_CECO[[#This Row],[CECO_T]],1,5)</f>
        <v>11420</v>
      </c>
      <c r="B114" t="str">
        <f>MID(TB_CECO[[#This Row],[TRABAJO]],1,SEARCH(",",TB_CECO[[#This Row],[TRABAJO]],1)-1)</f>
        <v>SNV 150-N CH 100</v>
      </c>
      <c r="C1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100,DESQUINCHE      </v>
      </c>
      <c r="D1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14" s="47" t="s">
        <v>221</v>
      </c>
      <c r="G114" t="s">
        <v>222</v>
      </c>
      <c r="H1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5" spans="1:8" ht="15" customHeight="1" x14ac:dyDescent="0.25">
      <c r="A115" t="str">
        <f>MID(TB_CECO[[#This Row],[CECO_T]],1,5)</f>
        <v>11420</v>
      </c>
      <c r="B115" t="str">
        <f>MID(TB_CECO[[#This Row],[TRABAJO]],1,SEARCH(",",TB_CECO[[#This Row],[TRABAJO]],1)-1)</f>
        <v>SNV 150-N CH 100</v>
      </c>
      <c r="C1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100,ENMADERADO      </v>
      </c>
      <c r="D1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15" s="47" t="s">
        <v>223</v>
      </c>
      <c r="G115" t="s">
        <v>224</v>
      </c>
      <c r="H1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6" spans="1:8" ht="15" customHeight="1" x14ac:dyDescent="0.25">
      <c r="A116" t="str">
        <f>MID(TB_CECO[[#This Row],[CECO_T]],1,5)</f>
        <v>11420</v>
      </c>
      <c r="B116" t="str">
        <f>MID(TB_CECO[[#This Row],[TRABAJO]],1,SEARCH(",",TB_CECO[[#This Row],[TRABAJO]],1)-1)</f>
        <v>SNV 150-N CH 100</v>
      </c>
      <c r="C1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100,LIMPIEZA        </v>
      </c>
      <c r="D1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16" s="47" t="s">
        <v>225</v>
      </c>
      <c r="G116" t="s">
        <v>226</v>
      </c>
      <c r="H1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7" spans="1:8" ht="15" customHeight="1" x14ac:dyDescent="0.25">
      <c r="A117" t="str">
        <f>MID(TB_CECO[[#This Row],[CECO_T]],1,5)</f>
        <v>11420</v>
      </c>
      <c r="B117" t="str">
        <f>MID(TB_CECO[[#This Row],[TRABAJO]],1,SEARCH(",",TB_CECO[[#This Row],[TRABAJO]],1)-1)</f>
        <v>SNV 150-N CH 100</v>
      </c>
      <c r="C1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100,SERVICIOS       </v>
      </c>
      <c r="D1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17" s="47" t="s">
        <v>227</v>
      </c>
      <c r="G117" t="s">
        <v>228</v>
      </c>
      <c r="H1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8" spans="1:8" ht="15" customHeight="1" x14ac:dyDescent="0.25">
      <c r="A118" t="str">
        <f>MID(TB_CECO[[#This Row],[CECO_T]],1,5)</f>
        <v>11420</v>
      </c>
      <c r="B118" t="str">
        <f>MID(TB_CECO[[#This Row],[TRABAJO]],1,SEARCH(",",TB_CECO[[#This Row],[TRABAJO]],1)-1)</f>
        <v>SNV 150-N CH 100</v>
      </c>
      <c r="C1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100,EXTRACCION      </v>
      </c>
      <c r="D1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18" s="47" t="s">
        <v>229</v>
      </c>
      <c r="G118" t="s">
        <v>230</v>
      </c>
      <c r="H1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9" spans="1:8" ht="15" customHeight="1" x14ac:dyDescent="0.25">
      <c r="A119" t="str">
        <f>MID(TB_CECO[[#This Row],[CECO_T]],1,5)</f>
        <v>11420</v>
      </c>
      <c r="B119" t="str">
        <f>MID(TB_CECO[[#This Row],[TRABAJO]],1,SEARCH(",",TB_CECO[[#This Row],[TRABAJO]],1)-1)</f>
        <v>SNV 150-N CH 100</v>
      </c>
      <c r="C1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100,SPLIT SET       </v>
      </c>
      <c r="D1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19" s="47" t="s">
        <v>231</v>
      </c>
      <c r="G119" t="s">
        <v>232</v>
      </c>
      <c r="H1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0" spans="1:8" ht="15" customHeight="1" x14ac:dyDescent="0.25">
      <c r="A120" t="str">
        <f>MID(TB_CECO[[#This Row],[CECO_T]],1,5)</f>
        <v>11420</v>
      </c>
      <c r="B120" t="str">
        <f>MID(TB_CECO[[#This Row],[TRABAJO]],1,SEARCH(",",TB_CECO[[#This Row],[TRABAJO]],1)-1)</f>
        <v>SNV 150-N CH 100</v>
      </c>
      <c r="C1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100,SPLIT CON MALLA </v>
      </c>
      <c r="D1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0" s="47" t="s">
        <v>233</v>
      </c>
      <c r="G120" t="s">
        <v>234</v>
      </c>
      <c r="H1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1" spans="1:8" ht="15" customHeight="1" x14ac:dyDescent="0.25">
      <c r="A121" t="str">
        <f>MID(TB_CECO[[#This Row],[CECO_T]],1,5)</f>
        <v>11420</v>
      </c>
      <c r="B121" t="str">
        <f>MID(TB_CECO[[#This Row],[TRABAJO]],1,SEARCH(",",TB_CECO[[#This Row],[TRABAJO]],1)-1)</f>
        <v>SNV 150-N CH 100</v>
      </c>
      <c r="C1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150-N CH 100,IZAJE Y DESCENSO</v>
      </c>
      <c r="D1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1" s="47" t="s">
        <v>235</v>
      </c>
      <c r="G121" t="s">
        <v>236</v>
      </c>
      <c r="H1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2" spans="1:8" ht="15" customHeight="1" x14ac:dyDescent="0.25">
      <c r="A122" t="str">
        <f>MID(TB_CECO[[#This Row],[CECO_T]],1,5)</f>
        <v>11420</v>
      </c>
      <c r="B122" t="str">
        <f>MID(TB_CECO[[#This Row],[TRABAJO]],1,SEARCH(",",TB_CECO[[#This Row],[TRABAJO]],1)-1)</f>
        <v>SNV 150-N CH 100</v>
      </c>
      <c r="C1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100,PERFORACION     </v>
      </c>
      <c r="D1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2" s="47" t="s">
        <v>237</v>
      </c>
      <c r="G122" t="s">
        <v>238</v>
      </c>
      <c r="H1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3" spans="1:8" ht="15" customHeight="1" x14ac:dyDescent="0.25">
      <c r="A123" t="str">
        <f>MID(TB_CECO[[#This Row],[CECO_T]],1,5)</f>
        <v>11422</v>
      </c>
      <c r="B123" t="str">
        <f>MID(TB_CECO[[#This Row],[TRABAJO]],1,SEARCH(",",TB_CECO[[#This Row],[TRABAJO]],1)-1)</f>
        <v>SNv 095 NE EST 077 NE</v>
      </c>
      <c r="C1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077 NE,DESQUINCHE </v>
      </c>
      <c r="D1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3" s="47" t="s">
        <v>239</v>
      </c>
      <c r="G123" t="s">
        <v>240</v>
      </c>
      <c r="H1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4" spans="1:8" ht="15" customHeight="1" x14ac:dyDescent="0.25">
      <c r="A124" t="str">
        <f>MID(TB_CECO[[#This Row],[CECO_T]],1,5)</f>
        <v>11422</v>
      </c>
      <c r="B124" t="str">
        <f>MID(TB_CECO[[#This Row],[TRABAJO]],1,SEARCH(",",TB_CECO[[#This Row],[TRABAJO]],1)-1)</f>
        <v>SNv 095 NE EST 077 NE</v>
      </c>
      <c r="C1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077 NE,ENMADERADO </v>
      </c>
      <c r="D1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4" s="47" t="s">
        <v>241</v>
      </c>
      <c r="G124" t="s">
        <v>242</v>
      </c>
      <c r="H1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5" spans="1:8" ht="15" customHeight="1" x14ac:dyDescent="0.25">
      <c r="A125" t="str">
        <f>MID(TB_CECO[[#This Row],[CECO_T]],1,5)</f>
        <v>11422</v>
      </c>
      <c r="B125" t="str">
        <f>MID(TB_CECO[[#This Row],[TRABAJO]],1,SEARCH(",",TB_CECO[[#This Row],[TRABAJO]],1)-1)</f>
        <v>SNv 095 NE EST 077 NE</v>
      </c>
      <c r="C1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077 NE,LIMPIEZA   </v>
      </c>
      <c r="D1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5" s="47" t="s">
        <v>243</v>
      </c>
      <c r="G125" t="s">
        <v>244</v>
      </c>
      <c r="H1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6" spans="1:8" ht="15" customHeight="1" x14ac:dyDescent="0.25">
      <c r="A126" t="str">
        <f>MID(TB_CECO[[#This Row],[CECO_T]],1,5)</f>
        <v>11422</v>
      </c>
      <c r="B126" t="str">
        <f>MID(TB_CECO[[#This Row],[TRABAJO]],1,SEARCH(",",TB_CECO[[#This Row],[TRABAJO]],1)-1)</f>
        <v>SNv 095 NE EST 077 NE</v>
      </c>
      <c r="C1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077 NE,SERVICIOS  </v>
      </c>
      <c r="D1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6" s="47" t="s">
        <v>245</v>
      </c>
      <c r="G126" t="s">
        <v>246</v>
      </c>
      <c r="H1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7" spans="1:8" ht="15" customHeight="1" x14ac:dyDescent="0.25">
      <c r="A127" t="str">
        <f>MID(TB_CECO[[#This Row],[CECO_T]],1,5)</f>
        <v>11422</v>
      </c>
      <c r="B127" t="str">
        <f>MID(TB_CECO[[#This Row],[TRABAJO]],1,SEARCH(",",TB_CECO[[#This Row],[TRABAJO]],1)-1)</f>
        <v>SNv 095 NE EST 077 NE</v>
      </c>
      <c r="C1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077 NE,EXTRACCION </v>
      </c>
      <c r="D1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7" s="47" t="s">
        <v>247</v>
      </c>
      <c r="G127" t="s">
        <v>248</v>
      </c>
      <c r="H1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8" spans="1:8" ht="15" customHeight="1" x14ac:dyDescent="0.25">
      <c r="A128" t="str">
        <f>MID(TB_CECO[[#This Row],[CECO_T]],1,5)</f>
        <v>11422</v>
      </c>
      <c r="B128" t="str">
        <f>MID(TB_CECO[[#This Row],[TRABAJO]],1,SEARCH(",",TB_CECO[[#This Row],[TRABAJO]],1)-1)</f>
        <v>SNv 095 NE EST 077 NE</v>
      </c>
      <c r="C1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077 NE,SPLIT SET  </v>
      </c>
      <c r="D1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8" s="47" t="s">
        <v>249</v>
      </c>
      <c r="G128" t="s">
        <v>250</v>
      </c>
      <c r="H1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9" spans="1:8" ht="15" customHeight="1" x14ac:dyDescent="0.25">
      <c r="A129" t="str">
        <f>MID(TB_CECO[[#This Row],[CECO_T]],1,5)</f>
        <v>11422</v>
      </c>
      <c r="B129" t="str">
        <f>MID(TB_CECO[[#This Row],[TRABAJO]],1,SEARCH(",",TB_CECO[[#This Row],[TRABAJO]],1)-1)</f>
        <v>SNv 095 NE EST 077 NE</v>
      </c>
      <c r="C1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NE EST 077 NE,SPLIT CON M</v>
      </c>
      <c r="D1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9" s="47" t="s">
        <v>251</v>
      </c>
      <c r="G129" t="s">
        <v>252</v>
      </c>
      <c r="H1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0" spans="1:8" ht="15" customHeight="1" x14ac:dyDescent="0.25">
      <c r="A130" t="str">
        <f>MID(TB_CECO[[#This Row],[CECO_T]],1,5)</f>
        <v>11422</v>
      </c>
      <c r="B130" t="str">
        <f>MID(TB_CECO[[#This Row],[TRABAJO]],1,SEARCH(",",TB_CECO[[#This Row],[TRABAJO]],1)-1)</f>
        <v>SNv 095 NE EST 077 NE</v>
      </c>
      <c r="C1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NE EST 077 NE,IZAJE Y DES</v>
      </c>
      <c r="D1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30" s="47" t="s">
        <v>253</v>
      </c>
      <c r="G130" t="s">
        <v>254</v>
      </c>
      <c r="H1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1" spans="1:8" ht="15" customHeight="1" x14ac:dyDescent="0.25">
      <c r="A131" t="str">
        <f>MID(TB_CECO[[#This Row],[CECO_T]],1,5)</f>
        <v>11422</v>
      </c>
      <c r="B131" t="str">
        <f>MID(TB_CECO[[#This Row],[TRABAJO]],1,SEARCH(",",TB_CECO[[#This Row],[TRABAJO]],1)-1)</f>
        <v>SNv 095 NE EST 077 NE</v>
      </c>
      <c r="C1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NE EST 077 NE,PERFORACION</v>
      </c>
      <c r="D1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31" s="47" t="s">
        <v>255</v>
      </c>
      <c r="G131" t="s">
        <v>256</v>
      </c>
      <c r="H1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2" spans="1:8" ht="15" customHeight="1" x14ac:dyDescent="0.25">
      <c r="A132" t="str">
        <f>MID(TB_CECO[[#This Row],[CECO_T]],1,5)</f>
        <v>11502</v>
      </c>
      <c r="B132" t="str">
        <f>MID(TB_CECO[[#This Row],[TRABAJO]],1,SEARCH(",",TB_CECO[[#This Row],[TRABAJO]],1)-1)</f>
        <v xml:space="preserve"> Est.039-SW_Snv.095-1-SW </v>
      </c>
      <c r="C1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 , DESQU</v>
      </c>
      <c r="D1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2" s="47" t="s">
        <v>257</v>
      </c>
      <c r="G132" t="s">
        <v>258</v>
      </c>
      <c r="H1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3" spans="1:8" ht="15" customHeight="1" x14ac:dyDescent="0.25">
      <c r="A133" t="str">
        <f>MID(TB_CECO[[#This Row],[CECO_T]],1,5)</f>
        <v>11502</v>
      </c>
      <c r="B133" t="str">
        <f>MID(TB_CECO[[#This Row],[TRABAJO]],1,SEARCH(",",TB_CECO[[#This Row],[TRABAJO]],1)-1)</f>
        <v xml:space="preserve"> Est.039-SW_Snv.095-1-SW </v>
      </c>
      <c r="C1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 , ENMAD</v>
      </c>
      <c r="D1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3" s="47" t="s">
        <v>259</v>
      </c>
      <c r="G133" t="s">
        <v>260</v>
      </c>
      <c r="H1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4" spans="1:8" ht="15" customHeight="1" x14ac:dyDescent="0.25">
      <c r="A134" t="str">
        <f>MID(TB_CECO[[#This Row],[CECO_T]],1,5)</f>
        <v>11502</v>
      </c>
      <c r="B134" t="str">
        <f>MID(TB_CECO[[#This Row],[TRABAJO]],1,SEARCH(",",TB_CECO[[#This Row],[TRABAJO]],1)-1)</f>
        <v xml:space="preserve"> Est.039-SW_Snv.095-1-SW </v>
      </c>
      <c r="C1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 , LIMPI</v>
      </c>
      <c r="D1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4" s="47" t="s">
        <v>261</v>
      </c>
      <c r="G134" t="s">
        <v>262</v>
      </c>
      <c r="H1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5" spans="1:8" ht="15" customHeight="1" x14ac:dyDescent="0.25">
      <c r="A135" t="str">
        <f>MID(TB_CECO[[#This Row],[CECO_T]],1,5)</f>
        <v>11502</v>
      </c>
      <c r="B135" t="str">
        <f>MID(TB_CECO[[#This Row],[TRABAJO]],1,SEARCH(",",TB_CECO[[#This Row],[TRABAJO]],1)-1)</f>
        <v xml:space="preserve"> Est.039-SW_Snv.095-1-SW </v>
      </c>
      <c r="C1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 , SERVI</v>
      </c>
      <c r="D1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5" s="47" t="s">
        <v>263</v>
      </c>
      <c r="G135" t="s">
        <v>264</v>
      </c>
      <c r="H1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6" spans="1:8" ht="15" customHeight="1" x14ac:dyDescent="0.25">
      <c r="A136" t="str">
        <f>MID(TB_CECO[[#This Row],[CECO_T]],1,5)</f>
        <v>11502</v>
      </c>
      <c r="B136" t="str">
        <f>MID(TB_CECO[[#This Row],[TRABAJO]],1,SEARCH(",",TB_CECO[[#This Row],[TRABAJO]],1)-1)</f>
        <v xml:space="preserve"> Est.039-SW_Snv.095-1-SW </v>
      </c>
      <c r="C1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 , EXTRA</v>
      </c>
      <c r="D1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6" s="47" t="s">
        <v>265</v>
      </c>
      <c r="G136" t="s">
        <v>266</v>
      </c>
      <c r="H1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7" spans="1:8" ht="15" customHeight="1" x14ac:dyDescent="0.25">
      <c r="A137" t="str">
        <f>MID(TB_CECO[[#This Row],[CECO_T]],1,5)</f>
        <v>11502</v>
      </c>
      <c r="B137" t="str">
        <f>MID(TB_CECO[[#This Row],[TRABAJO]],1,SEARCH(",",TB_CECO[[#This Row],[TRABAJO]],1)-1)</f>
        <v xml:space="preserve"> Est.039-SW_Snv.095-1-SW </v>
      </c>
      <c r="C1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 , SPLIT</v>
      </c>
      <c r="D1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7" s="47" t="s">
        <v>267</v>
      </c>
      <c r="G137" t="s">
        <v>268</v>
      </c>
      <c r="H1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8" spans="1:8" ht="15" customHeight="1" x14ac:dyDescent="0.25">
      <c r="A138" t="str">
        <f>MID(TB_CECO[[#This Row],[CECO_T]],1,5)</f>
        <v>11502</v>
      </c>
      <c r="B138" t="str">
        <f>MID(TB_CECO[[#This Row],[TRABAJO]],1,SEARCH(",",TB_CECO[[#This Row],[TRABAJO]],1)-1)</f>
        <v xml:space="preserve"> Est.039-SW_Snv.095-1-SW</v>
      </c>
      <c r="C1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Est.039-SW_Snv.095-1-SW,SPLIT C</v>
      </c>
      <c r="D1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8" s="47" t="s">
        <v>269</v>
      </c>
      <c r="G138" t="s">
        <v>270</v>
      </c>
      <c r="H1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9" spans="1:8" ht="15" customHeight="1" x14ac:dyDescent="0.25">
      <c r="A139" t="str">
        <f>MID(TB_CECO[[#This Row],[CECO_T]],1,5)</f>
        <v>11502</v>
      </c>
      <c r="B139" t="str">
        <f>MID(TB_CECO[[#This Row],[TRABAJO]],1,SEARCH(",",TB_CECO[[#This Row],[TRABAJO]],1)-1)</f>
        <v xml:space="preserve"> Est.039-SW_Snv.095-1-SW</v>
      </c>
      <c r="C1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Est.039-SW_Snv.095-1-SW, IZAJE/D</v>
      </c>
      <c r="D1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9" s="47" t="s">
        <v>271</v>
      </c>
      <c r="G139" t="s">
        <v>272</v>
      </c>
      <c r="H1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0" spans="1:8" ht="15" customHeight="1" x14ac:dyDescent="0.25">
      <c r="A140" t="str">
        <f>MID(TB_CECO[[#This Row],[CECO_T]],1,5)</f>
        <v>11502</v>
      </c>
      <c r="B140" t="str">
        <f>MID(TB_CECO[[#This Row],[TRABAJO]],1,SEARCH(",",TB_CECO[[#This Row],[TRABAJO]],1)-1)</f>
        <v xml:space="preserve"> Est.039-SW_Snv.095-1-SW </v>
      </c>
      <c r="C1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 , PERFO</v>
      </c>
      <c r="D1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0" s="47" t="s">
        <v>273</v>
      </c>
      <c r="G140" t="s">
        <v>274</v>
      </c>
      <c r="H1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1" spans="1:8" ht="15" customHeight="1" x14ac:dyDescent="0.25">
      <c r="A141" t="str">
        <f>MID(TB_CECO[[#This Row],[CECO_T]],1,5)</f>
        <v>12301</v>
      </c>
      <c r="B141" t="str">
        <f>MID(TB_CECO[[#This Row],[TRABAJO]],1,SEARCH(",",TB_CECO[[#This Row],[TRABAJO]],1)-1)</f>
        <v xml:space="preserve"> TJ 580 -3 NE </v>
      </c>
      <c r="C1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DESQUINCHE    </v>
      </c>
      <c r="D1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1" s="47" t="s">
        <v>275</v>
      </c>
      <c r="G141" t="s">
        <v>276</v>
      </c>
      <c r="H1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2" spans="1:8" ht="15" customHeight="1" x14ac:dyDescent="0.25">
      <c r="A142" t="str">
        <f>MID(TB_CECO[[#This Row],[CECO_T]],1,5)</f>
        <v>12301</v>
      </c>
      <c r="B142" t="str">
        <f>MID(TB_CECO[[#This Row],[TRABAJO]],1,SEARCH(",",TB_CECO[[#This Row],[TRABAJO]],1)-1)</f>
        <v xml:space="preserve"> TJ 580 -3 NE </v>
      </c>
      <c r="C1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ENMADERADO    </v>
      </c>
      <c r="D1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2" s="47" t="s">
        <v>277</v>
      </c>
      <c r="G142" t="s">
        <v>278</v>
      </c>
      <c r="H1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3" spans="1:8" ht="15" customHeight="1" x14ac:dyDescent="0.25">
      <c r="A143" t="str">
        <f>MID(TB_CECO[[#This Row],[CECO_T]],1,5)</f>
        <v>12301</v>
      </c>
      <c r="B143" t="str">
        <f>MID(TB_CECO[[#This Row],[TRABAJO]],1,SEARCH(",",TB_CECO[[#This Row],[TRABAJO]],1)-1)</f>
        <v xml:space="preserve"> TJ 580 -3 NE </v>
      </c>
      <c r="C1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LIMPIEZA      </v>
      </c>
      <c r="D1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3" s="47" t="s">
        <v>279</v>
      </c>
      <c r="G143" t="s">
        <v>280</v>
      </c>
      <c r="H1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4" spans="1:8" ht="15" customHeight="1" x14ac:dyDescent="0.25">
      <c r="A144" t="str">
        <f>MID(TB_CECO[[#This Row],[CECO_T]],1,5)</f>
        <v>12301</v>
      </c>
      <c r="B144" t="str">
        <f>MID(TB_CECO[[#This Row],[TRABAJO]],1,SEARCH(",",TB_CECO[[#This Row],[TRABAJO]],1)-1)</f>
        <v xml:space="preserve"> TJ 580 -3 NE </v>
      </c>
      <c r="C1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SERVICIOS     </v>
      </c>
      <c r="D1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4" s="47" t="s">
        <v>281</v>
      </c>
      <c r="G144" t="s">
        <v>282</v>
      </c>
      <c r="H1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5" spans="1:8" ht="15" customHeight="1" x14ac:dyDescent="0.25">
      <c r="A145" t="str">
        <f>MID(TB_CECO[[#This Row],[CECO_T]],1,5)</f>
        <v>12301</v>
      </c>
      <c r="B145" t="str">
        <f>MID(TB_CECO[[#This Row],[TRABAJO]],1,SEARCH(",",TB_CECO[[#This Row],[TRABAJO]],1)-1)</f>
        <v xml:space="preserve"> TJ 580 -3 NE </v>
      </c>
      <c r="C1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EXTRACCION    </v>
      </c>
      <c r="D1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5" s="47" t="s">
        <v>283</v>
      </c>
      <c r="G145" t="s">
        <v>284</v>
      </c>
      <c r="H1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6" spans="1:8" ht="15" customHeight="1" x14ac:dyDescent="0.25">
      <c r="A146" t="str">
        <f>MID(TB_CECO[[#This Row],[CECO_T]],1,5)</f>
        <v>12301</v>
      </c>
      <c r="B146" t="str">
        <f>MID(TB_CECO[[#This Row],[TRABAJO]],1,SEARCH(",",TB_CECO[[#This Row],[TRABAJO]],1)-1)</f>
        <v xml:space="preserve"> TJ 580 -3 NE </v>
      </c>
      <c r="C1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split set     </v>
      </c>
      <c r="D1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6" s="47" t="s">
        <v>285</v>
      </c>
      <c r="G146" t="s">
        <v>286</v>
      </c>
      <c r="H1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7" spans="1:8" ht="15" customHeight="1" x14ac:dyDescent="0.25">
      <c r="A147" t="str">
        <f>MID(TB_CECO[[#This Row],[CECO_T]],1,5)</f>
        <v>12301</v>
      </c>
      <c r="B147" t="str">
        <f>MID(TB_CECO[[#This Row],[TRABAJO]],1,SEARCH(",",TB_CECO[[#This Row],[TRABAJO]],1)-1)</f>
        <v xml:space="preserve"> TJ 580 -3 NE </v>
      </c>
      <c r="C1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split con mall</v>
      </c>
      <c r="D1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7" s="47" t="s">
        <v>287</v>
      </c>
      <c r="G147" t="s">
        <v>288</v>
      </c>
      <c r="H1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8" spans="1:8" ht="15" customHeight="1" x14ac:dyDescent="0.25">
      <c r="A148" t="str">
        <f>MID(TB_CECO[[#This Row],[CECO_T]],1,5)</f>
        <v>12301</v>
      </c>
      <c r="B148" t="str">
        <f>MID(TB_CECO[[#This Row],[TRABAJO]],1,SEARCH(",",TB_CECO[[#This Row],[TRABAJO]],1)-1)</f>
        <v xml:space="preserve"> TJ 580 -3 NE </v>
      </c>
      <c r="C1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IZAJE Y DESCEN</v>
      </c>
      <c r="D1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8" s="47" t="s">
        <v>289</v>
      </c>
      <c r="G148" t="s">
        <v>290</v>
      </c>
      <c r="H1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9" spans="1:8" ht="15" customHeight="1" x14ac:dyDescent="0.25">
      <c r="A149" t="str">
        <f>MID(TB_CECO[[#This Row],[CECO_T]],1,5)</f>
        <v>12301</v>
      </c>
      <c r="B149" t="str">
        <f>MID(TB_CECO[[#This Row],[TRABAJO]],1,SEARCH(",",TB_CECO[[#This Row],[TRABAJO]],1)-1)</f>
        <v xml:space="preserve"> TJ 580 -3 NE </v>
      </c>
      <c r="C1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PERFORACION   </v>
      </c>
      <c r="D1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9" s="47" t="s">
        <v>291</v>
      </c>
      <c r="G149" t="s">
        <v>292</v>
      </c>
      <c r="H1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0" spans="1:8" ht="15" customHeight="1" x14ac:dyDescent="0.25">
      <c r="A150" t="str">
        <f>MID(TB_CECO[[#This Row],[CECO_T]],1,5)</f>
        <v>12303</v>
      </c>
      <c r="B150" t="str">
        <f>MID(TB_CECO[[#This Row],[TRABAJO]],1,SEARCH(",",TB_CECO[[#This Row],[TRABAJO]],1)-1)</f>
        <v xml:space="preserve"> TJ 605 NE    P-3</v>
      </c>
      <c r="C1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   P-3,4 , DESQUINC</v>
      </c>
      <c r="D1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0" s="47" t="s">
        <v>293</v>
      </c>
      <c r="G150" t="s">
        <v>294</v>
      </c>
      <c r="H1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1" spans="1:8" ht="15" customHeight="1" x14ac:dyDescent="0.25">
      <c r="A151" t="str">
        <f>MID(TB_CECO[[#This Row],[CECO_T]],1,5)</f>
        <v>12303</v>
      </c>
      <c r="B151" t="str">
        <f>MID(TB_CECO[[#This Row],[TRABAJO]],1,SEARCH(",",TB_CECO[[#This Row],[TRABAJO]],1)-1)</f>
        <v xml:space="preserve"> TJ 605 NE    P-3</v>
      </c>
      <c r="C1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   P-3,4 , ENMADERA</v>
      </c>
      <c r="D1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1" s="47" t="s">
        <v>295</v>
      </c>
      <c r="G151" t="s">
        <v>296</v>
      </c>
      <c r="H1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2" spans="1:8" ht="15" customHeight="1" x14ac:dyDescent="0.25">
      <c r="A152" t="str">
        <f>MID(TB_CECO[[#This Row],[CECO_T]],1,5)</f>
        <v>12303</v>
      </c>
      <c r="B152" t="str">
        <f>MID(TB_CECO[[#This Row],[TRABAJO]],1,SEARCH(",",TB_CECO[[#This Row],[TRABAJO]],1)-1)</f>
        <v xml:space="preserve"> TJ 605 NE    P-3</v>
      </c>
      <c r="C1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   P-3,4 , LIMPIEZA</v>
      </c>
      <c r="D1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2" s="47" t="s">
        <v>297</v>
      </c>
      <c r="G152" t="s">
        <v>298</v>
      </c>
      <c r="H1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3" spans="1:8" ht="15" customHeight="1" x14ac:dyDescent="0.25">
      <c r="A153" t="str">
        <f>MID(TB_CECO[[#This Row],[CECO_T]],1,5)</f>
        <v>12303</v>
      </c>
      <c r="B153" t="str">
        <f>MID(TB_CECO[[#This Row],[TRABAJO]],1,SEARCH(",",TB_CECO[[#This Row],[TRABAJO]],1)-1)</f>
        <v xml:space="preserve"> TJ 605 NE    P-3</v>
      </c>
      <c r="C1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   P-3,4 , SERVICIO</v>
      </c>
      <c r="D1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3" s="47" t="s">
        <v>299</v>
      </c>
      <c r="G153" t="s">
        <v>300</v>
      </c>
      <c r="H1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4" spans="1:8" ht="15" customHeight="1" x14ac:dyDescent="0.25">
      <c r="A154" t="str">
        <f>MID(TB_CECO[[#This Row],[CECO_T]],1,5)</f>
        <v>12303</v>
      </c>
      <c r="B154" t="str">
        <f>MID(TB_CECO[[#This Row],[TRABAJO]],1,SEARCH(",",TB_CECO[[#This Row],[TRABAJO]],1)-1)</f>
        <v xml:space="preserve"> TJ 605 NE    P-3</v>
      </c>
      <c r="C1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   P-3,4 , EXTRACCI</v>
      </c>
      <c r="D1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4" s="47" t="s">
        <v>301</v>
      </c>
      <c r="G154" t="s">
        <v>302</v>
      </c>
      <c r="H1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5" spans="1:8" ht="15" customHeight="1" x14ac:dyDescent="0.25">
      <c r="A155" t="str">
        <f>MID(TB_CECO[[#This Row],[CECO_T]],1,5)</f>
        <v>12303</v>
      </c>
      <c r="B155" t="str">
        <f>MID(TB_CECO[[#This Row],[TRABAJO]],1,SEARCH(",",TB_CECO[[#This Row],[TRABAJO]],1)-1)</f>
        <v xml:space="preserve"> TJ 605 NE    P-3</v>
      </c>
      <c r="C1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   P-3,4 , split se</v>
      </c>
      <c r="D1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5" s="47" t="s">
        <v>303</v>
      </c>
      <c r="G155" t="s">
        <v>304</v>
      </c>
      <c r="H1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6" spans="1:8" ht="15" customHeight="1" x14ac:dyDescent="0.25">
      <c r="A156" t="str">
        <f>MID(TB_CECO[[#This Row],[CECO_T]],1,5)</f>
        <v>12303</v>
      </c>
      <c r="B156" t="str">
        <f>MID(TB_CECO[[#This Row],[TRABAJO]],1,SEARCH(",",TB_CECO[[#This Row],[TRABAJO]],1)-1)</f>
        <v xml:space="preserve"> TJ 605 NE    P-3</v>
      </c>
      <c r="C1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   P-3,4 , split co</v>
      </c>
      <c r="D1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6" s="47" t="s">
        <v>305</v>
      </c>
      <c r="G156" t="s">
        <v>306</v>
      </c>
      <c r="H1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7" spans="1:8" ht="15" customHeight="1" x14ac:dyDescent="0.25">
      <c r="A157" t="str">
        <f>MID(TB_CECO[[#This Row],[CECO_T]],1,5)</f>
        <v>12303</v>
      </c>
      <c r="B157" t="str">
        <f>MID(TB_CECO[[#This Row],[TRABAJO]],1,SEARCH(",",TB_CECO[[#This Row],[TRABAJO]],1)-1)</f>
        <v xml:space="preserve"> TJ 605 NE P-3</v>
      </c>
      <c r="C1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P-3,4, IZAJE Y DESC</v>
      </c>
      <c r="D1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7" s="47" t="s">
        <v>307</v>
      </c>
      <c r="G157" t="s">
        <v>308</v>
      </c>
      <c r="H1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8" spans="1:8" ht="15" customHeight="1" x14ac:dyDescent="0.25">
      <c r="A158" t="str">
        <f>MID(TB_CECO[[#This Row],[CECO_T]],1,5)</f>
        <v>12303</v>
      </c>
      <c r="B158" t="str">
        <f>MID(TB_CECO[[#This Row],[TRABAJO]],1,SEARCH(",",TB_CECO[[#This Row],[TRABAJO]],1)-1)</f>
        <v xml:space="preserve"> TJ 605 NE    P-3</v>
      </c>
      <c r="C1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   P-3,4 , PERFORAC</v>
      </c>
      <c r="D1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8" s="47" t="s">
        <v>309</v>
      </c>
      <c r="G158" t="s">
        <v>310</v>
      </c>
      <c r="H1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9" spans="1:8" ht="15" customHeight="1" x14ac:dyDescent="0.25">
      <c r="A159" t="str">
        <f>MID(TB_CECO[[#This Row],[CECO_T]],1,5)</f>
        <v>12304</v>
      </c>
      <c r="B159" t="str">
        <f>MID(TB_CECO[[#This Row],[TRABAJO]],1,SEARCH(",",TB_CECO[[#This Row],[TRABAJO]],1)-1)</f>
        <v xml:space="preserve"> TJ 605 SW   P-3</v>
      </c>
      <c r="C1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  P-3,4 , DESQUINCH</v>
      </c>
      <c r="D1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9" s="47" t="s">
        <v>311</v>
      </c>
      <c r="G159" t="s">
        <v>312</v>
      </c>
      <c r="H1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0" spans="1:8" ht="15" customHeight="1" x14ac:dyDescent="0.25">
      <c r="A160" t="str">
        <f>MID(TB_CECO[[#This Row],[CECO_T]],1,5)</f>
        <v>12304</v>
      </c>
      <c r="B160" t="str">
        <f>MID(TB_CECO[[#This Row],[TRABAJO]],1,SEARCH(",",TB_CECO[[#This Row],[TRABAJO]],1)-1)</f>
        <v xml:space="preserve"> TJ 605 SW   P-3</v>
      </c>
      <c r="C1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  P-3,4 , ENMADERAD</v>
      </c>
      <c r="D1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0" s="47" t="s">
        <v>313</v>
      </c>
      <c r="G160" t="s">
        <v>314</v>
      </c>
      <c r="H1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1" spans="1:8" ht="15" customHeight="1" x14ac:dyDescent="0.25">
      <c r="A161" t="str">
        <f>MID(TB_CECO[[#This Row],[CECO_T]],1,5)</f>
        <v>12304</v>
      </c>
      <c r="B161" t="str">
        <f>MID(TB_CECO[[#This Row],[TRABAJO]],1,SEARCH(",",TB_CECO[[#This Row],[TRABAJO]],1)-1)</f>
        <v xml:space="preserve"> TJ 605 SW   P-3</v>
      </c>
      <c r="C1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  P-3,4 , LIMPIEZA </v>
      </c>
      <c r="D1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1" s="47" t="s">
        <v>315</v>
      </c>
      <c r="G161" t="s">
        <v>316</v>
      </c>
      <c r="H1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2" spans="1:8" ht="15" customHeight="1" x14ac:dyDescent="0.25">
      <c r="A162" t="str">
        <f>MID(TB_CECO[[#This Row],[CECO_T]],1,5)</f>
        <v>12304</v>
      </c>
      <c r="B162" t="str">
        <f>MID(TB_CECO[[#This Row],[TRABAJO]],1,SEARCH(",",TB_CECO[[#This Row],[TRABAJO]],1)-1)</f>
        <v xml:space="preserve"> TJ 605 SW   P-3</v>
      </c>
      <c r="C1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  P-3,4 , SERVICIOS</v>
      </c>
      <c r="D1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2" s="47" t="s">
        <v>317</v>
      </c>
      <c r="G162" t="s">
        <v>318</v>
      </c>
      <c r="H1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3" spans="1:8" ht="15" customHeight="1" x14ac:dyDescent="0.25">
      <c r="A163" t="str">
        <f>MID(TB_CECO[[#This Row],[CECO_T]],1,5)</f>
        <v>12304</v>
      </c>
      <c r="B163" t="str">
        <f>MID(TB_CECO[[#This Row],[TRABAJO]],1,SEARCH(",",TB_CECO[[#This Row],[TRABAJO]],1)-1)</f>
        <v xml:space="preserve"> TJ 605 SW   P-3</v>
      </c>
      <c r="C1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  P-3,4 , EXTRACCIO</v>
      </c>
      <c r="D1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3" s="47" t="s">
        <v>319</v>
      </c>
      <c r="G163" t="s">
        <v>320</v>
      </c>
      <c r="H1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4" spans="1:8" ht="15" customHeight="1" x14ac:dyDescent="0.25">
      <c r="A164" t="str">
        <f>MID(TB_CECO[[#This Row],[CECO_T]],1,5)</f>
        <v>12304</v>
      </c>
      <c r="B164" t="str">
        <f>MID(TB_CECO[[#This Row],[TRABAJO]],1,SEARCH(",",TB_CECO[[#This Row],[TRABAJO]],1)-1)</f>
        <v xml:space="preserve"> TJ 605 SW   P-3</v>
      </c>
      <c r="C1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  P-3,4 , split set</v>
      </c>
      <c r="D1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4" s="47" t="s">
        <v>321</v>
      </c>
      <c r="G164" t="s">
        <v>322</v>
      </c>
      <c r="H1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5" spans="1:8" ht="15" customHeight="1" x14ac:dyDescent="0.25">
      <c r="A165" t="str">
        <f>MID(TB_CECO[[#This Row],[CECO_T]],1,5)</f>
        <v>12304</v>
      </c>
      <c r="B165" t="str">
        <f>MID(TB_CECO[[#This Row],[TRABAJO]],1,SEARCH(",",TB_CECO[[#This Row],[TRABAJO]],1)-1)</f>
        <v xml:space="preserve"> TJ 605 SW   P-3</v>
      </c>
      <c r="C1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  P-3,4 , split con</v>
      </c>
      <c r="D1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5" s="47" t="s">
        <v>323</v>
      </c>
      <c r="G165" t="s">
        <v>324</v>
      </c>
      <c r="H1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6" spans="1:8" ht="15" customHeight="1" x14ac:dyDescent="0.25">
      <c r="A166" t="str">
        <f>MID(TB_CECO[[#This Row],[CECO_T]],1,5)</f>
        <v>12304</v>
      </c>
      <c r="B166" t="str">
        <f>MID(TB_CECO[[#This Row],[TRABAJO]],1,SEARCH(",",TB_CECO[[#This Row],[TRABAJO]],1)-1)</f>
        <v xml:space="preserve"> TJ 605 SW P-3</v>
      </c>
      <c r="C1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P-3,4 , IZAJE Y DES</v>
      </c>
      <c r="D1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6" s="47" t="s">
        <v>325</v>
      </c>
      <c r="G166" t="s">
        <v>326</v>
      </c>
      <c r="H1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7" spans="1:8" ht="15" customHeight="1" x14ac:dyDescent="0.25">
      <c r="A167" t="str">
        <f>MID(TB_CECO[[#This Row],[CECO_T]],1,5)</f>
        <v>12304</v>
      </c>
      <c r="B167" t="str">
        <f>MID(TB_CECO[[#This Row],[TRABAJO]],1,SEARCH(",",TB_CECO[[#This Row],[TRABAJO]],1)-1)</f>
        <v xml:space="preserve"> TJ 605 SW   P-3</v>
      </c>
      <c r="C1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  P-3,4 , PERFORACI</v>
      </c>
      <c r="D1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7" s="47" t="s">
        <v>327</v>
      </c>
      <c r="G167" t="s">
        <v>328</v>
      </c>
      <c r="H1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8" spans="1:8" ht="15" customHeight="1" x14ac:dyDescent="0.25">
      <c r="A168" t="str">
        <f>MID(TB_CECO[[#This Row],[CECO_T]],1,5)</f>
        <v>12305</v>
      </c>
      <c r="B168" t="str">
        <f>MID(TB_CECO[[#This Row],[TRABAJO]],1,SEARCH(",",TB_CECO[[#This Row],[TRABAJO]],1)-1)</f>
        <v xml:space="preserve"> TJ 610 SW </v>
      </c>
      <c r="C1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DESQUINCHE       </v>
      </c>
      <c r="D1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8" s="47" t="s">
        <v>329</v>
      </c>
      <c r="G168" t="s">
        <v>330</v>
      </c>
      <c r="H1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9" spans="1:8" ht="15" customHeight="1" x14ac:dyDescent="0.25">
      <c r="A169" t="str">
        <f>MID(TB_CECO[[#This Row],[CECO_T]],1,5)</f>
        <v>12305</v>
      </c>
      <c r="B169" t="str">
        <f>MID(TB_CECO[[#This Row],[TRABAJO]],1,SEARCH(",",TB_CECO[[#This Row],[TRABAJO]],1)-1)</f>
        <v xml:space="preserve"> TJ 610 SW </v>
      </c>
      <c r="C1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ENMADERADO       </v>
      </c>
      <c r="D1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9" s="47" t="s">
        <v>331</v>
      </c>
      <c r="G169" t="s">
        <v>332</v>
      </c>
      <c r="H1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0" spans="1:8" ht="15" customHeight="1" x14ac:dyDescent="0.25">
      <c r="A170" t="str">
        <f>MID(TB_CECO[[#This Row],[CECO_T]],1,5)</f>
        <v>12305</v>
      </c>
      <c r="B170" t="str">
        <f>MID(TB_CECO[[#This Row],[TRABAJO]],1,SEARCH(",",TB_CECO[[#This Row],[TRABAJO]],1)-1)</f>
        <v xml:space="preserve"> TJ 610 SW </v>
      </c>
      <c r="C1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LIMPIEZA         </v>
      </c>
      <c r="D1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0" s="47" t="s">
        <v>333</v>
      </c>
      <c r="G170" t="s">
        <v>334</v>
      </c>
      <c r="H1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1" spans="1:8" ht="15" customHeight="1" x14ac:dyDescent="0.25">
      <c r="A171" t="str">
        <f>MID(TB_CECO[[#This Row],[CECO_T]],1,5)</f>
        <v>12305</v>
      </c>
      <c r="B171" t="str">
        <f>MID(TB_CECO[[#This Row],[TRABAJO]],1,SEARCH(",",TB_CECO[[#This Row],[TRABAJO]],1)-1)</f>
        <v xml:space="preserve"> TJ 610 SW </v>
      </c>
      <c r="C1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SERVICIOS        </v>
      </c>
      <c r="D1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1" s="47" t="s">
        <v>335</v>
      </c>
      <c r="G171" t="s">
        <v>336</v>
      </c>
      <c r="H1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2" spans="1:8" ht="15" customHeight="1" x14ac:dyDescent="0.25">
      <c r="A172" t="str">
        <f>MID(TB_CECO[[#This Row],[CECO_T]],1,5)</f>
        <v>12305</v>
      </c>
      <c r="B172" t="str">
        <f>MID(TB_CECO[[#This Row],[TRABAJO]],1,SEARCH(",",TB_CECO[[#This Row],[TRABAJO]],1)-1)</f>
        <v xml:space="preserve"> TJ 610 SW </v>
      </c>
      <c r="C1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EXTRACCION       </v>
      </c>
      <c r="D1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2" s="47" t="s">
        <v>337</v>
      </c>
      <c r="G172" t="s">
        <v>338</v>
      </c>
      <c r="H1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3" spans="1:8" ht="15" customHeight="1" x14ac:dyDescent="0.25">
      <c r="A173" t="str">
        <f>MID(TB_CECO[[#This Row],[CECO_T]],1,5)</f>
        <v>12305</v>
      </c>
      <c r="B173" t="str">
        <f>MID(TB_CECO[[#This Row],[TRABAJO]],1,SEARCH(",",TB_CECO[[#This Row],[TRABAJO]],1)-1)</f>
        <v xml:space="preserve"> TJ 610 SW </v>
      </c>
      <c r="C1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split set        </v>
      </c>
      <c r="D1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3" s="47" t="s">
        <v>339</v>
      </c>
      <c r="G173" t="s">
        <v>340</v>
      </c>
      <c r="H1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4" spans="1:8" ht="15" customHeight="1" x14ac:dyDescent="0.25">
      <c r="A174" t="str">
        <f>MID(TB_CECO[[#This Row],[CECO_T]],1,5)</f>
        <v>12305</v>
      </c>
      <c r="B174" t="str">
        <f>MID(TB_CECO[[#This Row],[TRABAJO]],1,SEARCH(",",TB_CECO[[#This Row],[TRABAJO]],1)-1)</f>
        <v xml:space="preserve"> TJ 610 SW </v>
      </c>
      <c r="C1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split con malla  </v>
      </c>
      <c r="D1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4" s="47" t="s">
        <v>341</v>
      </c>
      <c r="G174" t="s">
        <v>342</v>
      </c>
      <c r="H1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5" spans="1:8" ht="15" customHeight="1" x14ac:dyDescent="0.25">
      <c r="A175" t="str">
        <f>MID(TB_CECO[[#This Row],[CECO_T]],1,5)</f>
        <v>12305</v>
      </c>
      <c r="B175" t="str">
        <f>MID(TB_CECO[[#This Row],[TRABAJO]],1,SEARCH(",",TB_CECO[[#This Row],[TRABAJO]],1)-1)</f>
        <v xml:space="preserve"> TJ 610 SW </v>
      </c>
      <c r="C1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IZAJE Y DESCENSO </v>
      </c>
      <c r="D1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5" s="47" t="s">
        <v>343</v>
      </c>
      <c r="G175" t="s">
        <v>344</v>
      </c>
      <c r="H1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6" spans="1:8" ht="15" customHeight="1" x14ac:dyDescent="0.25">
      <c r="A176" t="str">
        <f>MID(TB_CECO[[#This Row],[CECO_T]],1,5)</f>
        <v>12305</v>
      </c>
      <c r="B176" t="str">
        <f>MID(TB_CECO[[#This Row],[TRABAJO]],1,SEARCH(",",TB_CECO[[#This Row],[TRABAJO]],1)-1)</f>
        <v xml:space="preserve"> TJ 610 SW </v>
      </c>
      <c r="C1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PERFORACION      </v>
      </c>
      <c r="D1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6" s="47" t="s">
        <v>345</v>
      </c>
      <c r="G176" t="s">
        <v>346</v>
      </c>
      <c r="H1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7" spans="1:8" ht="15" customHeight="1" x14ac:dyDescent="0.25">
      <c r="A177" t="str">
        <f>MID(TB_CECO[[#This Row],[CECO_T]],1,5)</f>
        <v>12306</v>
      </c>
      <c r="B177" t="str">
        <f>MID(TB_CECO[[#This Row],[TRABAJO]],1,SEARCH(",",TB_CECO[[#This Row],[TRABAJO]],1)-1)</f>
        <v xml:space="preserve"> TJ 616 SW </v>
      </c>
      <c r="C1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DESQUINCHE       </v>
      </c>
      <c r="D1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7" s="47" t="s">
        <v>347</v>
      </c>
      <c r="G177" t="s">
        <v>348</v>
      </c>
      <c r="H1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8" spans="1:8" ht="15" customHeight="1" x14ac:dyDescent="0.25">
      <c r="A178" t="str">
        <f>MID(TB_CECO[[#This Row],[CECO_T]],1,5)</f>
        <v>12306</v>
      </c>
      <c r="B178" t="str">
        <f>MID(TB_CECO[[#This Row],[TRABAJO]],1,SEARCH(",",TB_CECO[[#This Row],[TRABAJO]],1)-1)</f>
        <v xml:space="preserve"> TJ 616 SW </v>
      </c>
      <c r="C1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ENMADERADO       </v>
      </c>
      <c r="D1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8" s="47" t="s">
        <v>349</v>
      </c>
      <c r="G178" t="s">
        <v>350</v>
      </c>
      <c r="H1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9" spans="1:8" ht="15" customHeight="1" x14ac:dyDescent="0.25">
      <c r="A179" t="str">
        <f>MID(TB_CECO[[#This Row],[CECO_T]],1,5)</f>
        <v>12306</v>
      </c>
      <c r="B179" t="str">
        <f>MID(TB_CECO[[#This Row],[TRABAJO]],1,SEARCH(",",TB_CECO[[#This Row],[TRABAJO]],1)-1)</f>
        <v xml:space="preserve"> TJ 616 SW </v>
      </c>
      <c r="C1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LIMPIEZA         </v>
      </c>
      <c r="D1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9" s="47" t="s">
        <v>351</v>
      </c>
      <c r="G179" t="s">
        <v>352</v>
      </c>
      <c r="H1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0" spans="1:8" ht="15" customHeight="1" x14ac:dyDescent="0.25">
      <c r="A180" t="str">
        <f>MID(TB_CECO[[#This Row],[CECO_T]],1,5)</f>
        <v>12306</v>
      </c>
      <c r="B180" t="str">
        <f>MID(TB_CECO[[#This Row],[TRABAJO]],1,SEARCH(",",TB_CECO[[#This Row],[TRABAJO]],1)-1)</f>
        <v xml:space="preserve"> TJ 616 SW </v>
      </c>
      <c r="C1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SERVICIOS        </v>
      </c>
      <c r="D1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0" s="47" t="s">
        <v>353</v>
      </c>
      <c r="G180" t="s">
        <v>354</v>
      </c>
      <c r="H1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1" spans="1:8" ht="15" customHeight="1" x14ac:dyDescent="0.25">
      <c r="A181" t="str">
        <f>MID(TB_CECO[[#This Row],[CECO_T]],1,5)</f>
        <v>12306</v>
      </c>
      <c r="B181" t="str">
        <f>MID(TB_CECO[[#This Row],[TRABAJO]],1,SEARCH(",",TB_CECO[[#This Row],[TRABAJO]],1)-1)</f>
        <v xml:space="preserve"> TJ 616 SW </v>
      </c>
      <c r="C1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EXTRACCION       </v>
      </c>
      <c r="D1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1" s="47" t="s">
        <v>355</v>
      </c>
      <c r="G181" t="s">
        <v>356</v>
      </c>
      <c r="H1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2" spans="1:8" ht="15" customHeight="1" x14ac:dyDescent="0.25">
      <c r="A182" t="str">
        <f>MID(TB_CECO[[#This Row],[CECO_T]],1,5)</f>
        <v>12306</v>
      </c>
      <c r="B182" t="str">
        <f>MID(TB_CECO[[#This Row],[TRABAJO]],1,SEARCH(",",TB_CECO[[#This Row],[TRABAJO]],1)-1)</f>
        <v xml:space="preserve"> TJ 616 SW </v>
      </c>
      <c r="C1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split set        </v>
      </c>
      <c r="D1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2" s="47" t="s">
        <v>357</v>
      </c>
      <c r="G182" t="s">
        <v>358</v>
      </c>
      <c r="H1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3" spans="1:8" ht="15" customHeight="1" x14ac:dyDescent="0.25">
      <c r="A183" t="str">
        <f>MID(TB_CECO[[#This Row],[CECO_T]],1,5)</f>
        <v>12306</v>
      </c>
      <c r="B183" t="str">
        <f>MID(TB_CECO[[#This Row],[TRABAJO]],1,SEARCH(",",TB_CECO[[#This Row],[TRABAJO]],1)-1)</f>
        <v xml:space="preserve"> TJ 616 SW </v>
      </c>
      <c r="C1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split con malla  </v>
      </c>
      <c r="D1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3" s="47" t="s">
        <v>359</v>
      </c>
      <c r="G183" t="s">
        <v>360</v>
      </c>
      <c r="H1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4" spans="1:8" ht="15" customHeight="1" x14ac:dyDescent="0.25">
      <c r="A184" t="str">
        <f>MID(TB_CECO[[#This Row],[CECO_T]],1,5)</f>
        <v>12306</v>
      </c>
      <c r="B184" t="str">
        <f>MID(TB_CECO[[#This Row],[TRABAJO]],1,SEARCH(",",TB_CECO[[#This Row],[TRABAJO]],1)-1)</f>
        <v xml:space="preserve"> TJ 616 SW </v>
      </c>
      <c r="C1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IZAJE Y DESCENSO </v>
      </c>
      <c r="D1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4" s="47" t="s">
        <v>361</v>
      </c>
      <c r="G184" t="s">
        <v>362</v>
      </c>
      <c r="H1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5" spans="1:8" ht="15" customHeight="1" x14ac:dyDescent="0.25">
      <c r="A185" t="str">
        <f>MID(TB_CECO[[#This Row],[CECO_T]],1,5)</f>
        <v>12306</v>
      </c>
      <c r="B185" t="str">
        <f>MID(TB_CECO[[#This Row],[TRABAJO]],1,SEARCH(",",TB_CECO[[#This Row],[TRABAJO]],1)-1)</f>
        <v xml:space="preserve"> TJ 616 SW </v>
      </c>
      <c r="C1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PERFORACION      </v>
      </c>
      <c r="D1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5" s="47" t="s">
        <v>363</v>
      </c>
      <c r="G185" t="s">
        <v>364</v>
      </c>
      <c r="H1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6" spans="1:8" ht="15" customHeight="1" x14ac:dyDescent="0.25">
      <c r="A186" t="str">
        <f>MID(TB_CECO[[#This Row],[CECO_T]],1,5)</f>
        <v>12307</v>
      </c>
      <c r="B186" t="str">
        <f>MID(TB_CECO[[#This Row],[TRABAJO]],1,SEARCH(",",TB_CECO[[#This Row],[TRABAJO]],1)-1)</f>
        <v xml:space="preserve"> TJ 299 -3 NE </v>
      </c>
      <c r="C1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DESQUINCHE    </v>
      </c>
      <c r="D1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6" s="47" t="s">
        <v>365</v>
      </c>
      <c r="G186" t="s">
        <v>366</v>
      </c>
      <c r="H1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7" spans="1:8" ht="15" customHeight="1" x14ac:dyDescent="0.25">
      <c r="A187" t="str">
        <f>MID(TB_CECO[[#This Row],[CECO_T]],1,5)</f>
        <v>12307</v>
      </c>
      <c r="B187" t="str">
        <f>MID(TB_CECO[[#This Row],[TRABAJO]],1,SEARCH(",",TB_CECO[[#This Row],[TRABAJO]],1)-1)</f>
        <v xml:space="preserve"> TJ 299 -3 NE </v>
      </c>
      <c r="C1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ENMADERADO    </v>
      </c>
      <c r="D1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7" s="47" t="s">
        <v>367</v>
      </c>
      <c r="G187" t="s">
        <v>368</v>
      </c>
      <c r="H1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8" spans="1:8" ht="15" customHeight="1" x14ac:dyDescent="0.25">
      <c r="A188" t="str">
        <f>MID(TB_CECO[[#This Row],[CECO_T]],1,5)</f>
        <v>12307</v>
      </c>
      <c r="B188" t="str">
        <f>MID(TB_CECO[[#This Row],[TRABAJO]],1,SEARCH(",",TB_CECO[[#This Row],[TRABAJO]],1)-1)</f>
        <v xml:space="preserve"> TJ 299 -3 NE </v>
      </c>
      <c r="C1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LIMPIEZA      </v>
      </c>
      <c r="D1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8" s="47" t="s">
        <v>369</v>
      </c>
      <c r="G188" t="s">
        <v>370</v>
      </c>
      <c r="H1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9" spans="1:8" ht="15" customHeight="1" x14ac:dyDescent="0.25">
      <c r="A189" t="str">
        <f>MID(TB_CECO[[#This Row],[CECO_T]],1,5)</f>
        <v>12307</v>
      </c>
      <c r="B189" t="str">
        <f>MID(TB_CECO[[#This Row],[TRABAJO]],1,SEARCH(",",TB_CECO[[#This Row],[TRABAJO]],1)-1)</f>
        <v xml:space="preserve"> TJ 299 -3 NE </v>
      </c>
      <c r="C1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SERVICIOS     </v>
      </c>
      <c r="D1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9" s="47" t="s">
        <v>371</v>
      </c>
      <c r="G189" t="s">
        <v>372</v>
      </c>
      <c r="H1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0" spans="1:8" ht="15" customHeight="1" x14ac:dyDescent="0.25">
      <c r="A190" t="str">
        <f>MID(TB_CECO[[#This Row],[CECO_T]],1,5)</f>
        <v>12307</v>
      </c>
      <c r="B190" t="str">
        <f>MID(TB_CECO[[#This Row],[TRABAJO]],1,SEARCH(",",TB_CECO[[#This Row],[TRABAJO]],1)-1)</f>
        <v xml:space="preserve"> TJ 299 -3 NE </v>
      </c>
      <c r="C1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EXTRACCION    </v>
      </c>
      <c r="D1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0" s="47" t="s">
        <v>373</v>
      </c>
      <c r="G190" t="s">
        <v>374</v>
      </c>
      <c r="H1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1" spans="1:8" ht="15" customHeight="1" x14ac:dyDescent="0.25">
      <c r="A191" t="str">
        <f>MID(TB_CECO[[#This Row],[CECO_T]],1,5)</f>
        <v>12307</v>
      </c>
      <c r="B191" t="str">
        <f>MID(TB_CECO[[#This Row],[TRABAJO]],1,SEARCH(",",TB_CECO[[#This Row],[TRABAJO]],1)-1)</f>
        <v xml:space="preserve"> TJ 299 -3 NE </v>
      </c>
      <c r="C1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split set     </v>
      </c>
      <c r="D1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1" s="47" t="s">
        <v>375</v>
      </c>
      <c r="G191" t="s">
        <v>376</v>
      </c>
      <c r="H1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2" spans="1:8" ht="15" customHeight="1" x14ac:dyDescent="0.25">
      <c r="A192" t="str">
        <f>MID(TB_CECO[[#This Row],[CECO_T]],1,5)</f>
        <v>12307</v>
      </c>
      <c r="B192" t="str">
        <f>MID(TB_CECO[[#This Row],[TRABAJO]],1,SEARCH(",",TB_CECO[[#This Row],[TRABAJO]],1)-1)</f>
        <v xml:space="preserve"> TJ 299 -3 NE </v>
      </c>
      <c r="C1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split con mall</v>
      </c>
      <c r="D1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2" s="47" t="s">
        <v>377</v>
      </c>
      <c r="G192" t="s">
        <v>378</v>
      </c>
      <c r="H1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3" spans="1:8" ht="15" customHeight="1" x14ac:dyDescent="0.25">
      <c r="A193" t="str">
        <f>MID(TB_CECO[[#This Row],[CECO_T]],1,5)</f>
        <v>12307</v>
      </c>
      <c r="B193" t="str">
        <f>MID(TB_CECO[[#This Row],[TRABAJO]],1,SEARCH(",",TB_CECO[[#This Row],[TRABAJO]],1)-1)</f>
        <v xml:space="preserve"> TJ 299 -3 NE </v>
      </c>
      <c r="C1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IZAJE Y DESCEN</v>
      </c>
      <c r="D1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3" s="47" t="s">
        <v>379</v>
      </c>
      <c r="G193" t="s">
        <v>380</v>
      </c>
      <c r="H1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4" spans="1:8" ht="15" customHeight="1" x14ac:dyDescent="0.25">
      <c r="A194" t="str">
        <f>MID(TB_CECO[[#This Row],[CECO_T]],1,5)</f>
        <v>12307</v>
      </c>
      <c r="B194" t="str">
        <f>MID(TB_CECO[[#This Row],[TRABAJO]],1,SEARCH(",",TB_CECO[[#This Row],[TRABAJO]],1)-1)</f>
        <v xml:space="preserve"> TJ 299 -3 NE </v>
      </c>
      <c r="C1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PERFORACION   </v>
      </c>
      <c r="D1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4" s="47" t="s">
        <v>381</v>
      </c>
      <c r="G194" t="s">
        <v>382</v>
      </c>
      <c r="H1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5" spans="1:8" ht="15" customHeight="1" x14ac:dyDescent="0.25">
      <c r="A195" t="str">
        <f>MID(TB_CECO[[#This Row],[CECO_T]],1,5)</f>
        <v>12434</v>
      </c>
      <c r="B195" t="str">
        <f>MID(TB_CECO[[#This Row],[TRABAJO]],1,SEARCH(",",TB_CECO[[#This Row],[TRABAJO]],1)-1)</f>
        <v>SNV 070 NE  CH 078</v>
      </c>
      <c r="C1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070 NE  CH 078,DESQUINCHE     </v>
      </c>
      <c r="D1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5" s="47" t="s">
        <v>383</v>
      </c>
      <c r="G195" t="s">
        <v>384</v>
      </c>
      <c r="H1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6" spans="1:8" ht="15" customHeight="1" x14ac:dyDescent="0.25">
      <c r="A196" t="str">
        <f>MID(TB_CECO[[#This Row],[CECO_T]],1,5)</f>
        <v>12434</v>
      </c>
      <c r="B196" t="str">
        <f>MID(TB_CECO[[#This Row],[TRABAJO]],1,SEARCH(",",TB_CECO[[#This Row],[TRABAJO]],1)-1)</f>
        <v>SNV 070 NE  CH 078</v>
      </c>
      <c r="C1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070 NE  CH 078,ENMADERADO     </v>
      </c>
      <c r="D1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6" s="47" t="s">
        <v>385</v>
      </c>
      <c r="G196" t="s">
        <v>386</v>
      </c>
      <c r="H1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7" spans="1:8" ht="15" customHeight="1" x14ac:dyDescent="0.25">
      <c r="A197" t="str">
        <f>MID(TB_CECO[[#This Row],[CECO_T]],1,5)</f>
        <v>12434</v>
      </c>
      <c r="B197" t="str">
        <f>MID(TB_CECO[[#This Row],[TRABAJO]],1,SEARCH(",",TB_CECO[[#This Row],[TRABAJO]],1)-1)</f>
        <v>SNV 070 NE  CH 078</v>
      </c>
      <c r="C1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070 NE  CH 078,LIMPIEZA       </v>
      </c>
      <c r="D1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7" s="47" t="s">
        <v>387</v>
      </c>
      <c r="G197" t="s">
        <v>388</v>
      </c>
      <c r="H1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8" spans="1:8" ht="15" customHeight="1" x14ac:dyDescent="0.25">
      <c r="A198" t="str">
        <f>MID(TB_CECO[[#This Row],[CECO_T]],1,5)</f>
        <v>12434</v>
      </c>
      <c r="B198" t="str">
        <f>MID(TB_CECO[[#This Row],[TRABAJO]],1,SEARCH(",",TB_CECO[[#This Row],[TRABAJO]],1)-1)</f>
        <v>SNV 070 NE  CH 078</v>
      </c>
      <c r="C1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070 NE  CH 078,SERVICIOS      </v>
      </c>
      <c r="D1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8" s="47" t="s">
        <v>389</v>
      </c>
      <c r="G198" t="s">
        <v>390</v>
      </c>
      <c r="H1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9" spans="1:8" ht="15" customHeight="1" x14ac:dyDescent="0.25">
      <c r="A199" t="str">
        <f>MID(TB_CECO[[#This Row],[CECO_T]],1,5)</f>
        <v>12434</v>
      </c>
      <c r="B199" t="str">
        <f>MID(TB_CECO[[#This Row],[TRABAJO]],1,SEARCH(",",TB_CECO[[#This Row],[TRABAJO]],1)-1)</f>
        <v>SNV 070 NE  CH 078</v>
      </c>
      <c r="C1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070 NE  CH 078,EXTRACCION     </v>
      </c>
      <c r="D1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9" s="47" t="s">
        <v>391</v>
      </c>
      <c r="G199" t="s">
        <v>392</v>
      </c>
      <c r="H1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0" spans="1:8" ht="15" customHeight="1" x14ac:dyDescent="0.25">
      <c r="A200" t="str">
        <f>MID(TB_CECO[[#This Row],[CECO_T]],1,5)</f>
        <v>12434</v>
      </c>
      <c r="B200" t="str">
        <f>MID(TB_CECO[[#This Row],[TRABAJO]],1,SEARCH(",",TB_CECO[[#This Row],[TRABAJO]],1)-1)</f>
        <v>SNV 070 NE  CH 078</v>
      </c>
      <c r="C2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070 NE  CH 078,SPLIT SET      </v>
      </c>
      <c r="D2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0" s="47" t="s">
        <v>393</v>
      </c>
      <c r="G200" t="s">
        <v>394</v>
      </c>
      <c r="H2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1" spans="1:8" ht="15" customHeight="1" x14ac:dyDescent="0.25">
      <c r="A201" t="str">
        <f>MID(TB_CECO[[#This Row],[CECO_T]],1,5)</f>
        <v>12434</v>
      </c>
      <c r="B201" t="str">
        <f>MID(TB_CECO[[#This Row],[TRABAJO]],1,SEARCH(",",TB_CECO[[#This Row],[TRABAJO]],1)-1)</f>
        <v>SNV 070 NE  CH 078</v>
      </c>
      <c r="C2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 CH 078,SPLIT CON MALLA</v>
      </c>
      <c r="D2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1" s="47" t="s">
        <v>395</v>
      </c>
      <c r="G201" t="s">
        <v>396</v>
      </c>
      <c r="H2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2" spans="1:8" ht="15" customHeight="1" x14ac:dyDescent="0.25">
      <c r="A202" t="str">
        <f>MID(TB_CECO[[#This Row],[CECO_T]],1,5)</f>
        <v>12434</v>
      </c>
      <c r="B202" t="str">
        <f>MID(TB_CECO[[#This Row],[TRABAJO]],1,SEARCH(",",TB_CECO[[#This Row],[TRABAJO]],1)-1)</f>
        <v>SNV 070 NE  CH 078</v>
      </c>
      <c r="C2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 CH 078,IZAJE Y DESCENS</v>
      </c>
      <c r="D2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2" s="47" t="s">
        <v>397</v>
      </c>
      <c r="G202" t="s">
        <v>398</v>
      </c>
      <c r="H2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3" spans="1:8" ht="15" customHeight="1" x14ac:dyDescent="0.25">
      <c r="A203" t="str">
        <f>MID(TB_CECO[[#This Row],[CECO_T]],1,5)</f>
        <v>12434</v>
      </c>
      <c r="B203" t="str">
        <f>MID(TB_CECO[[#This Row],[TRABAJO]],1,SEARCH(",",TB_CECO[[#This Row],[TRABAJO]],1)-1)</f>
        <v>SNV 070 NE  CH 078</v>
      </c>
      <c r="C2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070 NE  CH 078,PERFORACION    </v>
      </c>
      <c r="D2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3" s="47" t="s">
        <v>399</v>
      </c>
      <c r="G203" t="s">
        <v>400</v>
      </c>
      <c r="H2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4" spans="1:8" ht="15" customHeight="1" x14ac:dyDescent="0.25">
      <c r="A204" t="str">
        <f>MID(TB_CECO[[#This Row],[CECO_T]],1,5)</f>
        <v>13209</v>
      </c>
      <c r="B204" t="str">
        <f>MID(TB_CECO[[#This Row],[TRABAJO]],1,SEARCH(",",TB_CECO[[#This Row],[TRABAJO]],1)-1)</f>
        <v>CH 580 -1 TJ 580 NE</v>
      </c>
      <c r="C2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NE,DESQUINCHE   </v>
      </c>
      <c r="D2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4" s="47" t="s">
        <v>401</v>
      </c>
      <c r="G204" t="s">
        <v>402</v>
      </c>
      <c r="H2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5" spans="1:8" ht="15" customHeight="1" x14ac:dyDescent="0.25">
      <c r="A205" t="str">
        <f>MID(TB_CECO[[#This Row],[CECO_T]],1,5)</f>
        <v>13209</v>
      </c>
      <c r="B205" t="str">
        <f>MID(TB_CECO[[#This Row],[TRABAJO]],1,SEARCH(",",TB_CECO[[#This Row],[TRABAJO]],1)-1)</f>
        <v>CH 580 -1 TJ 580 NE</v>
      </c>
      <c r="C2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NE,ENMADERADO   </v>
      </c>
      <c r="D2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5" s="47" t="s">
        <v>403</v>
      </c>
      <c r="G205" t="s">
        <v>404</v>
      </c>
      <c r="H2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6" spans="1:8" ht="15" customHeight="1" x14ac:dyDescent="0.25">
      <c r="A206" t="str">
        <f>MID(TB_CECO[[#This Row],[CECO_T]],1,5)</f>
        <v>13209</v>
      </c>
      <c r="B206" t="str">
        <f>MID(TB_CECO[[#This Row],[TRABAJO]],1,SEARCH(",",TB_CECO[[#This Row],[TRABAJO]],1)-1)</f>
        <v>CH 580 -1 TJ 580 NE</v>
      </c>
      <c r="C2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NE,LIMPIEZA     </v>
      </c>
      <c r="D2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6" s="47" t="s">
        <v>405</v>
      </c>
      <c r="G206" t="s">
        <v>406</v>
      </c>
      <c r="H2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7" spans="1:8" ht="15" customHeight="1" x14ac:dyDescent="0.25">
      <c r="A207" t="str">
        <f>MID(TB_CECO[[#This Row],[CECO_T]],1,5)</f>
        <v>13209</v>
      </c>
      <c r="B207" t="str">
        <f>MID(TB_CECO[[#This Row],[TRABAJO]],1,SEARCH(",",TB_CECO[[#This Row],[TRABAJO]],1)-1)</f>
        <v>CH 580 -1 TJ 580 NE</v>
      </c>
      <c r="C2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NE,SERVICIOS    </v>
      </c>
      <c r="D2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7" s="47" t="s">
        <v>407</v>
      </c>
      <c r="G207" t="s">
        <v>408</v>
      </c>
      <c r="H2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8" spans="1:8" ht="15" customHeight="1" x14ac:dyDescent="0.25">
      <c r="A208" t="str">
        <f>MID(TB_CECO[[#This Row],[CECO_T]],1,5)</f>
        <v>13209</v>
      </c>
      <c r="B208" t="str">
        <f>MID(TB_CECO[[#This Row],[TRABAJO]],1,SEARCH(",",TB_CECO[[#This Row],[TRABAJO]],1)-1)</f>
        <v>CH 580 -1 TJ 580 NE</v>
      </c>
      <c r="C2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NE,EXTRACCION   </v>
      </c>
      <c r="D2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8" s="47" t="s">
        <v>409</v>
      </c>
      <c r="G208" t="s">
        <v>410</v>
      </c>
      <c r="H2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9" spans="1:8" ht="15" customHeight="1" x14ac:dyDescent="0.25">
      <c r="A209" t="str">
        <f>MID(TB_CECO[[#This Row],[CECO_T]],1,5)</f>
        <v>13209</v>
      </c>
      <c r="B209" t="str">
        <f>MID(TB_CECO[[#This Row],[TRABAJO]],1,SEARCH(",",TB_CECO[[#This Row],[TRABAJO]],1)-1)</f>
        <v>CH 580 -1 TJ 580 NE</v>
      </c>
      <c r="C2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NE,SPLIT SET    </v>
      </c>
      <c r="D2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9" s="47" t="s">
        <v>411</v>
      </c>
      <c r="G209" t="s">
        <v>412</v>
      </c>
      <c r="H2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0" spans="1:8" ht="15" customHeight="1" x14ac:dyDescent="0.25">
      <c r="A210" t="str">
        <f>MID(TB_CECO[[#This Row],[CECO_T]],1,5)</f>
        <v>13209</v>
      </c>
      <c r="B210" t="str">
        <f>MID(TB_CECO[[#This Row],[TRABAJO]],1,SEARCH(",",TB_CECO[[#This Row],[TRABAJO]],1)-1)</f>
        <v>CH 580 -1 TJ 580 NE</v>
      </c>
      <c r="C2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580 -1 TJ 580 NE,SPLIT CON MAL</v>
      </c>
      <c r="D2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0" s="47" t="s">
        <v>413</v>
      </c>
      <c r="G210" t="s">
        <v>414</v>
      </c>
      <c r="H2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1" spans="1:8" ht="15" customHeight="1" x14ac:dyDescent="0.25">
      <c r="A211" t="str">
        <f>MID(TB_CECO[[#This Row],[CECO_T]],1,5)</f>
        <v>13209</v>
      </c>
      <c r="B211" t="str">
        <f>MID(TB_CECO[[#This Row],[TRABAJO]],1,SEARCH(",",TB_CECO[[#This Row],[TRABAJO]],1)-1)</f>
        <v>CH 580 -1 TJ 580 NE</v>
      </c>
      <c r="C2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580 -1 TJ 580 NE,IZAJE Y DESCE</v>
      </c>
      <c r="D2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1" s="47" t="s">
        <v>415</v>
      </c>
      <c r="G211" t="s">
        <v>416</v>
      </c>
      <c r="H2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2" spans="1:8" ht="15" customHeight="1" x14ac:dyDescent="0.25">
      <c r="A212" t="str">
        <f>MID(TB_CECO[[#This Row],[CECO_T]],1,5)</f>
        <v>13209</v>
      </c>
      <c r="B212" t="str">
        <f>MID(TB_CECO[[#This Row],[TRABAJO]],1,SEARCH(",",TB_CECO[[#This Row],[TRABAJO]],1)-1)</f>
        <v>CH 580 -1 TJ 580 NE</v>
      </c>
      <c r="C2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NE,PERFORACION  </v>
      </c>
      <c r="D2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2" s="47" t="s">
        <v>417</v>
      </c>
      <c r="G212" t="s">
        <v>418</v>
      </c>
      <c r="H2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3" spans="1:8" ht="15" customHeight="1" x14ac:dyDescent="0.25">
      <c r="A213" t="str">
        <f>MID(TB_CECO[[#This Row],[CECO_T]],1,5)</f>
        <v>13211</v>
      </c>
      <c r="B213" t="str">
        <f>MID(TB_CECO[[#This Row],[TRABAJO]],1,SEARCH(",",TB_CECO[[#This Row],[TRABAJO]],1)-1)</f>
        <v>CH 105 SNV 095 NE</v>
      </c>
      <c r="C2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105 SNV 095 NE,DESQUINCHE     </v>
      </c>
      <c r="D2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3" s="47" t="s">
        <v>419</v>
      </c>
      <c r="G213" t="s">
        <v>420</v>
      </c>
      <c r="H2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4" spans="1:8" ht="15" customHeight="1" x14ac:dyDescent="0.25">
      <c r="A214" t="str">
        <f>MID(TB_CECO[[#This Row],[CECO_T]],1,5)</f>
        <v>13211</v>
      </c>
      <c r="B214" t="str">
        <f>MID(TB_CECO[[#This Row],[TRABAJO]],1,SEARCH(",",TB_CECO[[#This Row],[TRABAJO]],1)-1)</f>
        <v>CH 105 SNV 095 NE</v>
      </c>
      <c r="C2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105 SNV 095 NE,ENMADERADO     </v>
      </c>
      <c r="D2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4" s="47" t="s">
        <v>421</v>
      </c>
      <c r="G214" t="s">
        <v>422</v>
      </c>
      <c r="H2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5" spans="1:8" ht="15" customHeight="1" x14ac:dyDescent="0.25">
      <c r="A215" t="str">
        <f>MID(TB_CECO[[#This Row],[CECO_T]],1,5)</f>
        <v>13211</v>
      </c>
      <c r="B215" t="str">
        <f>MID(TB_CECO[[#This Row],[TRABAJO]],1,SEARCH(",",TB_CECO[[#This Row],[TRABAJO]],1)-1)</f>
        <v>CH 105 SNV 095 NE</v>
      </c>
      <c r="C2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105 SNV 095 NE,LIMPIEZA       </v>
      </c>
      <c r="D2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5" s="47" t="s">
        <v>423</v>
      </c>
      <c r="G215" t="s">
        <v>424</v>
      </c>
      <c r="H2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6" spans="1:8" ht="15" customHeight="1" x14ac:dyDescent="0.25">
      <c r="A216" t="str">
        <f>MID(TB_CECO[[#This Row],[CECO_T]],1,5)</f>
        <v>13211</v>
      </c>
      <c r="B216" t="str">
        <f>MID(TB_CECO[[#This Row],[TRABAJO]],1,SEARCH(",",TB_CECO[[#This Row],[TRABAJO]],1)-1)</f>
        <v>CH 105 SNV 095 NE</v>
      </c>
      <c r="C2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105 SNV 095 NE,SERVICIOS      </v>
      </c>
      <c r="D2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6" s="47" t="s">
        <v>425</v>
      </c>
      <c r="G216" t="s">
        <v>426</v>
      </c>
      <c r="H2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7" spans="1:8" ht="15" customHeight="1" x14ac:dyDescent="0.25">
      <c r="A217" t="str">
        <f>MID(TB_CECO[[#This Row],[CECO_T]],1,5)</f>
        <v>13211</v>
      </c>
      <c r="B217" t="str">
        <f>MID(TB_CECO[[#This Row],[TRABAJO]],1,SEARCH(",",TB_CECO[[#This Row],[TRABAJO]],1)-1)</f>
        <v>CH 105 SNV 095 NE</v>
      </c>
      <c r="C2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105 SNV 095 NE,EXTRACCION     </v>
      </c>
      <c r="D2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7" s="47" t="s">
        <v>427</v>
      </c>
      <c r="G217" t="s">
        <v>428</v>
      </c>
      <c r="H2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8" spans="1:8" ht="15" customHeight="1" x14ac:dyDescent="0.25">
      <c r="A218" t="str">
        <f>MID(TB_CECO[[#This Row],[CECO_T]],1,5)</f>
        <v>13211</v>
      </c>
      <c r="B218" t="str">
        <f>MID(TB_CECO[[#This Row],[TRABAJO]],1,SEARCH(",",TB_CECO[[#This Row],[TRABAJO]],1)-1)</f>
        <v>CH 105 SNV 095 NE</v>
      </c>
      <c r="C2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105 SNV 095 NE,SPLIT SET      </v>
      </c>
      <c r="D2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8" s="47" t="s">
        <v>429</v>
      </c>
      <c r="G218" t="s">
        <v>430</v>
      </c>
      <c r="H2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9" spans="1:8" ht="15" customHeight="1" x14ac:dyDescent="0.25">
      <c r="A219" t="str">
        <f>MID(TB_CECO[[#This Row],[CECO_T]],1,5)</f>
        <v>13211</v>
      </c>
      <c r="B219" t="str">
        <f>MID(TB_CECO[[#This Row],[TRABAJO]],1,SEARCH(",",TB_CECO[[#This Row],[TRABAJO]],1)-1)</f>
        <v>CH 105 SNV 095 NE</v>
      </c>
      <c r="C2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105 SNV 095 NE,SPLIT CON MALLA</v>
      </c>
      <c r="D2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9" s="47" t="s">
        <v>431</v>
      </c>
      <c r="G219" t="s">
        <v>432</v>
      </c>
      <c r="H2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0" spans="1:8" ht="15" customHeight="1" x14ac:dyDescent="0.25">
      <c r="A220" t="str">
        <f>MID(TB_CECO[[#This Row],[CECO_T]],1,5)</f>
        <v>13211</v>
      </c>
      <c r="B220" t="str">
        <f>MID(TB_CECO[[#This Row],[TRABAJO]],1,SEARCH(",",TB_CECO[[#This Row],[TRABAJO]],1)-1)</f>
        <v>CH 105 SNV 095 NE</v>
      </c>
      <c r="C2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105 SNV 095 NE,IZAJE Y DESCENS</v>
      </c>
      <c r="D2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0" s="47" t="s">
        <v>433</v>
      </c>
      <c r="G220" t="s">
        <v>434</v>
      </c>
      <c r="H2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1" spans="1:8" ht="15" customHeight="1" x14ac:dyDescent="0.25">
      <c r="A221" t="str">
        <f>MID(TB_CECO[[#This Row],[CECO_T]],1,5)</f>
        <v>13211</v>
      </c>
      <c r="B221" t="str">
        <f>MID(TB_CECO[[#This Row],[TRABAJO]],1,SEARCH(",",TB_CECO[[#This Row],[TRABAJO]],1)-1)</f>
        <v>CH 105 SNV 095 NE</v>
      </c>
      <c r="C2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105 SNV 095 NE,PERFORACION    </v>
      </c>
      <c r="D2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1" s="47" t="s">
        <v>435</v>
      </c>
      <c r="G221" t="s">
        <v>436</v>
      </c>
      <c r="H2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2" spans="1:8" ht="15" customHeight="1" x14ac:dyDescent="0.25">
      <c r="A222" t="str">
        <f>MID(TB_CECO[[#This Row],[CECO_T]],1,5)</f>
        <v>13401</v>
      </c>
      <c r="B222" t="str">
        <f>MID(TB_CECO[[#This Row],[TRABAJO]],1,SEARCH(",",TB_CECO[[#This Row],[TRABAJO]],1)-1)</f>
        <v xml:space="preserve"> Snv. 095-1-SW_Est. 095-1 SW </v>
      </c>
      <c r="C2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 D</v>
      </c>
      <c r="D2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2" s="47" t="s">
        <v>437</v>
      </c>
      <c r="G222" t="s">
        <v>438</v>
      </c>
      <c r="H2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3" spans="1:8" ht="15" customHeight="1" x14ac:dyDescent="0.25">
      <c r="A223" t="str">
        <f>MID(TB_CECO[[#This Row],[CECO_T]],1,5)</f>
        <v>13401</v>
      </c>
      <c r="B223" t="str">
        <f>MID(TB_CECO[[#This Row],[TRABAJO]],1,SEARCH(",",TB_CECO[[#This Row],[TRABAJO]],1)-1)</f>
        <v xml:space="preserve"> Snv. 095-1-SW_Est. 095-1 SW </v>
      </c>
      <c r="C2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 E</v>
      </c>
      <c r="D2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3" s="47" t="s">
        <v>439</v>
      </c>
      <c r="G223" t="s">
        <v>440</v>
      </c>
      <c r="H2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4" spans="1:8" ht="15" customHeight="1" x14ac:dyDescent="0.25">
      <c r="A224" t="str">
        <f>MID(TB_CECO[[#This Row],[CECO_T]],1,5)</f>
        <v>13401</v>
      </c>
      <c r="B224" t="str">
        <f>MID(TB_CECO[[#This Row],[TRABAJO]],1,SEARCH(",",TB_CECO[[#This Row],[TRABAJO]],1)-1)</f>
        <v xml:space="preserve"> Snv. 095-1-SW_Est. 095-1 SW </v>
      </c>
      <c r="C2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 L</v>
      </c>
      <c r="D2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4" s="47" t="s">
        <v>441</v>
      </c>
      <c r="G224" t="s">
        <v>442</v>
      </c>
      <c r="H2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5" spans="1:8" ht="15" customHeight="1" x14ac:dyDescent="0.25">
      <c r="A225" t="str">
        <f>MID(TB_CECO[[#This Row],[CECO_T]],1,5)</f>
        <v>13401</v>
      </c>
      <c r="B225" t="str">
        <f>MID(TB_CECO[[#This Row],[TRABAJO]],1,SEARCH(",",TB_CECO[[#This Row],[TRABAJO]],1)-1)</f>
        <v xml:space="preserve"> Snv. 095-1-SW_Est. 095-1 SW </v>
      </c>
      <c r="C2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 S</v>
      </c>
      <c r="D2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5" s="47" t="s">
        <v>443</v>
      </c>
      <c r="G225" t="s">
        <v>444</v>
      </c>
      <c r="H2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6" spans="1:8" ht="15" customHeight="1" x14ac:dyDescent="0.25">
      <c r="A226" t="str">
        <f>MID(TB_CECO[[#This Row],[CECO_T]],1,5)</f>
        <v>13401</v>
      </c>
      <c r="B226" t="str">
        <f>MID(TB_CECO[[#This Row],[TRABAJO]],1,SEARCH(",",TB_CECO[[#This Row],[TRABAJO]],1)-1)</f>
        <v xml:space="preserve"> Snv. 095-1-SW_Est. 095-1 SW </v>
      </c>
      <c r="C2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 E</v>
      </c>
      <c r="D2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6" s="47" t="s">
        <v>445</v>
      </c>
      <c r="G226" t="s">
        <v>440</v>
      </c>
      <c r="H2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7" spans="1:8" ht="15" customHeight="1" x14ac:dyDescent="0.25">
      <c r="A227" t="str">
        <f>MID(TB_CECO[[#This Row],[CECO_T]],1,5)</f>
        <v>13401</v>
      </c>
      <c r="B227" t="str">
        <f>MID(TB_CECO[[#This Row],[TRABAJO]],1,SEARCH(",",TB_CECO[[#This Row],[TRABAJO]],1)-1)</f>
        <v xml:space="preserve"> Snv. 095-1-SW_Est. 095-1 SW </v>
      </c>
      <c r="C2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 S</v>
      </c>
      <c r="D2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7" s="47" t="s">
        <v>446</v>
      </c>
      <c r="G227" t="s">
        <v>444</v>
      </c>
      <c r="H2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8" spans="1:8" ht="15" customHeight="1" x14ac:dyDescent="0.25">
      <c r="A228" t="str">
        <f>MID(TB_CECO[[#This Row],[CECO_T]],1,5)</f>
        <v>13401</v>
      </c>
      <c r="B228" t="str">
        <f>MID(TB_CECO[[#This Row],[TRABAJO]],1,SEARCH(",",TB_CECO[[#This Row],[TRABAJO]],1)-1)</f>
        <v xml:space="preserve"> Snv. 095-1-SW_Est. 095-1 SW </v>
      </c>
      <c r="C2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 S</v>
      </c>
      <c r="D2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8" s="47" t="s">
        <v>447</v>
      </c>
      <c r="G228" t="s">
        <v>444</v>
      </c>
      <c r="H2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9" spans="1:8" ht="15" customHeight="1" x14ac:dyDescent="0.25">
      <c r="A229" t="str">
        <f>MID(TB_CECO[[#This Row],[CECO_T]],1,5)</f>
        <v>13401</v>
      </c>
      <c r="B229" t="str">
        <f>MID(TB_CECO[[#This Row],[TRABAJO]],1,SEARCH(",",TB_CECO[[#This Row],[TRABAJO]],1)-1)</f>
        <v xml:space="preserve"> Snv. 095-1-SW_Est.095-1 SW</v>
      </c>
      <c r="C2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095-1-SW_Est.095-1 SW, IZAJ</v>
      </c>
      <c r="D2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9" s="47" t="s">
        <v>448</v>
      </c>
      <c r="G229" t="s">
        <v>449</v>
      </c>
      <c r="H2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0" spans="1:8" ht="15" customHeight="1" x14ac:dyDescent="0.25">
      <c r="A230" t="str">
        <f>MID(TB_CECO[[#This Row],[CECO_T]],1,5)</f>
        <v>13401</v>
      </c>
      <c r="B230" t="str">
        <f>MID(TB_CECO[[#This Row],[TRABAJO]],1,SEARCH(",",TB_CECO[[#This Row],[TRABAJO]],1)-1)</f>
        <v xml:space="preserve"> Snv. 095-1-SW_Est. 095-1 SW </v>
      </c>
      <c r="C2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 P</v>
      </c>
      <c r="D2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0" s="47" t="s">
        <v>450</v>
      </c>
      <c r="G230" t="s">
        <v>451</v>
      </c>
      <c r="H2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1" spans="1:8" ht="15" customHeight="1" x14ac:dyDescent="0.25">
      <c r="A231" t="str">
        <f>MID(TB_CECO[[#This Row],[CECO_T]],1,5)</f>
        <v>13402</v>
      </c>
      <c r="B231" t="str">
        <f>MID(TB_CECO[[#This Row],[TRABAJO]],1,SEARCH(",",TB_CECO[[#This Row],[TRABAJO]],1)-1)</f>
        <v xml:space="preserve"> SN.039-SW Est. 039 SW </v>
      </c>
      <c r="C2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DESQU</v>
      </c>
      <c r="D2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1" s="47" t="s">
        <v>452</v>
      </c>
      <c r="G231" t="s">
        <v>453</v>
      </c>
      <c r="H2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2" spans="1:8" ht="15" customHeight="1" x14ac:dyDescent="0.25">
      <c r="A232" t="str">
        <f>MID(TB_CECO[[#This Row],[CECO_T]],1,5)</f>
        <v>13402</v>
      </c>
      <c r="B232" t="str">
        <f>MID(TB_CECO[[#This Row],[TRABAJO]],1,SEARCH(",",TB_CECO[[#This Row],[TRABAJO]],1)-1)</f>
        <v xml:space="preserve"> SN.039-SW Est. 039 SW </v>
      </c>
      <c r="C2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ENMAD</v>
      </c>
      <c r="D2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2" s="47" t="s">
        <v>454</v>
      </c>
      <c r="G232" t="s">
        <v>455</v>
      </c>
      <c r="H2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3" spans="1:8" ht="15" customHeight="1" x14ac:dyDescent="0.25">
      <c r="A233" t="str">
        <f>MID(TB_CECO[[#This Row],[CECO_T]],1,5)</f>
        <v>13402</v>
      </c>
      <c r="B233" t="str">
        <f>MID(TB_CECO[[#This Row],[TRABAJO]],1,SEARCH(",",TB_CECO[[#This Row],[TRABAJO]],1)-1)</f>
        <v xml:space="preserve"> SN.039-SW Est. 039 SW </v>
      </c>
      <c r="C2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LIMPI</v>
      </c>
      <c r="D2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3" s="47" t="s">
        <v>456</v>
      </c>
      <c r="G233" t="s">
        <v>457</v>
      </c>
      <c r="H2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4" spans="1:8" ht="15" customHeight="1" x14ac:dyDescent="0.25">
      <c r="A234" t="str">
        <f>MID(TB_CECO[[#This Row],[CECO_T]],1,5)</f>
        <v>13402</v>
      </c>
      <c r="B234" t="str">
        <f>MID(TB_CECO[[#This Row],[TRABAJO]],1,SEARCH(",",TB_CECO[[#This Row],[TRABAJO]],1)-1)</f>
        <v xml:space="preserve"> SN.039-SW Est. 039 SW </v>
      </c>
      <c r="C2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SERVI</v>
      </c>
      <c r="D2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4" s="47" t="s">
        <v>458</v>
      </c>
      <c r="G234" t="s">
        <v>459</v>
      </c>
      <c r="H2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5" spans="1:8" ht="15" customHeight="1" x14ac:dyDescent="0.25">
      <c r="A235" t="str">
        <f>MID(TB_CECO[[#This Row],[CECO_T]],1,5)</f>
        <v>13402</v>
      </c>
      <c r="B235" t="str">
        <f>MID(TB_CECO[[#This Row],[TRABAJO]],1,SEARCH(",",TB_CECO[[#This Row],[TRABAJO]],1)-1)</f>
        <v xml:space="preserve"> SN.039-SW Est. 039 SW </v>
      </c>
      <c r="C2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EXTRA</v>
      </c>
      <c r="D2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5" s="47" t="s">
        <v>460</v>
      </c>
      <c r="G235" t="s">
        <v>461</v>
      </c>
      <c r="H2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6" spans="1:8" ht="15" customHeight="1" x14ac:dyDescent="0.25">
      <c r="A236" t="str">
        <f>MID(TB_CECO[[#This Row],[CECO_T]],1,5)</f>
        <v>13402</v>
      </c>
      <c r="B236" t="str">
        <f>MID(TB_CECO[[#This Row],[TRABAJO]],1,SEARCH(",",TB_CECO[[#This Row],[TRABAJO]],1)-1)</f>
        <v xml:space="preserve"> SN.039-SW Est. 039 SW </v>
      </c>
      <c r="C2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split</v>
      </c>
      <c r="D2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6" s="47" t="s">
        <v>462</v>
      </c>
      <c r="G236" t="s">
        <v>463</v>
      </c>
      <c r="H2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7" spans="1:8" ht="15" customHeight="1" x14ac:dyDescent="0.25">
      <c r="A237" t="str">
        <f>MID(TB_CECO[[#This Row],[CECO_T]],1,5)</f>
        <v>13402</v>
      </c>
      <c r="B237" t="str">
        <f>MID(TB_CECO[[#This Row],[TRABAJO]],1,SEARCH(",",TB_CECO[[#This Row],[TRABAJO]],1)-1)</f>
        <v xml:space="preserve"> SN.039-SW Est. 039 SW </v>
      </c>
      <c r="C2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split</v>
      </c>
      <c r="D2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7" s="47" t="s">
        <v>464</v>
      </c>
      <c r="G237" t="s">
        <v>463</v>
      </c>
      <c r="H2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8" spans="1:8" ht="15" customHeight="1" x14ac:dyDescent="0.25">
      <c r="A238" t="str">
        <f>MID(TB_CECO[[#This Row],[CECO_T]],1,5)</f>
        <v>13402</v>
      </c>
      <c r="B238" t="str">
        <f>MID(TB_CECO[[#This Row],[TRABAJO]],1,SEARCH(",",TB_CECO[[#This Row],[TRABAJO]],1)-1)</f>
        <v>SN.039-SW Est.039 SW</v>
      </c>
      <c r="C2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SN.039-SW Est.039 SW, IZAJE Y </v>
      </c>
      <c r="D2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8" s="47" t="s">
        <v>465</v>
      </c>
      <c r="G238" t="s">
        <v>466</v>
      </c>
      <c r="H2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9" spans="1:8" ht="15" customHeight="1" x14ac:dyDescent="0.25">
      <c r="A239" t="str">
        <f>MID(TB_CECO[[#This Row],[CECO_T]],1,5)</f>
        <v>13402</v>
      </c>
      <c r="B239" t="str">
        <f>MID(TB_CECO[[#This Row],[TRABAJO]],1,SEARCH(",",TB_CECO[[#This Row],[TRABAJO]],1)-1)</f>
        <v xml:space="preserve"> SN.039-SW Est. 039 SW </v>
      </c>
      <c r="C2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PERFO</v>
      </c>
      <c r="D2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9" s="47" t="s">
        <v>467</v>
      </c>
      <c r="G239" t="s">
        <v>468</v>
      </c>
      <c r="H2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0" spans="1:8" ht="15" customHeight="1" x14ac:dyDescent="0.25">
      <c r="A240" t="str">
        <f>MID(TB_CECO[[#This Row],[CECO_T]],1,5)</f>
        <v>13412</v>
      </c>
      <c r="B240" t="str">
        <f>MID(TB_CECO[[#This Row],[TRABAJO]],1,SEARCH(",",TB_CECO[[#This Row],[TRABAJO]],1)-1)</f>
        <v>SNV 590 N CH 616</v>
      </c>
      <c r="C2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616,DESQUINCHE      </v>
      </c>
      <c r="D2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0" s="47" t="s">
        <v>469</v>
      </c>
      <c r="G240" t="s">
        <v>470</v>
      </c>
      <c r="H2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1" spans="1:8" ht="15" customHeight="1" x14ac:dyDescent="0.25">
      <c r="A241" t="str">
        <f>MID(TB_CECO[[#This Row],[CECO_T]],1,5)</f>
        <v>13412</v>
      </c>
      <c r="B241" t="str">
        <f>MID(TB_CECO[[#This Row],[TRABAJO]],1,SEARCH(",",TB_CECO[[#This Row],[TRABAJO]],1)-1)</f>
        <v>SNV 590 N CH 616</v>
      </c>
      <c r="C2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616,ENMADERADO      </v>
      </c>
      <c r="D2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1" s="47" t="s">
        <v>471</v>
      </c>
      <c r="G241" t="s">
        <v>472</v>
      </c>
      <c r="H2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2" spans="1:8" ht="15" customHeight="1" x14ac:dyDescent="0.25">
      <c r="A242" t="str">
        <f>MID(TB_CECO[[#This Row],[CECO_T]],1,5)</f>
        <v>13412</v>
      </c>
      <c r="B242" t="str">
        <f>MID(TB_CECO[[#This Row],[TRABAJO]],1,SEARCH(",",TB_CECO[[#This Row],[TRABAJO]],1)-1)</f>
        <v>SNV 590 N CH 616</v>
      </c>
      <c r="C2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616,LIMPIEZA        </v>
      </c>
      <c r="D2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2" s="47" t="s">
        <v>473</v>
      </c>
      <c r="G242" t="s">
        <v>474</v>
      </c>
      <c r="H2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3" spans="1:8" ht="15" customHeight="1" x14ac:dyDescent="0.25">
      <c r="A243" t="str">
        <f>MID(TB_CECO[[#This Row],[CECO_T]],1,5)</f>
        <v>13412</v>
      </c>
      <c r="B243" t="str">
        <f>MID(TB_CECO[[#This Row],[TRABAJO]],1,SEARCH(",",TB_CECO[[#This Row],[TRABAJO]],1)-1)</f>
        <v>SNV 590 N CH 616</v>
      </c>
      <c r="C2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616,SERVICIOS       </v>
      </c>
      <c r="D2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3" s="47" t="s">
        <v>475</v>
      </c>
      <c r="G243" t="s">
        <v>476</v>
      </c>
      <c r="H2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4" spans="1:8" ht="15" customHeight="1" x14ac:dyDescent="0.25">
      <c r="A244" t="str">
        <f>MID(TB_CECO[[#This Row],[CECO_T]],1,5)</f>
        <v>13412</v>
      </c>
      <c r="B244" t="str">
        <f>MID(TB_CECO[[#This Row],[TRABAJO]],1,SEARCH(",",TB_CECO[[#This Row],[TRABAJO]],1)-1)</f>
        <v>SNV 590 N CH 616</v>
      </c>
      <c r="C2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616,EXTRACCION      </v>
      </c>
      <c r="D2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4" s="47" t="s">
        <v>477</v>
      </c>
      <c r="G244" t="s">
        <v>478</v>
      </c>
      <c r="H2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5" spans="1:8" ht="15" customHeight="1" x14ac:dyDescent="0.25">
      <c r="A245" t="str">
        <f>MID(TB_CECO[[#This Row],[CECO_T]],1,5)</f>
        <v>13412</v>
      </c>
      <c r="B245" t="str">
        <f>MID(TB_CECO[[#This Row],[TRABAJO]],1,SEARCH(",",TB_CECO[[#This Row],[TRABAJO]],1)-1)</f>
        <v>SNV 590 N CH 616</v>
      </c>
      <c r="C2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616,SPLIT SET       </v>
      </c>
      <c r="D2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5" s="47" t="s">
        <v>479</v>
      </c>
      <c r="G245" t="s">
        <v>480</v>
      </c>
      <c r="H2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6" spans="1:8" ht="15" customHeight="1" x14ac:dyDescent="0.25">
      <c r="A246" t="str">
        <f>MID(TB_CECO[[#This Row],[CECO_T]],1,5)</f>
        <v>13412</v>
      </c>
      <c r="B246" t="str">
        <f>MID(TB_CECO[[#This Row],[TRABAJO]],1,SEARCH(",",TB_CECO[[#This Row],[TRABAJO]],1)-1)</f>
        <v>SNV 590 N CH 616</v>
      </c>
      <c r="C2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616,SPLIT CON MALLA </v>
      </c>
      <c r="D2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6" s="47" t="s">
        <v>481</v>
      </c>
      <c r="G246" t="s">
        <v>482</v>
      </c>
      <c r="H2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7" spans="1:8" ht="15" customHeight="1" x14ac:dyDescent="0.25">
      <c r="A247" t="str">
        <f>MID(TB_CECO[[#This Row],[CECO_T]],1,5)</f>
        <v>13412</v>
      </c>
      <c r="B247" t="str">
        <f>MID(TB_CECO[[#This Row],[TRABAJO]],1,SEARCH(",",TB_CECO[[#This Row],[TRABAJO]],1)-1)</f>
        <v>SNV 590 N CH 616</v>
      </c>
      <c r="C2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616,IZAJE Y DESCENS </v>
      </c>
      <c r="D2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7" s="47" t="s">
        <v>483</v>
      </c>
      <c r="G247" t="s">
        <v>484</v>
      </c>
      <c r="H2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8" spans="1:8" ht="15" customHeight="1" x14ac:dyDescent="0.25">
      <c r="A248" t="str">
        <f>MID(TB_CECO[[#This Row],[CECO_T]],1,5)</f>
        <v>13412</v>
      </c>
      <c r="B248" t="str">
        <f>MID(TB_CECO[[#This Row],[TRABAJO]],1,SEARCH(",",TB_CECO[[#This Row],[TRABAJO]],1)-1)</f>
        <v>SNV 590 N CH 616</v>
      </c>
      <c r="C2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616,PERFORACION     </v>
      </c>
      <c r="D2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8" s="47" t="s">
        <v>485</v>
      </c>
      <c r="G248" t="s">
        <v>486</v>
      </c>
      <c r="H2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9" spans="1:8" ht="15" customHeight="1" x14ac:dyDescent="0.25">
      <c r="A249" t="str">
        <f>MID(TB_CECO[[#This Row],[CECO_T]],1,5)</f>
        <v>13423</v>
      </c>
      <c r="B249" t="str">
        <f>MID(TB_CECO[[#This Row],[TRABAJO]],1,SEARCH(",",TB_CECO[[#This Row],[TRABAJO]],1)-1)</f>
        <v>SNv.616-3-SW_CH.616</v>
      </c>
      <c r="C2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SNv.616-3-SW_CH.616,DESQUINCHE    </v>
      </c>
      <c r="D2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9" s="47" t="s">
        <v>487</v>
      </c>
      <c r="G249" t="s">
        <v>488</v>
      </c>
      <c r="H2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0" spans="1:8" ht="15" customHeight="1" x14ac:dyDescent="0.25">
      <c r="A250" t="str">
        <f>MID(TB_CECO[[#This Row],[CECO_T]],1,5)</f>
        <v>13423</v>
      </c>
      <c r="B250" t="str">
        <f>MID(TB_CECO[[#This Row],[TRABAJO]],1,SEARCH(",",TB_CECO[[#This Row],[TRABAJO]],1)-1)</f>
        <v xml:space="preserve">SNv.616-3-SW_CH.616 </v>
      </c>
      <c r="C2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SNv.616-3-SW_CH.616 ,ENMADERADO   </v>
      </c>
      <c r="D2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0" s="47" t="s">
        <v>489</v>
      </c>
      <c r="G250" t="s">
        <v>490</v>
      </c>
      <c r="H2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1" spans="1:8" ht="15" customHeight="1" x14ac:dyDescent="0.25">
      <c r="A251" t="str">
        <f>MID(TB_CECO[[#This Row],[CECO_T]],1,5)</f>
        <v>13423</v>
      </c>
      <c r="B251" t="str">
        <f>MID(TB_CECO[[#This Row],[TRABAJO]],1,SEARCH(",",TB_CECO[[#This Row],[TRABAJO]],1)-1)</f>
        <v xml:space="preserve">SNv.616-3-SW_CH.616 </v>
      </c>
      <c r="C2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SNv.616-3-SW_CH.616 ,LIMPIEZA     </v>
      </c>
      <c r="D2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1" s="47" t="s">
        <v>491</v>
      </c>
      <c r="G251" t="s">
        <v>492</v>
      </c>
      <c r="H2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2" spans="1:8" ht="15" customHeight="1" x14ac:dyDescent="0.25">
      <c r="A252" t="str">
        <f>MID(TB_CECO[[#This Row],[CECO_T]],1,5)</f>
        <v>13423</v>
      </c>
      <c r="B252" t="str">
        <f>MID(TB_CECO[[#This Row],[TRABAJO]],1,SEARCH(",",TB_CECO[[#This Row],[TRABAJO]],1)-1)</f>
        <v xml:space="preserve">SNv.616-3-SW_CH.616 </v>
      </c>
      <c r="C2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SNv.616-3-SW_CH.616 ,SERVICIOS    </v>
      </c>
      <c r="D2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2" s="47" t="s">
        <v>493</v>
      </c>
      <c r="G252" t="s">
        <v>494</v>
      </c>
      <c r="H2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3" spans="1:8" ht="15" customHeight="1" x14ac:dyDescent="0.25">
      <c r="A253" t="str">
        <f>MID(TB_CECO[[#This Row],[CECO_T]],1,5)</f>
        <v>13423</v>
      </c>
      <c r="B253" t="str">
        <f>MID(TB_CECO[[#This Row],[TRABAJO]],1,SEARCH(",",TB_CECO[[#This Row],[TRABAJO]],1)-1)</f>
        <v xml:space="preserve">SNv.616-3-SW_CH.616 </v>
      </c>
      <c r="C2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SNv.616-3-SW_CH.616 ,EXTRACCION   </v>
      </c>
      <c r="D2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3" s="47" t="s">
        <v>495</v>
      </c>
      <c r="G253" t="s">
        <v>496</v>
      </c>
      <c r="H2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4" spans="1:8" ht="15" customHeight="1" x14ac:dyDescent="0.25">
      <c r="A254" t="str">
        <f>MID(TB_CECO[[#This Row],[CECO_T]],1,5)</f>
        <v>13423</v>
      </c>
      <c r="B254" t="str">
        <f>MID(TB_CECO[[#This Row],[TRABAJO]],1,SEARCH(",",TB_CECO[[#This Row],[TRABAJO]],1)-1)</f>
        <v xml:space="preserve">SNv.616-3-SW_CH.616 </v>
      </c>
      <c r="C2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SNv.616-3-SW_CH.616 ,SPLIT SET    </v>
      </c>
      <c r="D2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4" s="47" t="s">
        <v>497</v>
      </c>
      <c r="G254" t="s">
        <v>498</v>
      </c>
      <c r="H2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5" spans="1:8" ht="15" customHeight="1" x14ac:dyDescent="0.25">
      <c r="A255" t="str">
        <f>MID(TB_CECO[[#This Row],[CECO_T]],1,5)</f>
        <v>13423</v>
      </c>
      <c r="B255" t="str">
        <f>MID(TB_CECO[[#This Row],[TRABAJO]],1,SEARCH(",",TB_CECO[[#This Row],[TRABAJO]],1)-1)</f>
        <v xml:space="preserve">SNv.616-3-SW_CH.616 </v>
      </c>
      <c r="C2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SNv.616-3-SW_CH.616 ,SPLIT CON MAL</v>
      </c>
      <c r="D2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5" s="47" t="s">
        <v>499</v>
      </c>
      <c r="G255" t="s">
        <v>500</v>
      </c>
      <c r="H2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6" spans="1:8" ht="15" customHeight="1" x14ac:dyDescent="0.25">
      <c r="A256" t="str">
        <f>MID(TB_CECO[[#This Row],[CECO_T]],1,5)</f>
        <v>13423</v>
      </c>
      <c r="B256" t="str">
        <f>MID(TB_CECO[[#This Row],[TRABAJO]],1,SEARCH(",",TB_CECO[[#This Row],[TRABAJO]],1)-1)</f>
        <v xml:space="preserve">SNv.616-3-SW_CH.616 </v>
      </c>
      <c r="C2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SNv.616-3-SW_CH.616 ,IZAJE Y DESCE</v>
      </c>
      <c r="D2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6" s="47" t="s">
        <v>501</v>
      </c>
      <c r="G256" t="s">
        <v>502</v>
      </c>
      <c r="H2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7" spans="1:8" ht="15" customHeight="1" x14ac:dyDescent="0.25">
      <c r="A257" t="str">
        <f>MID(TB_CECO[[#This Row],[CECO_T]],1,5)</f>
        <v>13423</v>
      </c>
      <c r="B257" t="str">
        <f>MID(TB_CECO[[#This Row],[TRABAJO]],1,SEARCH(",",TB_CECO[[#This Row],[TRABAJO]],1)-1)</f>
        <v xml:space="preserve">SNv.616-3-SW_CH.616 </v>
      </c>
      <c r="C2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SNv.616-3-SW_CH.616 ,PERFORACION  </v>
      </c>
      <c r="D2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7" s="47" t="s">
        <v>503</v>
      </c>
      <c r="G257" t="s">
        <v>504</v>
      </c>
      <c r="H2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8" spans="1:8" ht="15" customHeight="1" x14ac:dyDescent="0.25">
      <c r="A258" t="str">
        <f>MID(TB_CECO[[#This Row],[CECO_T]],1,5)</f>
        <v>13424</v>
      </c>
      <c r="B258" t="str">
        <f>MID(TB_CECO[[#This Row],[TRABAJO]],1,SEARCH(",",TB_CECO[[#This Row],[TRABAJO]],1)-1)</f>
        <v>SNv.616-3-NE_CH.616</v>
      </c>
      <c r="C2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SNv.616-3-NE_CH.616,DESQUINCHE    </v>
      </c>
      <c r="D2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8" s="47" t="s">
        <v>505</v>
      </c>
      <c r="G258" t="s">
        <v>506</v>
      </c>
      <c r="H2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9" spans="1:8" ht="15" customHeight="1" x14ac:dyDescent="0.25">
      <c r="A259" t="str">
        <f>MID(TB_CECO[[#This Row],[CECO_T]],1,5)</f>
        <v>13424</v>
      </c>
      <c r="B259" t="str">
        <f>MID(TB_CECO[[#This Row],[TRABAJO]],1,SEARCH(",",TB_CECO[[#This Row],[TRABAJO]],1)-1)</f>
        <v>SNv.616-3-NE_CH.616</v>
      </c>
      <c r="C2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SNv.616-3-NE_CH.616,ENMADERADO    </v>
      </c>
      <c r="D2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9" s="47" t="s">
        <v>507</v>
      </c>
      <c r="G259" t="s">
        <v>508</v>
      </c>
      <c r="H2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0" spans="1:8" ht="15" customHeight="1" x14ac:dyDescent="0.25">
      <c r="A260" t="str">
        <f>MID(TB_CECO[[#This Row],[CECO_T]],1,5)</f>
        <v>13424</v>
      </c>
      <c r="B260" t="str">
        <f>MID(TB_CECO[[#This Row],[TRABAJO]],1,SEARCH(",",TB_CECO[[#This Row],[TRABAJO]],1)-1)</f>
        <v>SNv.616-3-NE_CH.616</v>
      </c>
      <c r="C2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SNv.616-3-NE_CH.616,LIMPIEZA      </v>
      </c>
      <c r="D2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0" s="47" t="s">
        <v>509</v>
      </c>
      <c r="G260" t="s">
        <v>510</v>
      </c>
      <c r="H2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1" spans="1:8" ht="15" customHeight="1" x14ac:dyDescent="0.25">
      <c r="A261" t="str">
        <f>MID(TB_CECO[[#This Row],[CECO_T]],1,5)</f>
        <v>13424</v>
      </c>
      <c r="B261" t="str">
        <f>MID(TB_CECO[[#This Row],[TRABAJO]],1,SEARCH(",",TB_CECO[[#This Row],[TRABAJO]],1)-1)</f>
        <v>SNv.616-3-NE_CH.616</v>
      </c>
      <c r="C2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SNv.616-3-NE_CH.616,SERVICIOS     </v>
      </c>
      <c r="D2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1" s="47" t="s">
        <v>511</v>
      </c>
      <c r="G261" t="s">
        <v>512</v>
      </c>
      <c r="H2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2" spans="1:8" ht="15" customHeight="1" x14ac:dyDescent="0.25">
      <c r="A262" t="str">
        <f>MID(TB_CECO[[#This Row],[CECO_T]],1,5)</f>
        <v>13424</v>
      </c>
      <c r="B262" t="str">
        <f>MID(TB_CECO[[#This Row],[TRABAJO]],1,SEARCH(",",TB_CECO[[#This Row],[TRABAJO]],1)-1)</f>
        <v>SNv.616-3-NE_CH.616</v>
      </c>
      <c r="C2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SNv.616-3-NE_CH.616,EXTRACCION    </v>
      </c>
      <c r="D2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2" s="47" t="s">
        <v>513</v>
      </c>
      <c r="G262" t="s">
        <v>514</v>
      </c>
      <c r="H2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3" spans="1:8" ht="15" customHeight="1" x14ac:dyDescent="0.25">
      <c r="A263" t="str">
        <f>MID(TB_CECO[[#This Row],[CECO_T]],1,5)</f>
        <v>13424</v>
      </c>
      <c r="B263" t="str">
        <f>MID(TB_CECO[[#This Row],[TRABAJO]],1,SEARCH(",",TB_CECO[[#This Row],[TRABAJO]],1)-1)</f>
        <v>SNv.616-3-NE_CH.616</v>
      </c>
      <c r="C2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SNv.616-3-NE_CH.616,SPLIT SET     </v>
      </c>
      <c r="D2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3" s="47" t="s">
        <v>515</v>
      </c>
      <c r="G263" t="s">
        <v>516</v>
      </c>
      <c r="H2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4" spans="1:8" ht="15" customHeight="1" x14ac:dyDescent="0.25">
      <c r="A264" t="str">
        <f>MID(TB_CECO[[#This Row],[CECO_T]],1,5)</f>
        <v>13424</v>
      </c>
      <c r="B264" t="str">
        <f>MID(TB_CECO[[#This Row],[TRABAJO]],1,SEARCH(",",TB_CECO[[#This Row],[TRABAJO]],1)-1)</f>
        <v>SNv.616-3-NE_CH.616</v>
      </c>
      <c r="C2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SNv.616-3-NE_CH.616,SPLIT CON MALL</v>
      </c>
      <c r="D2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4" s="47" t="s">
        <v>517</v>
      </c>
      <c r="G264" t="s">
        <v>518</v>
      </c>
      <c r="H2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5" spans="1:8" ht="15" customHeight="1" x14ac:dyDescent="0.25">
      <c r="A265" t="str">
        <f>MID(TB_CECO[[#This Row],[CECO_T]],1,5)</f>
        <v>13424</v>
      </c>
      <c r="B265" t="str">
        <f>MID(TB_CECO[[#This Row],[TRABAJO]],1,SEARCH(",",TB_CECO[[#This Row],[TRABAJO]],1)-1)</f>
        <v>SNv.616-3-NE_CH.616</v>
      </c>
      <c r="C2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SNv.616-3-NE_CH.616,IZAJE Y DESCEN</v>
      </c>
      <c r="D2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5" s="47" t="s">
        <v>519</v>
      </c>
      <c r="G265" t="s">
        <v>520</v>
      </c>
      <c r="H2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6" spans="1:8" ht="15" customHeight="1" x14ac:dyDescent="0.25">
      <c r="A266" t="str">
        <f>MID(TB_CECO[[#This Row],[CECO_T]],1,5)</f>
        <v>13424</v>
      </c>
      <c r="B266" t="str">
        <f>MID(TB_CECO[[#This Row],[TRABAJO]],1,SEARCH(",",TB_CECO[[#This Row],[TRABAJO]],1)-1)</f>
        <v>SNv.616-3-NE_CH.616</v>
      </c>
      <c r="C2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SNv.616-3-NE_CH.616,PERFORACION   </v>
      </c>
      <c r="D2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6" s="47" t="s">
        <v>521</v>
      </c>
      <c r="G266" t="s">
        <v>522</v>
      </c>
      <c r="H2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7" spans="1:8" ht="15" customHeight="1" x14ac:dyDescent="0.25">
      <c r="A267" t="str">
        <f>MID(TB_CECO[[#This Row],[CECO_T]],1,5)</f>
        <v>13430</v>
      </c>
      <c r="B267" t="str">
        <f>MID(TB_CECO[[#This Row],[TRABAJO]],1,SEARCH(",",TB_CECO[[#This Row],[TRABAJO]],1)-1)</f>
        <v>SNV 076 SW  CH 078</v>
      </c>
      <c r="C2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SW  CH 078,DESQUINCHE     </v>
      </c>
      <c r="D2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7" s="47" t="s">
        <v>523</v>
      </c>
      <c r="G267" t="s">
        <v>524</v>
      </c>
      <c r="H2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8" spans="1:8" ht="15" customHeight="1" x14ac:dyDescent="0.25">
      <c r="A268" t="str">
        <f>MID(TB_CECO[[#This Row],[CECO_T]],1,5)</f>
        <v>13430</v>
      </c>
      <c r="B268" t="str">
        <f>MID(TB_CECO[[#This Row],[TRABAJO]],1,SEARCH(",",TB_CECO[[#This Row],[TRABAJO]],1)-1)</f>
        <v>SNV 076 SW  CH 078</v>
      </c>
      <c r="C2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SW  CH 078,ENMADERADO     </v>
      </c>
      <c r="D2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8" s="47" t="s">
        <v>525</v>
      </c>
      <c r="G268" t="s">
        <v>526</v>
      </c>
      <c r="H2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9" spans="1:8" ht="15" customHeight="1" x14ac:dyDescent="0.25">
      <c r="A269" t="str">
        <f>MID(TB_CECO[[#This Row],[CECO_T]],1,5)</f>
        <v>13430</v>
      </c>
      <c r="B269" t="str">
        <f>MID(TB_CECO[[#This Row],[TRABAJO]],1,SEARCH(",",TB_CECO[[#This Row],[TRABAJO]],1)-1)</f>
        <v>SNV 076 SW  CH 078</v>
      </c>
      <c r="C2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SW  CH 078,LIMPIEZA       </v>
      </c>
      <c r="D2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9" s="47" t="s">
        <v>527</v>
      </c>
      <c r="G269" t="s">
        <v>528</v>
      </c>
      <c r="H2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0" spans="1:8" ht="15" customHeight="1" x14ac:dyDescent="0.25">
      <c r="A270" t="str">
        <f>MID(TB_CECO[[#This Row],[CECO_T]],1,5)</f>
        <v>13430</v>
      </c>
      <c r="B270" t="str">
        <f>MID(TB_CECO[[#This Row],[TRABAJO]],1,SEARCH(",",TB_CECO[[#This Row],[TRABAJO]],1)-1)</f>
        <v>SNV 076 SW  CH 078</v>
      </c>
      <c r="C2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SW  CH 078,SERVICIOS      </v>
      </c>
      <c r="D2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0" s="47" t="s">
        <v>529</v>
      </c>
      <c r="G270" t="s">
        <v>530</v>
      </c>
      <c r="H2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1" spans="1:8" ht="15" customHeight="1" x14ac:dyDescent="0.25">
      <c r="A271" t="str">
        <f>MID(TB_CECO[[#This Row],[CECO_T]],1,5)</f>
        <v>13430</v>
      </c>
      <c r="B271" t="str">
        <f>MID(TB_CECO[[#This Row],[TRABAJO]],1,SEARCH(",",TB_CECO[[#This Row],[TRABAJO]],1)-1)</f>
        <v>SNV 076 SW  CH 078</v>
      </c>
      <c r="C2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SW  CH 078,EXTRACCION     </v>
      </c>
      <c r="D2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1" s="47" t="s">
        <v>531</v>
      </c>
      <c r="G271" t="s">
        <v>532</v>
      </c>
      <c r="H2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2" spans="1:8" ht="15" customHeight="1" x14ac:dyDescent="0.25">
      <c r="A272" t="str">
        <f>MID(TB_CECO[[#This Row],[CECO_T]],1,5)</f>
        <v>13430</v>
      </c>
      <c r="B272" t="str">
        <f>MID(TB_CECO[[#This Row],[TRABAJO]],1,SEARCH(",",TB_CECO[[#This Row],[TRABAJO]],1)-1)</f>
        <v>SNV 076 SW  CH 078</v>
      </c>
      <c r="C2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SW  CH 078,SPLIT SET      </v>
      </c>
      <c r="D2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2" s="47" t="s">
        <v>533</v>
      </c>
      <c r="G272" t="s">
        <v>534</v>
      </c>
      <c r="H2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3" spans="1:8" ht="15" customHeight="1" x14ac:dyDescent="0.25">
      <c r="A273" t="str">
        <f>MID(TB_CECO[[#This Row],[CECO_T]],1,5)</f>
        <v>13430</v>
      </c>
      <c r="B273" t="str">
        <f>MID(TB_CECO[[#This Row],[TRABAJO]],1,SEARCH(",",TB_CECO[[#This Row],[TRABAJO]],1)-1)</f>
        <v>SNV 076 SW  CH 078</v>
      </c>
      <c r="C2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076 SW  CH 078,SPLIT CON MALLA</v>
      </c>
      <c r="D2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3" s="47" t="s">
        <v>535</v>
      </c>
      <c r="G273" t="s">
        <v>536</v>
      </c>
      <c r="H2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4" spans="1:8" ht="15" customHeight="1" x14ac:dyDescent="0.25">
      <c r="A274" t="str">
        <f>MID(TB_CECO[[#This Row],[CECO_T]],1,5)</f>
        <v>13430</v>
      </c>
      <c r="B274" t="str">
        <f>MID(TB_CECO[[#This Row],[TRABAJO]],1,SEARCH(",",TB_CECO[[#This Row],[TRABAJO]],1)-1)</f>
        <v>SNV 076 SW  CH 078</v>
      </c>
      <c r="C2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076 SW  CH 078,IZAJE Y DESCENS</v>
      </c>
      <c r="D2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4" s="47" t="s">
        <v>537</v>
      </c>
      <c r="G274" t="s">
        <v>538</v>
      </c>
      <c r="H2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5" spans="1:8" ht="15" customHeight="1" x14ac:dyDescent="0.25">
      <c r="A275" t="str">
        <f>MID(TB_CECO[[#This Row],[CECO_T]],1,5)</f>
        <v>13430</v>
      </c>
      <c r="B275" t="str">
        <f>MID(TB_CECO[[#This Row],[TRABAJO]],1,SEARCH(",",TB_CECO[[#This Row],[TRABAJO]],1)-1)</f>
        <v>SNV 076 SW  CH 078</v>
      </c>
      <c r="C2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SW  CH 078,PERFORACION    </v>
      </c>
      <c r="D2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5" s="47" t="s">
        <v>539</v>
      </c>
      <c r="G275" t="s">
        <v>540</v>
      </c>
      <c r="H2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6" spans="1:8" ht="15" customHeight="1" x14ac:dyDescent="0.25">
      <c r="A276" t="str">
        <f>MID(TB_CECO[[#This Row],[CECO_T]],1,5)</f>
        <v>13431</v>
      </c>
      <c r="B276" t="str">
        <f>MID(TB_CECO[[#This Row],[TRABAJO]],1,SEARCH(",",TB_CECO[[#This Row],[TRABAJO]],1)-1)</f>
        <v>SNV 076 NE  CH 078</v>
      </c>
      <c r="C2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NE  CH 078,DESQUINCHE     </v>
      </c>
      <c r="D2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6" s="47" t="s">
        <v>541</v>
      </c>
      <c r="G276" t="s">
        <v>542</v>
      </c>
      <c r="H2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7" spans="1:8" ht="15" customHeight="1" x14ac:dyDescent="0.25">
      <c r="A277" t="str">
        <f>MID(TB_CECO[[#This Row],[CECO_T]],1,5)</f>
        <v>13431</v>
      </c>
      <c r="B277" t="str">
        <f>MID(TB_CECO[[#This Row],[TRABAJO]],1,SEARCH(",",TB_CECO[[#This Row],[TRABAJO]],1)-1)</f>
        <v>SNV 076 NE  CH 078</v>
      </c>
      <c r="C2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NE  CH 078,ENMADERADO     </v>
      </c>
      <c r="D2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7" s="47" t="s">
        <v>543</v>
      </c>
      <c r="G277" t="s">
        <v>544</v>
      </c>
      <c r="H2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8" spans="1:8" ht="15" customHeight="1" x14ac:dyDescent="0.25">
      <c r="A278" t="str">
        <f>MID(TB_CECO[[#This Row],[CECO_T]],1,5)</f>
        <v>13431</v>
      </c>
      <c r="B278" t="str">
        <f>MID(TB_CECO[[#This Row],[TRABAJO]],1,SEARCH(",",TB_CECO[[#This Row],[TRABAJO]],1)-1)</f>
        <v>SNV 076 NE  CH 078</v>
      </c>
      <c r="C2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NE  CH 078,LIMPIEZA       </v>
      </c>
      <c r="D2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8" s="47" t="s">
        <v>545</v>
      </c>
      <c r="G278" t="s">
        <v>546</v>
      </c>
      <c r="H2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9" spans="1:8" ht="15" customHeight="1" x14ac:dyDescent="0.25">
      <c r="A279" t="str">
        <f>MID(TB_CECO[[#This Row],[CECO_T]],1,5)</f>
        <v>13431</v>
      </c>
      <c r="B279" t="str">
        <f>MID(TB_CECO[[#This Row],[TRABAJO]],1,SEARCH(",",TB_CECO[[#This Row],[TRABAJO]],1)-1)</f>
        <v>SNV 076 NE  CH 078</v>
      </c>
      <c r="C2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NE  CH 078,SERVICIOS      </v>
      </c>
      <c r="D2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9" s="47" t="s">
        <v>547</v>
      </c>
      <c r="G279" t="s">
        <v>548</v>
      </c>
      <c r="H2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0" spans="1:8" ht="15" customHeight="1" x14ac:dyDescent="0.25">
      <c r="A280" t="str">
        <f>MID(TB_CECO[[#This Row],[CECO_T]],1,5)</f>
        <v>13431</v>
      </c>
      <c r="B280" t="str">
        <f>MID(TB_CECO[[#This Row],[TRABAJO]],1,SEARCH(",",TB_CECO[[#This Row],[TRABAJO]],1)-1)</f>
        <v>SNV 076 NE  CH 078</v>
      </c>
      <c r="C2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NE  CH 078,EXTRACCION     </v>
      </c>
      <c r="D2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0" s="47" t="s">
        <v>549</v>
      </c>
      <c r="G280" t="s">
        <v>550</v>
      </c>
      <c r="H2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1" spans="1:8" ht="15" customHeight="1" x14ac:dyDescent="0.25">
      <c r="A281" t="str">
        <f>MID(TB_CECO[[#This Row],[CECO_T]],1,5)</f>
        <v>13431</v>
      </c>
      <c r="B281" t="str">
        <f>MID(TB_CECO[[#This Row],[TRABAJO]],1,SEARCH(",",TB_CECO[[#This Row],[TRABAJO]],1)-1)</f>
        <v>SNV 076 NE  CH 078</v>
      </c>
      <c r="C2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NE  CH 078,SPLIT SET      </v>
      </c>
      <c r="D2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1" s="47" t="s">
        <v>551</v>
      </c>
      <c r="G281" t="s">
        <v>552</v>
      </c>
      <c r="H2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2" spans="1:8" ht="15" customHeight="1" x14ac:dyDescent="0.25">
      <c r="A282" t="str">
        <f>MID(TB_CECO[[#This Row],[CECO_T]],1,5)</f>
        <v>13431</v>
      </c>
      <c r="B282" t="str">
        <f>MID(TB_CECO[[#This Row],[TRABAJO]],1,SEARCH(",",TB_CECO[[#This Row],[TRABAJO]],1)-1)</f>
        <v>SNV 076 NE  CH 078</v>
      </c>
      <c r="C2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076 NE  CH 078,SPLIT CON MALLA</v>
      </c>
      <c r="D2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2" s="47" t="s">
        <v>553</v>
      </c>
      <c r="G282" t="s">
        <v>554</v>
      </c>
      <c r="H2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3" spans="1:8" ht="15" customHeight="1" x14ac:dyDescent="0.25">
      <c r="A283" t="str">
        <f>MID(TB_CECO[[#This Row],[CECO_T]],1,5)</f>
        <v>13431</v>
      </c>
      <c r="B283" t="str">
        <f>MID(TB_CECO[[#This Row],[TRABAJO]],1,SEARCH(",",TB_CECO[[#This Row],[TRABAJO]],1)-1)</f>
        <v>SNV 076 NE  CH 078</v>
      </c>
      <c r="C2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076 NE  CH 078,IZAJE Y DESCENS</v>
      </c>
      <c r="D2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3" s="47" t="s">
        <v>555</v>
      </c>
      <c r="G283" t="s">
        <v>556</v>
      </c>
      <c r="H2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4" spans="1:8" ht="15" customHeight="1" x14ac:dyDescent="0.25">
      <c r="A284" t="str">
        <f>MID(TB_CECO[[#This Row],[CECO_T]],1,5)</f>
        <v>13431</v>
      </c>
      <c r="B284" t="str">
        <f>MID(TB_CECO[[#This Row],[TRABAJO]],1,SEARCH(",",TB_CECO[[#This Row],[TRABAJO]],1)-1)</f>
        <v>SNV 076 NE  CH 078</v>
      </c>
      <c r="C2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NE  CH 078,PERFORACION    </v>
      </c>
      <c r="D2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4" s="47" t="s">
        <v>557</v>
      </c>
      <c r="G284" t="s">
        <v>558</v>
      </c>
      <c r="H2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5" spans="1:8" ht="15" customHeight="1" x14ac:dyDescent="0.25">
      <c r="A285" t="str">
        <f>MID(TB_CECO[[#This Row],[CECO_T]],1,5)</f>
        <v>13512</v>
      </c>
      <c r="B285" t="str">
        <f>MID(TB_CECO[[#This Row],[TRABAJO]],1,SEARCH(",",TB_CECO[[#This Row],[TRABAJO]],1)-1)</f>
        <v>EST 164 NW CX 128 NE</v>
      </c>
      <c r="C2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164 NW CX 128 NE,DESQUINCHE  </v>
      </c>
      <c r="D2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85" s="47" t="s">
        <v>559</v>
      </c>
      <c r="G285" t="s">
        <v>560</v>
      </c>
      <c r="H2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6" spans="1:8" ht="15" customHeight="1" x14ac:dyDescent="0.25">
      <c r="A286" t="str">
        <f>MID(TB_CECO[[#This Row],[CECO_T]],1,5)</f>
        <v>13512</v>
      </c>
      <c r="B286" t="str">
        <f>MID(TB_CECO[[#This Row],[TRABAJO]],1,SEARCH(",",TB_CECO[[#This Row],[TRABAJO]],1)-1)</f>
        <v>EST 164 NW CX 128 NE</v>
      </c>
      <c r="C2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164 NW CX 128 NE,ENMADERADO  </v>
      </c>
      <c r="D2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86" s="47" t="s">
        <v>561</v>
      </c>
      <c r="G286" t="s">
        <v>562</v>
      </c>
      <c r="H2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7" spans="1:8" ht="15" customHeight="1" x14ac:dyDescent="0.25">
      <c r="A287" t="str">
        <f>MID(TB_CECO[[#This Row],[CECO_T]],1,5)</f>
        <v>13512</v>
      </c>
      <c r="B287" t="str">
        <f>MID(TB_CECO[[#This Row],[TRABAJO]],1,SEARCH(",",TB_CECO[[#This Row],[TRABAJO]],1)-1)</f>
        <v>EST 164 NW CX 128 NE</v>
      </c>
      <c r="C2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164 NW CX 128 NE,LIMPIEZA    </v>
      </c>
      <c r="D2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87" s="47" t="s">
        <v>563</v>
      </c>
      <c r="G287" t="s">
        <v>564</v>
      </c>
      <c r="H2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8" spans="1:8" ht="15" customHeight="1" x14ac:dyDescent="0.25">
      <c r="A288" t="str">
        <f>MID(TB_CECO[[#This Row],[CECO_T]],1,5)</f>
        <v>13512</v>
      </c>
      <c r="B288" t="str">
        <f>MID(TB_CECO[[#This Row],[TRABAJO]],1,SEARCH(",",TB_CECO[[#This Row],[TRABAJO]],1)-1)</f>
        <v>EST 164 NW CX 128 NE</v>
      </c>
      <c r="C2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164 NW CX 128 NE,SERVICIOS   </v>
      </c>
      <c r="D2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88" s="47" t="s">
        <v>565</v>
      </c>
      <c r="G288" t="s">
        <v>566</v>
      </c>
      <c r="H2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9" spans="1:8" ht="15" customHeight="1" x14ac:dyDescent="0.25">
      <c r="A289" t="str">
        <f>MID(TB_CECO[[#This Row],[CECO_T]],1,5)</f>
        <v>13512</v>
      </c>
      <c r="B289" t="str">
        <f>MID(TB_CECO[[#This Row],[TRABAJO]],1,SEARCH(",",TB_CECO[[#This Row],[TRABAJO]],1)-1)</f>
        <v>EST 164 NW CX 128 NE</v>
      </c>
      <c r="C2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164 NW CX 128 NE,EXTRACCION  </v>
      </c>
      <c r="D2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89" s="47" t="s">
        <v>567</v>
      </c>
      <c r="G289" t="s">
        <v>568</v>
      </c>
      <c r="H2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0" spans="1:8" ht="15" customHeight="1" x14ac:dyDescent="0.25">
      <c r="A290" t="str">
        <f>MID(TB_CECO[[#This Row],[CECO_T]],1,5)</f>
        <v>13512</v>
      </c>
      <c r="B290" t="str">
        <f>MID(TB_CECO[[#This Row],[TRABAJO]],1,SEARCH(",",TB_CECO[[#This Row],[TRABAJO]],1)-1)</f>
        <v>EST 164 NW CX 128 NE</v>
      </c>
      <c r="C2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164 NW CX 128 NE,SPLIT SET   </v>
      </c>
      <c r="D2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90" s="47" t="s">
        <v>569</v>
      </c>
      <c r="G290" t="s">
        <v>570</v>
      </c>
      <c r="H2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1" spans="1:8" ht="15" customHeight="1" x14ac:dyDescent="0.25">
      <c r="A291" t="str">
        <f>MID(TB_CECO[[#This Row],[CECO_T]],1,5)</f>
        <v>13512</v>
      </c>
      <c r="B291" t="str">
        <f>MID(TB_CECO[[#This Row],[TRABAJO]],1,SEARCH(",",TB_CECO[[#This Row],[TRABAJO]],1)-1)</f>
        <v>EST 164 NW CX 128 NE</v>
      </c>
      <c r="C2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164 NW CX 128 NE,SPLIT CON MA</v>
      </c>
      <c r="D2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91" s="47" t="s">
        <v>571</v>
      </c>
      <c r="G291" t="s">
        <v>572</v>
      </c>
      <c r="H2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2" spans="1:8" ht="15" customHeight="1" x14ac:dyDescent="0.25">
      <c r="A292" t="str">
        <f>MID(TB_CECO[[#This Row],[CECO_T]],1,5)</f>
        <v>13512</v>
      </c>
      <c r="B292" t="str">
        <f>MID(TB_CECO[[#This Row],[TRABAJO]],1,SEARCH(",",TB_CECO[[#This Row],[TRABAJO]],1)-1)</f>
        <v>EST 164 NW CX 128 NE</v>
      </c>
      <c r="C2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164 NW CX 128 NE,IZAJE Y DESC</v>
      </c>
      <c r="D2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92" s="47" t="s">
        <v>573</v>
      </c>
      <c r="G292" t="s">
        <v>574</v>
      </c>
      <c r="H2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3" spans="1:8" ht="15" customHeight="1" x14ac:dyDescent="0.25">
      <c r="A293" t="str">
        <f>MID(TB_CECO[[#This Row],[CECO_T]],1,5)</f>
        <v>13512</v>
      </c>
      <c r="B293" t="str">
        <f>MID(TB_CECO[[#This Row],[TRABAJO]],1,SEARCH(",",TB_CECO[[#This Row],[TRABAJO]],1)-1)</f>
        <v>EST 164 NW CX 128 NE</v>
      </c>
      <c r="C2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164 NW CX 128 NE,PERFORACION </v>
      </c>
      <c r="D2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93" s="47" t="s">
        <v>575</v>
      </c>
      <c r="G293" t="s">
        <v>576</v>
      </c>
      <c r="H2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4" spans="1:8" ht="15" customHeight="1" x14ac:dyDescent="0.25">
      <c r="A294" t="str">
        <f>MID(TB_CECO[[#This Row],[CECO_T]],1,5)</f>
        <v>14101</v>
      </c>
      <c r="B294" t="str">
        <f>MID(TB_CECO[[#This Row],[TRABAJO]],1,SEARCH(",",TB_CECO[[#This Row],[TRABAJO]],1)-1)</f>
        <v xml:space="preserve"> Cx.128 NE_GL.028 NE </v>
      </c>
      <c r="C2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DESQUINCH</v>
      </c>
      <c r="D2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4" s="47" t="s">
        <v>577</v>
      </c>
      <c r="G294" t="s">
        <v>578</v>
      </c>
      <c r="H2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5" spans="1:8" ht="15" customHeight="1" x14ac:dyDescent="0.25">
      <c r="A295" t="str">
        <f>MID(TB_CECO[[#This Row],[CECO_T]],1,5)</f>
        <v>14101</v>
      </c>
      <c r="B295" t="str">
        <f>MID(TB_CECO[[#This Row],[TRABAJO]],1,SEARCH(",",TB_CECO[[#This Row],[TRABAJO]],1)-1)</f>
        <v xml:space="preserve"> Cx.128 NE_GL.028 NE </v>
      </c>
      <c r="C2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ENMADERAD</v>
      </c>
      <c r="D2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5" s="47" t="s">
        <v>579</v>
      </c>
      <c r="G295" t="s">
        <v>580</v>
      </c>
      <c r="H2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6" spans="1:8" ht="15" customHeight="1" x14ac:dyDescent="0.25">
      <c r="A296" t="str">
        <f>MID(TB_CECO[[#This Row],[CECO_T]],1,5)</f>
        <v>14101</v>
      </c>
      <c r="B296" t="str">
        <f>MID(TB_CECO[[#This Row],[TRABAJO]],1,SEARCH(",",TB_CECO[[#This Row],[TRABAJO]],1)-1)</f>
        <v xml:space="preserve"> Cx.128 NE_GL.028 NE </v>
      </c>
      <c r="C2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LIMPIEZA </v>
      </c>
      <c r="D2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6" s="47" t="s">
        <v>581</v>
      </c>
      <c r="G296" t="s">
        <v>582</v>
      </c>
      <c r="H2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7" spans="1:8" ht="15" customHeight="1" x14ac:dyDescent="0.25">
      <c r="A297" t="str">
        <f>MID(TB_CECO[[#This Row],[CECO_T]],1,5)</f>
        <v>14101</v>
      </c>
      <c r="B297" t="str">
        <f>MID(TB_CECO[[#This Row],[TRABAJO]],1,SEARCH(",",TB_CECO[[#This Row],[TRABAJO]],1)-1)</f>
        <v xml:space="preserve"> Cx.128 NE_GL.028 NE </v>
      </c>
      <c r="C2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SERVICIOS</v>
      </c>
      <c r="D2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7" s="47" t="s">
        <v>583</v>
      </c>
      <c r="G297" t="s">
        <v>584</v>
      </c>
      <c r="H2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8" spans="1:8" ht="15" customHeight="1" x14ac:dyDescent="0.25">
      <c r="A298" t="str">
        <f>MID(TB_CECO[[#This Row],[CECO_T]],1,5)</f>
        <v>14101</v>
      </c>
      <c r="B298" t="str">
        <f>MID(TB_CECO[[#This Row],[TRABAJO]],1,SEARCH(",",TB_CECO[[#This Row],[TRABAJO]],1)-1)</f>
        <v xml:space="preserve"> Cx.128 NE_GL.028 NE </v>
      </c>
      <c r="C2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EXTRACCIO</v>
      </c>
      <c r="D2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8" s="47" t="s">
        <v>585</v>
      </c>
      <c r="G298" t="s">
        <v>586</v>
      </c>
      <c r="H2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9" spans="1:8" ht="15" customHeight="1" x14ac:dyDescent="0.25">
      <c r="A299" t="str">
        <f>MID(TB_CECO[[#This Row],[CECO_T]],1,5)</f>
        <v>14101</v>
      </c>
      <c r="B299" t="str">
        <f>MID(TB_CECO[[#This Row],[TRABAJO]],1,SEARCH(",",TB_CECO[[#This Row],[TRABAJO]],1)-1)</f>
        <v xml:space="preserve"> Cx.128 NE_GL.028 NE </v>
      </c>
      <c r="C2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SPLIT SET</v>
      </c>
      <c r="D2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9" s="47" t="s">
        <v>587</v>
      </c>
      <c r="G299" t="s">
        <v>588</v>
      </c>
      <c r="H2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0" spans="1:8" ht="15" customHeight="1" x14ac:dyDescent="0.25">
      <c r="A300" t="str">
        <f>MID(TB_CECO[[#This Row],[CECO_T]],1,5)</f>
        <v>14101</v>
      </c>
      <c r="B300" t="str">
        <f>MID(TB_CECO[[#This Row],[TRABAJO]],1,SEARCH(",",TB_CECO[[#This Row],[TRABAJO]],1)-1)</f>
        <v xml:space="preserve"> Cx.128 NE_GL.028 NE </v>
      </c>
      <c r="C3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SPLIT CON</v>
      </c>
      <c r="D3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0" s="47" t="s">
        <v>589</v>
      </c>
      <c r="G300" t="s">
        <v>590</v>
      </c>
      <c r="H3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1" spans="1:8" ht="15" customHeight="1" x14ac:dyDescent="0.25">
      <c r="A301" t="str">
        <f>MID(TB_CECO[[#This Row],[CECO_T]],1,5)</f>
        <v>14101</v>
      </c>
      <c r="B301" t="str">
        <f>MID(TB_CECO[[#This Row],[TRABAJO]],1,SEARCH(",",TB_CECO[[#This Row],[TRABAJO]],1)-1)</f>
        <v xml:space="preserve"> Cx.128 NE_GL.028 NE </v>
      </c>
      <c r="C3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IZAJE Y D</v>
      </c>
      <c r="D3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1" s="47" t="s">
        <v>591</v>
      </c>
      <c r="G301" t="s">
        <v>592</v>
      </c>
      <c r="H3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2" spans="1:8" ht="15" customHeight="1" x14ac:dyDescent="0.25">
      <c r="A302" t="str">
        <f>MID(TB_CECO[[#This Row],[CECO_T]],1,5)</f>
        <v>14101</v>
      </c>
      <c r="B302" t="str">
        <f>MID(TB_CECO[[#This Row],[TRABAJO]],1,SEARCH(",",TB_CECO[[#This Row],[TRABAJO]],1)-1)</f>
        <v xml:space="preserve"> Cx.128 NE_GL.028 NE </v>
      </c>
      <c r="C3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PERFORACI</v>
      </c>
      <c r="D3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2" s="47" t="s">
        <v>593</v>
      </c>
      <c r="G302" t="s">
        <v>594</v>
      </c>
      <c r="H3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3" spans="1:8" ht="15" customHeight="1" x14ac:dyDescent="0.25">
      <c r="A303" t="str">
        <f>MID(TB_CECO[[#This Row],[CECO_T]],1,5)</f>
        <v>14441</v>
      </c>
      <c r="B303" t="str">
        <f>MID(TB_CECO[[#This Row],[TRABAJO]],1,SEARCH(",",TB_CECO[[#This Row],[TRABAJO]],1)-1)</f>
        <v>SNV 590 SW (CH 610)</v>
      </c>
      <c r="C3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SW (CH 610),DESQUINCHE    </v>
      </c>
      <c r="D3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3" s="47" t="s">
        <v>595</v>
      </c>
      <c r="G303" t="s">
        <v>596</v>
      </c>
      <c r="H3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4" spans="1:8" ht="15" customHeight="1" x14ac:dyDescent="0.25">
      <c r="A304" t="str">
        <f>MID(TB_CECO[[#This Row],[CECO_T]],1,5)</f>
        <v>14441</v>
      </c>
      <c r="B304" t="str">
        <f>MID(TB_CECO[[#This Row],[TRABAJO]],1,SEARCH(",",TB_CECO[[#This Row],[TRABAJO]],1)-1)</f>
        <v>SNV 590 SW (CH 610)</v>
      </c>
      <c r="C3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SW (CH 610),ENMADERADO    </v>
      </c>
      <c r="D3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4" s="47" t="s">
        <v>597</v>
      </c>
      <c r="G304" t="s">
        <v>598</v>
      </c>
      <c r="H3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5" spans="1:8" ht="15" customHeight="1" x14ac:dyDescent="0.25">
      <c r="A305" t="str">
        <f>MID(TB_CECO[[#This Row],[CECO_T]],1,5)</f>
        <v>14441</v>
      </c>
      <c r="B305" t="str">
        <f>MID(TB_CECO[[#This Row],[TRABAJO]],1,SEARCH(",",TB_CECO[[#This Row],[TRABAJO]],1)-1)</f>
        <v>SNV 590 SW (CH 610)</v>
      </c>
      <c r="C3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SW (CH 610),LIMPIEZA      </v>
      </c>
      <c r="D3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5" s="47" t="s">
        <v>599</v>
      </c>
      <c r="G305" t="s">
        <v>600</v>
      </c>
      <c r="H3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6" spans="1:8" ht="15" customHeight="1" x14ac:dyDescent="0.25">
      <c r="A306" t="str">
        <f>MID(TB_CECO[[#This Row],[CECO_T]],1,5)</f>
        <v>14441</v>
      </c>
      <c r="B306" t="str">
        <f>MID(TB_CECO[[#This Row],[TRABAJO]],1,SEARCH(",",TB_CECO[[#This Row],[TRABAJO]],1)-1)</f>
        <v>SNV 590 SW (CH 610)</v>
      </c>
      <c r="C3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SW (CH 610),SERVICIOS     </v>
      </c>
      <c r="D3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6" s="47" t="s">
        <v>601</v>
      </c>
      <c r="G306" t="s">
        <v>602</v>
      </c>
      <c r="H3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7" spans="1:8" ht="15" customHeight="1" x14ac:dyDescent="0.25">
      <c r="A307" t="str">
        <f>MID(TB_CECO[[#This Row],[CECO_T]],1,5)</f>
        <v>14441</v>
      </c>
      <c r="B307" t="str">
        <f>MID(TB_CECO[[#This Row],[TRABAJO]],1,SEARCH(",",TB_CECO[[#This Row],[TRABAJO]],1)-1)</f>
        <v>SNV 590 SW (CH 610)</v>
      </c>
      <c r="C3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SW (CH 610),EXTRACCION    </v>
      </c>
      <c r="D3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7" s="47" t="s">
        <v>603</v>
      </c>
      <c r="G307" t="s">
        <v>604</v>
      </c>
      <c r="H3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8" spans="1:8" ht="15" customHeight="1" x14ac:dyDescent="0.25">
      <c r="A308" t="str">
        <f>MID(TB_CECO[[#This Row],[CECO_T]],1,5)</f>
        <v>14441</v>
      </c>
      <c r="B308" t="str">
        <f>MID(TB_CECO[[#This Row],[TRABAJO]],1,SEARCH(",",TB_CECO[[#This Row],[TRABAJO]],1)-1)</f>
        <v>SNV 590 SW (CH 610)</v>
      </c>
      <c r="C3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SW (CH 610),SPLIT SET     </v>
      </c>
      <c r="D3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8" s="47" t="s">
        <v>605</v>
      </c>
      <c r="G308" t="s">
        <v>606</v>
      </c>
      <c r="H3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9" spans="1:8" ht="15" customHeight="1" x14ac:dyDescent="0.25">
      <c r="A309" t="str">
        <f>MID(TB_CECO[[#This Row],[CECO_T]],1,5)</f>
        <v>14441</v>
      </c>
      <c r="B309" t="str">
        <f>MID(TB_CECO[[#This Row],[TRABAJO]],1,SEARCH(",",TB_CECO[[#This Row],[TRABAJO]],1)-1)</f>
        <v>SNV 590 SW (CH 610)</v>
      </c>
      <c r="C3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590 SW (CH 610),SPLIT CON MALL</v>
      </c>
      <c r="D3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9" s="47" t="s">
        <v>607</v>
      </c>
      <c r="G309" t="s">
        <v>608</v>
      </c>
      <c r="H3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0" spans="1:8" ht="15" customHeight="1" x14ac:dyDescent="0.25">
      <c r="A310" t="str">
        <f>MID(TB_CECO[[#This Row],[CECO_T]],1,5)</f>
        <v>14441</v>
      </c>
      <c r="B310" t="str">
        <f>MID(TB_CECO[[#This Row],[TRABAJO]],1,SEARCH(",",TB_CECO[[#This Row],[TRABAJO]],1)-1)</f>
        <v>SNV 590 SW (CH 610)</v>
      </c>
      <c r="C3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590 SW (CH 610),IZAJE Y DESCEN</v>
      </c>
      <c r="D3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0" s="47" t="s">
        <v>609</v>
      </c>
      <c r="G310" t="s">
        <v>610</v>
      </c>
      <c r="H3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1" spans="1:8" ht="15" customHeight="1" x14ac:dyDescent="0.25">
      <c r="A311" t="str">
        <f>MID(TB_CECO[[#This Row],[CECO_T]],1,5)</f>
        <v>14441</v>
      </c>
      <c r="B311" t="str">
        <f>MID(TB_CECO[[#This Row],[TRABAJO]],1,SEARCH(",",TB_CECO[[#This Row],[TRABAJO]],1)-1)</f>
        <v>SNV 590 SW (CH 610)</v>
      </c>
      <c r="C3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SW (CH 610),PERFORACION   </v>
      </c>
      <c r="D3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1" s="47" t="s">
        <v>611</v>
      </c>
      <c r="G311" t="s">
        <v>612</v>
      </c>
      <c r="H3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2" spans="1:8" ht="15" customHeight="1" x14ac:dyDescent="0.25">
      <c r="A312" t="str">
        <f>MID(TB_CECO[[#This Row],[CECO_T]],1,5)</f>
        <v>14501</v>
      </c>
      <c r="B312" t="str">
        <f>MID(TB_CECO[[#This Row],[TRABAJO]],1,SEARCH(",",TB_CECO[[#This Row],[TRABAJO]],1)-1)</f>
        <v xml:space="preserve"> Est. 140-NW_Cx. 128-NE </v>
      </c>
      <c r="C3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140-NW_Cx. 128-NE , DESQ</v>
      </c>
      <c r="D3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12" s="47" t="s">
        <v>613</v>
      </c>
      <c r="G312" t="s">
        <v>614</v>
      </c>
      <c r="H3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3" spans="1:8" ht="15" customHeight="1" x14ac:dyDescent="0.25">
      <c r="A313" t="str">
        <f>MID(TB_CECO[[#This Row],[CECO_T]],1,5)</f>
        <v>14501</v>
      </c>
      <c r="B313" t="str">
        <f>MID(TB_CECO[[#This Row],[TRABAJO]],1,SEARCH(",",TB_CECO[[#This Row],[TRABAJO]],1)-1)</f>
        <v xml:space="preserve"> Est. 140-NW_Cx. 128-NE </v>
      </c>
      <c r="C3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140-NW_Cx. 128-NE , ENMA</v>
      </c>
      <c r="D3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13" s="47" t="s">
        <v>615</v>
      </c>
      <c r="G313" t="s">
        <v>616</v>
      </c>
      <c r="H3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4" spans="1:8" ht="15" customHeight="1" x14ac:dyDescent="0.25">
      <c r="A314" t="str">
        <f>MID(TB_CECO[[#This Row],[CECO_T]],1,5)</f>
        <v>14501</v>
      </c>
      <c r="B314" t="str">
        <f>MID(TB_CECO[[#This Row],[TRABAJO]],1,SEARCH(",",TB_CECO[[#This Row],[TRABAJO]],1)-1)</f>
        <v xml:space="preserve"> Est. 140-NW_Cx. 128-NE </v>
      </c>
      <c r="C3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140-NW_Cx. 128-NE , LIMP</v>
      </c>
      <c r="D3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14" s="47" t="s">
        <v>617</v>
      </c>
      <c r="G314" t="s">
        <v>618</v>
      </c>
      <c r="H3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5" spans="1:8" ht="15" customHeight="1" x14ac:dyDescent="0.25">
      <c r="A315" t="str">
        <f>MID(TB_CECO[[#This Row],[CECO_T]],1,5)</f>
        <v>14501</v>
      </c>
      <c r="B315" t="str">
        <f>MID(TB_CECO[[#This Row],[TRABAJO]],1,SEARCH(",",TB_CECO[[#This Row],[TRABAJO]],1)-1)</f>
        <v xml:space="preserve"> Est. 140-NW_Cx. 128-NE </v>
      </c>
      <c r="C3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140-NW_Cx. 128-NE , SERV</v>
      </c>
      <c r="D3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15" s="47" t="s">
        <v>619</v>
      </c>
      <c r="G315" t="s">
        <v>620</v>
      </c>
      <c r="H3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6" spans="1:8" ht="15" customHeight="1" x14ac:dyDescent="0.25">
      <c r="A316" t="str">
        <f>MID(TB_CECO[[#This Row],[CECO_T]],1,5)</f>
        <v>14501</v>
      </c>
      <c r="B316" t="str">
        <f>MID(TB_CECO[[#This Row],[TRABAJO]],1,SEARCH(",",TB_CECO[[#This Row],[TRABAJO]],1)-1)</f>
        <v xml:space="preserve"> Est. 140-NW_Cx. 128-NE </v>
      </c>
      <c r="C3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140-NW_Cx. 128-NE , EXTR</v>
      </c>
      <c r="D3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16" s="47" t="s">
        <v>621</v>
      </c>
      <c r="G316" t="s">
        <v>622</v>
      </c>
      <c r="H3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7" spans="1:8" ht="15" customHeight="1" x14ac:dyDescent="0.25">
      <c r="A317" t="str">
        <f>MID(TB_CECO[[#This Row],[CECO_T]],1,5)</f>
        <v>14501</v>
      </c>
      <c r="B317" t="str">
        <f>MID(TB_CECO[[#This Row],[TRABAJO]],1,SEARCH(",",TB_CECO[[#This Row],[TRABAJO]],1)-1)</f>
        <v xml:space="preserve"> Est. 140-NW_Cx. 128-NE </v>
      </c>
      <c r="C3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140-NW_Cx. 128-NE , spli</v>
      </c>
      <c r="D3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17" s="47" t="s">
        <v>623</v>
      </c>
      <c r="G317" t="s">
        <v>624</v>
      </c>
      <c r="H3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8" spans="1:8" ht="15" customHeight="1" x14ac:dyDescent="0.25">
      <c r="A318" t="str">
        <f>MID(TB_CECO[[#This Row],[CECO_T]],1,5)</f>
        <v>14501</v>
      </c>
      <c r="B318" t="str">
        <f>MID(TB_CECO[[#This Row],[TRABAJO]],1,SEARCH(",",TB_CECO[[#This Row],[TRABAJO]],1)-1)</f>
        <v>Est.140-NW_Cx.128-NE</v>
      </c>
      <c r="C3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Est.140-NW_Cx.128-NE,split con </v>
      </c>
      <c r="D3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18" s="47" t="s">
        <v>625</v>
      </c>
      <c r="G318" t="s">
        <v>626</v>
      </c>
      <c r="H3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9" spans="1:8" ht="15" customHeight="1" x14ac:dyDescent="0.25">
      <c r="A319" t="str">
        <f>MID(TB_CECO[[#This Row],[CECO_T]],1,5)</f>
        <v>14501</v>
      </c>
      <c r="B319" t="str">
        <f>MID(TB_CECO[[#This Row],[TRABAJO]],1,SEARCH(",",TB_CECO[[#This Row],[TRABAJO]],1)-1)</f>
        <v>Est.140-NW_Cx.128-NE</v>
      </c>
      <c r="C3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Est.140-NW_Cx.128-NE,IZAJE Y DES</v>
      </c>
      <c r="D3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19" s="47" t="s">
        <v>627</v>
      </c>
      <c r="G319" t="s">
        <v>628</v>
      </c>
      <c r="H3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0" spans="1:8" ht="15" customHeight="1" x14ac:dyDescent="0.25">
      <c r="A320" t="str">
        <f>MID(TB_CECO[[#This Row],[CECO_T]],1,5)</f>
        <v>14501</v>
      </c>
      <c r="B320" t="str">
        <f>MID(TB_CECO[[#This Row],[TRABAJO]],1,SEARCH(",",TB_CECO[[#This Row],[TRABAJO]],1)-1)</f>
        <v xml:space="preserve"> Est. 140-NW_Cx. 128-NE </v>
      </c>
      <c r="C3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140-NW_Cx. 128-NE , PERF</v>
      </c>
      <c r="D3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20" s="47" t="s">
        <v>629</v>
      </c>
      <c r="G320" t="s">
        <v>630</v>
      </c>
      <c r="H3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1" spans="1:8" ht="15" customHeight="1" x14ac:dyDescent="0.25">
      <c r="A321" t="str">
        <f>MID(TB_CECO[[#This Row],[CECO_T]],1,5)</f>
        <v>14505</v>
      </c>
      <c r="B321" t="str">
        <f>MID(TB_CECO[[#This Row],[TRABAJO]],1,SEARCH(",",TB_CECO[[#This Row],[TRABAJO]],1)-1)</f>
        <v xml:space="preserve"> Est. 095-1 SW SN. 095 SW </v>
      </c>
      <c r="C3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095-1 SW SN. 095 SW , DE</v>
      </c>
      <c r="D3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21" s="47" t="s">
        <v>631</v>
      </c>
      <c r="G321" t="s">
        <v>632</v>
      </c>
      <c r="H3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2" spans="1:8" ht="15" customHeight="1" x14ac:dyDescent="0.25">
      <c r="A322" t="str">
        <f>MID(TB_CECO[[#This Row],[CECO_T]],1,5)</f>
        <v>14505</v>
      </c>
      <c r="B322" t="str">
        <f>MID(TB_CECO[[#This Row],[TRABAJO]],1,SEARCH(",",TB_CECO[[#This Row],[TRABAJO]],1)-1)</f>
        <v xml:space="preserve"> Est. 095-1 SW SN. 095 SW </v>
      </c>
      <c r="C3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095-1 SW SN. 095 SW , EN</v>
      </c>
      <c r="D3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22" s="47" t="s">
        <v>633</v>
      </c>
      <c r="G322" t="s">
        <v>634</v>
      </c>
      <c r="H3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3" spans="1:8" ht="15" customHeight="1" x14ac:dyDescent="0.25">
      <c r="A323" t="str">
        <f>MID(TB_CECO[[#This Row],[CECO_T]],1,5)</f>
        <v>14505</v>
      </c>
      <c r="B323" t="str">
        <f>MID(TB_CECO[[#This Row],[TRABAJO]],1,SEARCH(",",TB_CECO[[#This Row],[TRABAJO]],1)-1)</f>
        <v xml:space="preserve"> Est. 095-1 SW SN. 095 SW </v>
      </c>
      <c r="C3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095-1 SW SN. 095 SW , LI</v>
      </c>
      <c r="D3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23" s="47" t="s">
        <v>635</v>
      </c>
      <c r="G323" t="s">
        <v>636</v>
      </c>
      <c r="H3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4" spans="1:8" ht="15" customHeight="1" x14ac:dyDescent="0.25">
      <c r="A324" t="str">
        <f>MID(TB_CECO[[#This Row],[CECO_T]],1,5)</f>
        <v>14505</v>
      </c>
      <c r="B324" t="str">
        <f>MID(TB_CECO[[#This Row],[TRABAJO]],1,SEARCH(",",TB_CECO[[#This Row],[TRABAJO]],1)-1)</f>
        <v xml:space="preserve"> Est. 095-1 SW SN. 095 SW </v>
      </c>
      <c r="C3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095-1 SW SN. 095 SW , SE</v>
      </c>
      <c r="D3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24" s="47" t="s">
        <v>637</v>
      </c>
      <c r="G324" t="s">
        <v>638</v>
      </c>
      <c r="H3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5" spans="1:8" ht="15" customHeight="1" x14ac:dyDescent="0.25">
      <c r="A325" t="str">
        <f>MID(TB_CECO[[#This Row],[CECO_T]],1,5)</f>
        <v>14505</v>
      </c>
      <c r="B325" t="str">
        <f>MID(TB_CECO[[#This Row],[TRABAJO]],1,SEARCH(",",TB_CECO[[#This Row],[TRABAJO]],1)-1)</f>
        <v xml:space="preserve"> Est. 095-1 SW SN. 095 SW </v>
      </c>
      <c r="C3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095-1 SW SN. 095 SW , EX</v>
      </c>
      <c r="D3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25" s="47" t="s">
        <v>639</v>
      </c>
      <c r="G325" t="s">
        <v>640</v>
      </c>
      <c r="H3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6" spans="1:8" ht="15" customHeight="1" x14ac:dyDescent="0.25">
      <c r="A326" t="str">
        <f>MID(TB_CECO[[#This Row],[CECO_T]],1,5)</f>
        <v>14505</v>
      </c>
      <c r="B326" t="str">
        <f>MID(TB_CECO[[#This Row],[TRABAJO]],1,SEARCH(",",TB_CECO[[#This Row],[TRABAJO]],1)-1)</f>
        <v xml:space="preserve"> Est. 095-1 SW SN. 095 SW </v>
      </c>
      <c r="C3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095-1 SW SN. 095 SW , sp</v>
      </c>
      <c r="D3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26" s="47" t="s">
        <v>641</v>
      </c>
      <c r="G326" t="s">
        <v>642</v>
      </c>
      <c r="H3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7" spans="1:8" ht="15" customHeight="1" x14ac:dyDescent="0.25">
      <c r="A327" t="str">
        <f>MID(TB_CECO[[#This Row],[CECO_T]],1,5)</f>
        <v>14505</v>
      </c>
      <c r="B327" t="str">
        <f>MID(TB_CECO[[#This Row],[TRABAJO]],1,SEARCH(",",TB_CECO[[#This Row],[TRABAJO]],1)-1)</f>
        <v>Est.095-1 SW SN.095 SW</v>
      </c>
      <c r="C3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Est.095-1 SW SN.095 SW, split co</v>
      </c>
      <c r="D3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27" s="47" t="s">
        <v>643</v>
      </c>
      <c r="G327" t="s">
        <v>644</v>
      </c>
      <c r="H3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8" spans="1:8" ht="15" customHeight="1" x14ac:dyDescent="0.25">
      <c r="A328" t="str">
        <f>MID(TB_CECO[[#This Row],[CECO_T]],1,5)</f>
        <v>14505</v>
      </c>
      <c r="B328" t="str">
        <f>MID(TB_CECO[[#This Row],[TRABAJO]],1,SEARCH(",",TB_CECO[[#This Row],[TRABAJO]],1)-1)</f>
        <v>Est.095-1 SW SN.095 SW</v>
      </c>
      <c r="C3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Est.095-1 SW SN.095 SW,IZAJE Y DE</v>
      </c>
      <c r="D3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28" s="47" t="s">
        <v>645</v>
      </c>
      <c r="G328" t="s">
        <v>646</v>
      </c>
      <c r="H3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9" spans="1:8" ht="15" customHeight="1" x14ac:dyDescent="0.25">
      <c r="A329" t="str">
        <f>MID(TB_CECO[[#This Row],[CECO_T]],1,5)</f>
        <v>14505</v>
      </c>
      <c r="B329" t="str">
        <f>MID(TB_CECO[[#This Row],[TRABAJO]],1,SEARCH(",",TB_CECO[[#This Row],[TRABAJO]],1)-1)</f>
        <v xml:space="preserve"> Est. 095-1 SW SN. 095 SW </v>
      </c>
      <c r="C3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095-1 SW SN. 095 SW , PE</v>
      </c>
      <c r="D3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29" s="47" t="s">
        <v>647</v>
      </c>
      <c r="G329" t="s">
        <v>648</v>
      </c>
      <c r="H3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0" spans="1:8" ht="15" customHeight="1" x14ac:dyDescent="0.25">
      <c r="A330" t="str">
        <f>MID(TB_CECO[[#This Row],[CECO_T]],1,5)</f>
        <v>15310</v>
      </c>
      <c r="B330" t="str">
        <f>MID(TB_CECO[[#This Row],[TRABAJO]],1,SEARCH(",",TB_CECO[[#This Row],[TRABAJO]],1)-1)</f>
        <v>TJ 616 - 1 NE</v>
      </c>
      <c r="C3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NE,DESQUINCHE         </v>
      </c>
      <c r="D3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0" s="47" t="s">
        <v>649</v>
      </c>
      <c r="G330" t="s">
        <v>650</v>
      </c>
      <c r="H3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31" spans="1:8" ht="15" customHeight="1" x14ac:dyDescent="0.25">
      <c r="A331" t="str">
        <f>MID(TB_CECO[[#This Row],[CECO_T]],1,5)</f>
        <v>15310</v>
      </c>
      <c r="B331" t="str">
        <f>MID(TB_CECO[[#This Row],[TRABAJO]],1,SEARCH(",",TB_CECO[[#This Row],[TRABAJO]],1)-1)</f>
        <v>TJ 616 - 1 NE</v>
      </c>
      <c r="C3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NE,ENMADERADO         </v>
      </c>
      <c r="D3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1" s="47" t="s">
        <v>651</v>
      </c>
      <c r="G331" t="s">
        <v>652</v>
      </c>
      <c r="H3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32" spans="1:8" ht="15" customHeight="1" x14ac:dyDescent="0.25">
      <c r="A332" t="str">
        <f>MID(TB_CECO[[#This Row],[CECO_T]],1,5)</f>
        <v>15310</v>
      </c>
      <c r="B332" t="str">
        <f>MID(TB_CECO[[#This Row],[TRABAJO]],1,SEARCH(",",TB_CECO[[#This Row],[TRABAJO]],1)-1)</f>
        <v>TJ 616 - 1 NE</v>
      </c>
      <c r="C3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NE,LIMPIEZA           </v>
      </c>
      <c r="D3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2" s="47" t="s">
        <v>653</v>
      </c>
      <c r="G332" t="s">
        <v>654</v>
      </c>
      <c r="H3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33" spans="1:8" ht="15" customHeight="1" x14ac:dyDescent="0.25">
      <c r="A333" t="str">
        <f>MID(TB_CECO[[#This Row],[CECO_T]],1,5)</f>
        <v>15310</v>
      </c>
      <c r="B333" t="str">
        <f>MID(TB_CECO[[#This Row],[TRABAJO]],1,SEARCH(",",TB_CECO[[#This Row],[TRABAJO]],1)-1)</f>
        <v>TJ 616 - 1 NE</v>
      </c>
      <c r="C3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NE,SERVICIOS          </v>
      </c>
      <c r="D3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3" s="47" t="s">
        <v>655</v>
      </c>
      <c r="G333" t="s">
        <v>656</v>
      </c>
      <c r="H3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34" spans="1:8" ht="15" customHeight="1" x14ac:dyDescent="0.25">
      <c r="A334" t="str">
        <f>MID(TB_CECO[[#This Row],[CECO_T]],1,5)</f>
        <v>15310</v>
      </c>
      <c r="B334" t="str">
        <f>MID(TB_CECO[[#This Row],[TRABAJO]],1,SEARCH(",",TB_CECO[[#This Row],[TRABAJO]],1)-1)</f>
        <v>TJ 616 - 1 NE</v>
      </c>
      <c r="C3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NE,EXTRACCION         </v>
      </c>
      <c r="D3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4" s="47" t="s">
        <v>657</v>
      </c>
      <c r="G334" t="s">
        <v>658</v>
      </c>
      <c r="H3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35" spans="1:8" ht="15" customHeight="1" x14ac:dyDescent="0.25">
      <c r="A335" t="str">
        <f>MID(TB_CECO[[#This Row],[CECO_T]],1,5)</f>
        <v>15310</v>
      </c>
      <c r="B335" t="str">
        <f>MID(TB_CECO[[#This Row],[TRABAJO]],1,SEARCH(",",TB_CECO[[#This Row],[TRABAJO]],1)-1)</f>
        <v>TJ 616 - 1 NE</v>
      </c>
      <c r="C3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NE,SPLIT SET          </v>
      </c>
      <c r="D3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5" s="47" t="s">
        <v>659</v>
      </c>
      <c r="G335" t="s">
        <v>660</v>
      </c>
      <c r="H3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36" spans="1:8" ht="15" customHeight="1" x14ac:dyDescent="0.25">
      <c r="A336" t="str">
        <f>MID(TB_CECO[[#This Row],[CECO_T]],1,5)</f>
        <v>15310</v>
      </c>
      <c r="B336" t="str">
        <f>MID(TB_CECO[[#This Row],[TRABAJO]],1,SEARCH(",",TB_CECO[[#This Row],[TRABAJO]],1)-1)</f>
        <v>TJ 616 - 1 NE</v>
      </c>
      <c r="C3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NE,SPLIT CON MALLA    </v>
      </c>
      <c r="D3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6" s="47" t="s">
        <v>661</v>
      </c>
      <c r="G336" t="s">
        <v>662</v>
      </c>
      <c r="H3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37" spans="1:8" ht="15" customHeight="1" x14ac:dyDescent="0.25">
      <c r="A337" t="str">
        <f>MID(TB_CECO[[#This Row],[CECO_T]],1,5)</f>
        <v>15310</v>
      </c>
      <c r="B337" t="str">
        <f>MID(TB_CECO[[#This Row],[TRABAJO]],1,SEARCH(",",TB_CECO[[#This Row],[TRABAJO]],1)-1)</f>
        <v>TJ 616 - 1 NE</v>
      </c>
      <c r="C3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NE,IZAJE Y DESCENSO   </v>
      </c>
      <c r="D3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7" s="47" t="s">
        <v>663</v>
      </c>
      <c r="G337" t="s">
        <v>664</v>
      </c>
      <c r="H3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38" spans="1:8" ht="15" customHeight="1" x14ac:dyDescent="0.25">
      <c r="A338" t="str">
        <f>MID(TB_CECO[[#This Row],[CECO_T]],1,5)</f>
        <v>15310</v>
      </c>
      <c r="B338" t="str">
        <f>MID(TB_CECO[[#This Row],[TRABAJO]],1,SEARCH(",",TB_CECO[[#This Row],[TRABAJO]],1)-1)</f>
        <v>TJ 616 - 1 NE</v>
      </c>
      <c r="C3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NE,PERFORACION        </v>
      </c>
      <c r="D3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8" s="47" t="s">
        <v>665</v>
      </c>
      <c r="G338" t="s">
        <v>666</v>
      </c>
      <c r="H3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39" spans="1:8" ht="15" customHeight="1" x14ac:dyDescent="0.25">
      <c r="A339" t="str">
        <f>MID(TB_CECO[[#This Row],[CECO_T]],1,5)</f>
        <v>15311</v>
      </c>
      <c r="B339" t="str">
        <f>MID(TB_CECO[[#This Row],[TRABAJO]],1,SEARCH(",",TB_CECO[[#This Row],[TRABAJO]],1)-1)</f>
        <v xml:space="preserve"> TJ 610 NE</v>
      </c>
      <c r="C3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NE,DESQUINCHE           </v>
      </c>
      <c r="D3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9" s="47" t="s">
        <v>667</v>
      </c>
      <c r="G339" t="s">
        <v>10960</v>
      </c>
      <c r="H3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0" spans="1:8" ht="15" customHeight="1" x14ac:dyDescent="0.25">
      <c r="A340" t="str">
        <f>MID(TB_CECO[[#This Row],[CECO_T]],1,5)</f>
        <v>15311</v>
      </c>
      <c r="B340" t="str">
        <f>MID(TB_CECO[[#This Row],[TRABAJO]],1,SEARCH(",",TB_CECO[[#This Row],[TRABAJO]],1)-1)</f>
        <v xml:space="preserve"> TJ 610 NE</v>
      </c>
      <c r="C3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ENMADERADO           </v>
      </c>
      <c r="D3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0" s="47" t="s">
        <v>668</v>
      </c>
      <c r="G340" t="s">
        <v>10961</v>
      </c>
      <c r="H3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1" spans="1:8" ht="15" customHeight="1" x14ac:dyDescent="0.25">
      <c r="A341" t="str">
        <f>MID(TB_CECO[[#This Row],[CECO_T]],1,5)</f>
        <v>15311</v>
      </c>
      <c r="B341" t="str">
        <f>MID(TB_CECO[[#This Row],[TRABAJO]],1,SEARCH(",",TB_CECO[[#This Row],[TRABAJO]],1)-1)</f>
        <v xml:space="preserve"> TJ 610 NE</v>
      </c>
      <c r="C3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LIMPIEZA             </v>
      </c>
      <c r="D3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1" s="47" t="s">
        <v>669</v>
      </c>
      <c r="G341" t="s">
        <v>10963</v>
      </c>
      <c r="H3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2" spans="1:8" ht="15" customHeight="1" x14ac:dyDescent="0.25">
      <c r="A342" t="str">
        <f>MID(TB_CECO[[#This Row],[CECO_T]],1,5)</f>
        <v>15311</v>
      </c>
      <c r="B342" t="str">
        <f>MID(TB_CECO[[#This Row],[TRABAJO]],1,SEARCH(",",TB_CECO[[#This Row],[TRABAJO]],1)-1)</f>
        <v xml:space="preserve"> TJ 610 NE</v>
      </c>
      <c r="C3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SERVICIOS            </v>
      </c>
      <c r="D3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2" s="47" t="s">
        <v>670</v>
      </c>
      <c r="G342" t="s">
        <v>10962</v>
      </c>
      <c r="H3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3" spans="1:8" ht="15" customHeight="1" x14ac:dyDescent="0.25">
      <c r="A343" t="str">
        <f>MID(TB_CECO[[#This Row],[CECO_T]],1,5)</f>
        <v>15311</v>
      </c>
      <c r="B343" t="str">
        <f>MID(TB_CECO[[#This Row],[TRABAJO]],1,SEARCH(",",TB_CECO[[#This Row],[TRABAJO]],1)-1)</f>
        <v xml:space="preserve"> TJ 610 NE</v>
      </c>
      <c r="C3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EXTRACCION           </v>
      </c>
      <c r="D3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3" s="47" t="s">
        <v>671</v>
      </c>
      <c r="G343" t="s">
        <v>10964</v>
      </c>
      <c r="H3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4" spans="1:8" ht="15" customHeight="1" x14ac:dyDescent="0.25">
      <c r="A344" t="str">
        <f>MID(TB_CECO[[#This Row],[CECO_T]],1,5)</f>
        <v>15311</v>
      </c>
      <c r="B344" t="str">
        <f>MID(TB_CECO[[#This Row],[TRABAJO]],1,SEARCH(",",TB_CECO[[#This Row],[TRABAJO]],1)-1)</f>
        <v xml:space="preserve"> TJ 610 NE</v>
      </c>
      <c r="C3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SPLIT SET            </v>
      </c>
      <c r="D3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4" s="47" t="s">
        <v>672</v>
      </c>
      <c r="G344" t="s">
        <v>10965</v>
      </c>
      <c r="H3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5" spans="1:8" ht="15" customHeight="1" x14ac:dyDescent="0.25">
      <c r="A345" t="str">
        <f>MID(TB_CECO[[#This Row],[CECO_T]],1,5)</f>
        <v>15311</v>
      </c>
      <c r="B345" t="str">
        <f>MID(TB_CECO[[#This Row],[TRABAJO]],1,SEARCH(",",TB_CECO[[#This Row],[TRABAJO]],1)-1)</f>
        <v xml:space="preserve"> TJ 610 NE</v>
      </c>
      <c r="C3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SPLIT CON MALLA      </v>
      </c>
      <c r="D3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5" s="47" t="s">
        <v>673</v>
      </c>
      <c r="G345" t="s">
        <v>10966</v>
      </c>
      <c r="H3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6" spans="1:8" ht="15" customHeight="1" x14ac:dyDescent="0.25">
      <c r="A346" t="str">
        <f>MID(TB_CECO[[#This Row],[CECO_T]],1,5)</f>
        <v>15311</v>
      </c>
      <c r="B346" t="str">
        <f>MID(TB_CECO[[#This Row],[TRABAJO]],1,SEARCH(",",TB_CECO[[#This Row],[TRABAJO]],1)-1)</f>
        <v xml:space="preserve"> TJ 610 NE</v>
      </c>
      <c r="C3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IZAJE Y DESCENSO W   </v>
      </c>
      <c r="D3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6" s="47" t="s">
        <v>674</v>
      </c>
      <c r="G346" t="s">
        <v>10967</v>
      </c>
      <c r="H3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7" spans="1:8" ht="15" customHeight="1" x14ac:dyDescent="0.25">
      <c r="A347" t="str">
        <f>MID(TB_CECO[[#This Row],[CECO_T]],1,5)</f>
        <v>15311</v>
      </c>
      <c r="B347" t="str">
        <f>MID(TB_CECO[[#This Row],[TRABAJO]],1,SEARCH(",",TB_CECO[[#This Row],[TRABAJO]],1)-1)</f>
        <v xml:space="preserve"> TJ 610 NE</v>
      </c>
      <c r="C3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PERFORACION          </v>
      </c>
      <c r="D3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7" s="47" t="s">
        <v>675</v>
      </c>
      <c r="G347" t="s">
        <v>10968</v>
      </c>
      <c r="H3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8" spans="1:8" ht="15" customHeight="1" x14ac:dyDescent="0.25">
      <c r="A348" t="str">
        <f>MID(TB_CECO[[#This Row],[CECO_T]],1,5)</f>
        <v>15314</v>
      </c>
      <c r="B348" t="str">
        <f>MID(TB_CECO[[#This Row],[TRABAJO]],1,SEARCH(",",TB_CECO[[#This Row],[TRABAJO]],1)-1)</f>
        <v>TJ 620 CH 592</v>
      </c>
      <c r="C3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592,DESQUINCHE          </v>
      </c>
      <c r="D3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8" s="47" t="s">
        <v>676</v>
      </c>
      <c r="G348" t="s">
        <v>677</v>
      </c>
      <c r="H3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49" spans="1:8" ht="15" customHeight="1" x14ac:dyDescent="0.25">
      <c r="A349" t="str">
        <f>MID(TB_CECO[[#This Row],[CECO_T]],1,5)</f>
        <v>15314</v>
      </c>
      <c r="B349" t="str">
        <f>MID(TB_CECO[[#This Row],[TRABAJO]],1,SEARCH(",",TB_CECO[[#This Row],[TRABAJO]],1)-1)</f>
        <v>TJ 620 CH 592</v>
      </c>
      <c r="C3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592,ENMADERADO          </v>
      </c>
      <c r="D3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9" s="47" t="s">
        <v>678</v>
      </c>
      <c r="G349" t="s">
        <v>679</v>
      </c>
      <c r="H3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50" spans="1:8" ht="15" customHeight="1" x14ac:dyDescent="0.25">
      <c r="A350" t="str">
        <f>MID(TB_CECO[[#This Row],[CECO_T]],1,5)</f>
        <v>15314</v>
      </c>
      <c r="B350" t="str">
        <f>MID(TB_CECO[[#This Row],[TRABAJO]],1,SEARCH(",",TB_CECO[[#This Row],[TRABAJO]],1)-1)</f>
        <v>TJ 620 CH 592</v>
      </c>
      <c r="C3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592,LIMPIEZA            </v>
      </c>
      <c r="D3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0" s="47" t="s">
        <v>680</v>
      </c>
      <c r="G350" t="s">
        <v>681</v>
      </c>
      <c r="H3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51" spans="1:8" ht="15" customHeight="1" x14ac:dyDescent="0.25">
      <c r="A351" t="str">
        <f>MID(TB_CECO[[#This Row],[CECO_T]],1,5)</f>
        <v>15314</v>
      </c>
      <c r="B351" t="str">
        <f>MID(TB_CECO[[#This Row],[TRABAJO]],1,SEARCH(",",TB_CECO[[#This Row],[TRABAJO]],1)-1)</f>
        <v>TJ 620 CH 592</v>
      </c>
      <c r="C3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592,SERVICIOS           </v>
      </c>
      <c r="D3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1" s="47" t="s">
        <v>682</v>
      </c>
      <c r="G351" t="s">
        <v>683</v>
      </c>
      <c r="H3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52" spans="1:8" ht="15" customHeight="1" x14ac:dyDescent="0.25">
      <c r="A352" t="str">
        <f>MID(TB_CECO[[#This Row],[CECO_T]],1,5)</f>
        <v>15314</v>
      </c>
      <c r="B352" t="str">
        <f>MID(TB_CECO[[#This Row],[TRABAJO]],1,SEARCH(",",TB_CECO[[#This Row],[TRABAJO]],1)-1)</f>
        <v>TJ 620 CH 592</v>
      </c>
      <c r="C3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592,EXTRACCION          </v>
      </c>
      <c r="D3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2" s="47" t="s">
        <v>684</v>
      </c>
      <c r="G352" t="s">
        <v>685</v>
      </c>
      <c r="H3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53" spans="1:8" ht="15" customHeight="1" x14ac:dyDescent="0.25">
      <c r="A353" t="str">
        <f>MID(TB_CECO[[#This Row],[CECO_T]],1,5)</f>
        <v>15314</v>
      </c>
      <c r="B353" t="str">
        <f>MID(TB_CECO[[#This Row],[TRABAJO]],1,SEARCH(",",TB_CECO[[#This Row],[TRABAJO]],1)-1)</f>
        <v>TJ 620 CH 592</v>
      </c>
      <c r="C3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592,SPLIT SET           </v>
      </c>
      <c r="D3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3" s="47" t="s">
        <v>686</v>
      </c>
      <c r="G353" t="s">
        <v>687</v>
      </c>
      <c r="H3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54" spans="1:8" ht="15" customHeight="1" x14ac:dyDescent="0.25">
      <c r="A354" t="str">
        <f>MID(TB_CECO[[#This Row],[CECO_T]],1,5)</f>
        <v>15314</v>
      </c>
      <c r="B354" t="str">
        <f>MID(TB_CECO[[#This Row],[TRABAJO]],1,SEARCH(",",TB_CECO[[#This Row],[TRABAJO]],1)-1)</f>
        <v>TJ 620 CH 592</v>
      </c>
      <c r="C3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592,SPLIT CON MALLA     </v>
      </c>
      <c r="D3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4" s="47" t="s">
        <v>688</v>
      </c>
      <c r="G354" t="s">
        <v>689</v>
      </c>
      <c r="H3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55" spans="1:8" ht="15" customHeight="1" x14ac:dyDescent="0.25">
      <c r="A355" t="str">
        <f>MID(TB_CECO[[#This Row],[CECO_T]],1,5)</f>
        <v>15314</v>
      </c>
      <c r="B355" t="str">
        <f>MID(TB_CECO[[#This Row],[TRABAJO]],1,SEARCH(",",TB_CECO[[#This Row],[TRABAJO]],1)-1)</f>
        <v>TJ 620 CH 592</v>
      </c>
      <c r="C3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592,IZAJE Y DESCENSO W  </v>
      </c>
      <c r="D3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5" s="47" t="s">
        <v>690</v>
      </c>
      <c r="G355" t="s">
        <v>691</v>
      </c>
      <c r="H3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56" spans="1:8" ht="15" customHeight="1" x14ac:dyDescent="0.25">
      <c r="A356" t="str">
        <f>MID(TB_CECO[[#This Row],[CECO_T]],1,5)</f>
        <v>15314</v>
      </c>
      <c r="B356" t="str">
        <f>MID(TB_CECO[[#This Row],[TRABAJO]],1,SEARCH(",",TB_CECO[[#This Row],[TRABAJO]],1)-1)</f>
        <v>TJ 620 CH 592</v>
      </c>
      <c r="C3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592,PERFORACION         </v>
      </c>
      <c r="D3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6" s="47" t="s">
        <v>692</v>
      </c>
      <c r="G356" t="s">
        <v>693</v>
      </c>
      <c r="H3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57" spans="1:8" ht="15" customHeight="1" x14ac:dyDescent="0.25">
      <c r="A357" t="str">
        <f>MID(TB_CECO[[#This Row],[CECO_T]],1,5)</f>
        <v>15316</v>
      </c>
      <c r="B357" t="str">
        <f>MID(TB_CECO[[#This Row],[TRABAJO]],1,SEARCH(",",TB_CECO[[#This Row],[TRABAJO]],1)-1)</f>
        <v>TJ 620 CH 610</v>
      </c>
      <c r="C3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610,DESQUINCHE          </v>
      </c>
      <c r="D3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7" s="47" t="s">
        <v>694</v>
      </c>
      <c r="G357" t="s">
        <v>695</v>
      </c>
      <c r="H3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58" spans="1:8" ht="15" customHeight="1" x14ac:dyDescent="0.25">
      <c r="A358" t="str">
        <f>MID(TB_CECO[[#This Row],[CECO_T]],1,5)</f>
        <v>15316</v>
      </c>
      <c r="B358" t="str">
        <f>MID(TB_CECO[[#This Row],[TRABAJO]],1,SEARCH(",",TB_CECO[[#This Row],[TRABAJO]],1)-1)</f>
        <v>TJ 620 CH 610</v>
      </c>
      <c r="C3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610,ENMADERADO          </v>
      </c>
      <c r="D3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8" s="47" t="s">
        <v>696</v>
      </c>
      <c r="G358" t="s">
        <v>697</v>
      </c>
      <c r="H3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59" spans="1:8" ht="15" customHeight="1" x14ac:dyDescent="0.25">
      <c r="A359" t="str">
        <f>MID(TB_CECO[[#This Row],[CECO_T]],1,5)</f>
        <v>15316</v>
      </c>
      <c r="B359" t="str">
        <f>MID(TB_CECO[[#This Row],[TRABAJO]],1,SEARCH(",",TB_CECO[[#This Row],[TRABAJO]],1)-1)</f>
        <v>TJ 620 CH 610</v>
      </c>
      <c r="C3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610,LIMPIEZA            </v>
      </c>
      <c r="D3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9" s="47" t="s">
        <v>698</v>
      </c>
      <c r="G359" t="s">
        <v>699</v>
      </c>
      <c r="H3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60" spans="1:8" ht="15" customHeight="1" x14ac:dyDescent="0.25">
      <c r="A360" t="str">
        <f>MID(TB_CECO[[#This Row],[CECO_T]],1,5)</f>
        <v>15316</v>
      </c>
      <c r="B360" t="str">
        <f>MID(TB_CECO[[#This Row],[TRABAJO]],1,SEARCH(",",TB_CECO[[#This Row],[TRABAJO]],1)-1)</f>
        <v>TJ 620 CH 610</v>
      </c>
      <c r="C3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610,SERVICIOS           </v>
      </c>
      <c r="D3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0" s="47" t="s">
        <v>700</v>
      </c>
      <c r="G360" t="s">
        <v>701</v>
      </c>
      <c r="H3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61" spans="1:8" ht="15" customHeight="1" x14ac:dyDescent="0.25">
      <c r="A361" t="str">
        <f>MID(TB_CECO[[#This Row],[CECO_T]],1,5)</f>
        <v>15316</v>
      </c>
      <c r="B361" t="str">
        <f>MID(TB_CECO[[#This Row],[TRABAJO]],1,SEARCH(",",TB_CECO[[#This Row],[TRABAJO]],1)-1)</f>
        <v>TJ 620 CH 610</v>
      </c>
      <c r="C3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610,EXTRACCION          </v>
      </c>
      <c r="D3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1" s="47" t="s">
        <v>702</v>
      </c>
      <c r="G361" t="s">
        <v>703</v>
      </c>
      <c r="H3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62" spans="1:8" ht="15" customHeight="1" x14ac:dyDescent="0.25">
      <c r="A362" t="str">
        <f>MID(TB_CECO[[#This Row],[CECO_T]],1,5)</f>
        <v>15316</v>
      </c>
      <c r="B362" t="str">
        <f>MID(TB_CECO[[#This Row],[TRABAJO]],1,SEARCH(",",TB_CECO[[#This Row],[TRABAJO]],1)-1)</f>
        <v>TJ 620 CH 610</v>
      </c>
      <c r="C3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610,SPLIT SET           </v>
      </c>
      <c r="D3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2" s="47" t="s">
        <v>704</v>
      </c>
      <c r="G362" t="s">
        <v>705</v>
      </c>
      <c r="H3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63" spans="1:8" ht="15" customHeight="1" x14ac:dyDescent="0.25">
      <c r="A363" t="str">
        <f>MID(TB_CECO[[#This Row],[CECO_T]],1,5)</f>
        <v>15316</v>
      </c>
      <c r="B363" t="str">
        <f>MID(TB_CECO[[#This Row],[TRABAJO]],1,SEARCH(",",TB_CECO[[#This Row],[TRABAJO]],1)-1)</f>
        <v>TJ 620 CH 610</v>
      </c>
      <c r="C3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610,SPLIT CON MALLA     </v>
      </c>
      <c r="D3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3" s="47" t="s">
        <v>706</v>
      </c>
      <c r="G363" t="s">
        <v>707</v>
      </c>
      <c r="H3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64" spans="1:8" ht="15" customHeight="1" x14ac:dyDescent="0.25">
      <c r="A364" t="str">
        <f>MID(TB_CECO[[#This Row],[CECO_T]],1,5)</f>
        <v>15316</v>
      </c>
      <c r="B364" t="str">
        <f>MID(TB_CECO[[#This Row],[TRABAJO]],1,SEARCH(",",TB_CECO[[#This Row],[TRABAJO]],1)-1)</f>
        <v>TJ 620 CH 610</v>
      </c>
      <c r="C3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610,IZAJE Y DESCENSO W  </v>
      </c>
      <c r="D3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4" s="47" t="s">
        <v>708</v>
      </c>
      <c r="G364" t="s">
        <v>709</v>
      </c>
      <c r="H3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65" spans="1:8" ht="15" customHeight="1" x14ac:dyDescent="0.25">
      <c r="A365" t="str">
        <f>MID(TB_CECO[[#This Row],[CECO_T]],1,5)</f>
        <v>15316</v>
      </c>
      <c r="B365" t="str">
        <f>MID(TB_CECO[[#This Row],[TRABAJO]],1,SEARCH(",",TB_CECO[[#This Row],[TRABAJO]],1)-1)</f>
        <v>TJ 620 CH 610</v>
      </c>
      <c r="C3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610,PERFORACION         </v>
      </c>
      <c r="D3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5" s="47" t="s">
        <v>710</v>
      </c>
      <c r="G365" t="s">
        <v>711</v>
      </c>
      <c r="H3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66" spans="1:8" ht="15" customHeight="1" x14ac:dyDescent="0.25">
      <c r="A366" t="str">
        <f>MID(TB_CECO[[#This Row],[CECO_T]],1,5)</f>
        <v>15319</v>
      </c>
      <c r="B366" t="str">
        <f>MID(TB_CECO[[#This Row],[TRABAJO]],1,SEARCH(",",TB_CECO[[#This Row],[TRABAJO]],1)-1)</f>
        <v xml:space="preserve"> TJ 070 CH 105</v>
      </c>
      <c r="C3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DESQUINCHE       </v>
      </c>
      <c r="D3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6" s="47" t="s">
        <v>712</v>
      </c>
      <c r="G366" t="s">
        <v>10969</v>
      </c>
      <c r="H3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7" spans="1:8" ht="15" customHeight="1" x14ac:dyDescent="0.25">
      <c r="A367" t="str">
        <f>MID(TB_CECO[[#This Row],[CECO_T]],1,5)</f>
        <v>15319</v>
      </c>
      <c r="B367" t="str">
        <f>MID(TB_CECO[[#This Row],[TRABAJO]],1,SEARCH(",",TB_CECO[[#This Row],[TRABAJO]],1)-1)</f>
        <v xml:space="preserve"> TJ 070 CH 105</v>
      </c>
      <c r="C3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ENMADERADO       </v>
      </c>
      <c r="D3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7" s="47" t="s">
        <v>713</v>
      </c>
      <c r="G367" t="s">
        <v>10970</v>
      </c>
      <c r="H3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8" spans="1:8" ht="15" customHeight="1" x14ac:dyDescent="0.25">
      <c r="A368" t="str">
        <f>MID(TB_CECO[[#This Row],[CECO_T]],1,5)</f>
        <v>15319</v>
      </c>
      <c r="B368" t="str">
        <f>MID(TB_CECO[[#This Row],[TRABAJO]],1,SEARCH(",",TB_CECO[[#This Row],[TRABAJO]],1)-1)</f>
        <v xml:space="preserve"> TJ 070 CH 105</v>
      </c>
      <c r="C3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LIMPIEZA         </v>
      </c>
      <c r="D3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8" s="47" t="s">
        <v>714</v>
      </c>
      <c r="G368" t="s">
        <v>10971</v>
      </c>
      <c r="H3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9" spans="1:8" ht="15" customHeight="1" x14ac:dyDescent="0.25">
      <c r="A369" t="str">
        <f>MID(TB_CECO[[#This Row],[CECO_T]],1,5)</f>
        <v>15319</v>
      </c>
      <c r="B369" t="str">
        <f>MID(TB_CECO[[#This Row],[TRABAJO]],1,SEARCH(",",TB_CECO[[#This Row],[TRABAJO]],1)-1)</f>
        <v xml:space="preserve"> TJ 070 CH 105</v>
      </c>
      <c r="C3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SERVICIOS        </v>
      </c>
      <c r="D3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9" s="47" t="s">
        <v>715</v>
      </c>
      <c r="G369" t="s">
        <v>10972</v>
      </c>
      <c r="H3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0" spans="1:8" ht="15" customHeight="1" x14ac:dyDescent="0.25">
      <c r="A370" t="str">
        <f>MID(TB_CECO[[#This Row],[CECO_T]],1,5)</f>
        <v>15319</v>
      </c>
      <c r="B370" t="str">
        <f>MID(TB_CECO[[#This Row],[TRABAJO]],1,SEARCH(",",TB_CECO[[#This Row],[TRABAJO]],1)-1)</f>
        <v xml:space="preserve"> TJ 070 CH 105</v>
      </c>
      <c r="C3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EXTRACCION       </v>
      </c>
      <c r="D3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0" s="47" t="s">
        <v>716</v>
      </c>
      <c r="G370" t="s">
        <v>10973</v>
      </c>
      <c r="H3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1" spans="1:8" ht="15" customHeight="1" x14ac:dyDescent="0.25">
      <c r="A371" t="str">
        <f>MID(TB_CECO[[#This Row],[CECO_T]],1,5)</f>
        <v>15319</v>
      </c>
      <c r="B371" t="str">
        <f>MID(TB_CECO[[#This Row],[TRABAJO]],1,SEARCH(",",TB_CECO[[#This Row],[TRABAJO]],1)-1)</f>
        <v xml:space="preserve"> TJ 070 CH 105</v>
      </c>
      <c r="C3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SPLIT SET        </v>
      </c>
      <c r="D3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1" s="47" t="s">
        <v>717</v>
      </c>
      <c r="G371" t="s">
        <v>10974</v>
      </c>
      <c r="H3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2" spans="1:8" ht="15" customHeight="1" x14ac:dyDescent="0.25">
      <c r="A372" t="str">
        <f>MID(TB_CECO[[#This Row],[CECO_T]],1,5)</f>
        <v>15319</v>
      </c>
      <c r="B372" t="str">
        <f>MID(TB_CECO[[#This Row],[TRABAJO]],1,SEARCH(",",TB_CECO[[#This Row],[TRABAJO]],1)-1)</f>
        <v xml:space="preserve"> TJ 070 CH 105</v>
      </c>
      <c r="C3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SPLIT CON MALLA  </v>
      </c>
      <c r="D3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2" s="47" t="s">
        <v>718</v>
      </c>
      <c r="G372" t="s">
        <v>10975</v>
      </c>
      <c r="H3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3" spans="1:8" ht="15" customHeight="1" x14ac:dyDescent="0.25">
      <c r="A373" t="str">
        <f>MID(TB_CECO[[#This Row],[CECO_T]],1,5)</f>
        <v>15319</v>
      </c>
      <c r="B373" t="str">
        <f>MID(TB_CECO[[#This Row],[TRABAJO]],1,SEARCH(",",TB_CECO[[#This Row],[TRABAJO]],1)-1)</f>
        <v xml:space="preserve"> TJ 070 CH 105</v>
      </c>
      <c r="C3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IZAJE Y DESCENSO </v>
      </c>
      <c r="D3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3" s="47" t="s">
        <v>719</v>
      </c>
      <c r="G373" t="s">
        <v>10976</v>
      </c>
      <c r="H3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4" spans="1:8" ht="15" customHeight="1" x14ac:dyDescent="0.25">
      <c r="A374" t="str">
        <f>MID(TB_CECO[[#This Row],[CECO_T]],1,5)</f>
        <v>15319</v>
      </c>
      <c r="B374" t="str">
        <f>MID(TB_CECO[[#This Row],[TRABAJO]],1,SEARCH(",",TB_CECO[[#This Row],[TRABAJO]],1)-1)</f>
        <v xml:space="preserve"> TJ 070 CH 105</v>
      </c>
      <c r="C3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PERFORACION      </v>
      </c>
      <c r="D3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4" s="47" t="s">
        <v>720</v>
      </c>
      <c r="G374" t="s">
        <v>10977</v>
      </c>
      <c r="H3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5" spans="1:8" ht="15" customHeight="1" x14ac:dyDescent="0.25">
      <c r="A375" t="str">
        <f>MID(TB_CECO[[#This Row],[CECO_T]],1,5)</f>
        <v>15323</v>
      </c>
      <c r="B375" t="str">
        <f>MID(TB_CECO[[#This Row],[TRABAJO]],1,SEARCH(",",TB_CECO[[#This Row],[TRABAJO]],1)-1)</f>
        <v>TJ 580-SW (CH 580)</v>
      </c>
      <c r="C3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580-SW (CH 580),DESQUINCHE     </v>
      </c>
      <c r="D3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5" s="47" t="s">
        <v>721</v>
      </c>
      <c r="G375" t="s">
        <v>722</v>
      </c>
      <c r="H3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6" spans="1:8" ht="15" customHeight="1" x14ac:dyDescent="0.25">
      <c r="A376" t="str">
        <f>MID(TB_CECO[[#This Row],[CECO_T]],1,5)</f>
        <v>15323</v>
      </c>
      <c r="B376" t="str">
        <f>MID(TB_CECO[[#This Row],[TRABAJO]],1,SEARCH(",",TB_CECO[[#This Row],[TRABAJO]],1)-1)</f>
        <v>TJ 580-SW (CH 580)</v>
      </c>
      <c r="C3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580-SW (CH 580),ENMADERADO     </v>
      </c>
      <c r="D3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6" s="47" t="s">
        <v>723</v>
      </c>
      <c r="G376" t="s">
        <v>724</v>
      </c>
      <c r="H3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7" spans="1:8" ht="15" customHeight="1" x14ac:dyDescent="0.25">
      <c r="A377" t="str">
        <f>MID(TB_CECO[[#This Row],[CECO_T]],1,5)</f>
        <v>15323</v>
      </c>
      <c r="B377" t="str">
        <f>MID(TB_CECO[[#This Row],[TRABAJO]],1,SEARCH(",",TB_CECO[[#This Row],[TRABAJO]],1)-1)</f>
        <v>TJ 580-SW (CH 580)</v>
      </c>
      <c r="C3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580-SW (CH 580),LIMPIEZA       </v>
      </c>
      <c r="D3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7" s="47" t="s">
        <v>725</v>
      </c>
      <c r="G377" t="s">
        <v>726</v>
      </c>
      <c r="H3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8" spans="1:8" ht="15" customHeight="1" x14ac:dyDescent="0.25">
      <c r="A378" t="str">
        <f>MID(TB_CECO[[#This Row],[CECO_T]],1,5)</f>
        <v>15323</v>
      </c>
      <c r="B378" t="str">
        <f>MID(TB_CECO[[#This Row],[TRABAJO]],1,SEARCH(",",TB_CECO[[#This Row],[TRABAJO]],1)-1)</f>
        <v>TJ 580-SW (CH 580)</v>
      </c>
      <c r="C3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580-SW (CH 580),SERVICIOS      </v>
      </c>
      <c r="D3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8" s="47" t="s">
        <v>727</v>
      </c>
      <c r="G378" t="s">
        <v>728</v>
      </c>
      <c r="H3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9" spans="1:8" ht="15" customHeight="1" x14ac:dyDescent="0.25">
      <c r="A379" t="str">
        <f>MID(TB_CECO[[#This Row],[CECO_T]],1,5)</f>
        <v>15323</v>
      </c>
      <c r="B379" t="str">
        <f>MID(TB_CECO[[#This Row],[TRABAJO]],1,SEARCH(",",TB_CECO[[#This Row],[TRABAJO]],1)-1)</f>
        <v>TJ 580-SW (CH 580)</v>
      </c>
      <c r="C3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580-SW (CH 580),EXTRACCION     </v>
      </c>
      <c r="D3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9" s="47" t="s">
        <v>729</v>
      </c>
      <c r="G379" t="s">
        <v>730</v>
      </c>
      <c r="H3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80" spans="1:8" ht="15" customHeight="1" x14ac:dyDescent="0.25">
      <c r="A380" t="str">
        <f>MID(TB_CECO[[#This Row],[CECO_T]],1,5)</f>
        <v>15323</v>
      </c>
      <c r="B380" t="str">
        <f>MID(TB_CECO[[#This Row],[TRABAJO]],1,SEARCH(",",TB_CECO[[#This Row],[TRABAJO]],1)-1)</f>
        <v>TJ 580-SW (CH 580)</v>
      </c>
      <c r="C3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580-SW (CH 580),SPLIT SET      </v>
      </c>
      <c r="D3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0" s="47" t="s">
        <v>731</v>
      </c>
      <c r="G380" t="s">
        <v>732</v>
      </c>
      <c r="H3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81" spans="1:8" ht="15" customHeight="1" x14ac:dyDescent="0.25">
      <c r="A381" t="str">
        <f>MID(TB_CECO[[#This Row],[CECO_T]],1,5)</f>
        <v>15323</v>
      </c>
      <c r="B381" t="str">
        <f>MID(TB_CECO[[#This Row],[TRABAJO]],1,SEARCH(",",TB_CECO[[#This Row],[TRABAJO]],1)-1)</f>
        <v>TJ 580-SW (CH 580)</v>
      </c>
      <c r="C3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580-SW (CH 580),SPLIT CON MALLA</v>
      </c>
      <c r="D3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1" s="47" t="s">
        <v>733</v>
      </c>
      <c r="G381" t="s">
        <v>734</v>
      </c>
      <c r="H3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82" spans="1:8" ht="15" customHeight="1" x14ac:dyDescent="0.25">
      <c r="A382" t="str">
        <f>MID(TB_CECO[[#This Row],[CECO_T]],1,5)</f>
        <v>15323</v>
      </c>
      <c r="B382" t="str">
        <f>MID(TB_CECO[[#This Row],[TRABAJO]],1,SEARCH(",",TB_CECO[[#This Row],[TRABAJO]],1)-1)</f>
        <v>TJ 580-SW (CH 580)</v>
      </c>
      <c r="C3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580-SW (CH 580),IZAJE Y DESCENS</v>
      </c>
      <c r="D3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2" s="47" t="s">
        <v>735</v>
      </c>
      <c r="G382" t="s">
        <v>736</v>
      </c>
      <c r="H3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83" spans="1:8" ht="15" customHeight="1" x14ac:dyDescent="0.25">
      <c r="A383" t="str">
        <f>MID(TB_CECO[[#This Row],[CECO_T]],1,5)</f>
        <v>15323</v>
      </c>
      <c r="B383" t="str">
        <f>MID(TB_CECO[[#This Row],[TRABAJO]],1,SEARCH(",",TB_CECO[[#This Row],[TRABAJO]],1)-1)</f>
        <v>TJ 580-SW (CH 580)</v>
      </c>
      <c r="C3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580-SW (CH 580),PERFORACION    </v>
      </c>
      <c r="D3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3" s="47" t="s">
        <v>737</v>
      </c>
      <c r="G383" t="s">
        <v>738</v>
      </c>
      <c r="H3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84" spans="1:8" ht="15" customHeight="1" x14ac:dyDescent="0.25">
      <c r="A384" t="str">
        <f>MID(TB_CECO[[#This Row],[CECO_T]],1,5)</f>
        <v>21411</v>
      </c>
      <c r="B384" t="str">
        <f>MID(TB_CECO[[#This Row],[TRABAJO]],1,SEARCH(",",TB_CECO[[#This Row],[TRABAJO]],1)-1)</f>
        <v>SNv. 612 SE CH 626</v>
      </c>
      <c r="C3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626,DESQUINCHE         </v>
      </c>
      <c r="D3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84" s="47" t="s">
        <v>739</v>
      </c>
      <c r="G384" t="s">
        <v>740</v>
      </c>
      <c r="H3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5" spans="1:8" ht="15" customHeight="1" x14ac:dyDescent="0.25">
      <c r="A385" t="str">
        <f>MID(TB_CECO[[#This Row],[CECO_T]],1,5)</f>
        <v>21411</v>
      </c>
      <c r="B385" t="str">
        <f>MID(TB_CECO[[#This Row],[TRABAJO]],1,SEARCH(",",TB_CECO[[#This Row],[TRABAJO]],1)-1)</f>
        <v>SNv. 612 SE CH 626</v>
      </c>
      <c r="C3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626,ENMADERADO         </v>
      </c>
      <c r="D3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85" s="47" t="s">
        <v>741</v>
      </c>
      <c r="G385" t="s">
        <v>742</v>
      </c>
      <c r="H3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6" spans="1:8" ht="15" customHeight="1" x14ac:dyDescent="0.25">
      <c r="A386" t="str">
        <f>MID(TB_CECO[[#This Row],[CECO_T]],1,5)</f>
        <v>21411</v>
      </c>
      <c r="B386" t="str">
        <f>MID(TB_CECO[[#This Row],[TRABAJO]],1,SEARCH(",",TB_CECO[[#This Row],[TRABAJO]],1)-1)</f>
        <v>SNv. 612 SE CH 626</v>
      </c>
      <c r="C3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626,LIMPIEZA           </v>
      </c>
      <c r="D3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86" s="47" t="s">
        <v>743</v>
      </c>
      <c r="G386" t="s">
        <v>744</v>
      </c>
      <c r="H3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7" spans="1:8" ht="15" customHeight="1" x14ac:dyDescent="0.25">
      <c r="A387" t="str">
        <f>MID(TB_CECO[[#This Row],[CECO_T]],1,5)</f>
        <v>21411</v>
      </c>
      <c r="B387" t="str">
        <f>MID(TB_CECO[[#This Row],[TRABAJO]],1,SEARCH(",",TB_CECO[[#This Row],[TRABAJO]],1)-1)</f>
        <v>SNv. 612 SE CH 626</v>
      </c>
      <c r="C3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626,SERVICIOS          </v>
      </c>
      <c r="D3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87" s="47" t="s">
        <v>745</v>
      </c>
      <c r="G387" t="s">
        <v>746</v>
      </c>
      <c r="H3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8" spans="1:8" ht="15" customHeight="1" x14ac:dyDescent="0.25">
      <c r="A388" t="str">
        <f>MID(TB_CECO[[#This Row],[CECO_T]],1,5)</f>
        <v>21411</v>
      </c>
      <c r="B388" t="str">
        <f>MID(TB_CECO[[#This Row],[TRABAJO]],1,SEARCH(",",TB_CECO[[#This Row],[TRABAJO]],1)-1)</f>
        <v>SNv. 612 SE CH 626</v>
      </c>
      <c r="C3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626,EXTRACCION         </v>
      </c>
      <c r="D3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88" s="47" t="s">
        <v>747</v>
      </c>
      <c r="G388" t="s">
        <v>748</v>
      </c>
      <c r="H3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9" spans="1:8" ht="15" customHeight="1" x14ac:dyDescent="0.25">
      <c r="A389" t="str">
        <f>MID(TB_CECO[[#This Row],[CECO_T]],1,5)</f>
        <v>21411</v>
      </c>
      <c r="B389" t="str">
        <f>MID(TB_CECO[[#This Row],[TRABAJO]],1,SEARCH(",",TB_CECO[[#This Row],[TRABAJO]],1)-1)</f>
        <v>SNv. 612 SE CH 626</v>
      </c>
      <c r="C3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626,SPLIT SET          </v>
      </c>
      <c r="D3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89" s="47" t="s">
        <v>749</v>
      </c>
      <c r="G389" t="s">
        <v>750</v>
      </c>
      <c r="H3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0" spans="1:8" ht="15" customHeight="1" x14ac:dyDescent="0.25">
      <c r="A390" t="str">
        <f>MID(TB_CECO[[#This Row],[CECO_T]],1,5)</f>
        <v>21411</v>
      </c>
      <c r="B390" t="str">
        <f>MID(TB_CECO[[#This Row],[TRABAJO]],1,SEARCH(",",TB_CECO[[#This Row],[TRABAJO]],1)-1)</f>
        <v>SNv. 612 SE CH 626</v>
      </c>
      <c r="C3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626,SPLIT CON MALLA    </v>
      </c>
      <c r="D3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90" s="47" t="s">
        <v>751</v>
      </c>
      <c r="G390" t="s">
        <v>752</v>
      </c>
      <c r="H3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1" spans="1:8" ht="15" customHeight="1" x14ac:dyDescent="0.25">
      <c r="A391" t="str">
        <f>MID(TB_CECO[[#This Row],[CECO_T]],1,5)</f>
        <v>21411</v>
      </c>
      <c r="B391" t="str">
        <f>MID(TB_CECO[[#This Row],[TRABAJO]],1,SEARCH(",",TB_CECO[[#This Row],[TRABAJO]],1)-1)</f>
        <v>SNv. 612 SE CH 626</v>
      </c>
      <c r="C3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626,IZAJE Y DESCENSO   </v>
      </c>
      <c r="D3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91" s="47" t="s">
        <v>753</v>
      </c>
      <c r="G391" t="s">
        <v>754</v>
      </c>
      <c r="H3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2" spans="1:8" ht="15" customHeight="1" x14ac:dyDescent="0.25">
      <c r="A392" t="str">
        <f>MID(TB_CECO[[#This Row],[CECO_T]],1,5)</f>
        <v>21411</v>
      </c>
      <c r="B392" t="str">
        <f>MID(TB_CECO[[#This Row],[TRABAJO]],1,SEARCH(",",TB_CECO[[#This Row],[TRABAJO]],1)-1)</f>
        <v>SNv. 612 SE CH 626</v>
      </c>
      <c r="C3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626,PERFORACION        </v>
      </c>
      <c r="D3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92" s="47" t="s">
        <v>755</v>
      </c>
      <c r="G392" t="s">
        <v>756</v>
      </c>
      <c r="H3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3" spans="1:8" ht="15" customHeight="1" x14ac:dyDescent="0.25">
      <c r="A393" t="str">
        <f>MID(TB_CECO[[#This Row],[CECO_T]],1,5)</f>
        <v>21415</v>
      </c>
      <c r="B393" t="str">
        <f>MID(TB_CECO[[#This Row],[TRABAJO]],1,SEARCH(",",TB_CECO[[#This Row],[TRABAJO]],1)-1)</f>
        <v xml:space="preserve">SNv. 613 NW  SNv. 617 NW </v>
      </c>
      <c r="C3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 SNv. 617 NW ,DESQUINCHE  </v>
      </c>
      <c r="D3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93" s="47" t="s">
        <v>757</v>
      </c>
      <c r="G393" t="s">
        <v>758</v>
      </c>
      <c r="H3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4" spans="1:8" ht="15" customHeight="1" x14ac:dyDescent="0.25">
      <c r="A394" t="str">
        <f>MID(TB_CECO[[#This Row],[CECO_T]],1,5)</f>
        <v>21415</v>
      </c>
      <c r="B394" t="str">
        <f>MID(TB_CECO[[#This Row],[TRABAJO]],1,SEARCH(",",TB_CECO[[#This Row],[TRABAJO]],1)-1)</f>
        <v xml:space="preserve">SNv. 613 NW  SNv. 617 NW </v>
      </c>
      <c r="C3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 SNv. 617 NW ,ENMADERADO  </v>
      </c>
      <c r="D3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94" s="47" t="s">
        <v>759</v>
      </c>
      <c r="G394" t="s">
        <v>760</v>
      </c>
      <c r="H3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5" spans="1:8" ht="15" customHeight="1" x14ac:dyDescent="0.25">
      <c r="A395" t="str">
        <f>MID(TB_CECO[[#This Row],[CECO_T]],1,5)</f>
        <v>21415</v>
      </c>
      <c r="B395" t="str">
        <f>MID(TB_CECO[[#This Row],[TRABAJO]],1,SEARCH(",",TB_CECO[[#This Row],[TRABAJO]],1)-1)</f>
        <v xml:space="preserve">SNv. 613 NW  SNv. 617 NW </v>
      </c>
      <c r="C3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 SNv. 617 NW ,LIMPIEZA    </v>
      </c>
      <c r="D3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95" s="47" t="s">
        <v>761</v>
      </c>
      <c r="G395" t="s">
        <v>762</v>
      </c>
      <c r="H3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6" spans="1:8" ht="15" customHeight="1" x14ac:dyDescent="0.25">
      <c r="A396" t="str">
        <f>MID(TB_CECO[[#This Row],[CECO_T]],1,5)</f>
        <v>21415</v>
      </c>
      <c r="B396" t="str">
        <f>MID(TB_CECO[[#This Row],[TRABAJO]],1,SEARCH(",",TB_CECO[[#This Row],[TRABAJO]],1)-1)</f>
        <v xml:space="preserve">SNv. 613 NW  SNv. 617 NW </v>
      </c>
      <c r="C3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 SNv. 617 NW ,SERVICIOS   </v>
      </c>
      <c r="D3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96" s="47" t="s">
        <v>763</v>
      </c>
      <c r="G396" t="s">
        <v>764</v>
      </c>
      <c r="H3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7" spans="1:8" ht="15" customHeight="1" x14ac:dyDescent="0.25">
      <c r="A397" t="str">
        <f>MID(TB_CECO[[#This Row],[CECO_T]],1,5)</f>
        <v>21415</v>
      </c>
      <c r="B397" t="str">
        <f>MID(TB_CECO[[#This Row],[TRABAJO]],1,SEARCH(",",TB_CECO[[#This Row],[TRABAJO]],1)-1)</f>
        <v xml:space="preserve">SNv. 613 NW  SNv. 617 NW </v>
      </c>
      <c r="C3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 SNv. 617 NW ,EXTRACCION  </v>
      </c>
      <c r="D3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97" s="47" t="s">
        <v>765</v>
      </c>
      <c r="G397" t="s">
        <v>766</v>
      </c>
      <c r="H3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8" spans="1:8" ht="15" customHeight="1" x14ac:dyDescent="0.25">
      <c r="A398" t="str">
        <f>MID(TB_CECO[[#This Row],[CECO_T]],1,5)</f>
        <v>21415</v>
      </c>
      <c r="B398" t="str">
        <f>MID(TB_CECO[[#This Row],[TRABAJO]],1,SEARCH(",",TB_CECO[[#This Row],[TRABAJO]],1)-1)</f>
        <v xml:space="preserve">SNv. 613 NW  SNv. 617 NW </v>
      </c>
      <c r="C3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 SNv. 617 NW ,SPLIT SET   </v>
      </c>
      <c r="D3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98" s="47" t="s">
        <v>767</v>
      </c>
      <c r="G398" t="s">
        <v>768</v>
      </c>
      <c r="H3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9" spans="1:8" ht="15" customHeight="1" x14ac:dyDescent="0.25">
      <c r="A399" t="str">
        <f>MID(TB_CECO[[#This Row],[CECO_T]],1,5)</f>
        <v>21415</v>
      </c>
      <c r="B399" t="str">
        <f>MID(TB_CECO[[#This Row],[TRABAJO]],1,SEARCH(",",TB_CECO[[#This Row],[TRABAJO]],1)-1)</f>
        <v xml:space="preserve">SNv. 613 NW  SNv. 617 NW </v>
      </c>
      <c r="C3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 613 NW  SNv. 617 NW ,SPLIT CON MA</v>
      </c>
      <c r="D3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3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99" s="47" t="s">
        <v>769</v>
      </c>
      <c r="G399" t="s">
        <v>770</v>
      </c>
      <c r="H3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0" spans="1:8" ht="15" customHeight="1" x14ac:dyDescent="0.25">
      <c r="A400" t="str">
        <f>MID(TB_CECO[[#This Row],[CECO_T]],1,5)</f>
        <v>21415</v>
      </c>
      <c r="B400" t="str">
        <f>MID(TB_CECO[[#This Row],[TRABAJO]],1,SEARCH(",",TB_CECO[[#This Row],[TRABAJO]],1)-1)</f>
        <v xml:space="preserve">SNv. 613 NW  SNv. 617 NW </v>
      </c>
      <c r="C4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 613 NW  SNv. 617 NW ,IZAJE Y DESC</v>
      </c>
      <c r="D4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00" s="47" t="s">
        <v>771</v>
      </c>
      <c r="G400" t="s">
        <v>772</v>
      </c>
      <c r="H4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1" spans="1:8" ht="15" customHeight="1" x14ac:dyDescent="0.25">
      <c r="A401" t="str">
        <f>MID(TB_CECO[[#This Row],[CECO_T]],1,5)</f>
        <v>21415</v>
      </c>
      <c r="B401" t="str">
        <f>MID(TB_CECO[[#This Row],[TRABAJO]],1,SEARCH(",",TB_CECO[[#This Row],[TRABAJO]],1)-1)</f>
        <v xml:space="preserve">SNv. 613 NW  SNv. 617 NW </v>
      </c>
      <c r="C4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 SNv. 617 NW ,PERFORACION </v>
      </c>
      <c r="D4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01" s="47" t="s">
        <v>773</v>
      </c>
      <c r="G401" t="s">
        <v>774</v>
      </c>
      <c r="H4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2" spans="1:8" ht="15" customHeight="1" x14ac:dyDescent="0.25">
      <c r="A402" t="str">
        <f>MID(TB_CECO[[#This Row],[CECO_T]],1,5)</f>
        <v>21517</v>
      </c>
      <c r="B402" t="str">
        <f>MID(TB_CECO[[#This Row],[TRABAJO]],1,SEARCH(",",TB_CECO[[#This Row],[TRABAJO]],1)-1)</f>
        <v>Est 568 SE SNV 585-9 SE</v>
      </c>
      <c r="C4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568 SE SNV 585-9 SE,DESQUINCHE    </v>
      </c>
      <c r="D4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02" s="47" t="s">
        <v>775</v>
      </c>
      <c r="G402" t="s">
        <v>776</v>
      </c>
      <c r="H4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3" spans="1:8" ht="15" customHeight="1" x14ac:dyDescent="0.25">
      <c r="A403" t="str">
        <f>MID(TB_CECO[[#This Row],[CECO_T]],1,5)</f>
        <v>21517</v>
      </c>
      <c r="B403" t="str">
        <f>MID(TB_CECO[[#This Row],[TRABAJO]],1,SEARCH(",",TB_CECO[[#This Row],[TRABAJO]],1)-1)</f>
        <v>Est 568 SE SNV 585-9 SE</v>
      </c>
      <c r="C4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568 SE SNV 585-9 SE,ENMADERADO    </v>
      </c>
      <c r="D4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03" s="47" t="s">
        <v>777</v>
      </c>
      <c r="G403" t="s">
        <v>778</v>
      </c>
      <c r="H4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4" spans="1:8" ht="15" customHeight="1" x14ac:dyDescent="0.25">
      <c r="A404" t="str">
        <f>MID(TB_CECO[[#This Row],[CECO_T]],1,5)</f>
        <v>21517</v>
      </c>
      <c r="B404" t="str">
        <f>MID(TB_CECO[[#This Row],[TRABAJO]],1,SEARCH(",",TB_CECO[[#This Row],[TRABAJO]],1)-1)</f>
        <v>Est 568 SE SNV 585-9 SE</v>
      </c>
      <c r="C4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568 SE SNV 585-9 SE,LIMPIEZA      </v>
      </c>
      <c r="D4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04" s="47" t="s">
        <v>779</v>
      </c>
      <c r="G404" t="s">
        <v>780</v>
      </c>
      <c r="H4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5" spans="1:8" ht="15" customHeight="1" x14ac:dyDescent="0.25">
      <c r="A405" t="str">
        <f>MID(TB_CECO[[#This Row],[CECO_T]],1,5)</f>
        <v>21517</v>
      </c>
      <c r="B405" t="str">
        <f>MID(TB_CECO[[#This Row],[TRABAJO]],1,SEARCH(",",TB_CECO[[#This Row],[TRABAJO]],1)-1)</f>
        <v>Est 568 SE SNV 585-9 SE</v>
      </c>
      <c r="C4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568 SE SNV 585-9 SE,SERVICIOS     </v>
      </c>
      <c r="D4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05" s="47" t="s">
        <v>781</v>
      </c>
      <c r="G405" t="s">
        <v>782</v>
      </c>
      <c r="H4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6" spans="1:8" ht="15" customHeight="1" x14ac:dyDescent="0.25">
      <c r="A406" t="str">
        <f>MID(TB_CECO[[#This Row],[CECO_T]],1,5)</f>
        <v>21517</v>
      </c>
      <c r="B406" t="str">
        <f>MID(TB_CECO[[#This Row],[TRABAJO]],1,SEARCH(",",TB_CECO[[#This Row],[TRABAJO]],1)-1)</f>
        <v>Est 568 SE SNV 585-9 SE</v>
      </c>
      <c r="C4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568 SE SNV 585-9 SE,EXTRACCION    </v>
      </c>
      <c r="D4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06" s="47" t="s">
        <v>783</v>
      </c>
      <c r="G406" t="s">
        <v>784</v>
      </c>
      <c r="H4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7" spans="1:8" ht="15" customHeight="1" x14ac:dyDescent="0.25">
      <c r="A407" t="str">
        <f>MID(TB_CECO[[#This Row],[CECO_T]],1,5)</f>
        <v>21517</v>
      </c>
      <c r="B407" t="str">
        <f>MID(TB_CECO[[#This Row],[TRABAJO]],1,SEARCH(",",TB_CECO[[#This Row],[TRABAJO]],1)-1)</f>
        <v>Est 568 SE SNV 585-9 SE</v>
      </c>
      <c r="C4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568 SE SNV 585-9 SE,SPLIT SET     </v>
      </c>
      <c r="D4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07" s="47" t="s">
        <v>785</v>
      </c>
      <c r="G407" t="s">
        <v>786</v>
      </c>
      <c r="H4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8" spans="1:8" ht="15" customHeight="1" x14ac:dyDescent="0.25">
      <c r="A408" t="str">
        <f>MID(TB_CECO[[#This Row],[CECO_T]],1,5)</f>
        <v>21517</v>
      </c>
      <c r="B408" t="str">
        <f>MID(TB_CECO[[#This Row],[TRABAJO]],1,SEARCH(",",TB_CECO[[#This Row],[TRABAJO]],1)-1)</f>
        <v>Est 568 SE SNV 585-9 SE</v>
      </c>
      <c r="C4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568 SE SNV 585-9 SE,SPLIT CON MALL</v>
      </c>
      <c r="D4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08" s="47" t="s">
        <v>787</v>
      </c>
      <c r="G408" t="s">
        <v>788</v>
      </c>
      <c r="H4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9" spans="1:8" ht="15" customHeight="1" x14ac:dyDescent="0.25">
      <c r="A409" t="str">
        <f>MID(TB_CECO[[#This Row],[CECO_T]],1,5)</f>
        <v>21517</v>
      </c>
      <c r="B409" t="str">
        <f>MID(TB_CECO[[#This Row],[TRABAJO]],1,SEARCH(",",TB_CECO[[#This Row],[TRABAJO]],1)-1)</f>
        <v>Est 568 SE SNV 585-9 SE</v>
      </c>
      <c r="C4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568 SE SNV 585-9 SE,IZAJE Y DESCEN</v>
      </c>
      <c r="D4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09" s="47" t="s">
        <v>789</v>
      </c>
      <c r="G409" t="s">
        <v>790</v>
      </c>
      <c r="H4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0" spans="1:8" ht="15" customHeight="1" x14ac:dyDescent="0.25">
      <c r="A410" t="str">
        <f>MID(TB_CECO[[#This Row],[CECO_T]],1,5)</f>
        <v>21517</v>
      </c>
      <c r="B410" t="str">
        <f>MID(TB_CECO[[#This Row],[TRABAJO]],1,SEARCH(",",TB_CECO[[#This Row],[TRABAJO]],1)-1)</f>
        <v>Est 568 SE SNV 585-9 SE</v>
      </c>
      <c r="C4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568 SE SNV 585-9 SE,PERFORACION   </v>
      </c>
      <c r="D4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0" s="47" t="s">
        <v>791</v>
      </c>
      <c r="G410" t="s">
        <v>792</v>
      </c>
      <c r="H4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1" spans="1:8" ht="15" customHeight="1" x14ac:dyDescent="0.25">
      <c r="A411" t="str">
        <f>MID(TB_CECO[[#This Row],[CECO_T]],1,5)</f>
        <v>21518</v>
      </c>
      <c r="B411" t="str">
        <f>MID(TB_CECO[[#This Row],[TRABAJO]],1,SEARCH(",",TB_CECO[[#This Row],[TRABAJO]],1)-1)</f>
        <v>Est 585 -2 SE SNv 585-9 SE</v>
      </c>
      <c r="C4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585 -2 SE SNv 585-9 SE,DESQUINCHE </v>
      </c>
      <c r="D4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1" s="47" t="s">
        <v>793</v>
      </c>
      <c r="G411" t="s">
        <v>794</v>
      </c>
      <c r="H4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2" spans="1:8" ht="15" customHeight="1" x14ac:dyDescent="0.25">
      <c r="A412" t="str">
        <f>MID(TB_CECO[[#This Row],[CECO_T]],1,5)</f>
        <v>21518</v>
      </c>
      <c r="B412" t="str">
        <f>MID(TB_CECO[[#This Row],[TRABAJO]],1,SEARCH(",",TB_CECO[[#This Row],[TRABAJO]],1)-1)</f>
        <v>Est 585 -2 SE SNv 585-9 SE</v>
      </c>
      <c r="C4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585 -2 SE SNv 585-9 SE,ENMADERADO </v>
      </c>
      <c r="D4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2" s="47" t="s">
        <v>795</v>
      </c>
      <c r="G412" t="s">
        <v>796</v>
      </c>
      <c r="H4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3" spans="1:8" ht="15" customHeight="1" x14ac:dyDescent="0.25">
      <c r="A413" t="str">
        <f>MID(TB_CECO[[#This Row],[CECO_T]],1,5)</f>
        <v>21518</v>
      </c>
      <c r="B413" t="str">
        <f>MID(TB_CECO[[#This Row],[TRABAJO]],1,SEARCH(",",TB_CECO[[#This Row],[TRABAJO]],1)-1)</f>
        <v>Est 585 -2 SE SNv 585-9 SE</v>
      </c>
      <c r="C4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585 -2 SE SNv 585-9 SE,LIMPIEZA   </v>
      </c>
      <c r="D4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3" s="47" t="s">
        <v>797</v>
      </c>
      <c r="G413" t="s">
        <v>798</v>
      </c>
      <c r="H4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4" spans="1:8" ht="15" customHeight="1" x14ac:dyDescent="0.25">
      <c r="A414" t="str">
        <f>MID(TB_CECO[[#This Row],[CECO_T]],1,5)</f>
        <v>21518</v>
      </c>
      <c r="B414" t="str">
        <f>MID(TB_CECO[[#This Row],[TRABAJO]],1,SEARCH(",",TB_CECO[[#This Row],[TRABAJO]],1)-1)</f>
        <v>Est 585 -2 SE SNv 585-9 SE</v>
      </c>
      <c r="C4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585 -2 SE SNv 585-9 SE,SERVICIOS  </v>
      </c>
      <c r="D4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4" s="47" t="s">
        <v>799</v>
      </c>
      <c r="G414" t="s">
        <v>800</v>
      </c>
      <c r="H4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5" spans="1:8" ht="15" customHeight="1" x14ac:dyDescent="0.25">
      <c r="A415" t="str">
        <f>MID(TB_CECO[[#This Row],[CECO_T]],1,5)</f>
        <v>21518</v>
      </c>
      <c r="B415" t="str">
        <f>MID(TB_CECO[[#This Row],[TRABAJO]],1,SEARCH(",",TB_CECO[[#This Row],[TRABAJO]],1)-1)</f>
        <v>Est 585 -2 SE SNv 585-9 SE</v>
      </c>
      <c r="C4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585 -2 SE SNv 585-9 SE,EXTRACCION </v>
      </c>
      <c r="D4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5" s="47" t="s">
        <v>801</v>
      </c>
      <c r="G415" t="s">
        <v>802</v>
      </c>
      <c r="H4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6" spans="1:8" ht="15" customHeight="1" x14ac:dyDescent="0.25">
      <c r="A416" t="str">
        <f>MID(TB_CECO[[#This Row],[CECO_T]],1,5)</f>
        <v>21518</v>
      </c>
      <c r="B416" t="str">
        <f>MID(TB_CECO[[#This Row],[TRABAJO]],1,SEARCH(",",TB_CECO[[#This Row],[TRABAJO]],1)-1)</f>
        <v>Est 585 -2 SE SNv 585-9 SE</v>
      </c>
      <c r="C4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585 -2 SE SNv 585-9 SE,SPLIT SET  </v>
      </c>
      <c r="D4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6" s="47" t="s">
        <v>803</v>
      </c>
      <c r="G416" t="s">
        <v>804</v>
      </c>
      <c r="H4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7" spans="1:8" ht="15" customHeight="1" x14ac:dyDescent="0.25">
      <c r="A417" t="str">
        <f>MID(TB_CECO[[#This Row],[CECO_T]],1,5)</f>
        <v>21518</v>
      </c>
      <c r="B417" t="str">
        <f>MID(TB_CECO[[#This Row],[TRABAJO]],1,SEARCH(",",TB_CECO[[#This Row],[TRABAJO]],1)-1)</f>
        <v>Est 585 -2 SE SNv 585-9 SE</v>
      </c>
      <c r="C4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585 -2 SE SNv 585-9 SE,SPLIT CON M</v>
      </c>
      <c r="D4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7" s="47" t="s">
        <v>805</v>
      </c>
      <c r="G417" t="s">
        <v>806</v>
      </c>
      <c r="H4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8" spans="1:8" ht="15" customHeight="1" x14ac:dyDescent="0.25">
      <c r="A418" t="str">
        <f>MID(TB_CECO[[#This Row],[CECO_T]],1,5)</f>
        <v>21518</v>
      </c>
      <c r="B418" t="str">
        <f>MID(TB_CECO[[#This Row],[TRABAJO]],1,SEARCH(",",TB_CECO[[#This Row],[TRABAJO]],1)-1)</f>
        <v>Est 585 -2 SE SNv 585-9 SE</v>
      </c>
      <c r="C4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585 -2 SE SNv 585-9 SE,IZAJE Y DES</v>
      </c>
      <c r="D4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8" s="47" t="s">
        <v>807</v>
      </c>
      <c r="G418" t="s">
        <v>808</v>
      </c>
      <c r="H4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9" spans="1:8" ht="15" customHeight="1" x14ac:dyDescent="0.25">
      <c r="A419" t="str">
        <f>MID(TB_CECO[[#This Row],[CECO_T]],1,5)</f>
        <v>21518</v>
      </c>
      <c r="B419" t="str">
        <f>MID(TB_CECO[[#This Row],[TRABAJO]],1,SEARCH(",",TB_CECO[[#This Row],[TRABAJO]],1)-1)</f>
        <v>Est 585 -2 SE SNv 585-9 SE</v>
      </c>
      <c r="C4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585 -2 SE SNv 585-9 SE,PERFORACION</v>
      </c>
      <c r="D4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9" s="47" t="s">
        <v>809</v>
      </c>
      <c r="G419" t="s">
        <v>810</v>
      </c>
      <c r="H4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20" spans="1:8" ht="15" customHeight="1" x14ac:dyDescent="0.25">
      <c r="A420" t="str">
        <f>MID(TB_CECO[[#This Row],[CECO_T]],1,5)</f>
        <v>22302</v>
      </c>
      <c r="B420" t="str">
        <f>MID(TB_CECO[[#This Row],[TRABAJO]],1,SEARCH(",",TB_CECO[[#This Row],[TRABAJO]],1)-1)</f>
        <v xml:space="preserve"> TJ 585 -6 NW </v>
      </c>
      <c r="C4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DESQUINCHE         </v>
      </c>
      <c r="D4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0" s="47" t="s">
        <v>811</v>
      </c>
      <c r="G420" t="s">
        <v>812</v>
      </c>
      <c r="H4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21" spans="1:8" ht="15" customHeight="1" x14ac:dyDescent="0.25">
      <c r="A421" t="str">
        <f>MID(TB_CECO[[#This Row],[CECO_T]],1,5)</f>
        <v>22302</v>
      </c>
      <c r="B421" t="str">
        <f>MID(TB_CECO[[#This Row],[TRABAJO]],1,SEARCH(",",TB_CECO[[#This Row],[TRABAJO]],1)-1)</f>
        <v xml:space="preserve"> TJ 585 -6 NW </v>
      </c>
      <c r="C4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ENMADERADO         </v>
      </c>
      <c r="D4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1" s="47" t="s">
        <v>813</v>
      </c>
      <c r="G421" t="s">
        <v>814</v>
      </c>
      <c r="H4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22" spans="1:8" ht="15" customHeight="1" x14ac:dyDescent="0.25">
      <c r="A422" t="str">
        <f>MID(TB_CECO[[#This Row],[CECO_T]],1,5)</f>
        <v>22302</v>
      </c>
      <c r="B422" t="str">
        <f>MID(TB_CECO[[#This Row],[TRABAJO]],1,SEARCH(",",TB_CECO[[#This Row],[TRABAJO]],1)-1)</f>
        <v xml:space="preserve"> TJ 585 -6 NW </v>
      </c>
      <c r="C4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LIMPIEZA           </v>
      </c>
      <c r="D4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2" s="47" t="s">
        <v>815</v>
      </c>
      <c r="G422" t="s">
        <v>816</v>
      </c>
      <c r="H4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23" spans="1:8" ht="15" customHeight="1" x14ac:dyDescent="0.25">
      <c r="A423" t="str">
        <f>MID(TB_CECO[[#This Row],[CECO_T]],1,5)</f>
        <v>22302</v>
      </c>
      <c r="B423" t="str">
        <f>MID(TB_CECO[[#This Row],[TRABAJO]],1,SEARCH(",",TB_CECO[[#This Row],[TRABAJO]],1)-1)</f>
        <v xml:space="preserve"> TJ 585 -6 NW </v>
      </c>
      <c r="C4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SERVICIOS          </v>
      </c>
      <c r="D4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3" s="47" t="s">
        <v>817</v>
      </c>
      <c r="G423" t="s">
        <v>818</v>
      </c>
      <c r="H4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24" spans="1:8" ht="15" customHeight="1" x14ac:dyDescent="0.25">
      <c r="A424" t="str">
        <f>MID(TB_CECO[[#This Row],[CECO_T]],1,5)</f>
        <v>22302</v>
      </c>
      <c r="B424" t="str">
        <f>MID(TB_CECO[[#This Row],[TRABAJO]],1,SEARCH(",",TB_CECO[[#This Row],[TRABAJO]],1)-1)</f>
        <v xml:space="preserve"> TJ 585 -6 NW </v>
      </c>
      <c r="C4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EXTRACCION         </v>
      </c>
      <c r="D4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4" s="47" t="s">
        <v>819</v>
      </c>
      <c r="G424" t="s">
        <v>820</v>
      </c>
      <c r="H4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25" spans="1:8" ht="15" customHeight="1" x14ac:dyDescent="0.25">
      <c r="A425" t="str">
        <f>MID(TB_CECO[[#This Row],[CECO_T]],1,5)</f>
        <v>22302</v>
      </c>
      <c r="B425" t="str">
        <f>MID(TB_CECO[[#This Row],[TRABAJO]],1,SEARCH(",",TB_CECO[[#This Row],[TRABAJO]],1)-1)</f>
        <v xml:space="preserve"> TJ 585 -6 NW </v>
      </c>
      <c r="C4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split set          </v>
      </c>
      <c r="D4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5" s="47" t="s">
        <v>821</v>
      </c>
      <c r="G425" t="s">
        <v>822</v>
      </c>
      <c r="H4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26" spans="1:8" ht="15" customHeight="1" x14ac:dyDescent="0.25">
      <c r="A426" t="str">
        <f>MID(TB_CECO[[#This Row],[CECO_T]],1,5)</f>
        <v>22302</v>
      </c>
      <c r="B426" t="str">
        <f>MID(TB_CECO[[#This Row],[TRABAJO]],1,SEARCH(",",TB_CECO[[#This Row],[TRABAJO]],1)-1)</f>
        <v xml:space="preserve"> TJ 585 -6 NW </v>
      </c>
      <c r="C4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split con malla    </v>
      </c>
      <c r="D4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6" s="47" t="s">
        <v>823</v>
      </c>
      <c r="G426" t="s">
        <v>824</v>
      </c>
      <c r="H4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27" spans="1:8" ht="15" customHeight="1" x14ac:dyDescent="0.25">
      <c r="A427" t="str">
        <f>MID(TB_CECO[[#This Row],[CECO_T]],1,5)</f>
        <v>22302</v>
      </c>
      <c r="B427" t="str">
        <f>MID(TB_CECO[[#This Row],[TRABAJO]],1,SEARCH(",",TB_CECO[[#This Row],[TRABAJO]],1)-1)</f>
        <v xml:space="preserve"> TJ 585 -6 NW </v>
      </c>
      <c r="C4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IZAJE Y DESCENSO W </v>
      </c>
      <c r="D4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7" s="47" t="s">
        <v>825</v>
      </c>
      <c r="G427" t="s">
        <v>826</v>
      </c>
      <c r="H4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28" spans="1:8" ht="15" customHeight="1" x14ac:dyDescent="0.25">
      <c r="A428" t="str">
        <f>MID(TB_CECO[[#This Row],[CECO_T]],1,5)</f>
        <v>22302</v>
      </c>
      <c r="B428" t="str">
        <f>MID(TB_CECO[[#This Row],[TRABAJO]],1,SEARCH(",",TB_CECO[[#This Row],[TRABAJO]],1)-1)</f>
        <v xml:space="preserve"> TJ 585 -6 NW </v>
      </c>
      <c r="C4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PERFORACION        </v>
      </c>
      <c r="D4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8" s="47" t="s">
        <v>827</v>
      </c>
      <c r="G428" t="s">
        <v>828</v>
      </c>
      <c r="H4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29" spans="1:8" ht="15" customHeight="1" x14ac:dyDescent="0.25">
      <c r="A429" t="str">
        <f>MID(TB_CECO[[#This Row],[CECO_T]],1,5)</f>
        <v>22308</v>
      </c>
      <c r="B429" t="str">
        <f>MID(TB_CECO[[#This Row],[TRABAJO]],1,SEARCH(",",TB_CECO[[#This Row],[TRABAJO]],1)-1)</f>
        <v xml:space="preserve"> TJ 600 NW </v>
      </c>
      <c r="C4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DESQUINCHE            </v>
      </c>
      <c r="D4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9" s="47" t="s">
        <v>829</v>
      </c>
      <c r="G429" t="s">
        <v>830</v>
      </c>
      <c r="H4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0" spans="1:8" ht="15" customHeight="1" x14ac:dyDescent="0.25">
      <c r="A430" t="str">
        <f>MID(TB_CECO[[#This Row],[CECO_T]],1,5)</f>
        <v>22308</v>
      </c>
      <c r="B430" t="str">
        <f>MID(TB_CECO[[#This Row],[TRABAJO]],1,SEARCH(",",TB_CECO[[#This Row],[TRABAJO]],1)-1)</f>
        <v xml:space="preserve"> TJ 600 NW </v>
      </c>
      <c r="C4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ENMADERADO            </v>
      </c>
      <c r="D4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0" s="47" t="s">
        <v>831</v>
      </c>
      <c r="G430" t="s">
        <v>832</v>
      </c>
      <c r="H4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1" spans="1:8" ht="15" customHeight="1" x14ac:dyDescent="0.25">
      <c r="A431" t="str">
        <f>MID(TB_CECO[[#This Row],[CECO_T]],1,5)</f>
        <v>22308</v>
      </c>
      <c r="B431" t="str">
        <f>MID(TB_CECO[[#This Row],[TRABAJO]],1,SEARCH(",",TB_CECO[[#This Row],[TRABAJO]],1)-1)</f>
        <v xml:space="preserve"> TJ 600 NW </v>
      </c>
      <c r="C4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LIMPIEZA              </v>
      </c>
      <c r="D4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1" s="47" t="s">
        <v>833</v>
      </c>
      <c r="G431" t="s">
        <v>834</v>
      </c>
      <c r="H4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2" spans="1:8" ht="15" customHeight="1" x14ac:dyDescent="0.25">
      <c r="A432" t="str">
        <f>MID(TB_CECO[[#This Row],[CECO_T]],1,5)</f>
        <v>22308</v>
      </c>
      <c r="B432" t="str">
        <f>MID(TB_CECO[[#This Row],[TRABAJO]],1,SEARCH(",",TB_CECO[[#This Row],[TRABAJO]],1)-1)</f>
        <v xml:space="preserve"> TJ 600 NW </v>
      </c>
      <c r="C4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SERVICIOS             </v>
      </c>
      <c r="D4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2" s="47" t="s">
        <v>835</v>
      </c>
      <c r="G432" t="s">
        <v>836</v>
      </c>
      <c r="H4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3" spans="1:8" ht="15" customHeight="1" x14ac:dyDescent="0.25">
      <c r="A433" t="str">
        <f>MID(TB_CECO[[#This Row],[CECO_T]],1,5)</f>
        <v>22308</v>
      </c>
      <c r="B433" t="str">
        <f>MID(TB_CECO[[#This Row],[TRABAJO]],1,SEARCH(",",TB_CECO[[#This Row],[TRABAJO]],1)-1)</f>
        <v xml:space="preserve"> TJ 600 NW </v>
      </c>
      <c r="C4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EXTRACCION            </v>
      </c>
      <c r="D4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3" s="47" t="s">
        <v>837</v>
      </c>
      <c r="G433" t="s">
        <v>838</v>
      </c>
      <c r="H4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4" spans="1:8" ht="15" customHeight="1" x14ac:dyDescent="0.25">
      <c r="A434" t="str">
        <f>MID(TB_CECO[[#This Row],[CECO_T]],1,5)</f>
        <v>22308</v>
      </c>
      <c r="B434" t="str">
        <f>MID(TB_CECO[[#This Row],[TRABAJO]],1,SEARCH(",",TB_CECO[[#This Row],[TRABAJO]],1)-1)</f>
        <v xml:space="preserve"> TJ 600 NW </v>
      </c>
      <c r="C4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split set             </v>
      </c>
      <c r="D4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4" s="47" t="s">
        <v>839</v>
      </c>
      <c r="G434" t="s">
        <v>840</v>
      </c>
      <c r="H4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5" spans="1:8" ht="15" customHeight="1" x14ac:dyDescent="0.25">
      <c r="A435" t="str">
        <f>MID(TB_CECO[[#This Row],[CECO_T]],1,5)</f>
        <v>22308</v>
      </c>
      <c r="B435" t="str">
        <f>MID(TB_CECO[[#This Row],[TRABAJO]],1,SEARCH(",",TB_CECO[[#This Row],[TRABAJO]],1)-1)</f>
        <v xml:space="preserve"> TJ 600 NW </v>
      </c>
      <c r="C4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split con malla       </v>
      </c>
      <c r="D4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5" s="47" t="s">
        <v>841</v>
      </c>
      <c r="G435" t="s">
        <v>842</v>
      </c>
      <c r="H4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6" spans="1:8" ht="15" customHeight="1" x14ac:dyDescent="0.25">
      <c r="A436" t="str">
        <f>MID(TB_CECO[[#This Row],[CECO_T]],1,5)</f>
        <v>22308</v>
      </c>
      <c r="B436" t="str">
        <f>MID(TB_CECO[[#This Row],[TRABAJO]],1,SEARCH(",",TB_CECO[[#This Row],[TRABAJO]],1)-1)</f>
        <v xml:space="preserve"> TJ 600 NW </v>
      </c>
      <c r="C4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IZAJE Y DESCENSO W    </v>
      </c>
      <c r="D4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6" s="47" t="s">
        <v>843</v>
      </c>
      <c r="G436" t="s">
        <v>844</v>
      </c>
      <c r="H4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7" spans="1:8" ht="15" customHeight="1" x14ac:dyDescent="0.25">
      <c r="A437" t="str">
        <f>MID(TB_CECO[[#This Row],[CECO_T]],1,5)</f>
        <v>22308</v>
      </c>
      <c r="B437" t="str">
        <f>MID(TB_CECO[[#This Row],[TRABAJO]],1,SEARCH(",",TB_CECO[[#This Row],[TRABAJO]],1)-1)</f>
        <v xml:space="preserve"> TJ 600 NW </v>
      </c>
      <c r="C4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PERFORACION           </v>
      </c>
      <c r="D4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7" s="47" t="s">
        <v>845</v>
      </c>
      <c r="G437" t="s">
        <v>846</v>
      </c>
      <c r="H4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8" spans="1:8" ht="15" customHeight="1" x14ac:dyDescent="0.25">
      <c r="A438" t="str">
        <f>MID(TB_CECO[[#This Row],[CECO_T]],1,5)</f>
        <v>22309</v>
      </c>
      <c r="B438" t="str">
        <f>MID(TB_CECO[[#This Row],[TRABAJO]],1,SEARCH(",",TB_CECO[[#This Row],[TRABAJO]],1)-1)</f>
        <v xml:space="preserve"> TJ 600 SE </v>
      </c>
      <c r="C4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DESQUINCHE            </v>
      </c>
      <c r="D4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8" s="47" t="s">
        <v>847</v>
      </c>
      <c r="G438" t="s">
        <v>848</v>
      </c>
      <c r="H4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9" spans="1:8" ht="15" customHeight="1" x14ac:dyDescent="0.25">
      <c r="A439" t="str">
        <f>MID(TB_CECO[[#This Row],[CECO_T]],1,5)</f>
        <v>22309</v>
      </c>
      <c r="B439" t="str">
        <f>MID(TB_CECO[[#This Row],[TRABAJO]],1,SEARCH(",",TB_CECO[[#This Row],[TRABAJO]],1)-1)</f>
        <v xml:space="preserve"> TJ 600 SE </v>
      </c>
      <c r="C4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ENMADERADO            </v>
      </c>
      <c r="D4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9" s="47" t="s">
        <v>849</v>
      </c>
      <c r="G439" t="s">
        <v>850</v>
      </c>
      <c r="H4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40" spans="1:8" ht="15" customHeight="1" x14ac:dyDescent="0.25">
      <c r="A440" t="str">
        <f>MID(TB_CECO[[#This Row],[CECO_T]],1,5)</f>
        <v>22309</v>
      </c>
      <c r="B440" t="str">
        <f>MID(TB_CECO[[#This Row],[TRABAJO]],1,SEARCH(",",TB_CECO[[#This Row],[TRABAJO]],1)-1)</f>
        <v xml:space="preserve"> TJ 600 SE </v>
      </c>
      <c r="C4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LIMPIEZA              </v>
      </c>
      <c r="D4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0" s="47" t="s">
        <v>851</v>
      </c>
      <c r="G440" t="s">
        <v>852</v>
      </c>
      <c r="H4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41" spans="1:8" ht="15" customHeight="1" x14ac:dyDescent="0.25">
      <c r="A441" t="str">
        <f>MID(TB_CECO[[#This Row],[CECO_T]],1,5)</f>
        <v>22309</v>
      </c>
      <c r="B441" t="str">
        <f>MID(TB_CECO[[#This Row],[TRABAJO]],1,SEARCH(",",TB_CECO[[#This Row],[TRABAJO]],1)-1)</f>
        <v xml:space="preserve"> TJ 600 SE </v>
      </c>
      <c r="C4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SERVICIOS             </v>
      </c>
      <c r="D4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1" s="47" t="s">
        <v>853</v>
      </c>
      <c r="G441" t="s">
        <v>854</v>
      </c>
      <c r="H4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42" spans="1:8" ht="15" customHeight="1" x14ac:dyDescent="0.25">
      <c r="A442" t="str">
        <f>MID(TB_CECO[[#This Row],[CECO_T]],1,5)</f>
        <v>22309</v>
      </c>
      <c r="B442" t="str">
        <f>MID(TB_CECO[[#This Row],[TRABAJO]],1,SEARCH(",",TB_CECO[[#This Row],[TRABAJO]],1)-1)</f>
        <v xml:space="preserve"> TJ 600 SE </v>
      </c>
      <c r="C4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EXTRACCION            </v>
      </c>
      <c r="D4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2" s="47" t="s">
        <v>855</v>
      </c>
      <c r="G442" t="s">
        <v>856</v>
      </c>
      <c r="H4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43" spans="1:8" ht="15" customHeight="1" x14ac:dyDescent="0.25">
      <c r="A443" t="str">
        <f>MID(TB_CECO[[#This Row],[CECO_T]],1,5)</f>
        <v>22309</v>
      </c>
      <c r="B443" t="str">
        <f>MID(TB_CECO[[#This Row],[TRABAJO]],1,SEARCH(",",TB_CECO[[#This Row],[TRABAJO]],1)-1)</f>
        <v xml:space="preserve"> TJ 600 SE </v>
      </c>
      <c r="C4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split set             </v>
      </c>
      <c r="D4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3" s="47" t="s">
        <v>857</v>
      </c>
      <c r="G443" t="s">
        <v>858</v>
      </c>
      <c r="H4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44" spans="1:8" ht="15" customHeight="1" x14ac:dyDescent="0.25">
      <c r="A444" t="str">
        <f>MID(TB_CECO[[#This Row],[CECO_T]],1,5)</f>
        <v>22309</v>
      </c>
      <c r="B444" t="str">
        <f>MID(TB_CECO[[#This Row],[TRABAJO]],1,SEARCH(",",TB_CECO[[#This Row],[TRABAJO]],1)-1)</f>
        <v xml:space="preserve"> TJ 600 SE </v>
      </c>
      <c r="C4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split con malla       </v>
      </c>
      <c r="D4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4" s="47" t="s">
        <v>859</v>
      </c>
      <c r="G444" t="s">
        <v>860</v>
      </c>
      <c r="H4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45" spans="1:8" ht="15" customHeight="1" x14ac:dyDescent="0.25">
      <c r="A445" t="str">
        <f>MID(TB_CECO[[#This Row],[CECO_T]],1,5)</f>
        <v>22309</v>
      </c>
      <c r="B445" t="str">
        <f>MID(TB_CECO[[#This Row],[TRABAJO]],1,SEARCH(",",TB_CECO[[#This Row],[TRABAJO]],1)-1)</f>
        <v xml:space="preserve"> TJ 600 SE </v>
      </c>
      <c r="C4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IZAJE Y DESCENSO W    </v>
      </c>
      <c r="D4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5" s="47" t="s">
        <v>861</v>
      </c>
      <c r="G445" t="s">
        <v>862</v>
      </c>
      <c r="H4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46" spans="1:8" ht="15" customHeight="1" x14ac:dyDescent="0.25">
      <c r="A446" t="str">
        <f>MID(TB_CECO[[#This Row],[CECO_T]],1,5)</f>
        <v>22309</v>
      </c>
      <c r="B446" t="str">
        <f>MID(TB_CECO[[#This Row],[TRABAJO]],1,SEARCH(",",TB_CECO[[#This Row],[TRABAJO]],1)-1)</f>
        <v xml:space="preserve"> TJ 600 SE </v>
      </c>
      <c r="C4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PERFORACION           </v>
      </c>
      <c r="D4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6" s="47" t="s">
        <v>863</v>
      </c>
      <c r="G446" t="s">
        <v>864</v>
      </c>
      <c r="H4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47" spans="1:8" ht="15" customHeight="1" x14ac:dyDescent="0.25">
      <c r="A447" t="str">
        <f>MID(TB_CECO[[#This Row],[CECO_T]],1,5)</f>
        <v>23204</v>
      </c>
      <c r="B447" t="str">
        <f>MID(TB_CECO[[#This Row],[TRABAJO]],1,SEARCH(",",TB_CECO[[#This Row],[TRABAJO]],1)-1)</f>
        <v xml:space="preserve"> CH. 626  SN. 615 SE </v>
      </c>
      <c r="C4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DESQUINCHE  </v>
      </c>
      <c r="D4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47" s="47" t="s">
        <v>865</v>
      </c>
      <c r="G447" t="s">
        <v>866</v>
      </c>
      <c r="H4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48" spans="1:8" ht="15" customHeight="1" x14ac:dyDescent="0.25">
      <c r="A448" t="str">
        <f>MID(TB_CECO[[#This Row],[CECO_T]],1,5)</f>
        <v>23204</v>
      </c>
      <c r="B448" t="str">
        <f>MID(TB_CECO[[#This Row],[TRABAJO]],1,SEARCH(",",TB_CECO[[#This Row],[TRABAJO]],1)-1)</f>
        <v xml:space="preserve"> CH. 626  SN. 615 SE </v>
      </c>
      <c r="C4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ENMADERADO  </v>
      </c>
      <c r="D4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48" s="47" t="s">
        <v>867</v>
      </c>
      <c r="G448" t="s">
        <v>868</v>
      </c>
      <c r="H4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49" spans="1:8" ht="15" customHeight="1" x14ac:dyDescent="0.25">
      <c r="A449" t="str">
        <f>MID(TB_CECO[[#This Row],[CECO_T]],1,5)</f>
        <v>23204</v>
      </c>
      <c r="B449" t="str">
        <f>MID(TB_CECO[[#This Row],[TRABAJO]],1,SEARCH(",",TB_CECO[[#This Row],[TRABAJO]],1)-1)</f>
        <v xml:space="preserve"> CH. 626  SN. 615 SE </v>
      </c>
      <c r="C4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LIMPIEZA    </v>
      </c>
      <c r="D4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49" s="47" t="s">
        <v>869</v>
      </c>
      <c r="G449" t="s">
        <v>870</v>
      </c>
      <c r="H4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50" spans="1:8" ht="15" customHeight="1" x14ac:dyDescent="0.25">
      <c r="A450" t="str">
        <f>MID(TB_CECO[[#This Row],[CECO_T]],1,5)</f>
        <v>23204</v>
      </c>
      <c r="B450" t="str">
        <f>MID(TB_CECO[[#This Row],[TRABAJO]],1,SEARCH(",",TB_CECO[[#This Row],[TRABAJO]],1)-1)</f>
        <v xml:space="preserve"> CH. 626  SN. 615 SE </v>
      </c>
      <c r="C4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SERVICIOS   </v>
      </c>
      <c r="D4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50" s="47" t="s">
        <v>871</v>
      </c>
      <c r="G450" t="s">
        <v>872</v>
      </c>
      <c r="H4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51" spans="1:8" ht="15" customHeight="1" x14ac:dyDescent="0.25">
      <c r="A451" t="str">
        <f>MID(TB_CECO[[#This Row],[CECO_T]],1,5)</f>
        <v>23204</v>
      </c>
      <c r="B451" t="str">
        <f>MID(TB_CECO[[#This Row],[TRABAJO]],1,SEARCH(",",TB_CECO[[#This Row],[TRABAJO]],1)-1)</f>
        <v xml:space="preserve"> CH. 626  SN. 615 SE </v>
      </c>
      <c r="C4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EXTRACCION  </v>
      </c>
      <c r="D4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51" s="47" t="s">
        <v>873</v>
      </c>
      <c r="G451" t="s">
        <v>874</v>
      </c>
      <c r="H4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52" spans="1:8" ht="15" customHeight="1" x14ac:dyDescent="0.25">
      <c r="A452" t="str">
        <f>MID(TB_CECO[[#This Row],[CECO_T]],1,5)</f>
        <v>23204</v>
      </c>
      <c r="B452" t="str">
        <f>MID(TB_CECO[[#This Row],[TRABAJO]],1,SEARCH(",",TB_CECO[[#This Row],[TRABAJO]],1)-1)</f>
        <v xml:space="preserve"> CH. 626  SN. 615 SE </v>
      </c>
      <c r="C4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split set   </v>
      </c>
      <c r="D4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52" s="47" t="s">
        <v>875</v>
      </c>
      <c r="G452" t="s">
        <v>876</v>
      </c>
      <c r="H4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53" spans="1:8" ht="15" customHeight="1" x14ac:dyDescent="0.25">
      <c r="A453" t="str">
        <f>MID(TB_CECO[[#This Row],[CECO_T]],1,5)</f>
        <v>23204</v>
      </c>
      <c r="B453" t="str">
        <f>MID(TB_CECO[[#This Row],[TRABAJO]],1,SEARCH(",",TB_CECO[[#This Row],[TRABAJO]],1)-1)</f>
        <v xml:space="preserve"> CH. 626  SN. 615 SE </v>
      </c>
      <c r="C4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split con ma</v>
      </c>
      <c r="D4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53" s="47" t="s">
        <v>877</v>
      </c>
      <c r="G453" t="s">
        <v>878</v>
      </c>
      <c r="H4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54" spans="1:8" ht="15" customHeight="1" x14ac:dyDescent="0.25">
      <c r="A454" t="str">
        <f>MID(TB_CECO[[#This Row],[CECO_T]],1,5)</f>
        <v>23204</v>
      </c>
      <c r="B454" t="str">
        <f>MID(TB_CECO[[#This Row],[TRABAJO]],1,SEARCH(",",TB_CECO[[#This Row],[TRABAJO]],1)-1)</f>
        <v xml:space="preserve"> CH. 626  SN. 615 SE </v>
      </c>
      <c r="C4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IZAJE Y DESC</v>
      </c>
      <c r="D4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54" s="47" t="s">
        <v>879</v>
      </c>
      <c r="G454" t="s">
        <v>880</v>
      </c>
      <c r="H4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55" spans="1:8" ht="15" customHeight="1" x14ac:dyDescent="0.25">
      <c r="A455" t="str">
        <f>MID(TB_CECO[[#This Row],[CECO_T]],1,5)</f>
        <v>23204</v>
      </c>
      <c r="B455" t="str">
        <f>MID(TB_CECO[[#This Row],[TRABAJO]],1,SEARCH(",",TB_CECO[[#This Row],[TRABAJO]],1)-1)</f>
        <v xml:space="preserve"> CH. 626  SN. 615 SE </v>
      </c>
      <c r="C4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PERFORACION </v>
      </c>
      <c r="D4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55" s="47" t="s">
        <v>881</v>
      </c>
      <c r="G455" t="s">
        <v>882</v>
      </c>
      <c r="H4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56" spans="1:8" ht="15" customHeight="1" x14ac:dyDescent="0.25">
      <c r="A456" t="str">
        <f>MID(TB_CECO[[#This Row],[CECO_T]],1,5)</f>
        <v>23212</v>
      </c>
      <c r="B456" t="str">
        <f>MID(TB_CECO[[#This Row],[TRABAJO]],1,SEARCH(",",TB_CECO[[#This Row],[TRABAJO]],1)-1)</f>
        <v>CH 585 SNV 617 NW</v>
      </c>
      <c r="C4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NW,DESQUINCHE          </v>
      </c>
      <c r="D4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56" s="47" t="s">
        <v>883</v>
      </c>
      <c r="G456" t="s">
        <v>884</v>
      </c>
      <c r="H4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57" spans="1:8" ht="15" customHeight="1" x14ac:dyDescent="0.25">
      <c r="A457" t="str">
        <f>MID(TB_CECO[[#This Row],[CECO_T]],1,5)</f>
        <v>23212</v>
      </c>
      <c r="B457" t="str">
        <f>MID(TB_CECO[[#This Row],[TRABAJO]],1,SEARCH(",",TB_CECO[[#This Row],[TRABAJO]],1)-1)</f>
        <v>CH 585 SNV 617 NW</v>
      </c>
      <c r="C4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NW,ENMADERADO          </v>
      </c>
      <c r="D4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57" s="47" t="s">
        <v>885</v>
      </c>
      <c r="G457" t="s">
        <v>886</v>
      </c>
      <c r="H4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58" spans="1:8" ht="15" customHeight="1" x14ac:dyDescent="0.25">
      <c r="A458" t="str">
        <f>MID(TB_CECO[[#This Row],[CECO_T]],1,5)</f>
        <v>23212</v>
      </c>
      <c r="B458" t="str">
        <f>MID(TB_CECO[[#This Row],[TRABAJO]],1,SEARCH(",",TB_CECO[[#This Row],[TRABAJO]],1)-1)</f>
        <v>CH 585 SNV 617 NW</v>
      </c>
      <c r="C4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NW,LIMPIEZA            </v>
      </c>
      <c r="D4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58" s="47" t="s">
        <v>887</v>
      </c>
      <c r="G458" t="s">
        <v>888</v>
      </c>
      <c r="H4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59" spans="1:8" ht="15" customHeight="1" x14ac:dyDescent="0.25">
      <c r="A459" t="str">
        <f>MID(TB_CECO[[#This Row],[CECO_T]],1,5)</f>
        <v>23212</v>
      </c>
      <c r="B459" t="str">
        <f>MID(TB_CECO[[#This Row],[TRABAJO]],1,SEARCH(",",TB_CECO[[#This Row],[TRABAJO]],1)-1)</f>
        <v>CH 585 SNV 617 NW</v>
      </c>
      <c r="C4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NW,SERVICIOS           </v>
      </c>
      <c r="D4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59" s="47" t="s">
        <v>889</v>
      </c>
      <c r="G459" t="s">
        <v>890</v>
      </c>
      <c r="H4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0" spans="1:8" ht="15" customHeight="1" x14ac:dyDescent="0.25">
      <c r="A460" t="str">
        <f>MID(TB_CECO[[#This Row],[CECO_T]],1,5)</f>
        <v>23212</v>
      </c>
      <c r="B460" t="str">
        <f>MID(TB_CECO[[#This Row],[TRABAJO]],1,SEARCH(",",TB_CECO[[#This Row],[TRABAJO]],1)-1)</f>
        <v>CH 585 SNV 617 NW</v>
      </c>
      <c r="C4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NW,EXTRACCION          </v>
      </c>
      <c r="D4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60" s="47" t="s">
        <v>891</v>
      </c>
      <c r="G460" t="s">
        <v>892</v>
      </c>
      <c r="H4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1" spans="1:8" ht="15" customHeight="1" x14ac:dyDescent="0.25">
      <c r="A461" t="str">
        <f>MID(TB_CECO[[#This Row],[CECO_T]],1,5)</f>
        <v>23212</v>
      </c>
      <c r="B461" t="str">
        <f>MID(TB_CECO[[#This Row],[TRABAJO]],1,SEARCH(",",TB_CECO[[#This Row],[TRABAJO]],1)-1)</f>
        <v>CH 585 SNV 617 NW</v>
      </c>
      <c r="C4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NW,SPLIT SET           </v>
      </c>
      <c r="D4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61" s="47" t="s">
        <v>893</v>
      </c>
      <c r="G461" t="s">
        <v>894</v>
      </c>
      <c r="H4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2" spans="1:8" ht="15" customHeight="1" x14ac:dyDescent="0.25">
      <c r="A462" t="str">
        <f>MID(TB_CECO[[#This Row],[CECO_T]],1,5)</f>
        <v>23212</v>
      </c>
      <c r="B462" t="str">
        <f>MID(TB_CECO[[#This Row],[TRABAJO]],1,SEARCH(",",TB_CECO[[#This Row],[TRABAJO]],1)-1)</f>
        <v>CH 585 SNV 617 NW</v>
      </c>
      <c r="C4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NW,SPLIT CON MALLA     </v>
      </c>
      <c r="D4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62" s="47" t="s">
        <v>895</v>
      </c>
      <c r="G462" t="s">
        <v>896</v>
      </c>
      <c r="H4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3" spans="1:8" ht="15" customHeight="1" x14ac:dyDescent="0.25">
      <c r="A463" t="str">
        <f>MID(TB_CECO[[#This Row],[CECO_T]],1,5)</f>
        <v>23212</v>
      </c>
      <c r="B463" t="str">
        <f>MID(TB_CECO[[#This Row],[TRABAJO]],1,SEARCH(",",TB_CECO[[#This Row],[TRABAJO]],1)-1)</f>
        <v>CH 585 SNV 617 NW</v>
      </c>
      <c r="C4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NW,IZAJE Y DESCENSO W  </v>
      </c>
      <c r="D4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63" s="47" t="s">
        <v>897</v>
      </c>
      <c r="G463" t="s">
        <v>898</v>
      </c>
      <c r="H4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4" spans="1:8" ht="15" customHeight="1" x14ac:dyDescent="0.25">
      <c r="A464" t="str">
        <f>MID(TB_CECO[[#This Row],[CECO_T]],1,5)</f>
        <v>23212</v>
      </c>
      <c r="B464" t="str">
        <f>MID(TB_CECO[[#This Row],[TRABAJO]],1,SEARCH(",",TB_CECO[[#This Row],[TRABAJO]],1)-1)</f>
        <v>CH 585 SNV 617 NW</v>
      </c>
      <c r="C4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NW,PERFORACION         </v>
      </c>
      <c r="D4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64" s="47" t="s">
        <v>899</v>
      </c>
      <c r="G464" t="s">
        <v>900</v>
      </c>
      <c r="H4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5" spans="1:8" ht="15" customHeight="1" x14ac:dyDescent="0.25">
      <c r="A465" t="str">
        <f>MID(TB_CECO[[#This Row],[CECO_T]],1,5)</f>
        <v>23405</v>
      </c>
      <c r="B465" t="str">
        <f>MID(TB_CECO[[#This Row],[TRABAJO]],1,SEARCH(",",TB_CECO[[#This Row],[TRABAJO]],1)-1)</f>
        <v>SNv. 613 NW CH.626</v>
      </c>
      <c r="C4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CH.626,DESQUINCHE         </v>
      </c>
      <c r="D4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65" s="47" t="s">
        <v>901</v>
      </c>
      <c r="G465" t="s">
        <v>902</v>
      </c>
      <c r="H4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6" spans="1:8" ht="15" customHeight="1" x14ac:dyDescent="0.25">
      <c r="A466" t="str">
        <f>MID(TB_CECO[[#This Row],[CECO_T]],1,5)</f>
        <v>23405</v>
      </c>
      <c r="B466" t="str">
        <f>MID(TB_CECO[[#This Row],[TRABAJO]],1,SEARCH(",",TB_CECO[[#This Row],[TRABAJO]],1)-1)</f>
        <v>SNv. 613 NW CH.626</v>
      </c>
      <c r="C4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CH.626,ENMADERADO         </v>
      </c>
      <c r="D4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66" s="47" t="s">
        <v>903</v>
      </c>
      <c r="G466" t="s">
        <v>904</v>
      </c>
      <c r="H4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7" spans="1:8" ht="15" customHeight="1" x14ac:dyDescent="0.25">
      <c r="A467" t="str">
        <f>MID(TB_CECO[[#This Row],[CECO_T]],1,5)</f>
        <v>23405</v>
      </c>
      <c r="B467" t="str">
        <f>MID(TB_CECO[[#This Row],[TRABAJO]],1,SEARCH(",",TB_CECO[[#This Row],[TRABAJO]],1)-1)</f>
        <v>SNv. 613 NW CH.626</v>
      </c>
      <c r="C4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CH.626,LIMPIEZA           </v>
      </c>
      <c r="D4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67" s="47" t="s">
        <v>905</v>
      </c>
      <c r="G467" t="s">
        <v>906</v>
      </c>
      <c r="H4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8" spans="1:8" ht="15" customHeight="1" x14ac:dyDescent="0.25">
      <c r="A468" t="str">
        <f>MID(TB_CECO[[#This Row],[CECO_T]],1,5)</f>
        <v>23405</v>
      </c>
      <c r="B468" t="str">
        <f>MID(TB_CECO[[#This Row],[TRABAJO]],1,SEARCH(",",TB_CECO[[#This Row],[TRABAJO]],1)-1)</f>
        <v>SNv. 613 NW CH.626</v>
      </c>
      <c r="C4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CH.626,SERVICIOS          </v>
      </c>
      <c r="D4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68" s="47" t="s">
        <v>907</v>
      </c>
      <c r="G468" t="s">
        <v>908</v>
      </c>
      <c r="H4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9" spans="1:8" ht="15" customHeight="1" x14ac:dyDescent="0.25">
      <c r="A469" t="str">
        <f>MID(TB_CECO[[#This Row],[CECO_T]],1,5)</f>
        <v>23405</v>
      </c>
      <c r="B469" t="str">
        <f>MID(TB_CECO[[#This Row],[TRABAJO]],1,SEARCH(",",TB_CECO[[#This Row],[TRABAJO]],1)-1)</f>
        <v>SNv. 613 NW CH.626</v>
      </c>
      <c r="C4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CH.626,EXTRACCION         </v>
      </c>
      <c r="D4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69" s="47" t="s">
        <v>909</v>
      </c>
      <c r="G469" t="s">
        <v>910</v>
      </c>
      <c r="H4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0" spans="1:8" ht="15" customHeight="1" x14ac:dyDescent="0.25">
      <c r="A470" t="str">
        <f>MID(TB_CECO[[#This Row],[CECO_T]],1,5)</f>
        <v>23405</v>
      </c>
      <c r="B470" t="str">
        <f>MID(TB_CECO[[#This Row],[TRABAJO]],1,SEARCH(",",TB_CECO[[#This Row],[TRABAJO]],1)-1)</f>
        <v>SNv. 613 NW CH.626</v>
      </c>
      <c r="C4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CH.626,SPLIT SET          </v>
      </c>
      <c r="D4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70" s="47" t="s">
        <v>911</v>
      </c>
      <c r="G470" t="s">
        <v>912</v>
      </c>
      <c r="H4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1" spans="1:8" ht="15" customHeight="1" x14ac:dyDescent="0.25">
      <c r="A471" t="str">
        <f>MID(TB_CECO[[#This Row],[CECO_T]],1,5)</f>
        <v>23405</v>
      </c>
      <c r="B471" t="str">
        <f>MID(TB_CECO[[#This Row],[TRABAJO]],1,SEARCH(",",TB_CECO[[#This Row],[TRABAJO]],1)-1)</f>
        <v>SNv. 613 NW CH.626</v>
      </c>
      <c r="C4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CH.626,SPLIT CON MALLA    </v>
      </c>
      <c r="D4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71" s="47" t="s">
        <v>913</v>
      </c>
      <c r="G471" t="s">
        <v>914</v>
      </c>
      <c r="H4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2" spans="1:8" ht="15" customHeight="1" x14ac:dyDescent="0.25">
      <c r="A472" t="str">
        <f>MID(TB_CECO[[#This Row],[CECO_T]],1,5)</f>
        <v>23405</v>
      </c>
      <c r="B472" t="str">
        <f>MID(TB_CECO[[#This Row],[TRABAJO]],1,SEARCH(",",TB_CECO[[#This Row],[TRABAJO]],1)-1)</f>
        <v>SNv. 613 NW CH.626</v>
      </c>
      <c r="C4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CH.626,IZAJE Y DESCENSO   </v>
      </c>
      <c r="D4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72" s="47" t="s">
        <v>915</v>
      </c>
      <c r="G472" t="s">
        <v>916</v>
      </c>
      <c r="H4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3" spans="1:8" ht="15" customHeight="1" x14ac:dyDescent="0.25">
      <c r="A473" t="str">
        <f>MID(TB_CECO[[#This Row],[CECO_T]],1,5)</f>
        <v>23405</v>
      </c>
      <c r="B473" t="str">
        <f>MID(TB_CECO[[#This Row],[TRABAJO]],1,SEARCH(",",TB_CECO[[#This Row],[TRABAJO]],1)-1)</f>
        <v>SNv. 613 NW CH.626</v>
      </c>
      <c r="C4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CH.626,PERFORACION        </v>
      </c>
      <c r="D4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73" s="47" t="s">
        <v>917</v>
      </c>
      <c r="G473" t="s">
        <v>918</v>
      </c>
      <c r="H4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4" spans="1:8" ht="15" customHeight="1" x14ac:dyDescent="0.25">
      <c r="A474" t="str">
        <f>MID(TB_CECO[[#This Row],[CECO_T]],1,5)</f>
        <v>23414</v>
      </c>
      <c r="B474" t="str">
        <f>MID(TB_CECO[[#This Row],[TRABAJO]],1,SEARCH(",",TB_CECO[[#This Row],[TRABAJO]],1)-1)</f>
        <v>SNV 617 NW EST 630-1</v>
      </c>
      <c r="C4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630-1,DESQUINCHE       </v>
      </c>
      <c r="D4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74" s="47" t="s">
        <v>919</v>
      </c>
      <c r="G474" t="s">
        <v>920</v>
      </c>
      <c r="H4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5" spans="1:8" ht="15" customHeight="1" x14ac:dyDescent="0.25">
      <c r="A475" t="str">
        <f>MID(TB_CECO[[#This Row],[CECO_T]],1,5)</f>
        <v>23414</v>
      </c>
      <c r="B475" t="str">
        <f>MID(TB_CECO[[#This Row],[TRABAJO]],1,SEARCH(",",TB_CECO[[#This Row],[TRABAJO]],1)-1)</f>
        <v>SNV 617 NW EST 630-1</v>
      </c>
      <c r="C4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630-1,ENMADERADO       </v>
      </c>
      <c r="D4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75" s="47" t="s">
        <v>921</v>
      </c>
      <c r="G475" t="s">
        <v>922</v>
      </c>
      <c r="H4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6" spans="1:8" ht="15" customHeight="1" x14ac:dyDescent="0.25">
      <c r="A476" t="str">
        <f>MID(TB_CECO[[#This Row],[CECO_T]],1,5)</f>
        <v>23414</v>
      </c>
      <c r="B476" t="str">
        <f>MID(TB_CECO[[#This Row],[TRABAJO]],1,SEARCH(",",TB_CECO[[#This Row],[TRABAJO]],1)-1)</f>
        <v>SNV 617 NW EST 630-1</v>
      </c>
      <c r="C4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630-1,LIMPIEZA         </v>
      </c>
      <c r="D4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76" s="47" t="s">
        <v>923</v>
      </c>
      <c r="G476" t="s">
        <v>924</v>
      </c>
      <c r="H4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7" spans="1:8" ht="15" customHeight="1" x14ac:dyDescent="0.25">
      <c r="A477" t="str">
        <f>MID(TB_CECO[[#This Row],[CECO_T]],1,5)</f>
        <v>23414</v>
      </c>
      <c r="B477" t="str">
        <f>MID(TB_CECO[[#This Row],[TRABAJO]],1,SEARCH(",",TB_CECO[[#This Row],[TRABAJO]],1)-1)</f>
        <v>SNV 617 NW EST 630-1</v>
      </c>
      <c r="C4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630-1,SERVICIOS        </v>
      </c>
      <c r="D4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77" s="47" t="s">
        <v>925</v>
      </c>
      <c r="G477" t="s">
        <v>926</v>
      </c>
      <c r="H4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8" spans="1:8" ht="15" customHeight="1" x14ac:dyDescent="0.25">
      <c r="A478" t="str">
        <f>MID(TB_CECO[[#This Row],[CECO_T]],1,5)</f>
        <v>23414</v>
      </c>
      <c r="B478" t="str">
        <f>MID(TB_CECO[[#This Row],[TRABAJO]],1,SEARCH(",",TB_CECO[[#This Row],[TRABAJO]],1)-1)</f>
        <v>SNV 617 NW EST 630-1</v>
      </c>
      <c r="C4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630-1,EXTRACCION       </v>
      </c>
      <c r="D4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78" s="47" t="s">
        <v>927</v>
      </c>
      <c r="G478" t="s">
        <v>928</v>
      </c>
      <c r="H4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9" spans="1:8" ht="15" customHeight="1" x14ac:dyDescent="0.25">
      <c r="A479" t="str">
        <f>MID(TB_CECO[[#This Row],[CECO_T]],1,5)</f>
        <v>23414</v>
      </c>
      <c r="B479" t="str">
        <f>MID(TB_CECO[[#This Row],[TRABAJO]],1,SEARCH(",",TB_CECO[[#This Row],[TRABAJO]],1)-1)</f>
        <v>SNV 617 NW EST 630-1</v>
      </c>
      <c r="C4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630-1,SPLIT SET        </v>
      </c>
      <c r="D4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79" s="47" t="s">
        <v>929</v>
      </c>
      <c r="G479" t="s">
        <v>930</v>
      </c>
      <c r="H4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0" spans="1:8" ht="15" customHeight="1" x14ac:dyDescent="0.25">
      <c r="A480" t="str">
        <f>MID(TB_CECO[[#This Row],[CECO_T]],1,5)</f>
        <v>23414</v>
      </c>
      <c r="B480" t="str">
        <f>MID(TB_CECO[[#This Row],[TRABAJO]],1,SEARCH(",",TB_CECO[[#This Row],[TRABAJO]],1)-1)</f>
        <v>SNV 617 NW EST 630-1</v>
      </c>
      <c r="C4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630-1,SPLIT CON MALLA  </v>
      </c>
      <c r="D4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80" s="47" t="s">
        <v>931</v>
      </c>
      <c r="G480" t="s">
        <v>932</v>
      </c>
      <c r="H4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1" spans="1:8" ht="15" customHeight="1" x14ac:dyDescent="0.25">
      <c r="A481" t="str">
        <f>MID(TB_CECO[[#This Row],[CECO_T]],1,5)</f>
        <v>23414</v>
      </c>
      <c r="B481" t="str">
        <f>MID(TB_CECO[[#This Row],[TRABAJO]],1,SEARCH(",",TB_CECO[[#This Row],[TRABAJO]],1)-1)</f>
        <v>SNV 617 NW EST 630-1</v>
      </c>
      <c r="C4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630-1,IZAJE Y DESCENSO </v>
      </c>
      <c r="D4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81" s="47" t="s">
        <v>933</v>
      </c>
      <c r="G481" t="s">
        <v>934</v>
      </c>
      <c r="H4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2" spans="1:8" ht="15" customHeight="1" x14ac:dyDescent="0.25">
      <c r="A482" t="str">
        <f>MID(TB_CECO[[#This Row],[CECO_T]],1,5)</f>
        <v>23414</v>
      </c>
      <c r="B482" t="str">
        <f>MID(TB_CECO[[#This Row],[TRABAJO]],1,SEARCH(",",TB_CECO[[#This Row],[TRABAJO]],1)-1)</f>
        <v>SNV 617 NW EST 630-1</v>
      </c>
      <c r="C4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630-1,PERFORACION      </v>
      </c>
      <c r="D4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82" s="47" t="s">
        <v>935</v>
      </c>
      <c r="G482" t="s">
        <v>936</v>
      </c>
      <c r="H4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3" spans="1:8" ht="15" customHeight="1" x14ac:dyDescent="0.25">
      <c r="A483" t="str">
        <f>MID(TB_CECO[[#This Row],[CECO_T]],1,5)</f>
        <v>23416</v>
      </c>
      <c r="B483" t="str">
        <f>MID(TB_CECO[[#This Row],[TRABAJO]],1,SEARCH(",",TB_CECO[[#This Row],[TRABAJO]],1)-1)</f>
        <v>SNV 585 SE EST 585-1 SW</v>
      </c>
      <c r="C4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585 SE EST 585-1 SW,DESQUINCHE    </v>
      </c>
      <c r="D4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83" s="47" t="s">
        <v>937</v>
      </c>
      <c r="G483" t="s">
        <v>938</v>
      </c>
      <c r="H4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4" spans="1:8" ht="15" customHeight="1" x14ac:dyDescent="0.25">
      <c r="A484" t="str">
        <f>MID(TB_CECO[[#This Row],[CECO_T]],1,5)</f>
        <v>23416</v>
      </c>
      <c r="B484" t="str">
        <f>MID(TB_CECO[[#This Row],[TRABAJO]],1,SEARCH(",",TB_CECO[[#This Row],[TRABAJO]],1)-1)</f>
        <v>SNV 585 SE EST 585-1 SW</v>
      </c>
      <c r="C4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585 SE EST 585-1 SW,ENMADERADO    </v>
      </c>
      <c r="D4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84" s="47" t="s">
        <v>939</v>
      </c>
      <c r="G484" t="s">
        <v>940</v>
      </c>
      <c r="H4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5" spans="1:8" ht="15" customHeight="1" x14ac:dyDescent="0.25">
      <c r="A485" t="str">
        <f>MID(TB_CECO[[#This Row],[CECO_T]],1,5)</f>
        <v>23416</v>
      </c>
      <c r="B485" t="str">
        <f>MID(TB_CECO[[#This Row],[TRABAJO]],1,SEARCH(",",TB_CECO[[#This Row],[TRABAJO]],1)-1)</f>
        <v>SNV 585 SE EST 585-1 SW</v>
      </c>
      <c r="C4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585 SE EST 585-1 SW,LIMPIEZA      </v>
      </c>
      <c r="D4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85" s="47" t="s">
        <v>941</v>
      </c>
      <c r="G485" t="s">
        <v>942</v>
      </c>
      <c r="H4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6" spans="1:8" ht="15" customHeight="1" x14ac:dyDescent="0.25">
      <c r="A486" t="str">
        <f>MID(TB_CECO[[#This Row],[CECO_T]],1,5)</f>
        <v>23416</v>
      </c>
      <c r="B486" t="str">
        <f>MID(TB_CECO[[#This Row],[TRABAJO]],1,SEARCH(",",TB_CECO[[#This Row],[TRABAJO]],1)-1)</f>
        <v>SNV 585 SE EST 585-1 SW</v>
      </c>
      <c r="C4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585 SE EST 585-1 SW,SERVICIOS     </v>
      </c>
      <c r="D4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86" s="47" t="s">
        <v>943</v>
      </c>
      <c r="G486" t="s">
        <v>944</v>
      </c>
      <c r="H4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7" spans="1:8" ht="15" customHeight="1" x14ac:dyDescent="0.25">
      <c r="A487" t="str">
        <f>MID(TB_CECO[[#This Row],[CECO_T]],1,5)</f>
        <v>23416</v>
      </c>
      <c r="B487" t="str">
        <f>MID(TB_CECO[[#This Row],[TRABAJO]],1,SEARCH(",",TB_CECO[[#This Row],[TRABAJO]],1)-1)</f>
        <v>SNV 585 SE EST 585-1 SW</v>
      </c>
      <c r="C4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585 SE EST 585-1 SW,EXTRACCION    </v>
      </c>
      <c r="D4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87" s="47" t="s">
        <v>945</v>
      </c>
      <c r="G487" t="s">
        <v>946</v>
      </c>
      <c r="H4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8" spans="1:8" ht="15" customHeight="1" x14ac:dyDescent="0.25">
      <c r="A488" t="str">
        <f>MID(TB_CECO[[#This Row],[CECO_T]],1,5)</f>
        <v>23416</v>
      </c>
      <c r="B488" t="str">
        <f>MID(TB_CECO[[#This Row],[TRABAJO]],1,SEARCH(",",TB_CECO[[#This Row],[TRABAJO]],1)-1)</f>
        <v>SNV 585 SE EST 585-1 SW</v>
      </c>
      <c r="C4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585 SE EST 585-1 SW,SPLIT SET     </v>
      </c>
      <c r="D4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88" s="47" t="s">
        <v>947</v>
      </c>
      <c r="G488" t="s">
        <v>948</v>
      </c>
      <c r="H4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9" spans="1:8" ht="15" customHeight="1" x14ac:dyDescent="0.25">
      <c r="A489" t="str">
        <f>MID(TB_CECO[[#This Row],[CECO_T]],1,5)</f>
        <v>23416</v>
      </c>
      <c r="B489" t="str">
        <f>MID(TB_CECO[[#This Row],[TRABAJO]],1,SEARCH(",",TB_CECO[[#This Row],[TRABAJO]],1)-1)</f>
        <v>SNV 585 SE EST 585-1 SW</v>
      </c>
      <c r="C4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585 SE EST 585-1 SW,SPLIT CON MALL</v>
      </c>
      <c r="D4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89" s="47" t="s">
        <v>949</v>
      </c>
      <c r="G489" t="s">
        <v>950</v>
      </c>
      <c r="H4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0" spans="1:8" ht="15" customHeight="1" x14ac:dyDescent="0.25">
      <c r="A490" t="str">
        <f>MID(TB_CECO[[#This Row],[CECO_T]],1,5)</f>
        <v>23416</v>
      </c>
      <c r="B490" t="str">
        <f>MID(TB_CECO[[#This Row],[TRABAJO]],1,SEARCH(",",TB_CECO[[#This Row],[TRABAJO]],1)-1)</f>
        <v>SNV 585 SE EST 585-1 SW</v>
      </c>
      <c r="C4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585 SE EST 585-1 SW,IZAJE Y DESCEN</v>
      </c>
      <c r="D4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90" s="47" t="s">
        <v>951</v>
      </c>
      <c r="G490" t="s">
        <v>952</v>
      </c>
      <c r="H4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1" spans="1:8" ht="15" customHeight="1" x14ac:dyDescent="0.25">
      <c r="A491" t="str">
        <f>MID(TB_CECO[[#This Row],[CECO_T]],1,5)</f>
        <v>23416</v>
      </c>
      <c r="B491" t="str">
        <f>MID(TB_CECO[[#This Row],[TRABAJO]],1,SEARCH(",",TB_CECO[[#This Row],[TRABAJO]],1)-1)</f>
        <v>SNV 585 SE EST 585-1 SW</v>
      </c>
      <c r="C4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585 SE EST 585-1 SW,PERFORACION   </v>
      </c>
      <c r="D4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91" s="47" t="s">
        <v>953</v>
      </c>
      <c r="G491" t="s">
        <v>954</v>
      </c>
      <c r="H4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2" spans="1:8" ht="15" customHeight="1" x14ac:dyDescent="0.25">
      <c r="A492" t="str">
        <f>MID(TB_CECO[[#This Row],[CECO_T]],1,5)</f>
        <v>23432</v>
      </c>
      <c r="B492" t="str">
        <f>MID(TB_CECO[[#This Row],[TRABAJO]],1,SEARCH(",",TB_CECO[[#This Row],[TRABAJO]],1)-1)</f>
        <v>SNV 626 NW CH 626</v>
      </c>
      <c r="C4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626,DESQUINCHE          </v>
      </c>
      <c r="D4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92" s="47" t="s">
        <v>955</v>
      </c>
      <c r="G492" t="s">
        <v>956</v>
      </c>
      <c r="H4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3" spans="1:8" ht="15" customHeight="1" x14ac:dyDescent="0.25">
      <c r="A493" t="str">
        <f>MID(TB_CECO[[#This Row],[CECO_T]],1,5)</f>
        <v>23432</v>
      </c>
      <c r="B493" t="str">
        <f>MID(TB_CECO[[#This Row],[TRABAJO]],1,SEARCH(",",TB_CECO[[#This Row],[TRABAJO]],1)-1)</f>
        <v>SNV 626 NW CH 626</v>
      </c>
      <c r="C4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626,ENMADERADO          </v>
      </c>
      <c r="D4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93" s="47" t="s">
        <v>957</v>
      </c>
      <c r="G493" t="s">
        <v>958</v>
      </c>
      <c r="H4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4" spans="1:8" ht="15" customHeight="1" x14ac:dyDescent="0.25">
      <c r="A494" t="str">
        <f>MID(TB_CECO[[#This Row],[CECO_T]],1,5)</f>
        <v>23432</v>
      </c>
      <c r="B494" t="str">
        <f>MID(TB_CECO[[#This Row],[TRABAJO]],1,SEARCH(",",TB_CECO[[#This Row],[TRABAJO]],1)-1)</f>
        <v>SNV 626 NW CH 626</v>
      </c>
      <c r="C4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626,LIMPIEZA            </v>
      </c>
      <c r="D4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94" s="47" t="s">
        <v>959</v>
      </c>
      <c r="G494" t="s">
        <v>960</v>
      </c>
      <c r="H4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5" spans="1:8" ht="15" customHeight="1" x14ac:dyDescent="0.25">
      <c r="A495" t="str">
        <f>MID(TB_CECO[[#This Row],[CECO_T]],1,5)</f>
        <v>23432</v>
      </c>
      <c r="B495" t="str">
        <f>MID(TB_CECO[[#This Row],[TRABAJO]],1,SEARCH(",",TB_CECO[[#This Row],[TRABAJO]],1)-1)</f>
        <v>SNV 626 NW CH 626</v>
      </c>
      <c r="C4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626,SERVICIOS           </v>
      </c>
      <c r="D4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95" s="47" t="s">
        <v>961</v>
      </c>
      <c r="G495" t="s">
        <v>962</v>
      </c>
      <c r="H4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6" spans="1:8" ht="15" customHeight="1" x14ac:dyDescent="0.25">
      <c r="A496" t="str">
        <f>MID(TB_CECO[[#This Row],[CECO_T]],1,5)</f>
        <v>23432</v>
      </c>
      <c r="B496" t="str">
        <f>MID(TB_CECO[[#This Row],[TRABAJO]],1,SEARCH(",",TB_CECO[[#This Row],[TRABAJO]],1)-1)</f>
        <v>SNV 626 NW CH 626</v>
      </c>
      <c r="C4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626,EXTRACCION          </v>
      </c>
      <c r="D4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96" s="47" t="s">
        <v>963</v>
      </c>
      <c r="G496" t="s">
        <v>964</v>
      </c>
      <c r="H4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7" spans="1:8" ht="15" customHeight="1" x14ac:dyDescent="0.25">
      <c r="A497" t="str">
        <f>MID(TB_CECO[[#This Row],[CECO_T]],1,5)</f>
        <v>23432</v>
      </c>
      <c r="B497" t="str">
        <f>MID(TB_CECO[[#This Row],[TRABAJO]],1,SEARCH(",",TB_CECO[[#This Row],[TRABAJO]],1)-1)</f>
        <v>SNV 626 NW CH 626</v>
      </c>
      <c r="C4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626,SPLIT SET           </v>
      </c>
      <c r="D4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97" s="47" t="s">
        <v>965</v>
      </c>
      <c r="G497" t="s">
        <v>966</v>
      </c>
      <c r="H4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8" spans="1:8" ht="15" customHeight="1" x14ac:dyDescent="0.25">
      <c r="A498" t="str">
        <f>MID(TB_CECO[[#This Row],[CECO_T]],1,5)</f>
        <v>23432</v>
      </c>
      <c r="B498" t="str">
        <f>MID(TB_CECO[[#This Row],[TRABAJO]],1,SEARCH(",",TB_CECO[[#This Row],[TRABAJO]],1)-1)</f>
        <v>SNV 626 NW CH 626</v>
      </c>
      <c r="C4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626,SPLIT CON MALLA     </v>
      </c>
      <c r="D4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98" s="47" t="s">
        <v>967</v>
      </c>
      <c r="G498" t="s">
        <v>968</v>
      </c>
      <c r="H4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9" spans="1:8" ht="15" customHeight="1" x14ac:dyDescent="0.25">
      <c r="A499" t="str">
        <f>MID(TB_CECO[[#This Row],[CECO_T]],1,5)</f>
        <v>23432</v>
      </c>
      <c r="B499" t="str">
        <f>MID(TB_CECO[[#This Row],[TRABAJO]],1,SEARCH(",",TB_CECO[[#This Row],[TRABAJO]],1)-1)</f>
        <v>SNV 626 NW CH 626</v>
      </c>
      <c r="C4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626,IZAJE Y DESCENSO W  </v>
      </c>
      <c r="D4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4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499" s="47" t="s">
        <v>969</v>
      </c>
      <c r="G499" t="s">
        <v>970</v>
      </c>
      <c r="H4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0" spans="1:8" ht="15" customHeight="1" x14ac:dyDescent="0.25">
      <c r="A500" t="str">
        <f>MID(TB_CECO[[#This Row],[CECO_T]],1,5)</f>
        <v>23432</v>
      </c>
      <c r="B500" t="str">
        <f>MID(TB_CECO[[#This Row],[TRABAJO]],1,SEARCH(",",TB_CECO[[#This Row],[TRABAJO]],1)-1)</f>
        <v>SNV 626 NW CH 626</v>
      </c>
      <c r="C5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626,PERFORACION         </v>
      </c>
      <c r="D5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00" s="47" t="s">
        <v>971</v>
      </c>
      <c r="G500" t="s">
        <v>972</v>
      </c>
      <c r="H5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1" spans="1:8" ht="15" customHeight="1" x14ac:dyDescent="0.25">
      <c r="A501" t="str">
        <f>MID(TB_CECO[[#This Row],[CECO_T]],1,5)</f>
        <v>23433</v>
      </c>
      <c r="B501" t="str">
        <f>MID(TB_CECO[[#This Row],[TRABAJO]],1,SEARCH(",",TB_CECO[[#This Row],[TRABAJO]],1)-1)</f>
        <v>SNV 626 SE CH 626</v>
      </c>
      <c r="C5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626,DESQUINCHE          </v>
      </c>
      <c r="D5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01" s="47" t="s">
        <v>973</v>
      </c>
      <c r="G501" t="s">
        <v>974</v>
      </c>
      <c r="H5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2" spans="1:8" ht="15" customHeight="1" x14ac:dyDescent="0.25">
      <c r="A502" t="str">
        <f>MID(TB_CECO[[#This Row],[CECO_T]],1,5)</f>
        <v>23433</v>
      </c>
      <c r="B502" t="str">
        <f>MID(TB_CECO[[#This Row],[TRABAJO]],1,SEARCH(",",TB_CECO[[#This Row],[TRABAJO]],1)-1)</f>
        <v>SNV 626 SE CH 626</v>
      </c>
      <c r="C5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626,ENMADERADO          </v>
      </c>
      <c r="D5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02" s="47" t="s">
        <v>975</v>
      </c>
      <c r="G502" t="s">
        <v>976</v>
      </c>
      <c r="H5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3" spans="1:8" ht="15" customHeight="1" x14ac:dyDescent="0.25">
      <c r="A503" t="str">
        <f>MID(TB_CECO[[#This Row],[CECO_T]],1,5)</f>
        <v>23433</v>
      </c>
      <c r="B503" t="str">
        <f>MID(TB_CECO[[#This Row],[TRABAJO]],1,SEARCH(",",TB_CECO[[#This Row],[TRABAJO]],1)-1)</f>
        <v>SNV 626 SE CH 626</v>
      </c>
      <c r="C5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626,LIMPIEZA            </v>
      </c>
      <c r="D5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03" s="47" t="s">
        <v>977</v>
      </c>
      <c r="G503" t="s">
        <v>978</v>
      </c>
      <c r="H5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4" spans="1:8" ht="15" customHeight="1" x14ac:dyDescent="0.25">
      <c r="A504" t="str">
        <f>MID(TB_CECO[[#This Row],[CECO_T]],1,5)</f>
        <v>23433</v>
      </c>
      <c r="B504" t="str">
        <f>MID(TB_CECO[[#This Row],[TRABAJO]],1,SEARCH(",",TB_CECO[[#This Row],[TRABAJO]],1)-1)</f>
        <v>SNV 626 SE CH 626</v>
      </c>
      <c r="C5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626,SERVICIOS           </v>
      </c>
      <c r="D5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04" s="47" t="s">
        <v>979</v>
      </c>
      <c r="G504" t="s">
        <v>980</v>
      </c>
      <c r="H5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5" spans="1:8" ht="15" customHeight="1" x14ac:dyDescent="0.25">
      <c r="A505" t="str">
        <f>MID(TB_CECO[[#This Row],[CECO_T]],1,5)</f>
        <v>23433</v>
      </c>
      <c r="B505" t="str">
        <f>MID(TB_CECO[[#This Row],[TRABAJO]],1,SEARCH(",",TB_CECO[[#This Row],[TRABAJO]],1)-1)</f>
        <v>SNV 626 SE CH 626</v>
      </c>
      <c r="C5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626,EXTRACCION          </v>
      </c>
      <c r="D5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05" s="47" t="s">
        <v>981</v>
      </c>
      <c r="G505" t="s">
        <v>982</v>
      </c>
      <c r="H5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6" spans="1:8" ht="15" customHeight="1" x14ac:dyDescent="0.25">
      <c r="A506" t="str">
        <f>MID(TB_CECO[[#This Row],[CECO_T]],1,5)</f>
        <v>23433</v>
      </c>
      <c r="B506" t="str">
        <f>MID(TB_CECO[[#This Row],[TRABAJO]],1,SEARCH(",",TB_CECO[[#This Row],[TRABAJO]],1)-1)</f>
        <v>SNV 626 SE CH 626</v>
      </c>
      <c r="C5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626,SPLIT SET           </v>
      </c>
      <c r="D5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06" s="47" t="s">
        <v>983</v>
      </c>
      <c r="G506" t="s">
        <v>984</v>
      </c>
      <c r="H5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7" spans="1:8" ht="15" customHeight="1" x14ac:dyDescent="0.25">
      <c r="A507" t="str">
        <f>MID(TB_CECO[[#This Row],[CECO_T]],1,5)</f>
        <v>23433</v>
      </c>
      <c r="B507" t="str">
        <f>MID(TB_CECO[[#This Row],[TRABAJO]],1,SEARCH(",",TB_CECO[[#This Row],[TRABAJO]],1)-1)</f>
        <v>SNV 626 SE CH 626</v>
      </c>
      <c r="C5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626,SPLIT CON MALLA     </v>
      </c>
      <c r="D5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07" s="47" t="s">
        <v>985</v>
      </c>
      <c r="G507" t="s">
        <v>986</v>
      </c>
      <c r="H5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8" spans="1:8" ht="15" customHeight="1" x14ac:dyDescent="0.25">
      <c r="A508" t="str">
        <f>MID(TB_CECO[[#This Row],[CECO_T]],1,5)</f>
        <v>23433</v>
      </c>
      <c r="B508" t="str">
        <f>MID(TB_CECO[[#This Row],[TRABAJO]],1,SEARCH(",",TB_CECO[[#This Row],[TRABAJO]],1)-1)</f>
        <v>SNV 626 SE CH 626</v>
      </c>
      <c r="C5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626,IZAJE Y DESCENSO W  </v>
      </c>
      <c r="D5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08" s="47" t="s">
        <v>987</v>
      </c>
      <c r="G508" t="s">
        <v>988</v>
      </c>
      <c r="H5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9" spans="1:8" ht="15" customHeight="1" x14ac:dyDescent="0.25">
      <c r="A509" t="str">
        <f>MID(TB_CECO[[#This Row],[CECO_T]],1,5)</f>
        <v>23433</v>
      </c>
      <c r="B509" t="str">
        <f>MID(TB_CECO[[#This Row],[TRABAJO]],1,SEARCH(",",TB_CECO[[#This Row],[TRABAJO]],1)-1)</f>
        <v>SNV 626 SE CH 626</v>
      </c>
      <c r="C5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626,PERFORACION         </v>
      </c>
      <c r="D5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09" s="47" t="s">
        <v>989</v>
      </c>
      <c r="G509" t="s">
        <v>990</v>
      </c>
      <c r="H5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0" spans="1:8" ht="15" customHeight="1" x14ac:dyDescent="0.25">
      <c r="A510" t="str">
        <f>MID(TB_CECO[[#This Row],[CECO_T]],1,5)</f>
        <v>23434</v>
      </c>
      <c r="B510" t="str">
        <f>MID(TB_CECO[[#This Row],[TRABAJO]],1,SEARCH(",",TB_CECO[[#This Row],[TRABAJO]],1)-1)</f>
        <v>SNV 590 NW  CH 585</v>
      </c>
      <c r="C5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585,DESQUINCHE         </v>
      </c>
      <c r="D5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0" s="47" t="s">
        <v>991</v>
      </c>
      <c r="G510" t="s">
        <v>992</v>
      </c>
      <c r="H5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1" spans="1:8" ht="15" customHeight="1" x14ac:dyDescent="0.25">
      <c r="A511" t="str">
        <f>MID(TB_CECO[[#This Row],[CECO_T]],1,5)</f>
        <v>23434</v>
      </c>
      <c r="B511" t="str">
        <f>MID(TB_CECO[[#This Row],[TRABAJO]],1,SEARCH(",",TB_CECO[[#This Row],[TRABAJO]],1)-1)</f>
        <v>SNV 590 NW  CH 585</v>
      </c>
      <c r="C5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585,ENMADERADO         </v>
      </c>
      <c r="D5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1" s="47" t="s">
        <v>993</v>
      </c>
      <c r="G511" t="s">
        <v>994</v>
      </c>
      <c r="H5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2" spans="1:8" ht="15" customHeight="1" x14ac:dyDescent="0.25">
      <c r="A512" t="str">
        <f>MID(TB_CECO[[#This Row],[CECO_T]],1,5)</f>
        <v>23434</v>
      </c>
      <c r="B512" t="str">
        <f>MID(TB_CECO[[#This Row],[TRABAJO]],1,SEARCH(",",TB_CECO[[#This Row],[TRABAJO]],1)-1)</f>
        <v>SNV 590 NW  CH 585</v>
      </c>
      <c r="C5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585,LIMPIEZA           </v>
      </c>
      <c r="D5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2" s="47" t="s">
        <v>995</v>
      </c>
      <c r="G512" t="s">
        <v>996</v>
      </c>
      <c r="H5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3" spans="1:8" ht="15" customHeight="1" x14ac:dyDescent="0.25">
      <c r="A513" t="str">
        <f>MID(TB_CECO[[#This Row],[CECO_T]],1,5)</f>
        <v>23434</v>
      </c>
      <c r="B513" t="str">
        <f>MID(TB_CECO[[#This Row],[TRABAJO]],1,SEARCH(",",TB_CECO[[#This Row],[TRABAJO]],1)-1)</f>
        <v>SNV 590 NW  CH 585</v>
      </c>
      <c r="C5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585,SERVICIOS          </v>
      </c>
      <c r="D5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3" s="47" t="s">
        <v>997</v>
      </c>
      <c r="G513" t="s">
        <v>998</v>
      </c>
      <c r="H5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4" spans="1:8" ht="15" customHeight="1" x14ac:dyDescent="0.25">
      <c r="A514" t="str">
        <f>MID(TB_CECO[[#This Row],[CECO_T]],1,5)</f>
        <v>23434</v>
      </c>
      <c r="B514" t="str">
        <f>MID(TB_CECO[[#This Row],[TRABAJO]],1,SEARCH(",",TB_CECO[[#This Row],[TRABAJO]],1)-1)</f>
        <v>SNV 590 NW  CH 585</v>
      </c>
      <c r="C5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585,EXTRACCION         </v>
      </c>
      <c r="D5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4" s="47" t="s">
        <v>999</v>
      </c>
      <c r="G514" t="s">
        <v>1000</v>
      </c>
      <c r="H5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5" spans="1:8" ht="15" customHeight="1" x14ac:dyDescent="0.25">
      <c r="A515" t="str">
        <f>MID(TB_CECO[[#This Row],[CECO_T]],1,5)</f>
        <v>23434</v>
      </c>
      <c r="B515" t="str">
        <f>MID(TB_CECO[[#This Row],[TRABAJO]],1,SEARCH(",",TB_CECO[[#This Row],[TRABAJO]],1)-1)</f>
        <v>SNV 590 NW  CH 585</v>
      </c>
      <c r="C5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585,SPLIT SET          </v>
      </c>
      <c r="D5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5" s="47" t="s">
        <v>1001</v>
      </c>
      <c r="G515" t="s">
        <v>1002</v>
      </c>
      <c r="H5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6" spans="1:8" ht="15" customHeight="1" x14ac:dyDescent="0.25">
      <c r="A516" t="str">
        <f>MID(TB_CECO[[#This Row],[CECO_T]],1,5)</f>
        <v>23434</v>
      </c>
      <c r="B516" t="str">
        <f>MID(TB_CECO[[#This Row],[TRABAJO]],1,SEARCH(",",TB_CECO[[#This Row],[TRABAJO]],1)-1)</f>
        <v>SNV 590 NW  CH 585</v>
      </c>
      <c r="C5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585,SPLIT CON MALLA    </v>
      </c>
      <c r="D5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6" s="47" t="s">
        <v>1003</v>
      </c>
      <c r="G516" t="s">
        <v>1004</v>
      </c>
      <c r="H5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7" spans="1:8" ht="15" customHeight="1" x14ac:dyDescent="0.25">
      <c r="A517" t="str">
        <f>MID(TB_CECO[[#This Row],[CECO_T]],1,5)</f>
        <v>23434</v>
      </c>
      <c r="B517" t="str">
        <f>MID(TB_CECO[[#This Row],[TRABAJO]],1,SEARCH(",",TB_CECO[[#This Row],[TRABAJO]],1)-1)</f>
        <v>SNV 590 NW  CH 585</v>
      </c>
      <c r="C5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585,IZAJE Y DESCENSO W </v>
      </c>
      <c r="D5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7" s="47" t="s">
        <v>1005</v>
      </c>
      <c r="G517" t="s">
        <v>1006</v>
      </c>
      <c r="H5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8" spans="1:8" ht="15" customHeight="1" x14ac:dyDescent="0.25">
      <c r="A518" t="str">
        <f>MID(TB_CECO[[#This Row],[CECO_T]],1,5)</f>
        <v>23434</v>
      </c>
      <c r="B518" t="str">
        <f>MID(TB_CECO[[#This Row],[TRABAJO]],1,SEARCH(",",TB_CECO[[#This Row],[TRABAJO]],1)-1)</f>
        <v>SNV 590 NW  CH 585</v>
      </c>
      <c r="C5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585,PERFORACION        </v>
      </c>
      <c r="D5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8" s="47" t="s">
        <v>1007</v>
      </c>
      <c r="G518" t="s">
        <v>1008</v>
      </c>
      <c r="H5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9" spans="1:8" ht="15" customHeight="1" x14ac:dyDescent="0.25">
      <c r="A519" t="str">
        <f>MID(TB_CECO[[#This Row],[CECO_T]],1,5)</f>
        <v>23513</v>
      </c>
      <c r="B519" t="str">
        <f>MID(TB_CECO[[#This Row],[TRABAJO]],1,SEARCH(",",TB_CECO[[#This Row],[TRABAJO]],1)-1)</f>
        <v>EST. 585-1 NW TJ.585 SW</v>
      </c>
      <c r="C5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585-1 NW TJ.585 SW,DESQUINCHE    </v>
      </c>
      <c r="D5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9" s="47" t="s">
        <v>1009</v>
      </c>
      <c r="G519" t="s">
        <v>1010</v>
      </c>
      <c r="H5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0" spans="1:8" ht="15" customHeight="1" x14ac:dyDescent="0.25">
      <c r="A520" t="str">
        <f>MID(TB_CECO[[#This Row],[CECO_T]],1,5)</f>
        <v>23513</v>
      </c>
      <c r="B520" t="str">
        <f>MID(TB_CECO[[#This Row],[TRABAJO]],1,SEARCH(",",TB_CECO[[#This Row],[TRABAJO]],1)-1)</f>
        <v>EST. 585-1 NW TJ.585 SW</v>
      </c>
      <c r="C5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585-1 NW TJ.585 SW,ENMADERADO    </v>
      </c>
      <c r="D5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20" s="47" t="s">
        <v>1011</v>
      </c>
      <c r="G520" t="s">
        <v>1012</v>
      </c>
      <c r="H5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1" spans="1:8" ht="15" customHeight="1" x14ac:dyDescent="0.25">
      <c r="A521" t="str">
        <f>MID(TB_CECO[[#This Row],[CECO_T]],1,5)</f>
        <v>23513</v>
      </c>
      <c r="B521" t="str">
        <f>MID(TB_CECO[[#This Row],[TRABAJO]],1,SEARCH(",",TB_CECO[[#This Row],[TRABAJO]],1)-1)</f>
        <v>EST. 585-1 NW TJ.585 SW</v>
      </c>
      <c r="C5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585-1 NW TJ.585 SW,LIMPIEZA      </v>
      </c>
      <c r="D5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21" s="47" t="s">
        <v>1013</v>
      </c>
      <c r="G521" t="s">
        <v>1014</v>
      </c>
      <c r="H5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2" spans="1:8" ht="15" customHeight="1" x14ac:dyDescent="0.25">
      <c r="A522" t="str">
        <f>MID(TB_CECO[[#This Row],[CECO_T]],1,5)</f>
        <v>23513</v>
      </c>
      <c r="B522" t="str">
        <f>MID(TB_CECO[[#This Row],[TRABAJO]],1,SEARCH(",",TB_CECO[[#This Row],[TRABAJO]],1)-1)</f>
        <v>EST. 585-1 NW TJ.585 SW</v>
      </c>
      <c r="C5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585-1 NW TJ.585 SW,SERVICIOS     </v>
      </c>
      <c r="D5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22" s="47" t="s">
        <v>1015</v>
      </c>
      <c r="G522" t="s">
        <v>1016</v>
      </c>
      <c r="H5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3" spans="1:8" ht="15" customHeight="1" x14ac:dyDescent="0.25">
      <c r="A523" t="str">
        <f>MID(TB_CECO[[#This Row],[CECO_T]],1,5)</f>
        <v>23513</v>
      </c>
      <c r="B523" t="str">
        <f>MID(TB_CECO[[#This Row],[TRABAJO]],1,SEARCH(",",TB_CECO[[#This Row],[TRABAJO]],1)-1)</f>
        <v>EST. 585-1 NW TJ.585 SW</v>
      </c>
      <c r="C5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585-1 NW TJ.585 SW,EXTRACCION    </v>
      </c>
      <c r="D5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23" s="47" t="s">
        <v>1017</v>
      </c>
      <c r="G523" t="s">
        <v>1018</v>
      </c>
      <c r="H5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4" spans="1:8" ht="15" customHeight="1" x14ac:dyDescent="0.25">
      <c r="A524" t="str">
        <f>MID(TB_CECO[[#This Row],[CECO_T]],1,5)</f>
        <v>23513</v>
      </c>
      <c r="B524" t="str">
        <f>MID(TB_CECO[[#This Row],[TRABAJO]],1,SEARCH(",",TB_CECO[[#This Row],[TRABAJO]],1)-1)</f>
        <v>EST. 585-1 NW TJ.585 SW</v>
      </c>
      <c r="C5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585-1 NW TJ.585 SW,SPLIT SET     </v>
      </c>
      <c r="D5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24" s="47" t="s">
        <v>1019</v>
      </c>
      <c r="G524" t="s">
        <v>1020</v>
      </c>
      <c r="H5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5" spans="1:8" ht="15" customHeight="1" x14ac:dyDescent="0.25">
      <c r="A525" t="str">
        <f>MID(TB_CECO[[#This Row],[CECO_T]],1,5)</f>
        <v>23513</v>
      </c>
      <c r="B525" t="str">
        <f>MID(TB_CECO[[#This Row],[TRABAJO]],1,SEARCH(",",TB_CECO[[#This Row],[TRABAJO]],1)-1)</f>
        <v>EST. 585-1 NW TJ.585 SW</v>
      </c>
      <c r="C5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585-1 NW TJ.585 SW,SPLIT CON MALL</v>
      </c>
      <c r="D5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25" s="47" t="s">
        <v>1021</v>
      </c>
      <c r="G525" t="s">
        <v>1022</v>
      </c>
      <c r="H5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6" spans="1:8" ht="15" customHeight="1" x14ac:dyDescent="0.25">
      <c r="A526" t="str">
        <f>MID(TB_CECO[[#This Row],[CECO_T]],1,5)</f>
        <v>23513</v>
      </c>
      <c r="B526" t="str">
        <f>MID(TB_CECO[[#This Row],[TRABAJO]],1,SEARCH(",",TB_CECO[[#This Row],[TRABAJO]],1)-1)</f>
        <v>EST. 585-1 NW TJ.585 SW</v>
      </c>
      <c r="C5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585-1 NW TJ.585 SW,IZAJE Y DESCEN</v>
      </c>
      <c r="D5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26" s="47" t="s">
        <v>1023</v>
      </c>
      <c r="G526" t="s">
        <v>1024</v>
      </c>
      <c r="H5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7" spans="1:8" ht="15" customHeight="1" x14ac:dyDescent="0.25">
      <c r="A527" t="str">
        <f>MID(TB_CECO[[#This Row],[CECO_T]],1,5)</f>
        <v>23513</v>
      </c>
      <c r="B527" t="str">
        <f>MID(TB_CECO[[#This Row],[TRABAJO]],1,SEARCH(",",TB_CECO[[#This Row],[TRABAJO]],1)-1)</f>
        <v>EST. 585-1 NW TJ.585 SW</v>
      </c>
      <c r="C5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585-1 NW TJ.585 SW,PERFORACION   </v>
      </c>
      <c r="D5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27" s="47" t="s">
        <v>1025</v>
      </c>
      <c r="G527" t="s">
        <v>1026</v>
      </c>
      <c r="H5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8" spans="1:8" ht="15" customHeight="1" x14ac:dyDescent="0.25">
      <c r="A528" t="str">
        <f>MID(TB_CECO[[#This Row],[CECO_T]],1,5)</f>
        <v>24111</v>
      </c>
      <c r="B528" t="str">
        <f>MID(TB_CECO[[#This Row],[TRABAJO]],1,SEARCH(",",TB_CECO[[#This Row],[TRABAJO]],1)-1)</f>
        <v>SNv. 612 SE CH 626</v>
      </c>
      <c r="C5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626,DESQUINCHE         </v>
      </c>
      <c r="D5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8" s="47" t="s">
        <v>1027</v>
      </c>
      <c r="G528" t="s">
        <v>740</v>
      </c>
      <c r="H5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9" spans="1:8" ht="15" customHeight="1" x14ac:dyDescent="0.25">
      <c r="A529" t="str">
        <f>MID(TB_CECO[[#This Row],[CECO_T]],1,5)</f>
        <v>24111</v>
      </c>
      <c r="B529" t="str">
        <f>MID(TB_CECO[[#This Row],[TRABAJO]],1,SEARCH(",",TB_CECO[[#This Row],[TRABAJO]],1)-1)</f>
        <v>SNv. 612 SE CH 626</v>
      </c>
      <c r="C5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626,ENMADERADO         </v>
      </c>
      <c r="D5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9" s="47" t="s">
        <v>1028</v>
      </c>
      <c r="G529" t="s">
        <v>742</v>
      </c>
      <c r="H5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0" spans="1:8" ht="15" customHeight="1" x14ac:dyDescent="0.25">
      <c r="A530" t="str">
        <f>MID(TB_CECO[[#This Row],[CECO_T]],1,5)</f>
        <v>24111</v>
      </c>
      <c r="B530" t="str">
        <f>MID(TB_CECO[[#This Row],[TRABAJO]],1,SEARCH(",",TB_CECO[[#This Row],[TRABAJO]],1)-1)</f>
        <v>SNv. 612 SE CH 626</v>
      </c>
      <c r="C5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626,LIMPIEZA           </v>
      </c>
      <c r="D5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0" s="47" t="s">
        <v>1029</v>
      </c>
      <c r="G530" t="s">
        <v>744</v>
      </c>
      <c r="H5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1" spans="1:8" ht="15" customHeight="1" x14ac:dyDescent="0.25">
      <c r="A531" t="str">
        <f>MID(TB_CECO[[#This Row],[CECO_T]],1,5)</f>
        <v>24111</v>
      </c>
      <c r="B531" t="str">
        <f>MID(TB_CECO[[#This Row],[TRABAJO]],1,SEARCH(",",TB_CECO[[#This Row],[TRABAJO]],1)-1)</f>
        <v>SNv. 612 SE CH 626</v>
      </c>
      <c r="C5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626,SERVICIOS          </v>
      </c>
      <c r="D5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1" s="47" t="s">
        <v>1030</v>
      </c>
      <c r="G531" t="s">
        <v>746</v>
      </c>
      <c r="H5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2" spans="1:8" ht="15" customHeight="1" x14ac:dyDescent="0.25">
      <c r="A532" t="str">
        <f>MID(TB_CECO[[#This Row],[CECO_T]],1,5)</f>
        <v>24111</v>
      </c>
      <c r="B532" t="str">
        <f>MID(TB_CECO[[#This Row],[TRABAJO]],1,SEARCH(",",TB_CECO[[#This Row],[TRABAJO]],1)-1)</f>
        <v>SNv. 612 SE CH 626</v>
      </c>
      <c r="C5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626,EXTRACCION         </v>
      </c>
      <c r="D5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2" s="47" t="s">
        <v>1031</v>
      </c>
      <c r="G532" t="s">
        <v>748</v>
      </c>
      <c r="H5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3" spans="1:8" ht="15" customHeight="1" x14ac:dyDescent="0.25">
      <c r="A533" t="str">
        <f>MID(TB_CECO[[#This Row],[CECO_T]],1,5)</f>
        <v>24202</v>
      </c>
      <c r="B533" t="str">
        <f>MID(TB_CECO[[#This Row],[TRABAJO]],1,SEARCH(",",TB_CECO[[#This Row],[TRABAJO]],1)-1)</f>
        <v xml:space="preserve"> CH. 630-1 </v>
      </c>
      <c r="C5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DESQUINCHE              </v>
      </c>
      <c r="D5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3" s="47" t="s">
        <v>1032</v>
      </c>
      <c r="G533" t="s">
        <v>1033</v>
      </c>
      <c r="H5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4" spans="1:8" ht="15" customHeight="1" x14ac:dyDescent="0.25">
      <c r="A534" t="str">
        <f>MID(TB_CECO[[#This Row],[CECO_T]],1,5)</f>
        <v>24202</v>
      </c>
      <c r="B534" t="str">
        <f>MID(TB_CECO[[#This Row],[TRABAJO]],1,SEARCH(",",TB_CECO[[#This Row],[TRABAJO]],1)-1)</f>
        <v xml:space="preserve"> CH. 630-1 </v>
      </c>
      <c r="C5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ENMADERADO              </v>
      </c>
      <c r="D5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4" s="47" t="s">
        <v>1034</v>
      </c>
      <c r="G534" t="s">
        <v>1035</v>
      </c>
      <c r="H5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5" spans="1:8" ht="15" customHeight="1" x14ac:dyDescent="0.25">
      <c r="A535" t="str">
        <f>MID(TB_CECO[[#This Row],[CECO_T]],1,5)</f>
        <v>24202</v>
      </c>
      <c r="B535" t="str">
        <f>MID(TB_CECO[[#This Row],[TRABAJO]],1,SEARCH(",",TB_CECO[[#This Row],[TRABAJO]],1)-1)</f>
        <v xml:space="preserve"> CH. 630-1 </v>
      </c>
      <c r="C5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LIMPIEZA                </v>
      </c>
      <c r="D5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5" s="47" t="s">
        <v>1036</v>
      </c>
      <c r="G535" t="s">
        <v>1037</v>
      </c>
      <c r="H5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6" spans="1:8" ht="15" customHeight="1" x14ac:dyDescent="0.25">
      <c r="A536" t="str">
        <f>MID(TB_CECO[[#This Row],[CECO_T]],1,5)</f>
        <v>24202</v>
      </c>
      <c r="B536" t="str">
        <f>MID(TB_CECO[[#This Row],[TRABAJO]],1,SEARCH(",",TB_CECO[[#This Row],[TRABAJO]],1)-1)</f>
        <v xml:space="preserve"> CH. 630-1 </v>
      </c>
      <c r="C5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SERVICIOS               </v>
      </c>
      <c r="D5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6" s="47" t="s">
        <v>1038</v>
      </c>
      <c r="G536" t="s">
        <v>1039</v>
      </c>
      <c r="H5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7" spans="1:8" ht="15" customHeight="1" x14ac:dyDescent="0.25">
      <c r="A537" t="str">
        <f>MID(TB_CECO[[#This Row],[CECO_T]],1,5)</f>
        <v>24202</v>
      </c>
      <c r="B537" t="str">
        <f>MID(TB_CECO[[#This Row],[TRABAJO]],1,SEARCH(",",TB_CECO[[#This Row],[TRABAJO]],1)-1)</f>
        <v xml:space="preserve"> CH. 630-1 </v>
      </c>
      <c r="C5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EXTRACCION              </v>
      </c>
      <c r="D5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7" s="47" t="s">
        <v>1040</v>
      </c>
      <c r="G537" t="s">
        <v>1041</v>
      </c>
      <c r="H5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8" spans="1:8" ht="15" customHeight="1" x14ac:dyDescent="0.25">
      <c r="A538" t="str">
        <f>MID(TB_CECO[[#This Row],[CECO_T]],1,5)</f>
        <v>24202</v>
      </c>
      <c r="B538" t="str">
        <f>MID(TB_CECO[[#This Row],[TRABAJO]],1,SEARCH(",",TB_CECO[[#This Row],[TRABAJO]],1)-1)</f>
        <v xml:space="preserve"> CH. 630-1 </v>
      </c>
      <c r="C5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SPLIT SET               </v>
      </c>
      <c r="D5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8" s="47" t="s">
        <v>1042</v>
      </c>
      <c r="G538" t="s">
        <v>1043</v>
      </c>
      <c r="H5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9" spans="1:8" ht="15" customHeight="1" x14ac:dyDescent="0.25">
      <c r="A539" t="str">
        <f>MID(TB_CECO[[#This Row],[CECO_T]],1,5)</f>
        <v>24202</v>
      </c>
      <c r="B539" t="str">
        <f>MID(TB_CECO[[#This Row],[TRABAJO]],1,SEARCH(",",TB_CECO[[#This Row],[TRABAJO]],1)-1)</f>
        <v xml:space="preserve"> CH. 630-1 </v>
      </c>
      <c r="C5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SPLIT CON MALLA         </v>
      </c>
      <c r="D5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9" s="47" t="s">
        <v>1044</v>
      </c>
      <c r="G539" t="s">
        <v>1045</v>
      </c>
      <c r="H5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0" spans="1:8" ht="15" customHeight="1" x14ac:dyDescent="0.25">
      <c r="A540" t="str">
        <f>MID(TB_CECO[[#This Row],[CECO_T]],1,5)</f>
        <v>24202</v>
      </c>
      <c r="B540" t="str">
        <f>MID(TB_CECO[[#This Row],[TRABAJO]],1,SEARCH(",",TB_CECO[[#This Row],[TRABAJO]],1)-1)</f>
        <v xml:space="preserve"> CH. 630-1 </v>
      </c>
      <c r="C5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IZAJE Y DESCENSO W      </v>
      </c>
      <c r="D5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40" s="47" t="s">
        <v>1046</v>
      </c>
      <c r="G540" t="s">
        <v>1047</v>
      </c>
      <c r="H5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1" spans="1:8" ht="15" customHeight="1" x14ac:dyDescent="0.25">
      <c r="A541" t="str">
        <f>MID(TB_CECO[[#This Row],[CECO_T]],1,5)</f>
        <v>24202</v>
      </c>
      <c r="B541" t="str">
        <f>MID(TB_CECO[[#This Row],[TRABAJO]],1,SEARCH(",",TB_CECO[[#This Row],[TRABAJO]],1)-1)</f>
        <v xml:space="preserve"> CH. 630-1 </v>
      </c>
      <c r="C5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PERFORACION             </v>
      </c>
      <c r="D5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41" s="47" t="s">
        <v>1048</v>
      </c>
      <c r="G541" t="s">
        <v>1049</v>
      </c>
      <c r="H5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2" spans="1:8" ht="15" customHeight="1" x14ac:dyDescent="0.25">
      <c r="A542" t="str">
        <f>MID(TB_CECO[[#This Row],[CECO_T]],1,5)</f>
        <v>24203</v>
      </c>
      <c r="B542" t="str">
        <f>MID(TB_CECO[[#This Row],[TRABAJO]],1,SEARCH(",",TB_CECO[[#This Row],[TRABAJO]],1)-1)</f>
        <v xml:space="preserve"> CH. 630-1  Est. 630-6 SW </v>
      </c>
      <c r="C5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 Est. 630-6 SW , DESQUIN</v>
      </c>
      <c r="D5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42" s="47" t="s">
        <v>1050</v>
      </c>
      <c r="G542" t="s">
        <v>1051</v>
      </c>
      <c r="H5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3" spans="1:8" ht="15" customHeight="1" x14ac:dyDescent="0.25">
      <c r="A543" t="str">
        <f>MID(TB_CECO[[#This Row],[CECO_T]],1,5)</f>
        <v>24203</v>
      </c>
      <c r="B543" t="str">
        <f>MID(TB_CECO[[#This Row],[TRABAJO]],1,SEARCH(",",TB_CECO[[#This Row],[TRABAJO]],1)-1)</f>
        <v xml:space="preserve"> CH. 630-1  Est. 630-6 SW </v>
      </c>
      <c r="C5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 Est. 630-6 SW , ENMADER</v>
      </c>
      <c r="D5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43" s="47" t="s">
        <v>1052</v>
      </c>
      <c r="G543" t="s">
        <v>1053</v>
      </c>
      <c r="H5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4" spans="1:8" ht="15" customHeight="1" x14ac:dyDescent="0.25">
      <c r="A544" t="str">
        <f>MID(TB_CECO[[#This Row],[CECO_T]],1,5)</f>
        <v>24203</v>
      </c>
      <c r="B544" t="str">
        <f>MID(TB_CECO[[#This Row],[TRABAJO]],1,SEARCH(",",TB_CECO[[#This Row],[TRABAJO]],1)-1)</f>
        <v xml:space="preserve"> CH. 630-1  Est. 630-6 SW </v>
      </c>
      <c r="C5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 Est. 630-6 SW , LIMPIEZ</v>
      </c>
      <c r="D5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44" s="47" t="s">
        <v>1054</v>
      </c>
      <c r="G544" t="s">
        <v>1055</v>
      </c>
      <c r="H5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5" spans="1:8" ht="15" customHeight="1" x14ac:dyDescent="0.25">
      <c r="A545" t="str">
        <f>MID(TB_CECO[[#This Row],[CECO_T]],1,5)</f>
        <v>24203</v>
      </c>
      <c r="B545" t="str">
        <f>MID(TB_CECO[[#This Row],[TRABAJO]],1,SEARCH(",",TB_CECO[[#This Row],[TRABAJO]],1)-1)</f>
        <v xml:space="preserve"> CH. 630-1  Est. 630-6 SW </v>
      </c>
      <c r="C5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 Est. 630-6 SW , SERVICI</v>
      </c>
      <c r="D5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45" s="47" t="s">
        <v>1056</v>
      </c>
      <c r="G545" t="s">
        <v>1057</v>
      </c>
      <c r="H5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6" spans="1:8" ht="15" customHeight="1" x14ac:dyDescent="0.25">
      <c r="A546" t="str">
        <f>MID(TB_CECO[[#This Row],[CECO_T]],1,5)</f>
        <v>24203</v>
      </c>
      <c r="B546" t="str">
        <f>MID(TB_CECO[[#This Row],[TRABAJO]],1,SEARCH(",",TB_CECO[[#This Row],[TRABAJO]],1)-1)</f>
        <v xml:space="preserve"> CH. 630-1  Est. 630-6 SW </v>
      </c>
      <c r="C5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 Est. 630-6 SW , EXTRACC</v>
      </c>
      <c r="D5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46" s="47" t="s">
        <v>1058</v>
      </c>
      <c r="G546" t="s">
        <v>1059</v>
      </c>
      <c r="H5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7" spans="1:8" ht="15" customHeight="1" x14ac:dyDescent="0.25">
      <c r="A547" t="str">
        <f>MID(TB_CECO[[#This Row],[CECO_T]],1,5)</f>
        <v>24203</v>
      </c>
      <c r="B547" t="str">
        <f>MID(TB_CECO[[#This Row],[TRABAJO]],1,SEARCH(",",TB_CECO[[#This Row],[TRABAJO]],1)-1)</f>
        <v xml:space="preserve"> CH. 630-1  Est. 630-6 SW </v>
      </c>
      <c r="C5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 Est. 630-6 SW , split s</v>
      </c>
      <c r="D5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47" s="47" t="s">
        <v>1060</v>
      </c>
      <c r="G547" t="s">
        <v>1061</v>
      </c>
      <c r="H5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8" spans="1:8" ht="15" customHeight="1" x14ac:dyDescent="0.25">
      <c r="A548" t="str">
        <f>MID(TB_CECO[[#This Row],[CECO_T]],1,5)</f>
        <v>24203</v>
      </c>
      <c r="B548" t="str">
        <f>MID(TB_CECO[[#This Row],[TRABAJO]],1,SEARCH(",",TB_CECO[[#This Row],[TRABAJO]],1)-1)</f>
        <v xml:space="preserve">CH. 630-1 Est.630-6 SW </v>
      </c>
      <c r="C5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CH. 630-1 Est.630-6 SW ,split con ma</v>
      </c>
      <c r="D5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48" s="47" t="s">
        <v>1062</v>
      </c>
      <c r="G548" t="s">
        <v>1063</v>
      </c>
      <c r="H5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9" spans="1:8" ht="15" customHeight="1" x14ac:dyDescent="0.25">
      <c r="A549" t="str">
        <f>MID(TB_CECO[[#This Row],[CECO_T]],1,5)</f>
        <v>24203</v>
      </c>
      <c r="B549" t="str">
        <f>MID(TB_CECO[[#This Row],[TRABAJO]],1,SEARCH(",",TB_CECO[[#This Row],[TRABAJO]],1)-1)</f>
        <v>CH.630-1 Est.630-6 SW</v>
      </c>
      <c r="C5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CH.630-1 Est.630-6 SW,IZAJE Y DESCEN</v>
      </c>
      <c r="D5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49" s="47" t="s">
        <v>1064</v>
      </c>
      <c r="G549" t="s">
        <v>1065</v>
      </c>
      <c r="H5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0" spans="1:8" ht="15" customHeight="1" x14ac:dyDescent="0.25">
      <c r="A550" t="str">
        <f>MID(TB_CECO[[#This Row],[CECO_T]],1,5)</f>
        <v>24203</v>
      </c>
      <c r="B550" t="str">
        <f>MID(TB_CECO[[#This Row],[TRABAJO]],1,SEARCH(",",TB_CECO[[#This Row],[TRABAJO]],1)-1)</f>
        <v xml:space="preserve"> CH. 630-1  Est. 630-6 SW </v>
      </c>
      <c r="C5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 Est. 630-6 SW , PERFORA</v>
      </c>
      <c r="D5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50" s="47" t="s">
        <v>1066</v>
      </c>
      <c r="G550" t="s">
        <v>1067</v>
      </c>
      <c r="H5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1" spans="1:8" ht="15" customHeight="1" x14ac:dyDescent="0.25">
      <c r="A551" t="str">
        <f>MID(TB_CECO[[#This Row],[CECO_T]],1,5)</f>
        <v>24217</v>
      </c>
      <c r="B551" t="str">
        <f>MID(TB_CECO[[#This Row],[TRABAJO]],1,SEARCH(",",TB_CECO[[#This Row],[TRABAJO]],1)-1)</f>
        <v>CH 597 TJ 626 NW</v>
      </c>
      <c r="C5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NW,DESQUINCHE            </v>
      </c>
      <c r="D5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51" s="47" t="s">
        <v>1068</v>
      </c>
      <c r="G551" t="s">
        <v>1069</v>
      </c>
      <c r="H5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2" spans="1:8" ht="15" customHeight="1" x14ac:dyDescent="0.25">
      <c r="A552" t="str">
        <f>MID(TB_CECO[[#This Row],[CECO_T]],1,5)</f>
        <v>24217</v>
      </c>
      <c r="B552" t="str">
        <f>MID(TB_CECO[[#This Row],[TRABAJO]],1,SEARCH(",",TB_CECO[[#This Row],[TRABAJO]],1)-1)</f>
        <v>CH 597 TJ 626 NW</v>
      </c>
      <c r="C5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NW,ENMADERADO            </v>
      </c>
      <c r="D5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52" s="47" t="s">
        <v>1070</v>
      </c>
      <c r="G552" t="s">
        <v>1071</v>
      </c>
      <c r="H5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3" spans="1:8" ht="15" customHeight="1" x14ac:dyDescent="0.25">
      <c r="A553" t="str">
        <f>MID(TB_CECO[[#This Row],[CECO_T]],1,5)</f>
        <v>24217</v>
      </c>
      <c r="B553" t="str">
        <f>MID(TB_CECO[[#This Row],[TRABAJO]],1,SEARCH(",",TB_CECO[[#This Row],[TRABAJO]],1)-1)</f>
        <v>CH 597 TJ 626 NW</v>
      </c>
      <c r="C5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NW,LIMPIEZA              </v>
      </c>
      <c r="D5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53" s="47" t="s">
        <v>1072</v>
      </c>
      <c r="G553" t="s">
        <v>1073</v>
      </c>
      <c r="H5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4" spans="1:8" ht="15" customHeight="1" x14ac:dyDescent="0.25">
      <c r="A554" t="str">
        <f>MID(TB_CECO[[#This Row],[CECO_T]],1,5)</f>
        <v>24217</v>
      </c>
      <c r="B554" t="str">
        <f>MID(TB_CECO[[#This Row],[TRABAJO]],1,SEARCH(",",TB_CECO[[#This Row],[TRABAJO]],1)-1)</f>
        <v>CH 597 TJ 626 NW</v>
      </c>
      <c r="C5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NW,SERVICIOS             </v>
      </c>
      <c r="D5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54" s="47" t="s">
        <v>1074</v>
      </c>
      <c r="G554" t="s">
        <v>1075</v>
      </c>
      <c r="H5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5" spans="1:8" ht="15" customHeight="1" x14ac:dyDescent="0.25">
      <c r="A555" t="str">
        <f>MID(TB_CECO[[#This Row],[CECO_T]],1,5)</f>
        <v>24217</v>
      </c>
      <c r="B555" t="str">
        <f>MID(TB_CECO[[#This Row],[TRABAJO]],1,SEARCH(",",TB_CECO[[#This Row],[TRABAJO]],1)-1)</f>
        <v>CH 597 TJ 626 NW</v>
      </c>
      <c r="C5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NW,EXTRACCION            </v>
      </c>
      <c r="D5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55" s="47" t="s">
        <v>1076</v>
      </c>
      <c r="G555" t="s">
        <v>1077</v>
      </c>
      <c r="H5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6" spans="1:8" ht="15" customHeight="1" x14ac:dyDescent="0.25">
      <c r="A556" t="str">
        <f>MID(TB_CECO[[#This Row],[CECO_T]],1,5)</f>
        <v>24217</v>
      </c>
      <c r="B556" t="str">
        <f>MID(TB_CECO[[#This Row],[TRABAJO]],1,SEARCH(",",TB_CECO[[#This Row],[TRABAJO]],1)-1)</f>
        <v>CH 597 TJ 626 NW</v>
      </c>
      <c r="C5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NW,SPLIT SET             </v>
      </c>
      <c r="D5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56" s="47" t="s">
        <v>1078</v>
      </c>
      <c r="G556" t="s">
        <v>1079</v>
      </c>
      <c r="H5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7" spans="1:8" ht="15" customHeight="1" x14ac:dyDescent="0.25">
      <c r="A557" t="str">
        <f>MID(TB_CECO[[#This Row],[CECO_T]],1,5)</f>
        <v>24217</v>
      </c>
      <c r="B557" t="str">
        <f>MID(TB_CECO[[#This Row],[TRABAJO]],1,SEARCH(",",TB_CECO[[#This Row],[TRABAJO]],1)-1)</f>
        <v>CH 597 TJ 626 NW</v>
      </c>
      <c r="C5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NW,SPLIT CON MALLA       </v>
      </c>
      <c r="D5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57" s="47" t="s">
        <v>1080</v>
      </c>
      <c r="G557" t="s">
        <v>1081</v>
      </c>
      <c r="H5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8" spans="1:8" ht="15" customHeight="1" x14ac:dyDescent="0.25">
      <c r="A558" t="str">
        <f>MID(TB_CECO[[#This Row],[CECO_T]],1,5)</f>
        <v>24217</v>
      </c>
      <c r="B558" t="str">
        <f>MID(TB_CECO[[#This Row],[TRABAJO]],1,SEARCH(",",TB_CECO[[#This Row],[TRABAJO]],1)-1)</f>
        <v>CH 597 TJ 626 NW</v>
      </c>
      <c r="C5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NW,IZAJE Y DESCENSO W    </v>
      </c>
      <c r="D5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58" s="47" t="s">
        <v>1082</v>
      </c>
      <c r="G558" t="s">
        <v>1083</v>
      </c>
      <c r="H5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9" spans="1:8" ht="15" customHeight="1" x14ac:dyDescent="0.25">
      <c r="A559" t="str">
        <f>MID(TB_CECO[[#This Row],[CECO_T]],1,5)</f>
        <v>24217</v>
      </c>
      <c r="B559" t="str">
        <f>MID(TB_CECO[[#This Row],[TRABAJO]],1,SEARCH(",",TB_CECO[[#This Row],[TRABAJO]],1)-1)</f>
        <v>CH 597 TJ 626 NW</v>
      </c>
      <c r="C5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NW,PERFORACION           </v>
      </c>
      <c r="D5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59" s="47" t="s">
        <v>1084</v>
      </c>
      <c r="G559" t="s">
        <v>1085</v>
      </c>
      <c r="H5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0" spans="1:8" ht="15" customHeight="1" x14ac:dyDescent="0.25">
      <c r="A560" t="str">
        <f>MID(TB_CECO[[#This Row],[CECO_T]],1,5)</f>
        <v>24503</v>
      </c>
      <c r="B560" t="str">
        <f>MID(TB_CECO[[#This Row],[TRABAJO]],1,SEARCH(",",TB_CECO[[#This Row],[TRABAJO]],1)-1)</f>
        <v xml:space="preserve"> ES. 630-6 SW_PQ. 630 </v>
      </c>
      <c r="C5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DESQUINCHE   </v>
      </c>
      <c r="D5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0" s="47" t="s">
        <v>1086</v>
      </c>
      <c r="G560" t="s">
        <v>1087</v>
      </c>
      <c r="H5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1" spans="1:8" ht="15" customHeight="1" x14ac:dyDescent="0.25">
      <c r="A561" t="str">
        <f>MID(TB_CECO[[#This Row],[CECO_T]],1,5)</f>
        <v>24503</v>
      </c>
      <c r="B561" t="str">
        <f>MID(TB_CECO[[#This Row],[TRABAJO]],1,SEARCH(",",TB_CECO[[#This Row],[TRABAJO]],1)-1)</f>
        <v xml:space="preserve"> ES. 630-6 SW_PQ. 630 </v>
      </c>
      <c r="C5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ENMADERADO   </v>
      </c>
      <c r="D5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1" s="47" t="s">
        <v>1088</v>
      </c>
      <c r="G561" t="s">
        <v>1089</v>
      </c>
      <c r="H5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2" spans="1:8" ht="15" customHeight="1" x14ac:dyDescent="0.25">
      <c r="A562" t="str">
        <f>MID(TB_CECO[[#This Row],[CECO_T]],1,5)</f>
        <v>24503</v>
      </c>
      <c r="B562" t="str">
        <f>MID(TB_CECO[[#This Row],[TRABAJO]],1,SEARCH(",",TB_CECO[[#This Row],[TRABAJO]],1)-1)</f>
        <v xml:space="preserve"> ES. 630-6 SW_PQ. 630 </v>
      </c>
      <c r="C5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LIMPIEZA     </v>
      </c>
      <c r="D5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2" s="47" t="s">
        <v>1090</v>
      </c>
      <c r="G562" t="s">
        <v>1091</v>
      </c>
      <c r="H5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3" spans="1:8" ht="15" customHeight="1" x14ac:dyDescent="0.25">
      <c r="A563" t="str">
        <f>MID(TB_CECO[[#This Row],[CECO_T]],1,5)</f>
        <v>24503</v>
      </c>
      <c r="B563" t="str">
        <f>MID(TB_CECO[[#This Row],[TRABAJO]],1,SEARCH(",",TB_CECO[[#This Row],[TRABAJO]],1)-1)</f>
        <v xml:space="preserve"> ES. 630-6 SW_PQ. 630 </v>
      </c>
      <c r="C5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SERVICIOS    </v>
      </c>
      <c r="D5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3" s="47" t="s">
        <v>1092</v>
      </c>
      <c r="G563" t="s">
        <v>1093</v>
      </c>
      <c r="H5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4" spans="1:8" ht="15" customHeight="1" x14ac:dyDescent="0.25">
      <c r="A564" t="str">
        <f>MID(TB_CECO[[#This Row],[CECO_T]],1,5)</f>
        <v>24503</v>
      </c>
      <c r="B564" t="str">
        <f>MID(TB_CECO[[#This Row],[TRABAJO]],1,SEARCH(",",TB_CECO[[#This Row],[TRABAJO]],1)-1)</f>
        <v xml:space="preserve"> ES. 630-6 SW_PQ. 630 </v>
      </c>
      <c r="C5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EXTRACCION   </v>
      </c>
      <c r="D5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4" s="47" t="s">
        <v>1094</v>
      </c>
      <c r="G564" t="s">
        <v>1095</v>
      </c>
      <c r="H5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5" spans="1:8" ht="15" customHeight="1" x14ac:dyDescent="0.25">
      <c r="A565" t="str">
        <f>MID(TB_CECO[[#This Row],[CECO_T]],1,5)</f>
        <v>24503</v>
      </c>
      <c r="B565" t="str">
        <f>MID(TB_CECO[[#This Row],[TRABAJO]],1,SEARCH(",",TB_CECO[[#This Row],[TRABAJO]],1)-1)</f>
        <v xml:space="preserve"> ES. 630-6 SW_PQ. 630 </v>
      </c>
      <c r="C5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SPLIT SET    </v>
      </c>
      <c r="D5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5" s="47" t="s">
        <v>1096</v>
      </c>
      <c r="G565" t="s">
        <v>1097</v>
      </c>
      <c r="H5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6" spans="1:8" ht="15" customHeight="1" x14ac:dyDescent="0.25">
      <c r="A566" t="str">
        <f>MID(TB_CECO[[#This Row],[CECO_T]],1,5)</f>
        <v>24503</v>
      </c>
      <c r="B566" t="str">
        <f>MID(TB_CECO[[#This Row],[TRABAJO]],1,SEARCH(",",TB_CECO[[#This Row],[TRABAJO]],1)-1)</f>
        <v xml:space="preserve"> ES. 630-6 SW_PQ. 630 </v>
      </c>
      <c r="C5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SPLIT CON MAL</v>
      </c>
      <c r="D5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6" s="47" t="s">
        <v>1098</v>
      </c>
      <c r="G566" t="s">
        <v>1099</v>
      </c>
      <c r="H5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7" spans="1:8" ht="15" customHeight="1" x14ac:dyDescent="0.25">
      <c r="A567" t="str">
        <f>MID(TB_CECO[[#This Row],[CECO_T]],1,5)</f>
        <v>24503</v>
      </c>
      <c r="B567" t="str">
        <f>MID(TB_CECO[[#This Row],[TRABAJO]],1,SEARCH(",",TB_CECO[[#This Row],[TRABAJO]],1)-1)</f>
        <v xml:space="preserve"> ES. 630-6 SW_PQ. 630 </v>
      </c>
      <c r="C5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IZAJE Y DESCE</v>
      </c>
      <c r="D5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7" s="47" t="s">
        <v>1100</v>
      </c>
      <c r="G567" t="s">
        <v>1101</v>
      </c>
      <c r="H5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8" spans="1:8" ht="15" customHeight="1" x14ac:dyDescent="0.25">
      <c r="A568" t="str">
        <f>MID(TB_CECO[[#This Row],[CECO_T]],1,5)</f>
        <v>24503</v>
      </c>
      <c r="B568" t="str">
        <f>MID(TB_CECO[[#This Row],[TRABAJO]],1,SEARCH(",",TB_CECO[[#This Row],[TRABAJO]],1)-1)</f>
        <v xml:space="preserve"> ES. 630-6 SW_PQ. 630 </v>
      </c>
      <c r="C5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PERFORACION  </v>
      </c>
      <c r="D5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8" s="47" t="s">
        <v>1102</v>
      </c>
      <c r="G568" t="s">
        <v>1103</v>
      </c>
      <c r="H5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9" spans="1:8" ht="15" customHeight="1" x14ac:dyDescent="0.25">
      <c r="A569" t="str">
        <f>MID(TB_CECO[[#This Row],[CECO_T]],1,5)</f>
        <v>24506</v>
      </c>
      <c r="B569" t="str">
        <f>MID(TB_CECO[[#This Row],[TRABAJO]],1,SEARCH(",",TB_CECO[[#This Row],[TRABAJO]],1)-1)</f>
        <v xml:space="preserve"> Est. 626-1 CH. 626 </v>
      </c>
      <c r="C5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DESQUINCHE   </v>
      </c>
      <c r="D5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69" s="47" t="s">
        <v>1104</v>
      </c>
      <c r="G569" t="s">
        <v>1105</v>
      </c>
      <c r="H5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0" spans="1:8" ht="15" customHeight="1" x14ac:dyDescent="0.25">
      <c r="A570" t="str">
        <f>MID(TB_CECO[[#This Row],[CECO_T]],1,5)</f>
        <v>24506</v>
      </c>
      <c r="B570" t="str">
        <f>MID(TB_CECO[[#This Row],[TRABAJO]],1,SEARCH(",",TB_CECO[[#This Row],[TRABAJO]],1)-1)</f>
        <v xml:space="preserve"> Est. 626-1 CH. 626 </v>
      </c>
      <c r="C5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ENMADERADO   </v>
      </c>
      <c r="D5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70" s="47" t="s">
        <v>1106</v>
      </c>
      <c r="G570" t="s">
        <v>1107</v>
      </c>
      <c r="H5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1" spans="1:8" ht="15" customHeight="1" x14ac:dyDescent="0.25">
      <c r="A571" t="str">
        <f>MID(TB_CECO[[#This Row],[CECO_T]],1,5)</f>
        <v>24506</v>
      </c>
      <c r="B571" t="str">
        <f>MID(TB_CECO[[#This Row],[TRABAJO]],1,SEARCH(",",TB_CECO[[#This Row],[TRABAJO]],1)-1)</f>
        <v xml:space="preserve"> Est. 626-1 CH. 626 </v>
      </c>
      <c r="C5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LIMPIEZA     </v>
      </c>
      <c r="D5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71" s="47" t="s">
        <v>1108</v>
      </c>
      <c r="G571" t="s">
        <v>1109</v>
      </c>
      <c r="H5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2" spans="1:8" ht="15" customHeight="1" x14ac:dyDescent="0.25">
      <c r="A572" t="str">
        <f>MID(TB_CECO[[#This Row],[CECO_T]],1,5)</f>
        <v>24506</v>
      </c>
      <c r="B572" t="str">
        <f>MID(TB_CECO[[#This Row],[TRABAJO]],1,SEARCH(",",TB_CECO[[#This Row],[TRABAJO]],1)-1)</f>
        <v xml:space="preserve"> Est. 626-1 CH. 626 </v>
      </c>
      <c r="C5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SERVICIOS    </v>
      </c>
      <c r="D5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72" s="47" t="s">
        <v>1110</v>
      </c>
      <c r="G572" t="s">
        <v>1111</v>
      </c>
      <c r="H5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3" spans="1:8" ht="15" customHeight="1" x14ac:dyDescent="0.25">
      <c r="A573" t="str">
        <f>MID(TB_CECO[[#This Row],[CECO_T]],1,5)</f>
        <v>24506</v>
      </c>
      <c r="B573" t="str">
        <f>MID(TB_CECO[[#This Row],[TRABAJO]],1,SEARCH(",",TB_CECO[[#This Row],[TRABAJO]],1)-1)</f>
        <v xml:space="preserve"> Est. 626-1 CH. 626 </v>
      </c>
      <c r="C5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EXTRACCION   </v>
      </c>
      <c r="D5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73" s="47" t="s">
        <v>1112</v>
      </c>
      <c r="G573" t="s">
        <v>1113</v>
      </c>
      <c r="H5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4" spans="1:8" ht="15" customHeight="1" x14ac:dyDescent="0.25">
      <c r="A574" t="str">
        <f>MID(TB_CECO[[#This Row],[CECO_T]],1,5)</f>
        <v>24506</v>
      </c>
      <c r="B574" t="str">
        <f>MID(TB_CECO[[#This Row],[TRABAJO]],1,SEARCH(",",TB_CECO[[#This Row],[TRABAJO]],1)-1)</f>
        <v xml:space="preserve"> Est. 626-1 CH. 626 </v>
      </c>
      <c r="C5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split set    </v>
      </c>
      <c r="D5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74" s="47" t="s">
        <v>1114</v>
      </c>
      <c r="G574" t="s">
        <v>1115</v>
      </c>
      <c r="H5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5" spans="1:8" ht="15" customHeight="1" x14ac:dyDescent="0.25">
      <c r="A575" t="str">
        <f>MID(TB_CECO[[#This Row],[CECO_T]],1,5)</f>
        <v>24506</v>
      </c>
      <c r="B575" t="str">
        <f>MID(TB_CECO[[#This Row],[TRABAJO]],1,SEARCH(",",TB_CECO[[#This Row],[TRABAJO]],1)-1)</f>
        <v xml:space="preserve"> Est. 626-1 CH. 626 </v>
      </c>
      <c r="C5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split con mal</v>
      </c>
      <c r="D5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75" s="47" t="s">
        <v>1116</v>
      </c>
      <c r="G575" t="s">
        <v>1117</v>
      </c>
      <c r="H5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6" spans="1:8" ht="15" customHeight="1" x14ac:dyDescent="0.25">
      <c r="A576" t="str">
        <f>MID(TB_CECO[[#This Row],[CECO_T]],1,5)</f>
        <v>24506</v>
      </c>
      <c r="B576" t="str">
        <f>MID(TB_CECO[[#This Row],[TRABAJO]],1,SEARCH(",",TB_CECO[[#This Row],[TRABAJO]],1)-1)</f>
        <v xml:space="preserve"> Est. 626-1 CH. 626 </v>
      </c>
      <c r="C5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IZAJE Y DESCE</v>
      </c>
      <c r="D5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76" s="47" t="s">
        <v>1118</v>
      </c>
      <c r="G576" t="s">
        <v>1119</v>
      </c>
      <c r="H5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7" spans="1:8" ht="15" customHeight="1" x14ac:dyDescent="0.25">
      <c r="A577" t="str">
        <f>MID(TB_CECO[[#This Row],[CECO_T]],1,5)</f>
        <v>24506</v>
      </c>
      <c r="B577" t="str">
        <f>MID(TB_CECO[[#This Row],[TRABAJO]],1,SEARCH(",",TB_CECO[[#This Row],[TRABAJO]],1)-1)</f>
        <v xml:space="preserve"> Est. 626-1 CH. 626 </v>
      </c>
      <c r="C5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PERFORACION  </v>
      </c>
      <c r="D5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77" s="47" t="s">
        <v>1120</v>
      </c>
      <c r="G577" t="s">
        <v>1121</v>
      </c>
      <c r="H5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8" spans="1:8" ht="15" customHeight="1" x14ac:dyDescent="0.25">
      <c r="A578" t="str">
        <f>MID(TB_CECO[[#This Row],[CECO_T]],1,5)</f>
        <v>24601</v>
      </c>
      <c r="B578" t="str">
        <f>MID(TB_CECO[[#This Row],[TRABAJO]],1,SEARCH(",",TB_CECO[[#This Row],[TRABAJO]],1)-1)</f>
        <v xml:space="preserve"> PQ 630_CX. 616 SW </v>
      </c>
      <c r="C5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DESQUINCHE      </v>
      </c>
      <c r="D5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8" s="47" t="s">
        <v>1122</v>
      </c>
      <c r="G578" t="s">
        <v>1123</v>
      </c>
      <c r="H5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9" spans="1:8" ht="15" customHeight="1" x14ac:dyDescent="0.25">
      <c r="A579" t="str">
        <f>MID(TB_CECO[[#This Row],[CECO_T]],1,5)</f>
        <v>24601</v>
      </c>
      <c r="B579" t="str">
        <f>MID(TB_CECO[[#This Row],[TRABAJO]],1,SEARCH(",",TB_CECO[[#This Row],[TRABAJO]],1)-1)</f>
        <v xml:space="preserve"> PQ 630_CX. 616 SW </v>
      </c>
      <c r="C5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ENMADERADO      </v>
      </c>
      <c r="D5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9" s="47" t="s">
        <v>1124</v>
      </c>
      <c r="G579" t="s">
        <v>1125</v>
      </c>
      <c r="H5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0" spans="1:8" ht="15" customHeight="1" x14ac:dyDescent="0.25">
      <c r="A580" t="str">
        <f>MID(TB_CECO[[#This Row],[CECO_T]],1,5)</f>
        <v>24601</v>
      </c>
      <c r="B580" t="str">
        <f>MID(TB_CECO[[#This Row],[TRABAJO]],1,SEARCH(",",TB_CECO[[#This Row],[TRABAJO]],1)-1)</f>
        <v xml:space="preserve"> PQ 630_CX. 616 SW </v>
      </c>
      <c r="C5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LIMPIEZA        </v>
      </c>
      <c r="D5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0" s="47" t="s">
        <v>1126</v>
      </c>
      <c r="G580" t="s">
        <v>1127</v>
      </c>
      <c r="H5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1" spans="1:8" ht="15" customHeight="1" x14ac:dyDescent="0.25">
      <c r="A581" t="str">
        <f>MID(TB_CECO[[#This Row],[CECO_T]],1,5)</f>
        <v>24601</v>
      </c>
      <c r="B581" t="str">
        <f>MID(TB_CECO[[#This Row],[TRABAJO]],1,SEARCH(",",TB_CECO[[#This Row],[TRABAJO]],1)-1)</f>
        <v xml:space="preserve"> PQ 630_CX. 616 SW </v>
      </c>
      <c r="C5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SERVICIOS       </v>
      </c>
      <c r="D5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1" s="47" t="s">
        <v>1128</v>
      </c>
      <c r="G581" t="s">
        <v>1129</v>
      </c>
      <c r="H5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2" spans="1:8" ht="15" customHeight="1" x14ac:dyDescent="0.25">
      <c r="A582" t="str">
        <f>MID(TB_CECO[[#This Row],[CECO_T]],1,5)</f>
        <v>24601</v>
      </c>
      <c r="B582" t="str">
        <f>MID(TB_CECO[[#This Row],[TRABAJO]],1,SEARCH(",",TB_CECO[[#This Row],[TRABAJO]],1)-1)</f>
        <v xml:space="preserve"> PQ 630_CX. 616 SW </v>
      </c>
      <c r="C5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EXTRACCION      </v>
      </c>
      <c r="D5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2" s="47" t="s">
        <v>1130</v>
      </c>
      <c r="G582" t="s">
        <v>1131</v>
      </c>
      <c r="H5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3" spans="1:8" ht="15" customHeight="1" x14ac:dyDescent="0.25">
      <c r="A583" t="str">
        <f>MID(TB_CECO[[#This Row],[CECO_T]],1,5)</f>
        <v>24601</v>
      </c>
      <c r="B583" t="str">
        <f>MID(TB_CECO[[#This Row],[TRABAJO]],1,SEARCH(",",TB_CECO[[#This Row],[TRABAJO]],1)-1)</f>
        <v xml:space="preserve"> PQ 630_CX. 616 SW </v>
      </c>
      <c r="C5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SPLIT SET       </v>
      </c>
      <c r="D5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3" s="47" t="s">
        <v>1132</v>
      </c>
      <c r="G583" t="s">
        <v>1133</v>
      </c>
      <c r="H5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4" spans="1:8" ht="15" customHeight="1" x14ac:dyDescent="0.25">
      <c r="A584" t="str">
        <f>MID(TB_CECO[[#This Row],[CECO_T]],1,5)</f>
        <v>24601</v>
      </c>
      <c r="B584" t="str">
        <f>MID(TB_CECO[[#This Row],[TRABAJO]],1,SEARCH(",",TB_CECO[[#This Row],[TRABAJO]],1)-1)</f>
        <v xml:space="preserve"> PQ 630_CX. 616 SW </v>
      </c>
      <c r="C5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SPLIT CON MALLA </v>
      </c>
      <c r="D5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4" s="47" t="s">
        <v>1134</v>
      </c>
      <c r="G584" t="s">
        <v>1135</v>
      </c>
      <c r="H5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5" spans="1:8" ht="15" customHeight="1" x14ac:dyDescent="0.25">
      <c r="A585" t="str">
        <f>MID(TB_CECO[[#This Row],[CECO_T]],1,5)</f>
        <v>24601</v>
      </c>
      <c r="B585" t="str">
        <f>MID(TB_CECO[[#This Row],[TRABAJO]],1,SEARCH(",",TB_CECO[[#This Row],[TRABAJO]],1)-1)</f>
        <v xml:space="preserve"> PQ 630_CX. 616 SW </v>
      </c>
      <c r="C5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IZAJE Y DESCENSO</v>
      </c>
      <c r="D5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5" s="47" t="s">
        <v>1136</v>
      </c>
      <c r="G585" t="s">
        <v>1137</v>
      </c>
      <c r="H5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6" spans="1:8" ht="15" customHeight="1" x14ac:dyDescent="0.25">
      <c r="A586" t="str">
        <f>MID(TB_CECO[[#This Row],[CECO_T]],1,5)</f>
        <v>24601</v>
      </c>
      <c r="B586" t="str">
        <f>MID(TB_CECO[[#This Row],[TRABAJO]],1,SEARCH(",",TB_CECO[[#This Row],[TRABAJO]],1)-1)</f>
        <v xml:space="preserve"> PQ 630_CX. 616 SW </v>
      </c>
      <c r="C5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PERFORACION     </v>
      </c>
      <c r="D5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6" s="47" t="s">
        <v>1138</v>
      </c>
      <c r="G586" t="s">
        <v>1139</v>
      </c>
      <c r="H5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7" spans="1:8" ht="15" customHeight="1" x14ac:dyDescent="0.25">
      <c r="A587" t="str">
        <f>MID(TB_CECO[[#This Row],[CECO_T]],1,5)</f>
        <v>24603</v>
      </c>
      <c r="B587" t="str">
        <f>MID(TB_CECO[[#This Row],[TRABAJO]],1,SEARCH(",",TB_CECO[[#This Row],[TRABAJO]],1)-1)</f>
        <v xml:space="preserve"> PQ. 630  Cam. 623 </v>
      </c>
      <c r="C5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DESQUINCHE    </v>
      </c>
      <c r="D5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87" s="47" t="s">
        <v>1140</v>
      </c>
      <c r="G587" t="s">
        <v>1141</v>
      </c>
      <c r="H5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8" spans="1:8" ht="15" customHeight="1" x14ac:dyDescent="0.25">
      <c r="A588" t="str">
        <f>MID(TB_CECO[[#This Row],[CECO_T]],1,5)</f>
        <v>24603</v>
      </c>
      <c r="B588" t="str">
        <f>MID(TB_CECO[[#This Row],[TRABAJO]],1,SEARCH(",",TB_CECO[[#This Row],[TRABAJO]],1)-1)</f>
        <v xml:space="preserve"> PQ. 630  Cam. 623 </v>
      </c>
      <c r="C5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ENMADERADO    </v>
      </c>
      <c r="D5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88" s="47" t="s">
        <v>1142</v>
      </c>
      <c r="G588" t="s">
        <v>1143</v>
      </c>
      <c r="H5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9" spans="1:8" ht="15" customHeight="1" x14ac:dyDescent="0.25">
      <c r="A589" t="str">
        <f>MID(TB_CECO[[#This Row],[CECO_T]],1,5)</f>
        <v>24603</v>
      </c>
      <c r="B589" t="str">
        <f>MID(TB_CECO[[#This Row],[TRABAJO]],1,SEARCH(",",TB_CECO[[#This Row],[TRABAJO]],1)-1)</f>
        <v xml:space="preserve"> PQ. 630  Cam. 623 </v>
      </c>
      <c r="C5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LIMPIEZA      </v>
      </c>
      <c r="D5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89" s="47" t="s">
        <v>1144</v>
      </c>
      <c r="G589" t="s">
        <v>1145</v>
      </c>
      <c r="H5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0" spans="1:8" ht="15" customHeight="1" x14ac:dyDescent="0.25">
      <c r="A590" t="str">
        <f>MID(TB_CECO[[#This Row],[CECO_T]],1,5)</f>
        <v>24603</v>
      </c>
      <c r="B590" t="str">
        <f>MID(TB_CECO[[#This Row],[TRABAJO]],1,SEARCH(",",TB_CECO[[#This Row],[TRABAJO]],1)-1)</f>
        <v xml:space="preserve"> PQ. 630  Cam. 623 </v>
      </c>
      <c r="C5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SERVICIOS     </v>
      </c>
      <c r="D5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90" s="47" t="s">
        <v>1146</v>
      </c>
      <c r="G590" t="s">
        <v>1147</v>
      </c>
      <c r="H5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1" spans="1:8" ht="15" customHeight="1" x14ac:dyDescent="0.25">
      <c r="A591" t="str">
        <f>MID(TB_CECO[[#This Row],[CECO_T]],1,5)</f>
        <v>24603</v>
      </c>
      <c r="B591" t="str">
        <f>MID(TB_CECO[[#This Row],[TRABAJO]],1,SEARCH(",",TB_CECO[[#This Row],[TRABAJO]],1)-1)</f>
        <v xml:space="preserve"> PQ. 630  Cam. 623 </v>
      </c>
      <c r="C5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EXTRACCION    </v>
      </c>
      <c r="D5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91" s="47" t="s">
        <v>1148</v>
      </c>
      <c r="G591" t="s">
        <v>1149</v>
      </c>
      <c r="H5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2" spans="1:8" ht="15" customHeight="1" x14ac:dyDescent="0.25">
      <c r="A592" t="str">
        <f>MID(TB_CECO[[#This Row],[CECO_T]],1,5)</f>
        <v>24603</v>
      </c>
      <c r="B592" t="str">
        <f>MID(TB_CECO[[#This Row],[TRABAJO]],1,SEARCH(",",TB_CECO[[#This Row],[TRABAJO]],1)-1)</f>
        <v xml:space="preserve"> PQ. 630  Cam. 623 </v>
      </c>
      <c r="C5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split set     </v>
      </c>
      <c r="D5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92" s="47" t="s">
        <v>1150</v>
      </c>
      <c r="G592" t="s">
        <v>1151</v>
      </c>
      <c r="H5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3" spans="1:8" ht="15" customHeight="1" x14ac:dyDescent="0.25">
      <c r="A593" t="str">
        <f>MID(TB_CECO[[#This Row],[CECO_T]],1,5)</f>
        <v>24603</v>
      </c>
      <c r="B593" t="str">
        <f>MID(TB_CECO[[#This Row],[TRABAJO]],1,SEARCH(",",TB_CECO[[#This Row],[TRABAJO]],1)-1)</f>
        <v xml:space="preserve"> PQ. 630  Cam. 623 </v>
      </c>
      <c r="C5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split con mall</v>
      </c>
      <c r="D5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93" s="47" t="s">
        <v>1152</v>
      </c>
      <c r="G593" t="s">
        <v>1153</v>
      </c>
      <c r="H5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4" spans="1:8" ht="15" customHeight="1" x14ac:dyDescent="0.25">
      <c r="A594" t="str">
        <f>MID(TB_CECO[[#This Row],[CECO_T]],1,5)</f>
        <v>24603</v>
      </c>
      <c r="B594" t="str">
        <f>MID(TB_CECO[[#This Row],[TRABAJO]],1,SEARCH(",",TB_CECO[[#This Row],[TRABAJO]],1)-1)</f>
        <v xml:space="preserve"> PQ. 630  Cam. 623 </v>
      </c>
      <c r="C5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IZAJE Y DESCEN</v>
      </c>
      <c r="D5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94" s="47" t="s">
        <v>1154</v>
      </c>
      <c r="G594" t="s">
        <v>1155</v>
      </c>
      <c r="H5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5" spans="1:8" ht="15" customHeight="1" x14ac:dyDescent="0.25">
      <c r="A595" t="str">
        <f>MID(TB_CECO[[#This Row],[CECO_T]],1,5)</f>
        <v>24603</v>
      </c>
      <c r="B595" t="str">
        <f>MID(TB_CECO[[#This Row],[TRABAJO]],1,SEARCH(",",TB_CECO[[#This Row],[TRABAJO]],1)-1)</f>
        <v xml:space="preserve"> PQ. 630  Cam. 623 </v>
      </c>
      <c r="C5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PERFORACION   </v>
      </c>
      <c r="D5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595" s="47" t="s">
        <v>1156</v>
      </c>
      <c r="G595" t="s">
        <v>1157</v>
      </c>
      <c r="H5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6" spans="1:8" ht="15" customHeight="1" x14ac:dyDescent="0.25">
      <c r="A596" t="str">
        <f>MID(TB_CECO[[#This Row],[CECO_T]],1,5)</f>
        <v>25312</v>
      </c>
      <c r="B596" t="str">
        <f>MID(TB_CECO[[#This Row],[TRABAJO]],1,SEARCH(",",TB_CECO[[#This Row],[TRABAJO]],1)-1)</f>
        <v>TJ 626</v>
      </c>
      <c r="C5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626,DESQUINCHE               </v>
      </c>
      <c r="D5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6" s="47" t="s">
        <v>1158</v>
      </c>
      <c r="G596" t="s">
        <v>1159</v>
      </c>
      <c r="H5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7" spans="1:8" ht="15" customHeight="1" x14ac:dyDescent="0.25">
      <c r="A597" t="str">
        <f>MID(TB_CECO[[#This Row],[CECO_T]],1,5)</f>
        <v>25312</v>
      </c>
      <c r="B597" t="str">
        <f>MID(TB_CECO[[#This Row],[TRABAJO]],1,SEARCH(",",TB_CECO[[#This Row],[TRABAJO]],1)-1)</f>
        <v>TJ 626</v>
      </c>
      <c r="C5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626,ENMADERADO               </v>
      </c>
      <c r="D5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7" s="47" t="s">
        <v>1160</v>
      </c>
      <c r="G597" t="s">
        <v>1161</v>
      </c>
      <c r="H5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8" spans="1:8" ht="15" customHeight="1" x14ac:dyDescent="0.25">
      <c r="A598" t="str">
        <f>MID(TB_CECO[[#This Row],[CECO_T]],1,5)</f>
        <v>25312</v>
      </c>
      <c r="B598" t="str">
        <f>MID(TB_CECO[[#This Row],[TRABAJO]],1,SEARCH(",",TB_CECO[[#This Row],[TRABAJO]],1)-1)</f>
        <v>TJ 626</v>
      </c>
      <c r="C5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626,LIMPIEZA                 </v>
      </c>
      <c r="D5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8" s="47" t="s">
        <v>1162</v>
      </c>
      <c r="G598" t="s">
        <v>1163</v>
      </c>
      <c r="H5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9" spans="1:8" ht="15" customHeight="1" x14ac:dyDescent="0.25">
      <c r="A599" t="str">
        <f>MID(TB_CECO[[#This Row],[CECO_T]],1,5)</f>
        <v>25312</v>
      </c>
      <c r="B599" t="str">
        <f>MID(TB_CECO[[#This Row],[TRABAJO]],1,SEARCH(",",TB_CECO[[#This Row],[TRABAJO]],1)-1)</f>
        <v>TJ 626</v>
      </c>
      <c r="C5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626,SERVICIOS                </v>
      </c>
      <c r="D5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9" s="47" t="s">
        <v>1164</v>
      </c>
      <c r="G599" t="s">
        <v>1165</v>
      </c>
      <c r="H5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0" spans="1:8" ht="15" customHeight="1" x14ac:dyDescent="0.25">
      <c r="A600" t="str">
        <f>MID(TB_CECO[[#This Row],[CECO_T]],1,5)</f>
        <v>25312</v>
      </c>
      <c r="B600" t="str">
        <f>MID(TB_CECO[[#This Row],[TRABAJO]],1,SEARCH(",",TB_CECO[[#This Row],[TRABAJO]],1)-1)</f>
        <v>TJ 626</v>
      </c>
      <c r="C6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626,EXTRACCION               </v>
      </c>
      <c r="D6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0" s="47" t="s">
        <v>1166</v>
      </c>
      <c r="G600" t="s">
        <v>1167</v>
      </c>
      <c r="H6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1" spans="1:8" ht="15" customHeight="1" x14ac:dyDescent="0.25">
      <c r="A601" t="str">
        <f>MID(TB_CECO[[#This Row],[CECO_T]],1,5)</f>
        <v>25312</v>
      </c>
      <c r="B601" t="str">
        <f>MID(TB_CECO[[#This Row],[TRABAJO]],1,SEARCH(",",TB_CECO[[#This Row],[TRABAJO]],1)-1)</f>
        <v>TJ 626</v>
      </c>
      <c r="C6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626,SPLIT SET                </v>
      </c>
      <c r="D6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1" s="47" t="s">
        <v>1168</v>
      </c>
      <c r="G601" t="s">
        <v>1169</v>
      </c>
      <c r="H6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2" spans="1:8" ht="15" customHeight="1" x14ac:dyDescent="0.25">
      <c r="A602" t="str">
        <f>MID(TB_CECO[[#This Row],[CECO_T]],1,5)</f>
        <v>25312</v>
      </c>
      <c r="B602" t="str">
        <f>MID(TB_CECO[[#This Row],[TRABAJO]],1,SEARCH(",",TB_CECO[[#This Row],[TRABAJO]],1)-1)</f>
        <v>TJ 626</v>
      </c>
      <c r="C6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626,SPLIT CON MALLA          </v>
      </c>
      <c r="D6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2" s="47" t="s">
        <v>1170</v>
      </c>
      <c r="G602" t="s">
        <v>1171</v>
      </c>
      <c r="H6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3" spans="1:8" ht="15" customHeight="1" x14ac:dyDescent="0.25">
      <c r="A603" t="str">
        <f>MID(TB_CECO[[#This Row],[CECO_T]],1,5)</f>
        <v>25312</v>
      </c>
      <c r="B603" t="str">
        <f>MID(TB_CECO[[#This Row],[TRABAJO]],1,SEARCH(",",TB_CECO[[#This Row],[TRABAJO]],1)-1)</f>
        <v>TJ 626</v>
      </c>
      <c r="C6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626,IZAJE Y DESCENSO W       </v>
      </c>
      <c r="D6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3" s="47" t="s">
        <v>1172</v>
      </c>
      <c r="G603" t="s">
        <v>1173</v>
      </c>
      <c r="H6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4" spans="1:8" ht="15" customHeight="1" x14ac:dyDescent="0.25">
      <c r="A604" t="str">
        <f>MID(TB_CECO[[#This Row],[CECO_T]],1,5)</f>
        <v>25312</v>
      </c>
      <c r="B604" t="str">
        <f>MID(TB_CECO[[#This Row],[TRABAJO]],1,SEARCH(",",TB_CECO[[#This Row],[TRABAJO]],1)-1)</f>
        <v>TJ 626</v>
      </c>
      <c r="C6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626,PERFORACION              </v>
      </c>
      <c r="D6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4" s="47" t="s">
        <v>1174</v>
      </c>
      <c r="G604" t="s">
        <v>1175</v>
      </c>
      <c r="H6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5" spans="1:8" ht="15" customHeight="1" x14ac:dyDescent="0.25">
      <c r="A605" t="str">
        <f>MID(TB_CECO[[#This Row],[CECO_T]],1,5)</f>
        <v>25317</v>
      </c>
      <c r="B605" t="str">
        <f>MID(TB_CECO[[#This Row],[TRABAJO]],1,SEARCH(",",TB_CECO[[#This Row],[TRABAJO]],1)-1)</f>
        <v>TJ 626</v>
      </c>
      <c r="C6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NW,DESQUINCHE           </v>
      </c>
      <c r="D6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5" s="47" t="s">
        <v>1176</v>
      </c>
      <c r="G605" t="s">
        <v>1177</v>
      </c>
      <c r="H6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6" spans="1:8" ht="15" customHeight="1" x14ac:dyDescent="0.25">
      <c r="A606" t="str">
        <f>MID(TB_CECO[[#This Row],[CECO_T]],1,5)</f>
        <v>25317</v>
      </c>
      <c r="B606" t="str">
        <f>MID(TB_CECO[[#This Row],[TRABAJO]],1,SEARCH(",",TB_CECO[[#This Row],[TRABAJO]],1)-1)</f>
        <v>TJ 626</v>
      </c>
      <c r="C6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NW,ENMADERADO           </v>
      </c>
      <c r="D6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6" s="47" t="s">
        <v>1178</v>
      </c>
      <c r="G606" t="s">
        <v>1179</v>
      </c>
      <c r="H6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7" spans="1:8" ht="15" customHeight="1" x14ac:dyDescent="0.25">
      <c r="A607" t="str">
        <f>MID(TB_CECO[[#This Row],[CECO_T]],1,5)</f>
        <v>25317</v>
      </c>
      <c r="B607" t="str">
        <f>MID(TB_CECO[[#This Row],[TRABAJO]],1,SEARCH(",",TB_CECO[[#This Row],[TRABAJO]],1)-1)</f>
        <v>TJ 626</v>
      </c>
      <c r="C6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NW,LIMPIEZA             </v>
      </c>
      <c r="D6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7" s="47" t="s">
        <v>1180</v>
      </c>
      <c r="G607" t="s">
        <v>1181</v>
      </c>
      <c r="H6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8" spans="1:8" ht="15" customHeight="1" x14ac:dyDescent="0.25">
      <c r="A608" t="str">
        <f>MID(TB_CECO[[#This Row],[CECO_T]],1,5)</f>
        <v>25317</v>
      </c>
      <c r="B608" t="str">
        <f>MID(TB_CECO[[#This Row],[TRABAJO]],1,SEARCH(",",TB_CECO[[#This Row],[TRABAJO]],1)-1)</f>
        <v>TJ 626</v>
      </c>
      <c r="C6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NW,SERVICIOS            </v>
      </c>
      <c r="D6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8" s="47" t="s">
        <v>1182</v>
      </c>
      <c r="G608" t="s">
        <v>1183</v>
      </c>
      <c r="H6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9" spans="1:8" ht="15" customHeight="1" x14ac:dyDescent="0.25">
      <c r="A609" t="str">
        <f>MID(TB_CECO[[#This Row],[CECO_T]],1,5)</f>
        <v>25317</v>
      </c>
      <c r="B609" t="str">
        <f>MID(TB_CECO[[#This Row],[TRABAJO]],1,SEARCH(",",TB_CECO[[#This Row],[TRABAJO]],1)-1)</f>
        <v>TJ 626</v>
      </c>
      <c r="C6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NW,EXTRACCION           </v>
      </c>
      <c r="D6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9" s="47" t="s">
        <v>1184</v>
      </c>
      <c r="G609" t="s">
        <v>1185</v>
      </c>
      <c r="H6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10" spans="1:8" ht="15" customHeight="1" x14ac:dyDescent="0.25">
      <c r="A610" t="str">
        <f>MID(TB_CECO[[#This Row],[CECO_T]],1,5)</f>
        <v>25317</v>
      </c>
      <c r="B610" t="str">
        <f>MID(TB_CECO[[#This Row],[TRABAJO]],1,SEARCH(",",TB_CECO[[#This Row],[TRABAJO]],1)-1)</f>
        <v>TJ 626</v>
      </c>
      <c r="C6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NW,SPLIT SET            </v>
      </c>
      <c r="D6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10" s="47" t="s">
        <v>1186</v>
      </c>
      <c r="G610" t="s">
        <v>1187</v>
      </c>
      <c r="H6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11" spans="1:8" ht="15" customHeight="1" x14ac:dyDescent="0.25">
      <c r="A611" t="str">
        <f>MID(TB_CECO[[#This Row],[CECO_T]],1,5)</f>
        <v>25317</v>
      </c>
      <c r="B611" t="str">
        <f>MID(TB_CECO[[#This Row],[TRABAJO]],1,SEARCH(",",TB_CECO[[#This Row],[TRABAJO]],1)-1)</f>
        <v>TJ 626</v>
      </c>
      <c r="C6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NW,SPLIT CON MALLA      </v>
      </c>
      <c r="D6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11" s="47" t="s">
        <v>1188</v>
      </c>
      <c r="G611" t="s">
        <v>1189</v>
      </c>
      <c r="H6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12" spans="1:8" ht="15" customHeight="1" x14ac:dyDescent="0.25">
      <c r="A612" t="str">
        <f>MID(TB_CECO[[#This Row],[CECO_T]],1,5)</f>
        <v>25317</v>
      </c>
      <c r="B612" t="str">
        <f>MID(TB_CECO[[#This Row],[TRABAJO]],1,SEARCH(",",TB_CECO[[#This Row],[TRABAJO]],1)-1)</f>
        <v>TJ 626</v>
      </c>
      <c r="C6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NW,IZAJE Y DESCENSO W   </v>
      </c>
      <c r="D6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12" s="47" t="s">
        <v>1190</v>
      </c>
      <c r="G612" t="s">
        <v>1191</v>
      </c>
      <c r="H6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13" spans="1:8" ht="15" customHeight="1" x14ac:dyDescent="0.25">
      <c r="A613" t="str">
        <f>MID(TB_CECO[[#This Row],[CECO_T]],1,5)</f>
        <v>25317</v>
      </c>
      <c r="B613" t="str">
        <f>MID(TB_CECO[[#This Row],[TRABAJO]],1,SEARCH(",",TB_CECO[[#This Row],[TRABAJO]],1)-1)</f>
        <v>TJ 626</v>
      </c>
      <c r="C6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NW,PERFORACION          </v>
      </c>
      <c r="D6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13" s="47" t="s">
        <v>1192</v>
      </c>
      <c r="G613" t="s">
        <v>1193</v>
      </c>
      <c r="H6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14" spans="1:8" ht="15" customHeight="1" x14ac:dyDescent="0.25">
      <c r="A614" t="str">
        <f>MID(TB_CECO[[#This Row],[CECO_T]],1,5)</f>
        <v>25318</v>
      </c>
      <c r="B614" t="str">
        <f>MID(TB_CECO[[#This Row],[TRABAJO]],1,SEARCH(",",TB_CECO[[#This Row],[TRABAJO]],1)-1)</f>
        <v>TJ 626</v>
      </c>
      <c r="C6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SE,DESQUINCHE           </v>
      </c>
      <c r="D6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14" s="47" t="s">
        <v>1194</v>
      </c>
      <c r="G614" t="s">
        <v>1195</v>
      </c>
      <c r="H6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15" spans="1:8" ht="15" customHeight="1" x14ac:dyDescent="0.25">
      <c r="A615" t="str">
        <f>MID(TB_CECO[[#This Row],[CECO_T]],1,5)</f>
        <v>25318</v>
      </c>
      <c r="B615" t="str">
        <f>MID(TB_CECO[[#This Row],[TRABAJO]],1,SEARCH(",",TB_CECO[[#This Row],[TRABAJO]],1)-1)</f>
        <v>TJ 626</v>
      </c>
      <c r="C6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SE,ENMADERADO           </v>
      </c>
      <c r="D6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15" s="47" t="s">
        <v>1196</v>
      </c>
      <c r="G615" t="s">
        <v>1197</v>
      </c>
      <c r="H6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16" spans="1:8" ht="15" customHeight="1" x14ac:dyDescent="0.25">
      <c r="A616" t="str">
        <f>MID(TB_CECO[[#This Row],[CECO_T]],1,5)</f>
        <v>25318</v>
      </c>
      <c r="B616" t="str">
        <f>MID(TB_CECO[[#This Row],[TRABAJO]],1,SEARCH(",",TB_CECO[[#This Row],[TRABAJO]],1)-1)</f>
        <v>TJ 626</v>
      </c>
      <c r="C6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SE,LIMPIEZA             </v>
      </c>
      <c r="D6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16" s="47" t="s">
        <v>1198</v>
      </c>
      <c r="G616" t="s">
        <v>1199</v>
      </c>
      <c r="H6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17" spans="1:8" ht="15" customHeight="1" x14ac:dyDescent="0.25">
      <c r="A617" t="str">
        <f>MID(TB_CECO[[#This Row],[CECO_T]],1,5)</f>
        <v>25318</v>
      </c>
      <c r="B617" t="str">
        <f>MID(TB_CECO[[#This Row],[TRABAJO]],1,SEARCH(",",TB_CECO[[#This Row],[TRABAJO]],1)-1)</f>
        <v>TJ 626</v>
      </c>
      <c r="C6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SE,SERVICIOS            </v>
      </c>
      <c r="D6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17" s="47" t="s">
        <v>1200</v>
      </c>
      <c r="G617" t="s">
        <v>1201</v>
      </c>
      <c r="H6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18" spans="1:8" ht="15" customHeight="1" x14ac:dyDescent="0.25">
      <c r="A618" t="str">
        <f>MID(TB_CECO[[#This Row],[CECO_T]],1,5)</f>
        <v>25318</v>
      </c>
      <c r="B618" t="str">
        <f>MID(TB_CECO[[#This Row],[TRABAJO]],1,SEARCH(",",TB_CECO[[#This Row],[TRABAJO]],1)-1)</f>
        <v>TJ 626</v>
      </c>
      <c r="C6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SE,EXTRACCION           </v>
      </c>
      <c r="D6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18" s="47" t="s">
        <v>1202</v>
      </c>
      <c r="G618" t="s">
        <v>1203</v>
      </c>
      <c r="H6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19" spans="1:8" ht="15" customHeight="1" x14ac:dyDescent="0.25">
      <c r="A619" t="str">
        <f>MID(TB_CECO[[#This Row],[CECO_T]],1,5)</f>
        <v>25318</v>
      </c>
      <c r="B619" t="str">
        <f>MID(TB_CECO[[#This Row],[TRABAJO]],1,SEARCH(",",TB_CECO[[#This Row],[TRABAJO]],1)-1)</f>
        <v>TJ 626</v>
      </c>
      <c r="C6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SE,SPLIT SET            </v>
      </c>
      <c r="D6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19" s="47" t="s">
        <v>1204</v>
      </c>
      <c r="G619" t="s">
        <v>1205</v>
      </c>
      <c r="H6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20" spans="1:8" ht="15" customHeight="1" x14ac:dyDescent="0.25">
      <c r="A620" t="str">
        <f>MID(TB_CECO[[#This Row],[CECO_T]],1,5)</f>
        <v>25318</v>
      </c>
      <c r="B620" t="str">
        <f>MID(TB_CECO[[#This Row],[TRABAJO]],1,SEARCH(",",TB_CECO[[#This Row],[TRABAJO]],1)-1)</f>
        <v>TJ 626</v>
      </c>
      <c r="C6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SE,SPLIT CON MALLA      </v>
      </c>
      <c r="D6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20" s="47" t="s">
        <v>1206</v>
      </c>
      <c r="G620" t="s">
        <v>1207</v>
      </c>
      <c r="H6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21" spans="1:8" ht="15" customHeight="1" x14ac:dyDescent="0.25">
      <c r="A621" t="str">
        <f>MID(TB_CECO[[#This Row],[CECO_T]],1,5)</f>
        <v>25318</v>
      </c>
      <c r="B621" t="str">
        <f>MID(TB_CECO[[#This Row],[TRABAJO]],1,SEARCH(",",TB_CECO[[#This Row],[TRABAJO]],1)-1)</f>
        <v>TJ 626</v>
      </c>
      <c r="C6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SE,IZAJE Y DESCENSO W   </v>
      </c>
      <c r="D6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21" s="47" t="s">
        <v>1208</v>
      </c>
      <c r="G621" t="s">
        <v>1209</v>
      </c>
      <c r="H6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22" spans="1:8" ht="15" customHeight="1" x14ac:dyDescent="0.25">
      <c r="A622" t="str">
        <f>MID(TB_CECO[[#This Row],[CECO_T]],1,5)</f>
        <v>25318</v>
      </c>
      <c r="B622" t="str">
        <f>MID(TB_CECO[[#This Row],[TRABAJO]],1,SEARCH(",",TB_CECO[[#This Row],[TRABAJO]],1)-1)</f>
        <v>TJ 626</v>
      </c>
      <c r="C6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SE,PERFORACION          </v>
      </c>
      <c r="D6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22" s="47" t="s">
        <v>1210</v>
      </c>
      <c r="G622" t="s">
        <v>1211</v>
      </c>
      <c r="H6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23" spans="1:8" ht="15" customHeight="1" x14ac:dyDescent="0.25">
      <c r="A623" t="str">
        <f>MID(TB_CECO[[#This Row],[CECO_T]],1,5)</f>
        <v>25320</v>
      </c>
      <c r="B623" t="str">
        <f>MID(TB_CECO[[#This Row],[TRABAJO]],1,SEARCH(",",TB_CECO[[#This Row],[TRABAJO]],1)-1)</f>
        <v>TJ 590 (CH 585)</v>
      </c>
      <c r="C6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585),DESQUINCHE             </v>
      </c>
      <c r="D6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23" s="47" t="s">
        <v>1212</v>
      </c>
      <c r="G623" t="s">
        <v>1213</v>
      </c>
      <c r="H6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24" spans="1:8" ht="15" customHeight="1" x14ac:dyDescent="0.25">
      <c r="A624" t="str">
        <f>MID(TB_CECO[[#This Row],[CECO_T]],1,5)</f>
        <v>25320</v>
      </c>
      <c r="B624" t="str">
        <f>MID(TB_CECO[[#This Row],[TRABAJO]],1,SEARCH(",",TB_CECO[[#This Row],[TRABAJO]],1)-1)</f>
        <v>TJ 590 (CH 585)</v>
      </c>
      <c r="C6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585),ENMADERADO             </v>
      </c>
      <c r="D6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24" s="47" t="s">
        <v>1214</v>
      </c>
      <c r="G624" t="s">
        <v>1215</v>
      </c>
      <c r="H6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25" spans="1:8" ht="15" customHeight="1" x14ac:dyDescent="0.25">
      <c r="A625" t="str">
        <f>MID(TB_CECO[[#This Row],[CECO_T]],1,5)</f>
        <v>25320</v>
      </c>
      <c r="B625" t="str">
        <f>MID(TB_CECO[[#This Row],[TRABAJO]],1,SEARCH(",",TB_CECO[[#This Row],[TRABAJO]],1)-1)</f>
        <v>TJ 590 (CH 585)</v>
      </c>
      <c r="C6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585),LIMPIEZA               </v>
      </c>
      <c r="D6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25" s="47" t="s">
        <v>1216</v>
      </c>
      <c r="G625" t="s">
        <v>1217</v>
      </c>
      <c r="H6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26" spans="1:8" ht="15" customHeight="1" x14ac:dyDescent="0.25">
      <c r="A626" t="str">
        <f>MID(TB_CECO[[#This Row],[CECO_T]],1,5)</f>
        <v>25320</v>
      </c>
      <c r="B626" t="str">
        <f>MID(TB_CECO[[#This Row],[TRABAJO]],1,SEARCH(",",TB_CECO[[#This Row],[TRABAJO]],1)-1)</f>
        <v>TJ 590 (CH 585)</v>
      </c>
      <c r="C6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585),SERVICIOS              </v>
      </c>
      <c r="D6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26" s="47" t="s">
        <v>1218</v>
      </c>
      <c r="G626" t="s">
        <v>1219</v>
      </c>
      <c r="H6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27" spans="1:8" ht="15" customHeight="1" x14ac:dyDescent="0.25">
      <c r="A627" t="str">
        <f>MID(TB_CECO[[#This Row],[CECO_T]],1,5)</f>
        <v>25320</v>
      </c>
      <c r="B627" t="str">
        <f>MID(TB_CECO[[#This Row],[TRABAJO]],1,SEARCH(",",TB_CECO[[#This Row],[TRABAJO]],1)-1)</f>
        <v>TJ 590 (CH 585)</v>
      </c>
      <c r="C6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585),EXTRACCION             </v>
      </c>
      <c r="D6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27" s="47" t="s">
        <v>1220</v>
      </c>
      <c r="G627" t="s">
        <v>1221</v>
      </c>
      <c r="H6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28" spans="1:8" ht="15" customHeight="1" x14ac:dyDescent="0.25">
      <c r="A628" t="str">
        <f>MID(TB_CECO[[#This Row],[CECO_T]],1,5)</f>
        <v>25320</v>
      </c>
      <c r="B628" t="str">
        <f>MID(TB_CECO[[#This Row],[TRABAJO]],1,SEARCH(",",TB_CECO[[#This Row],[TRABAJO]],1)-1)</f>
        <v>TJ 590 (CH 585)</v>
      </c>
      <c r="C6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585),SPLIT SET              </v>
      </c>
      <c r="D6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28" s="47" t="s">
        <v>1222</v>
      </c>
      <c r="G628" t="s">
        <v>1223</v>
      </c>
      <c r="H6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29" spans="1:8" ht="15" customHeight="1" x14ac:dyDescent="0.25">
      <c r="A629" t="str">
        <f>MID(TB_CECO[[#This Row],[CECO_T]],1,5)</f>
        <v>25320</v>
      </c>
      <c r="B629" t="str">
        <f>MID(TB_CECO[[#This Row],[TRABAJO]],1,SEARCH(",",TB_CECO[[#This Row],[TRABAJO]],1)-1)</f>
        <v>TJ 590 (CH 585)</v>
      </c>
      <c r="C6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585),SPLIT CON MALLA        </v>
      </c>
      <c r="D6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29" s="47" t="s">
        <v>1224</v>
      </c>
      <c r="G629" t="s">
        <v>1225</v>
      </c>
      <c r="H6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30" spans="1:8" ht="15" customHeight="1" x14ac:dyDescent="0.25">
      <c r="A630" t="str">
        <f>MID(TB_CECO[[#This Row],[CECO_T]],1,5)</f>
        <v>25320</v>
      </c>
      <c r="B630" t="str">
        <f>MID(TB_CECO[[#This Row],[TRABAJO]],1,SEARCH(",",TB_CECO[[#This Row],[TRABAJO]],1)-1)</f>
        <v>TJ 590 (CH 585)</v>
      </c>
      <c r="C6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585),IZAJE Y DESCENSO W     </v>
      </c>
      <c r="D6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30" s="47" t="s">
        <v>1226</v>
      </c>
      <c r="G630" t="s">
        <v>1227</v>
      </c>
      <c r="H6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31" spans="1:8" ht="15" customHeight="1" x14ac:dyDescent="0.25">
      <c r="A631" t="str">
        <f>MID(TB_CECO[[#This Row],[CECO_T]],1,5)</f>
        <v>25320</v>
      </c>
      <c r="B631" t="str">
        <f>MID(TB_CECO[[#This Row],[TRABAJO]],1,SEARCH(",",TB_CECO[[#This Row],[TRABAJO]],1)-1)</f>
        <v>TJ 590 (CH 585)</v>
      </c>
      <c r="C6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585),PERFORACION            </v>
      </c>
      <c r="D6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31" s="47" t="s">
        <v>1228</v>
      </c>
      <c r="G631" t="s">
        <v>1229</v>
      </c>
      <c r="H6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32" spans="1:8" ht="15" customHeight="1" x14ac:dyDescent="0.25">
      <c r="A632" t="str">
        <f>MID(TB_CECO[[#This Row],[CECO_T]],1,5)</f>
        <v>31403</v>
      </c>
      <c r="B632" t="str">
        <f>MID(TB_CECO[[#This Row],[TRABAJO]],1,SEARCH(",",TB_CECO[[#This Row],[TRABAJO]],1)-1)</f>
        <v xml:space="preserve"> SN. 320 NE Est. 845-2 NE </v>
      </c>
      <c r="C6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DESQUI</v>
      </c>
      <c r="D6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32" s="47" t="s">
        <v>1230</v>
      </c>
      <c r="G632" t="s">
        <v>1231</v>
      </c>
      <c r="H6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33" spans="1:8" ht="15" customHeight="1" x14ac:dyDescent="0.25">
      <c r="A633" t="str">
        <f>MID(TB_CECO[[#This Row],[CECO_T]],1,5)</f>
        <v>31403</v>
      </c>
      <c r="B633" t="str">
        <f>MID(TB_CECO[[#This Row],[TRABAJO]],1,SEARCH(",",TB_CECO[[#This Row],[TRABAJO]],1)-1)</f>
        <v xml:space="preserve"> SN. 320 NE Est. 845-2 NE </v>
      </c>
      <c r="C6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ENMADE</v>
      </c>
      <c r="D6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33" s="47" t="s">
        <v>1232</v>
      </c>
      <c r="G633" t="s">
        <v>1233</v>
      </c>
      <c r="H6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34" spans="1:8" ht="15" customHeight="1" x14ac:dyDescent="0.25">
      <c r="A634" t="str">
        <f>MID(TB_CECO[[#This Row],[CECO_T]],1,5)</f>
        <v>31403</v>
      </c>
      <c r="B634" t="str">
        <f>MID(TB_CECO[[#This Row],[TRABAJO]],1,SEARCH(",",TB_CECO[[#This Row],[TRABAJO]],1)-1)</f>
        <v xml:space="preserve"> SN. 320 NE Est. 845-2 NE </v>
      </c>
      <c r="C6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LIMPIE</v>
      </c>
      <c r="D6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34" s="47" t="s">
        <v>1234</v>
      </c>
      <c r="G634" t="s">
        <v>1235</v>
      </c>
      <c r="H6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35" spans="1:8" ht="15" customHeight="1" x14ac:dyDescent="0.25">
      <c r="A635" t="str">
        <f>MID(TB_CECO[[#This Row],[CECO_T]],1,5)</f>
        <v>31403</v>
      </c>
      <c r="B635" t="str">
        <f>MID(TB_CECO[[#This Row],[TRABAJO]],1,SEARCH(",",TB_CECO[[#This Row],[TRABAJO]],1)-1)</f>
        <v xml:space="preserve"> SN. 320 NE Est. 845-2 NE </v>
      </c>
      <c r="C6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SERVIC</v>
      </c>
      <c r="D6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35" s="47" t="s">
        <v>1236</v>
      </c>
      <c r="G635" t="s">
        <v>1237</v>
      </c>
      <c r="H6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36" spans="1:8" ht="15" customHeight="1" x14ac:dyDescent="0.25">
      <c r="A636" t="str">
        <f>MID(TB_CECO[[#This Row],[CECO_T]],1,5)</f>
        <v>31403</v>
      </c>
      <c r="B636" t="str">
        <f>MID(TB_CECO[[#This Row],[TRABAJO]],1,SEARCH(",",TB_CECO[[#This Row],[TRABAJO]],1)-1)</f>
        <v xml:space="preserve"> SN. 320 NE Est. 845-2 NE </v>
      </c>
      <c r="C6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EXTRAC</v>
      </c>
      <c r="D6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36" s="47" t="s">
        <v>1238</v>
      </c>
      <c r="G636" t="s">
        <v>1239</v>
      </c>
      <c r="H6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37" spans="1:8" ht="15" customHeight="1" x14ac:dyDescent="0.25">
      <c r="A637" t="str">
        <f>MID(TB_CECO[[#This Row],[CECO_T]],1,5)</f>
        <v>31403</v>
      </c>
      <c r="B637" t="str">
        <f>MID(TB_CECO[[#This Row],[TRABAJO]],1,SEARCH(",",TB_CECO[[#This Row],[TRABAJO]],1)-1)</f>
        <v xml:space="preserve"> SN. 320 NE Est. 845-2 NE </v>
      </c>
      <c r="C6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split </v>
      </c>
      <c r="D6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37" s="47" t="s">
        <v>1240</v>
      </c>
      <c r="G637" t="s">
        <v>1241</v>
      </c>
      <c r="H6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38" spans="1:8" ht="15" customHeight="1" x14ac:dyDescent="0.25">
      <c r="A638" t="str">
        <f>MID(TB_CECO[[#This Row],[CECO_T]],1,5)</f>
        <v>31403</v>
      </c>
      <c r="B638" t="str">
        <f>MID(TB_CECO[[#This Row],[TRABAJO]],1,SEARCH(",",TB_CECO[[#This Row],[TRABAJO]],1)-1)</f>
        <v xml:space="preserve"> SN. 320 NE Est. 845-2 NE </v>
      </c>
      <c r="C6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split </v>
      </c>
      <c r="D6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38" s="47" t="s">
        <v>1242</v>
      </c>
      <c r="G638" t="s">
        <v>1241</v>
      </c>
      <c r="H6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39" spans="1:8" ht="15" customHeight="1" x14ac:dyDescent="0.25">
      <c r="A639" t="str">
        <f>MID(TB_CECO[[#This Row],[CECO_T]],1,5)</f>
        <v>31403</v>
      </c>
      <c r="B639" t="str">
        <f>MID(TB_CECO[[#This Row],[TRABAJO]],1,SEARCH(",",TB_CECO[[#This Row],[TRABAJO]],1)-1)</f>
        <v>SN.320 NE Est.845-2 NE</v>
      </c>
      <c r="C6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SN.320 NE Est.845-2 NE,IZAJE Y DESC</v>
      </c>
      <c r="D6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39" s="47" t="s">
        <v>1243</v>
      </c>
      <c r="G639" t="s">
        <v>1244</v>
      </c>
      <c r="H6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40" spans="1:8" ht="15" customHeight="1" x14ac:dyDescent="0.25">
      <c r="A640" t="str">
        <f>MID(TB_CECO[[#This Row],[CECO_T]],1,5)</f>
        <v>31403</v>
      </c>
      <c r="B640" t="str">
        <f>MID(TB_CECO[[#This Row],[TRABAJO]],1,SEARCH(",",TB_CECO[[#This Row],[TRABAJO]],1)-1)</f>
        <v xml:space="preserve"> SN. 320 NE Est. 845-2 NE </v>
      </c>
      <c r="C6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PERFOR</v>
      </c>
      <c r="D6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40" s="47" t="s">
        <v>1245</v>
      </c>
      <c r="G640" t="s">
        <v>1246</v>
      </c>
      <c r="H6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41" spans="1:8" ht="15" customHeight="1" x14ac:dyDescent="0.25">
      <c r="A641" t="str">
        <f>MID(TB_CECO[[#This Row],[CECO_T]],1,5)</f>
        <v>31404</v>
      </c>
      <c r="B641" t="str">
        <f>MID(TB_CECO[[#This Row],[TRABAJO]],1,SEARCH(",",TB_CECO[[#This Row],[TRABAJO]],1)-1)</f>
        <v xml:space="preserve"> SN. 320 SW Est. 845-2 NE </v>
      </c>
      <c r="C6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DESQUI</v>
      </c>
      <c r="D6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41" s="47" t="s">
        <v>1247</v>
      </c>
      <c r="G641" t="s">
        <v>1248</v>
      </c>
      <c r="H6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42" spans="1:8" ht="15" customHeight="1" x14ac:dyDescent="0.25">
      <c r="A642" t="str">
        <f>MID(TB_CECO[[#This Row],[CECO_T]],1,5)</f>
        <v>31404</v>
      </c>
      <c r="B642" t="str">
        <f>MID(TB_CECO[[#This Row],[TRABAJO]],1,SEARCH(",",TB_CECO[[#This Row],[TRABAJO]],1)-1)</f>
        <v xml:space="preserve"> SN. 320 SW Est. 845-2 NE </v>
      </c>
      <c r="C6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ENMADE</v>
      </c>
      <c r="D6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42" s="47" t="s">
        <v>1249</v>
      </c>
      <c r="G642" t="s">
        <v>1250</v>
      </c>
      <c r="H6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43" spans="1:8" ht="15" customHeight="1" x14ac:dyDescent="0.25">
      <c r="A643" t="str">
        <f>MID(TB_CECO[[#This Row],[CECO_T]],1,5)</f>
        <v>31404</v>
      </c>
      <c r="B643" t="str">
        <f>MID(TB_CECO[[#This Row],[TRABAJO]],1,SEARCH(",",TB_CECO[[#This Row],[TRABAJO]],1)-1)</f>
        <v xml:space="preserve"> SN. 320 SW Est. 845-2 NE </v>
      </c>
      <c r="C6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LIMPIE</v>
      </c>
      <c r="D6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43" s="47" t="s">
        <v>1251</v>
      </c>
      <c r="G643" t="s">
        <v>1252</v>
      </c>
      <c r="H6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44" spans="1:8" ht="15" customHeight="1" x14ac:dyDescent="0.25">
      <c r="A644" t="str">
        <f>MID(TB_CECO[[#This Row],[CECO_T]],1,5)</f>
        <v>31404</v>
      </c>
      <c r="B644" t="str">
        <f>MID(TB_CECO[[#This Row],[TRABAJO]],1,SEARCH(",",TB_CECO[[#This Row],[TRABAJO]],1)-1)</f>
        <v xml:space="preserve"> SN. 320 SW Est. 845-2 NE </v>
      </c>
      <c r="C6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SERVIC</v>
      </c>
      <c r="D6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44" s="47" t="s">
        <v>1253</v>
      </c>
      <c r="G644" t="s">
        <v>1254</v>
      </c>
      <c r="H6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45" spans="1:8" ht="15" customHeight="1" x14ac:dyDescent="0.25">
      <c r="A645" t="str">
        <f>MID(TB_CECO[[#This Row],[CECO_T]],1,5)</f>
        <v>31404</v>
      </c>
      <c r="B645" t="str">
        <f>MID(TB_CECO[[#This Row],[TRABAJO]],1,SEARCH(",",TB_CECO[[#This Row],[TRABAJO]],1)-1)</f>
        <v xml:space="preserve"> SN. 320 SW Est. 845-2 NE </v>
      </c>
      <c r="C6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EXTRAC</v>
      </c>
      <c r="D6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45" s="47" t="s">
        <v>1255</v>
      </c>
      <c r="G645" t="s">
        <v>1256</v>
      </c>
      <c r="H6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46" spans="1:8" ht="15" customHeight="1" x14ac:dyDescent="0.25">
      <c r="A646" t="str">
        <f>MID(TB_CECO[[#This Row],[CECO_T]],1,5)</f>
        <v>31404</v>
      </c>
      <c r="B646" t="str">
        <f>MID(TB_CECO[[#This Row],[TRABAJO]],1,SEARCH(",",TB_CECO[[#This Row],[TRABAJO]],1)-1)</f>
        <v xml:space="preserve"> SN. 320 SW Est. 845-2 NE </v>
      </c>
      <c r="C6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split </v>
      </c>
      <c r="D6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46" s="47" t="s">
        <v>1257</v>
      </c>
      <c r="G646" t="s">
        <v>1258</v>
      </c>
      <c r="H6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47" spans="1:8" ht="15" customHeight="1" x14ac:dyDescent="0.25">
      <c r="A647" t="str">
        <f>MID(TB_CECO[[#This Row],[CECO_T]],1,5)</f>
        <v>31404</v>
      </c>
      <c r="B647" t="str">
        <f>MID(TB_CECO[[#This Row],[TRABAJO]],1,SEARCH(",",TB_CECO[[#This Row],[TRABAJO]],1)-1)</f>
        <v xml:space="preserve"> SN. 320 SW Est. 845-2 NE </v>
      </c>
      <c r="C6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split </v>
      </c>
      <c r="D6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47" s="47" t="s">
        <v>1259</v>
      </c>
      <c r="G647" t="s">
        <v>1258</v>
      </c>
      <c r="H6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48" spans="1:8" ht="15" customHeight="1" x14ac:dyDescent="0.25">
      <c r="A648" t="str">
        <f>MID(TB_CECO[[#This Row],[CECO_T]],1,5)</f>
        <v>31404</v>
      </c>
      <c r="B648" t="str">
        <f>MID(TB_CECO[[#This Row],[TRABAJO]],1,SEARCH(",",TB_CECO[[#This Row],[TRABAJO]],1)-1)</f>
        <v>SN.320 SW Est.845-2 NE</v>
      </c>
      <c r="C6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SN.320 SW Est.845-2 NE,IZAJE Y DES</v>
      </c>
      <c r="D6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48" s="47" t="s">
        <v>1260</v>
      </c>
      <c r="G648" t="s">
        <v>1261</v>
      </c>
      <c r="H6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49" spans="1:8" ht="15" customHeight="1" x14ac:dyDescent="0.25">
      <c r="A649" t="str">
        <f>MID(TB_CECO[[#This Row],[CECO_T]],1,5)</f>
        <v>31404</v>
      </c>
      <c r="B649" t="str">
        <f>MID(TB_CECO[[#This Row],[TRABAJO]],1,SEARCH(",",TB_CECO[[#This Row],[TRABAJO]],1)-1)</f>
        <v xml:space="preserve"> SN. 320 SW Est. 845-2 NE </v>
      </c>
      <c r="C6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PERFOR</v>
      </c>
      <c r="D6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49" s="47" t="s">
        <v>1262</v>
      </c>
      <c r="G649" t="s">
        <v>1263</v>
      </c>
      <c r="H6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50" spans="1:8" ht="15" customHeight="1" x14ac:dyDescent="0.25">
      <c r="A650" t="str">
        <f>MID(TB_CECO[[#This Row],[CECO_T]],1,5)</f>
        <v>33206</v>
      </c>
      <c r="B650" t="str">
        <f>MID(TB_CECO[[#This Row],[TRABAJO]],1,SEARCH(",",TB_CECO[[#This Row],[TRABAJO]],1)-1)</f>
        <v xml:space="preserve"> CH. 862-1  SNv. 320 NE </v>
      </c>
      <c r="C6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DESQUINC</v>
      </c>
      <c r="D6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50" s="47" t="s">
        <v>1264</v>
      </c>
      <c r="G650" t="s">
        <v>1265</v>
      </c>
      <c r="H6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51" spans="1:8" ht="15" customHeight="1" x14ac:dyDescent="0.25">
      <c r="A651" t="str">
        <f>MID(TB_CECO[[#This Row],[CECO_T]],1,5)</f>
        <v>33206</v>
      </c>
      <c r="B651" t="str">
        <f>MID(TB_CECO[[#This Row],[TRABAJO]],1,SEARCH(",",TB_CECO[[#This Row],[TRABAJO]],1)-1)</f>
        <v xml:space="preserve"> CH. 862-1  SNv. 320 NE </v>
      </c>
      <c r="C6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ENMADERA</v>
      </c>
      <c r="D6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51" s="47" t="s">
        <v>1266</v>
      </c>
      <c r="G651" t="s">
        <v>1267</v>
      </c>
      <c r="H6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52" spans="1:8" ht="15" customHeight="1" x14ac:dyDescent="0.25">
      <c r="A652" t="str">
        <f>MID(TB_CECO[[#This Row],[CECO_T]],1,5)</f>
        <v>33206</v>
      </c>
      <c r="B652" t="str">
        <f>MID(TB_CECO[[#This Row],[TRABAJO]],1,SEARCH(",",TB_CECO[[#This Row],[TRABAJO]],1)-1)</f>
        <v xml:space="preserve"> CH. 862-1  SNv. 320 NE </v>
      </c>
      <c r="C6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LIMPIEZA</v>
      </c>
      <c r="D6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52" s="47" t="s">
        <v>1268</v>
      </c>
      <c r="G652" t="s">
        <v>1269</v>
      </c>
      <c r="H6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53" spans="1:8" ht="15" customHeight="1" x14ac:dyDescent="0.25">
      <c r="A653" t="str">
        <f>MID(TB_CECO[[#This Row],[CECO_T]],1,5)</f>
        <v>33206</v>
      </c>
      <c r="B653" t="str">
        <f>MID(TB_CECO[[#This Row],[TRABAJO]],1,SEARCH(",",TB_CECO[[#This Row],[TRABAJO]],1)-1)</f>
        <v xml:space="preserve"> CH. 862-1  SNv. 320 NE </v>
      </c>
      <c r="C6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SERVICIO</v>
      </c>
      <c r="D6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53" s="47" t="s">
        <v>1270</v>
      </c>
      <c r="G653" t="s">
        <v>1271</v>
      </c>
      <c r="H6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54" spans="1:8" ht="15" customHeight="1" x14ac:dyDescent="0.25">
      <c r="A654" t="str">
        <f>MID(TB_CECO[[#This Row],[CECO_T]],1,5)</f>
        <v>33206</v>
      </c>
      <c r="B654" t="str">
        <f>MID(TB_CECO[[#This Row],[TRABAJO]],1,SEARCH(",",TB_CECO[[#This Row],[TRABAJO]],1)-1)</f>
        <v xml:space="preserve"> CH. 862-1  SNv. 320 NE </v>
      </c>
      <c r="C6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EXTRACCI</v>
      </c>
      <c r="D6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54" s="47" t="s">
        <v>1272</v>
      </c>
      <c r="G654" t="s">
        <v>1273</v>
      </c>
      <c r="H6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55" spans="1:8" ht="15" customHeight="1" x14ac:dyDescent="0.25">
      <c r="A655" t="str">
        <f>MID(TB_CECO[[#This Row],[CECO_T]],1,5)</f>
        <v>33206</v>
      </c>
      <c r="B655" t="str">
        <f>MID(TB_CECO[[#This Row],[TRABAJO]],1,SEARCH(",",TB_CECO[[#This Row],[TRABAJO]],1)-1)</f>
        <v xml:space="preserve"> CH. 862-1  SNv. 320 NE </v>
      </c>
      <c r="C6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split se</v>
      </c>
      <c r="D6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55" s="47" t="s">
        <v>1274</v>
      </c>
      <c r="G655" t="s">
        <v>1275</v>
      </c>
      <c r="H6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56" spans="1:8" ht="15" customHeight="1" x14ac:dyDescent="0.25">
      <c r="A656" t="str">
        <f>MID(TB_CECO[[#This Row],[CECO_T]],1,5)</f>
        <v>33206</v>
      </c>
      <c r="B656" t="str">
        <f>MID(TB_CECO[[#This Row],[TRABAJO]],1,SEARCH(",",TB_CECO[[#This Row],[TRABAJO]],1)-1)</f>
        <v xml:space="preserve"> CH. 862-1  SNv. 320 NE </v>
      </c>
      <c r="C6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split co</v>
      </c>
      <c r="D6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56" s="47" t="s">
        <v>1276</v>
      </c>
      <c r="G656" t="s">
        <v>1277</v>
      </c>
      <c r="H6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57" spans="1:8" ht="15" customHeight="1" x14ac:dyDescent="0.25">
      <c r="A657" t="str">
        <f>MID(TB_CECO[[#This Row],[CECO_T]],1,5)</f>
        <v>33206</v>
      </c>
      <c r="B657" t="str">
        <f>MID(TB_CECO[[#This Row],[TRABAJO]],1,SEARCH(",",TB_CECO[[#This Row],[TRABAJO]],1)-1)</f>
        <v xml:space="preserve"> CH. 862-1  SNv. 320 NE </v>
      </c>
      <c r="C6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IZAJE Y </v>
      </c>
      <c r="D6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57" s="47" t="s">
        <v>1278</v>
      </c>
      <c r="G657" t="s">
        <v>1279</v>
      </c>
      <c r="H6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58" spans="1:8" ht="15" customHeight="1" x14ac:dyDescent="0.25">
      <c r="A658" t="str">
        <f>MID(TB_CECO[[#This Row],[CECO_T]],1,5)</f>
        <v>33206</v>
      </c>
      <c r="B658" t="str">
        <f>MID(TB_CECO[[#This Row],[TRABAJO]],1,SEARCH(",",TB_CECO[[#This Row],[TRABAJO]],1)-1)</f>
        <v xml:space="preserve"> CH. 862-1  SNv. 320 NE </v>
      </c>
      <c r="C6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PERFORAC</v>
      </c>
      <c r="D6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58" s="47" t="s">
        <v>1280</v>
      </c>
      <c r="G658" t="s">
        <v>1281</v>
      </c>
      <c r="H6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59" spans="1:8" ht="15" customHeight="1" x14ac:dyDescent="0.25">
      <c r="A659" t="str">
        <f>MID(TB_CECO[[#This Row],[CECO_T]],1,5)</f>
        <v>33207</v>
      </c>
      <c r="B659" t="str">
        <f>MID(TB_CECO[[#This Row],[TRABAJO]],1,SEARCH(",",TB_CECO[[#This Row],[TRABAJO]],1)-1)</f>
        <v>CH 886-1 SNV 320 NE</v>
      </c>
      <c r="C6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NE,DESQUINCHE       </v>
      </c>
      <c r="D6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59" s="47" t="s">
        <v>1282</v>
      </c>
      <c r="G659" t="s">
        <v>1283</v>
      </c>
      <c r="H6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60" spans="1:8" ht="15" customHeight="1" x14ac:dyDescent="0.25">
      <c r="A660" t="str">
        <f>MID(TB_CECO[[#This Row],[CECO_T]],1,5)</f>
        <v>33207</v>
      </c>
      <c r="B660" t="str">
        <f>MID(TB_CECO[[#This Row],[TRABAJO]],1,SEARCH(",",TB_CECO[[#This Row],[TRABAJO]],1)-1)</f>
        <v>CH 886-1 SNV 320 NE</v>
      </c>
      <c r="C6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NE,ENMADERADO       </v>
      </c>
      <c r="D6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60" s="47" t="s">
        <v>1284</v>
      </c>
      <c r="G660" t="s">
        <v>1285</v>
      </c>
      <c r="H6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61" spans="1:8" ht="15" customHeight="1" x14ac:dyDescent="0.25">
      <c r="A661" t="str">
        <f>MID(TB_CECO[[#This Row],[CECO_T]],1,5)</f>
        <v>33207</v>
      </c>
      <c r="B661" t="str">
        <f>MID(TB_CECO[[#This Row],[TRABAJO]],1,SEARCH(",",TB_CECO[[#This Row],[TRABAJO]],1)-1)</f>
        <v>CH 886-1 SNV 320 NE</v>
      </c>
      <c r="C6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NE,LIMPIEZA         </v>
      </c>
      <c r="D6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61" s="47" t="s">
        <v>1286</v>
      </c>
      <c r="G661" t="s">
        <v>1287</v>
      </c>
      <c r="H6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62" spans="1:8" ht="15" customHeight="1" x14ac:dyDescent="0.25">
      <c r="A662" t="str">
        <f>MID(TB_CECO[[#This Row],[CECO_T]],1,5)</f>
        <v>33207</v>
      </c>
      <c r="B662" t="str">
        <f>MID(TB_CECO[[#This Row],[TRABAJO]],1,SEARCH(",",TB_CECO[[#This Row],[TRABAJO]],1)-1)</f>
        <v>CH 886-1 SNV 320 NE</v>
      </c>
      <c r="C6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NE,SERVICIOS        </v>
      </c>
      <c r="D6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62" s="47" t="s">
        <v>1288</v>
      </c>
      <c r="G662" t="s">
        <v>1289</v>
      </c>
      <c r="H6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63" spans="1:8" ht="15" customHeight="1" x14ac:dyDescent="0.25">
      <c r="A663" t="str">
        <f>MID(TB_CECO[[#This Row],[CECO_T]],1,5)</f>
        <v>33207</v>
      </c>
      <c r="B663" t="str">
        <f>MID(TB_CECO[[#This Row],[TRABAJO]],1,SEARCH(",",TB_CECO[[#This Row],[TRABAJO]],1)-1)</f>
        <v>CH 886-1 SNV 320 NE</v>
      </c>
      <c r="C6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NE,EXTRACCION       </v>
      </c>
      <c r="D6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63" s="47" t="s">
        <v>1290</v>
      </c>
      <c r="G663" t="s">
        <v>1291</v>
      </c>
      <c r="H6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64" spans="1:8" ht="15" customHeight="1" x14ac:dyDescent="0.25">
      <c r="A664" t="str">
        <f>MID(TB_CECO[[#This Row],[CECO_T]],1,5)</f>
        <v>33207</v>
      </c>
      <c r="B664" t="str">
        <f>MID(TB_CECO[[#This Row],[TRABAJO]],1,SEARCH(",",TB_CECO[[#This Row],[TRABAJO]],1)-1)</f>
        <v>CH 886-1 SNV 320 NE</v>
      </c>
      <c r="C6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NE,SPLIT SET        </v>
      </c>
      <c r="D6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64" s="47" t="s">
        <v>1292</v>
      </c>
      <c r="G664" t="s">
        <v>1293</v>
      </c>
      <c r="H6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65" spans="1:8" ht="15" customHeight="1" x14ac:dyDescent="0.25">
      <c r="A665" t="str">
        <f>MID(TB_CECO[[#This Row],[CECO_T]],1,5)</f>
        <v>33207</v>
      </c>
      <c r="B665" t="str">
        <f>MID(TB_CECO[[#This Row],[TRABAJO]],1,SEARCH(",",TB_CECO[[#This Row],[TRABAJO]],1)-1)</f>
        <v>CH 886-1 SNV 320 NE</v>
      </c>
      <c r="C6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NE,SPLIT CON MALLA  </v>
      </c>
      <c r="D6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65" s="47" t="s">
        <v>1294</v>
      </c>
      <c r="G665" t="s">
        <v>1295</v>
      </c>
      <c r="H6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66" spans="1:8" ht="15" customHeight="1" x14ac:dyDescent="0.25">
      <c r="A666" t="str">
        <f>MID(TB_CECO[[#This Row],[CECO_T]],1,5)</f>
        <v>33207</v>
      </c>
      <c r="B666" t="str">
        <f>MID(TB_CECO[[#This Row],[TRABAJO]],1,SEARCH(",",TB_CECO[[#This Row],[TRABAJO]],1)-1)</f>
        <v>CH 886-1 SNV 320 NE</v>
      </c>
      <c r="C6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NE,IZAJE Y DESCENSO </v>
      </c>
      <c r="D6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66" s="47" t="s">
        <v>1296</v>
      </c>
      <c r="G666" t="s">
        <v>1297</v>
      </c>
      <c r="H6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67" spans="1:8" ht="15" customHeight="1" x14ac:dyDescent="0.25">
      <c r="A667" t="str">
        <f>MID(TB_CECO[[#This Row],[CECO_T]],1,5)</f>
        <v>33207</v>
      </c>
      <c r="B667" t="str">
        <f>MID(TB_CECO[[#This Row],[TRABAJO]],1,SEARCH(",",TB_CECO[[#This Row],[TRABAJO]],1)-1)</f>
        <v>CH 886-1 SNV 320 NE</v>
      </c>
      <c r="C6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NE,PERFORACION      </v>
      </c>
      <c r="D6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67" s="47" t="s">
        <v>1298</v>
      </c>
      <c r="G667" t="s">
        <v>1299</v>
      </c>
      <c r="H6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68" spans="1:8" ht="15" customHeight="1" x14ac:dyDescent="0.25">
      <c r="A668" t="str">
        <f>MID(TB_CECO[[#This Row],[CECO_T]],1,5)</f>
        <v>33403</v>
      </c>
      <c r="B668" t="str">
        <f>MID(TB_CECO[[#This Row],[TRABAJO]],1,SEARCH(",",TB_CECO[[#This Row],[TRABAJO]],1)-1)</f>
        <v xml:space="preserve"> SN. 320 NE Est. 845-2 NE </v>
      </c>
      <c r="C6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DESQUI</v>
      </c>
      <c r="D6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68" s="47" t="s">
        <v>1300</v>
      </c>
      <c r="G668" t="s">
        <v>1301</v>
      </c>
      <c r="H6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69" spans="1:8" ht="15" customHeight="1" x14ac:dyDescent="0.25">
      <c r="A669" t="str">
        <f>MID(TB_CECO[[#This Row],[CECO_T]],1,5)</f>
        <v>33403</v>
      </c>
      <c r="B669" t="str">
        <f>MID(TB_CECO[[#This Row],[TRABAJO]],1,SEARCH(",",TB_CECO[[#This Row],[TRABAJO]],1)-1)</f>
        <v xml:space="preserve"> SN. 320 NE Est. 845-2 NE </v>
      </c>
      <c r="C6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ENMADE</v>
      </c>
      <c r="D6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69" s="47" t="s">
        <v>1302</v>
      </c>
      <c r="G669" t="s">
        <v>1303</v>
      </c>
      <c r="H6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70" spans="1:8" ht="15" customHeight="1" x14ac:dyDescent="0.25">
      <c r="A670" t="str">
        <f>MID(TB_CECO[[#This Row],[CECO_T]],1,5)</f>
        <v>33403</v>
      </c>
      <c r="B670" t="str">
        <f>MID(TB_CECO[[#This Row],[TRABAJO]],1,SEARCH(",",TB_CECO[[#This Row],[TRABAJO]],1)-1)</f>
        <v xml:space="preserve"> SN. 320 NE Est. 845-2 NE </v>
      </c>
      <c r="C6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LIMPIE</v>
      </c>
      <c r="D6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70" s="47" t="s">
        <v>1304</v>
      </c>
      <c r="G670" t="s">
        <v>1305</v>
      </c>
      <c r="H6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71" spans="1:8" ht="15" customHeight="1" x14ac:dyDescent="0.25">
      <c r="A671" t="str">
        <f>MID(TB_CECO[[#This Row],[CECO_T]],1,5)</f>
        <v>33403</v>
      </c>
      <c r="B671" t="str">
        <f>MID(TB_CECO[[#This Row],[TRABAJO]],1,SEARCH(",",TB_CECO[[#This Row],[TRABAJO]],1)-1)</f>
        <v xml:space="preserve"> SN. 320 NE Est. 845-2 NE </v>
      </c>
      <c r="C6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SERVIC</v>
      </c>
      <c r="D6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71" s="47" t="s">
        <v>1306</v>
      </c>
      <c r="G671" t="s">
        <v>1307</v>
      </c>
      <c r="H6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72" spans="1:8" ht="15" customHeight="1" x14ac:dyDescent="0.25">
      <c r="A672" t="str">
        <f>MID(TB_CECO[[#This Row],[CECO_T]],1,5)</f>
        <v>33403</v>
      </c>
      <c r="B672" t="str">
        <f>MID(TB_CECO[[#This Row],[TRABAJO]],1,SEARCH(",",TB_CECO[[#This Row],[TRABAJO]],1)-1)</f>
        <v xml:space="preserve"> SN. 320 NE Est. 845-2 NE </v>
      </c>
      <c r="C6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EXTRAC</v>
      </c>
      <c r="D6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72" s="47" t="s">
        <v>1308</v>
      </c>
      <c r="G672" t="s">
        <v>1309</v>
      </c>
      <c r="H6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73" spans="1:8" ht="15" customHeight="1" x14ac:dyDescent="0.25">
      <c r="A673" t="str">
        <f>MID(TB_CECO[[#This Row],[CECO_T]],1,5)</f>
        <v>33403</v>
      </c>
      <c r="B673" t="str">
        <f>MID(TB_CECO[[#This Row],[TRABAJO]],1,SEARCH(",",TB_CECO[[#This Row],[TRABAJO]],1)-1)</f>
        <v xml:space="preserve"> SN. 320 NE Est. 845-2 NE </v>
      </c>
      <c r="C6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split </v>
      </c>
      <c r="D6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73" s="47" t="s">
        <v>1310</v>
      </c>
      <c r="G673" t="s">
        <v>1311</v>
      </c>
      <c r="H6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74" spans="1:8" ht="15" customHeight="1" x14ac:dyDescent="0.25">
      <c r="A674" t="str">
        <f>MID(TB_CECO[[#This Row],[CECO_T]],1,5)</f>
        <v>33403</v>
      </c>
      <c r="B674" t="str">
        <f>MID(TB_CECO[[#This Row],[TRABAJO]],1,SEARCH(",",TB_CECO[[#This Row],[TRABAJO]],1)-1)</f>
        <v xml:space="preserve"> SN. 320 NE Est. 845-2 NE </v>
      </c>
      <c r="C6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split </v>
      </c>
      <c r="D6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74" s="47" t="s">
        <v>1312</v>
      </c>
      <c r="G674" t="s">
        <v>1311</v>
      </c>
      <c r="H6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75" spans="1:8" ht="15" customHeight="1" x14ac:dyDescent="0.25">
      <c r="A675" t="str">
        <f>MID(TB_CECO[[#This Row],[CECO_T]],1,5)</f>
        <v>33403</v>
      </c>
      <c r="B675" t="str">
        <f>MID(TB_CECO[[#This Row],[TRABAJO]],1,SEARCH(",",TB_CECO[[#This Row],[TRABAJO]],1)-1)</f>
        <v>SN.320 NE Est.845-2 NE</v>
      </c>
      <c r="C6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SN.320 NE Est.845-2 NE,IZAJE Y DESCE</v>
      </c>
      <c r="D6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75" s="47" t="s">
        <v>1313</v>
      </c>
      <c r="G675" t="s">
        <v>1314</v>
      </c>
      <c r="H6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76" spans="1:8" ht="15" customHeight="1" x14ac:dyDescent="0.25">
      <c r="A676" t="str">
        <f>MID(TB_CECO[[#This Row],[CECO_T]],1,5)</f>
        <v>33403</v>
      </c>
      <c r="B676" t="str">
        <f>MID(TB_CECO[[#This Row],[TRABAJO]],1,SEARCH(",",TB_CECO[[#This Row],[TRABAJO]],1)-1)</f>
        <v xml:space="preserve"> SN. 320 NE Est. 845-2 NE </v>
      </c>
      <c r="C6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PERFOR</v>
      </c>
      <c r="D6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76" s="47" t="s">
        <v>1315</v>
      </c>
      <c r="G676" t="s">
        <v>1316</v>
      </c>
      <c r="H6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77" spans="1:8" ht="15" customHeight="1" x14ac:dyDescent="0.25">
      <c r="A677" t="str">
        <f>MID(TB_CECO[[#This Row],[CECO_T]],1,5)</f>
        <v>33404</v>
      </c>
      <c r="B677" t="str">
        <f>MID(TB_CECO[[#This Row],[TRABAJO]],1,SEARCH(",",TB_CECO[[#This Row],[TRABAJO]],1)-1)</f>
        <v xml:space="preserve"> SN. 320 SW Est. 845-2 NE </v>
      </c>
      <c r="C6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DESQUI</v>
      </c>
      <c r="D6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77" s="47" t="s">
        <v>1317</v>
      </c>
      <c r="G677" t="s">
        <v>1318</v>
      </c>
      <c r="H6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78" spans="1:8" ht="15" customHeight="1" x14ac:dyDescent="0.25">
      <c r="A678" t="str">
        <f>MID(TB_CECO[[#This Row],[CECO_T]],1,5)</f>
        <v>33404</v>
      </c>
      <c r="B678" t="str">
        <f>MID(TB_CECO[[#This Row],[TRABAJO]],1,SEARCH(",",TB_CECO[[#This Row],[TRABAJO]],1)-1)</f>
        <v xml:space="preserve"> SN. 320 SW Est. 845-2 NE </v>
      </c>
      <c r="C6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ENMADE</v>
      </c>
      <c r="D6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78" s="47" t="s">
        <v>1319</v>
      </c>
      <c r="G678" t="s">
        <v>1320</v>
      </c>
      <c r="H6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79" spans="1:8" ht="15" customHeight="1" x14ac:dyDescent="0.25">
      <c r="A679" t="str">
        <f>MID(TB_CECO[[#This Row],[CECO_T]],1,5)</f>
        <v>33404</v>
      </c>
      <c r="B679" t="str">
        <f>MID(TB_CECO[[#This Row],[TRABAJO]],1,SEARCH(",",TB_CECO[[#This Row],[TRABAJO]],1)-1)</f>
        <v xml:space="preserve"> SN. 320 SW Est. 845-2 NE </v>
      </c>
      <c r="C6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LIMPIE</v>
      </c>
      <c r="D6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79" s="47" t="s">
        <v>1321</v>
      </c>
      <c r="G679" t="s">
        <v>1322</v>
      </c>
      <c r="H6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80" spans="1:8" ht="15" customHeight="1" x14ac:dyDescent="0.25">
      <c r="A680" t="str">
        <f>MID(TB_CECO[[#This Row],[CECO_T]],1,5)</f>
        <v>33404</v>
      </c>
      <c r="B680" t="str">
        <f>MID(TB_CECO[[#This Row],[TRABAJO]],1,SEARCH(",",TB_CECO[[#This Row],[TRABAJO]],1)-1)</f>
        <v xml:space="preserve"> SN. 320 SW Est. 845-2 NE </v>
      </c>
      <c r="C6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SERVIC</v>
      </c>
      <c r="D6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80" s="47" t="s">
        <v>1323</v>
      </c>
      <c r="G680" t="s">
        <v>1324</v>
      </c>
      <c r="H6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81" spans="1:8" ht="15" customHeight="1" x14ac:dyDescent="0.25">
      <c r="A681" t="str">
        <f>MID(TB_CECO[[#This Row],[CECO_T]],1,5)</f>
        <v>33404</v>
      </c>
      <c r="B681" t="str">
        <f>MID(TB_CECO[[#This Row],[TRABAJO]],1,SEARCH(",",TB_CECO[[#This Row],[TRABAJO]],1)-1)</f>
        <v xml:space="preserve"> SN. 320 SW Est. 845-2 NE </v>
      </c>
      <c r="C6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EXTRAC</v>
      </c>
      <c r="D6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81" s="47" t="s">
        <v>1325</v>
      </c>
      <c r="G681" t="s">
        <v>1326</v>
      </c>
      <c r="H6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82" spans="1:8" ht="15" customHeight="1" x14ac:dyDescent="0.25">
      <c r="A682" t="str">
        <f>MID(TB_CECO[[#This Row],[CECO_T]],1,5)</f>
        <v>33404</v>
      </c>
      <c r="B682" t="str">
        <f>MID(TB_CECO[[#This Row],[TRABAJO]],1,SEARCH(",",TB_CECO[[#This Row],[TRABAJO]],1)-1)</f>
        <v xml:space="preserve"> SN. 320 SW Est. 845-2 NE </v>
      </c>
      <c r="C6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split </v>
      </c>
      <c r="D6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82" s="47" t="s">
        <v>1327</v>
      </c>
      <c r="G682" t="s">
        <v>1328</v>
      </c>
      <c r="H6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83" spans="1:8" ht="15" customHeight="1" x14ac:dyDescent="0.25">
      <c r="A683" t="str">
        <f>MID(TB_CECO[[#This Row],[CECO_T]],1,5)</f>
        <v>33404</v>
      </c>
      <c r="B683" t="str">
        <f>MID(TB_CECO[[#This Row],[TRABAJO]],1,SEARCH(",",TB_CECO[[#This Row],[TRABAJO]],1)-1)</f>
        <v xml:space="preserve"> SN. 320 SW Est. 845-2 NE </v>
      </c>
      <c r="C6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split </v>
      </c>
      <c r="D6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83" s="47" t="s">
        <v>1329</v>
      </c>
      <c r="G683" t="s">
        <v>1328</v>
      </c>
      <c r="H6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84" spans="1:8" ht="15" customHeight="1" x14ac:dyDescent="0.25">
      <c r="A684" t="str">
        <f>MID(TB_CECO[[#This Row],[CECO_T]],1,5)</f>
        <v>33404</v>
      </c>
      <c r="B684" t="str">
        <f>MID(TB_CECO[[#This Row],[TRABAJO]],1,SEARCH(",",TB_CECO[[#This Row],[TRABAJO]],1)-1)</f>
        <v>SN.320 SW Est.845-2 NE</v>
      </c>
      <c r="C6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SN.320 SW Est.845-2 NE,IZAJE Y DESCE</v>
      </c>
      <c r="D6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84" s="47" t="s">
        <v>1330</v>
      </c>
      <c r="G684" t="s">
        <v>1331</v>
      </c>
      <c r="H6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85" spans="1:8" ht="15" customHeight="1" x14ac:dyDescent="0.25">
      <c r="A685" t="str">
        <f>MID(TB_CECO[[#This Row],[CECO_T]],1,5)</f>
        <v>33404</v>
      </c>
      <c r="B685" t="str">
        <f>MID(TB_CECO[[#This Row],[TRABAJO]],1,SEARCH(",",TB_CECO[[#This Row],[TRABAJO]],1)-1)</f>
        <v xml:space="preserve"> SN. 320 SW Est. 845-2 NE </v>
      </c>
      <c r="C6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PERFOR</v>
      </c>
      <c r="D6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685" s="47" t="s">
        <v>1332</v>
      </c>
      <c r="G685" t="s">
        <v>1333</v>
      </c>
      <c r="H6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86" spans="1:8" ht="15" customHeight="1" x14ac:dyDescent="0.25">
      <c r="A686" t="str">
        <f>MID(TB_CECO[[#This Row],[CECO_T]],1,5)</f>
        <v>34504</v>
      </c>
      <c r="B686" t="str">
        <f>MID(TB_CECO[[#This Row],[TRABAJO]],1,SEARCH(",",TB_CECO[[#This Row],[TRABAJO]],1)-1)</f>
        <v xml:space="preserve"> EST.845-2 NE PQ. 845 </v>
      </c>
      <c r="C6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DESQUINCHE  </v>
      </c>
      <c r="D6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86" s="47" t="s">
        <v>1334</v>
      </c>
      <c r="G686" t="s">
        <v>1335</v>
      </c>
      <c r="H6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87" spans="1:8" ht="15" customHeight="1" x14ac:dyDescent="0.25">
      <c r="A687" t="str">
        <f>MID(TB_CECO[[#This Row],[CECO_T]],1,5)</f>
        <v>34504</v>
      </c>
      <c r="B687" t="str">
        <f>MID(TB_CECO[[#This Row],[TRABAJO]],1,SEARCH(",",TB_CECO[[#This Row],[TRABAJO]],1)-1)</f>
        <v xml:space="preserve"> EST.845-2 NE PQ. 845 </v>
      </c>
      <c r="C6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ENMADERADO  </v>
      </c>
      <c r="D6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87" s="47" t="s">
        <v>1336</v>
      </c>
      <c r="G687" t="s">
        <v>1337</v>
      </c>
      <c r="H6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88" spans="1:8" ht="15" customHeight="1" x14ac:dyDescent="0.25">
      <c r="A688" t="str">
        <f>MID(TB_CECO[[#This Row],[CECO_T]],1,5)</f>
        <v>34504</v>
      </c>
      <c r="B688" t="str">
        <f>MID(TB_CECO[[#This Row],[TRABAJO]],1,SEARCH(",",TB_CECO[[#This Row],[TRABAJO]],1)-1)</f>
        <v xml:space="preserve"> EST.845-2 NE PQ. 845 </v>
      </c>
      <c r="C6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LIMPIEZA    </v>
      </c>
      <c r="D6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88" s="47" t="s">
        <v>1338</v>
      </c>
      <c r="G688" t="s">
        <v>1339</v>
      </c>
      <c r="H6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89" spans="1:8" ht="15" customHeight="1" x14ac:dyDescent="0.25">
      <c r="A689" t="str">
        <f>MID(TB_CECO[[#This Row],[CECO_T]],1,5)</f>
        <v>34504</v>
      </c>
      <c r="B689" t="str">
        <f>MID(TB_CECO[[#This Row],[TRABAJO]],1,SEARCH(",",TB_CECO[[#This Row],[TRABAJO]],1)-1)</f>
        <v xml:space="preserve"> EST.845-2 NE PQ. 845 </v>
      </c>
      <c r="C6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SERVICIOS   </v>
      </c>
      <c r="D6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89" s="47" t="s">
        <v>1340</v>
      </c>
      <c r="G689" t="s">
        <v>1341</v>
      </c>
      <c r="H6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90" spans="1:8" ht="15" customHeight="1" x14ac:dyDescent="0.25">
      <c r="A690" t="str">
        <f>MID(TB_CECO[[#This Row],[CECO_T]],1,5)</f>
        <v>34504</v>
      </c>
      <c r="B690" t="str">
        <f>MID(TB_CECO[[#This Row],[TRABAJO]],1,SEARCH(",",TB_CECO[[#This Row],[TRABAJO]],1)-1)</f>
        <v xml:space="preserve"> EST.845-2 NE PQ. 845 </v>
      </c>
      <c r="C6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EXTRACCION  </v>
      </c>
      <c r="D6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90" s="47" t="s">
        <v>1342</v>
      </c>
      <c r="G690" t="s">
        <v>1343</v>
      </c>
      <c r="H6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91" spans="1:8" ht="15" customHeight="1" x14ac:dyDescent="0.25">
      <c r="A691" t="str">
        <f>MID(TB_CECO[[#This Row],[CECO_T]],1,5)</f>
        <v>34504</v>
      </c>
      <c r="B691" t="str">
        <f>MID(TB_CECO[[#This Row],[TRABAJO]],1,SEARCH(",",TB_CECO[[#This Row],[TRABAJO]],1)-1)</f>
        <v xml:space="preserve"> EST.845-2 NE PQ. 845 </v>
      </c>
      <c r="C6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SPLIT SET   </v>
      </c>
      <c r="D6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91" s="47" t="s">
        <v>1344</v>
      </c>
      <c r="G691" t="s">
        <v>1345</v>
      </c>
      <c r="H6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92" spans="1:8" ht="15" customHeight="1" x14ac:dyDescent="0.25">
      <c r="A692" t="str">
        <f>MID(TB_CECO[[#This Row],[CECO_T]],1,5)</f>
        <v>34504</v>
      </c>
      <c r="B692" t="str">
        <f>MID(TB_CECO[[#This Row],[TRABAJO]],1,SEARCH(",",TB_CECO[[#This Row],[TRABAJO]],1)-1)</f>
        <v xml:space="preserve"> EST.845-2 NE PQ. 845 </v>
      </c>
      <c r="C6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SPLIT CON MA</v>
      </c>
      <c r="D6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92" s="47" t="s">
        <v>1346</v>
      </c>
      <c r="G692" t="s">
        <v>1347</v>
      </c>
      <c r="H6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93" spans="1:8" ht="15" customHeight="1" x14ac:dyDescent="0.25">
      <c r="A693" t="str">
        <f>MID(TB_CECO[[#This Row],[CECO_T]],1,5)</f>
        <v>34504</v>
      </c>
      <c r="B693" t="str">
        <f>MID(TB_CECO[[#This Row],[TRABAJO]],1,SEARCH(",",TB_CECO[[#This Row],[TRABAJO]],1)-1)</f>
        <v xml:space="preserve"> EST.845-2 NE PQ. 845 </v>
      </c>
      <c r="C6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IZAJE Y DESC</v>
      </c>
      <c r="D6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93" s="47" t="s">
        <v>1348</v>
      </c>
      <c r="G693" t="s">
        <v>1349</v>
      </c>
      <c r="H6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94" spans="1:8" ht="15" customHeight="1" x14ac:dyDescent="0.25">
      <c r="A694" t="str">
        <f>MID(TB_CECO[[#This Row],[CECO_T]],1,5)</f>
        <v>34504</v>
      </c>
      <c r="B694" t="str">
        <f>MID(TB_CECO[[#This Row],[TRABAJO]],1,SEARCH(",",TB_CECO[[#This Row],[TRABAJO]],1)-1)</f>
        <v xml:space="preserve"> EST.845-2 NE PQ. 845 </v>
      </c>
      <c r="C6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PERFORACION </v>
      </c>
      <c r="D6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94" s="47" t="s">
        <v>1350</v>
      </c>
      <c r="G694" t="s">
        <v>1351</v>
      </c>
      <c r="H6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95" spans="1:8" ht="15" customHeight="1" x14ac:dyDescent="0.25">
      <c r="A695" t="str">
        <f>MID(TB_CECO[[#This Row],[CECO_T]],1,5)</f>
        <v>34602</v>
      </c>
      <c r="B695" t="str">
        <f>MID(TB_CECO[[#This Row],[TRABAJO]],1,SEARCH(",",TB_CECO[[#This Row],[TRABAJO]],1)-1)</f>
        <v xml:space="preserve"> PQ. 845_SN. 318 NE </v>
      </c>
      <c r="C6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DESQUINCHE    </v>
      </c>
      <c r="D6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95" s="47" t="s">
        <v>1352</v>
      </c>
      <c r="G695" t="s">
        <v>1353</v>
      </c>
      <c r="H6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96" spans="1:8" ht="15" customHeight="1" x14ac:dyDescent="0.25">
      <c r="A696" t="str">
        <f>MID(TB_CECO[[#This Row],[CECO_T]],1,5)</f>
        <v>34602</v>
      </c>
      <c r="B696" t="str">
        <f>MID(TB_CECO[[#This Row],[TRABAJO]],1,SEARCH(",",TB_CECO[[#This Row],[TRABAJO]],1)-1)</f>
        <v xml:space="preserve"> PQ. 845_SN. 318 NE </v>
      </c>
      <c r="C6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ENMADERADO    </v>
      </c>
      <c r="D6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96" s="47" t="s">
        <v>1354</v>
      </c>
      <c r="G696" t="s">
        <v>1355</v>
      </c>
      <c r="H6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97" spans="1:8" ht="15" customHeight="1" x14ac:dyDescent="0.25">
      <c r="A697" t="str">
        <f>MID(TB_CECO[[#This Row],[CECO_T]],1,5)</f>
        <v>34602</v>
      </c>
      <c r="B697" t="str">
        <f>MID(TB_CECO[[#This Row],[TRABAJO]],1,SEARCH(",",TB_CECO[[#This Row],[TRABAJO]],1)-1)</f>
        <v xml:space="preserve"> PQ. 845_SN. 318 NE </v>
      </c>
      <c r="C6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LIMPIEZA      </v>
      </c>
      <c r="D6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97" s="47" t="s">
        <v>1356</v>
      </c>
      <c r="G697" t="s">
        <v>1357</v>
      </c>
      <c r="H6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98" spans="1:8" ht="15" customHeight="1" x14ac:dyDescent="0.25">
      <c r="A698" t="str">
        <f>MID(TB_CECO[[#This Row],[CECO_T]],1,5)</f>
        <v>34602</v>
      </c>
      <c r="B698" t="str">
        <f>MID(TB_CECO[[#This Row],[TRABAJO]],1,SEARCH(",",TB_CECO[[#This Row],[TRABAJO]],1)-1)</f>
        <v xml:space="preserve"> PQ. 845_SN. 318 NE </v>
      </c>
      <c r="C6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SERVICIOS     </v>
      </c>
      <c r="D6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98" s="47" t="s">
        <v>1358</v>
      </c>
      <c r="G698" t="s">
        <v>1359</v>
      </c>
      <c r="H6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99" spans="1:8" ht="15" customHeight="1" x14ac:dyDescent="0.25">
      <c r="A699" t="str">
        <f>MID(TB_CECO[[#This Row],[CECO_T]],1,5)</f>
        <v>34602</v>
      </c>
      <c r="B699" t="str">
        <f>MID(TB_CECO[[#This Row],[TRABAJO]],1,SEARCH(",",TB_CECO[[#This Row],[TRABAJO]],1)-1)</f>
        <v xml:space="preserve"> PQ. 845_SN. 318 NE </v>
      </c>
      <c r="C6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EXTRACCION    </v>
      </c>
      <c r="D6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6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99" s="47" t="s">
        <v>1360</v>
      </c>
      <c r="G699" t="s">
        <v>1361</v>
      </c>
      <c r="H6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00" spans="1:8" ht="15" customHeight="1" x14ac:dyDescent="0.25">
      <c r="A700" t="str">
        <f>MID(TB_CECO[[#This Row],[CECO_T]],1,5)</f>
        <v>34602</v>
      </c>
      <c r="B700" t="str">
        <f>MID(TB_CECO[[#This Row],[TRABAJO]],1,SEARCH(",",TB_CECO[[#This Row],[TRABAJO]],1)-1)</f>
        <v xml:space="preserve"> PQ. 845_SN. 318 NE </v>
      </c>
      <c r="C7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SPLIT SET     </v>
      </c>
      <c r="D7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7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00" s="47" t="s">
        <v>1362</v>
      </c>
      <c r="G700" t="s">
        <v>1363</v>
      </c>
      <c r="H7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01" spans="1:8" ht="15" customHeight="1" x14ac:dyDescent="0.25">
      <c r="A701" t="str">
        <f>MID(TB_CECO[[#This Row],[CECO_T]],1,5)</f>
        <v>34602</v>
      </c>
      <c r="B701" t="str">
        <f>MID(TB_CECO[[#This Row],[TRABAJO]],1,SEARCH(",",TB_CECO[[#This Row],[TRABAJO]],1)-1)</f>
        <v xml:space="preserve"> PQ. 845_SN. 318 NE </v>
      </c>
      <c r="C7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SPLIT CON MALL</v>
      </c>
      <c r="D7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7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01" s="47" t="s">
        <v>1364</v>
      </c>
      <c r="G701" t="s">
        <v>1365</v>
      </c>
      <c r="H7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02" spans="1:8" ht="15" customHeight="1" x14ac:dyDescent="0.25">
      <c r="A702" t="str">
        <f>MID(TB_CECO[[#This Row],[CECO_T]],1,5)</f>
        <v>34602</v>
      </c>
      <c r="B702" t="str">
        <f>MID(TB_CECO[[#This Row],[TRABAJO]],1,SEARCH(",",TB_CECO[[#This Row],[TRABAJO]],1)-1)</f>
        <v xml:space="preserve"> PQ. 845_SN. 318 NE </v>
      </c>
      <c r="C7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IZAJE Y DESCEN</v>
      </c>
      <c r="D7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7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02" s="47" t="s">
        <v>1366</v>
      </c>
      <c r="G702" t="s">
        <v>1367</v>
      </c>
      <c r="H7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03" spans="1:8" ht="15" customHeight="1" x14ac:dyDescent="0.25">
      <c r="A703" t="str">
        <f>MID(TB_CECO[[#This Row],[CECO_T]],1,5)</f>
        <v>34602</v>
      </c>
      <c r="B703" t="str">
        <f>MID(TB_CECO[[#This Row],[TRABAJO]],1,SEARCH(",",TB_CECO[[#This Row],[TRABAJO]],1)-1)</f>
        <v xml:space="preserve"> PQ. 845_SN. 318 NE </v>
      </c>
      <c r="C7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PERFORACION   </v>
      </c>
      <c r="D7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7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03" s="47" t="s">
        <v>1368</v>
      </c>
      <c r="G703" t="s">
        <v>1369</v>
      </c>
      <c r="H7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04" spans="1:8" ht="15" customHeight="1" x14ac:dyDescent="0.25">
      <c r="A704" t="str">
        <f>MID(TB_CECO[[#This Row],[CECO_T]],1,5)</f>
        <v>41001</v>
      </c>
      <c r="B704" t="str">
        <f>MID(TB_CECO[[#This Row],[TRABAJO]],1,SEARCH(",",TB_CECO[[#This Row],[TRABAJO]],1)-1)</f>
        <v>GA 170 SW Cx. 128 NE</v>
      </c>
      <c r="C7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SW Cx. 128 NE,DESQUINCHE   </v>
      </c>
      <c r="D7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04" s="47" t="s">
        <v>1370</v>
      </c>
      <c r="G704" t="s">
        <v>1371</v>
      </c>
      <c r="H7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05" spans="1:8" ht="15" customHeight="1" x14ac:dyDescent="0.25">
      <c r="A705" t="str">
        <f>MID(TB_CECO[[#This Row],[CECO_T]],1,5)</f>
        <v>41001</v>
      </c>
      <c r="B705" t="str">
        <f>MID(TB_CECO[[#This Row],[TRABAJO]],1,SEARCH(",",TB_CECO[[#This Row],[TRABAJO]],1)-1)</f>
        <v>GA 170 SW Cx. 128 NE</v>
      </c>
      <c r="C7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SW Cx. 128 NE,ENMADERADO   </v>
      </c>
      <c r="D7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05" s="47" t="s">
        <v>1372</v>
      </c>
      <c r="G705" t="s">
        <v>1373</v>
      </c>
      <c r="H7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06" spans="1:8" ht="15" customHeight="1" x14ac:dyDescent="0.25">
      <c r="A706" t="str">
        <f>MID(TB_CECO[[#This Row],[CECO_T]],1,5)</f>
        <v>41001</v>
      </c>
      <c r="B706" t="str">
        <f>MID(TB_CECO[[#This Row],[TRABAJO]],1,SEARCH(",",TB_CECO[[#This Row],[TRABAJO]],1)-1)</f>
        <v>GA 170 SW Cx. 128 NE</v>
      </c>
      <c r="C7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SW Cx. 128 NE,LIMPIEZA     </v>
      </c>
      <c r="D7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06" s="47" t="s">
        <v>1374</v>
      </c>
      <c r="G706" t="s">
        <v>1375</v>
      </c>
      <c r="H7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07" spans="1:8" ht="15" customHeight="1" x14ac:dyDescent="0.25">
      <c r="A707" t="str">
        <f>MID(TB_CECO[[#This Row],[CECO_T]],1,5)</f>
        <v>41001</v>
      </c>
      <c r="B707" t="str">
        <f>MID(TB_CECO[[#This Row],[TRABAJO]],1,SEARCH(",",TB_CECO[[#This Row],[TRABAJO]],1)-1)</f>
        <v>GA 170 SW Cx. 128 NE</v>
      </c>
      <c r="C7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SW Cx. 128 NE,SERVICIOS    </v>
      </c>
      <c r="D7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07" s="47" t="s">
        <v>1376</v>
      </c>
      <c r="G707" t="s">
        <v>1377</v>
      </c>
      <c r="H7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08" spans="1:8" ht="15" customHeight="1" x14ac:dyDescent="0.25">
      <c r="A708" t="str">
        <f>MID(TB_CECO[[#This Row],[CECO_T]],1,5)</f>
        <v>41001</v>
      </c>
      <c r="B708" t="str">
        <f>MID(TB_CECO[[#This Row],[TRABAJO]],1,SEARCH(",",TB_CECO[[#This Row],[TRABAJO]],1)-1)</f>
        <v>GA 170 SW Cx. 128 NE</v>
      </c>
      <c r="C7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SW Cx. 128 NE,EXTRACCION   </v>
      </c>
      <c r="D7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08" s="47" t="s">
        <v>1378</v>
      </c>
      <c r="G708" t="s">
        <v>1379</v>
      </c>
      <c r="H7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09" spans="1:8" ht="15" customHeight="1" x14ac:dyDescent="0.25">
      <c r="A709" t="str">
        <f>MID(TB_CECO[[#This Row],[CECO_T]],1,5)</f>
        <v>41001</v>
      </c>
      <c r="B709" t="str">
        <f>MID(TB_CECO[[#This Row],[TRABAJO]],1,SEARCH(",",TB_CECO[[#This Row],[TRABAJO]],1)-1)</f>
        <v>GA 170 SW Cx. 128 NE</v>
      </c>
      <c r="C7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SW Cx. 128 NE,SPLIT SET    </v>
      </c>
      <c r="D7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09" s="47" t="s">
        <v>1380</v>
      </c>
      <c r="G709" t="s">
        <v>1381</v>
      </c>
      <c r="H7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10" spans="1:8" ht="15" customHeight="1" x14ac:dyDescent="0.25">
      <c r="A710" t="str">
        <f>MID(TB_CECO[[#This Row],[CECO_T]],1,5)</f>
        <v>41001</v>
      </c>
      <c r="B710" t="str">
        <f>MID(TB_CECO[[#This Row],[TRABAJO]],1,SEARCH(",",TB_CECO[[#This Row],[TRABAJO]],1)-1)</f>
        <v>GA 170 SW Cx. 128 NE</v>
      </c>
      <c r="C7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 170 SW Cx. 128 NE,SPLIT CON MAL</v>
      </c>
      <c r="D7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10" s="47" t="s">
        <v>1382</v>
      </c>
      <c r="G710" t="s">
        <v>1383</v>
      </c>
      <c r="H7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11" spans="1:8" ht="15" customHeight="1" x14ac:dyDescent="0.25">
      <c r="A711" t="str">
        <f>MID(TB_CECO[[#This Row],[CECO_T]],1,5)</f>
        <v>41001</v>
      </c>
      <c r="B711" t="str">
        <f>MID(TB_CECO[[#This Row],[TRABAJO]],1,SEARCH(",",TB_CECO[[#This Row],[TRABAJO]],1)-1)</f>
        <v>GA 170 SW Cx. 128 NE</v>
      </c>
      <c r="C7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 170 SW Cx. 128 NE,IZAJE Y DESCE</v>
      </c>
      <c r="D7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11" s="47" t="s">
        <v>1384</v>
      </c>
      <c r="G711" t="s">
        <v>1385</v>
      </c>
      <c r="H7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12" spans="1:8" ht="15" customHeight="1" x14ac:dyDescent="0.25">
      <c r="A712" t="str">
        <f>MID(TB_CECO[[#This Row],[CECO_T]],1,5)</f>
        <v>41001</v>
      </c>
      <c r="B712" t="str">
        <f>MID(TB_CECO[[#This Row],[TRABAJO]],1,SEARCH(",",TB_CECO[[#This Row],[TRABAJO]],1)-1)</f>
        <v>GA 170 SW Cx. 128 NE</v>
      </c>
      <c r="C7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SW Cx. 128 NE,PERFORACION  </v>
      </c>
      <c r="D7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12" s="47" t="s">
        <v>1386</v>
      </c>
      <c r="G712" t="s">
        <v>1387</v>
      </c>
      <c r="H7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13" spans="1:8" ht="15" customHeight="1" x14ac:dyDescent="0.25">
      <c r="A713" t="str">
        <f>MID(TB_CECO[[#This Row],[CECO_T]],1,5)</f>
        <v>41002</v>
      </c>
      <c r="B713" t="str">
        <f>MID(TB_CECO[[#This Row],[TRABAJO]],1,SEARCH(",",TB_CECO[[#This Row],[TRABAJO]],1)-1)</f>
        <v>Gal_170</v>
      </c>
      <c r="C7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Gal_170,Desquinche                </v>
      </c>
      <c r="D7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13" s="47" t="s">
        <v>1388</v>
      </c>
      <c r="G713" t="s">
        <v>1389</v>
      </c>
      <c r="H7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14" spans="1:8" ht="15" customHeight="1" x14ac:dyDescent="0.25">
      <c r="A714" t="str">
        <f>MID(TB_CECO[[#This Row],[CECO_T]],1,5)</f>
        <v>41002</v>
      </c>
      <c r="B714" t="str">
        <f>MID(TB_CECO[[#This Row],[TRABAJO]],1,SEARCH(",",TB_CECO[[#This Row],[TRABAJO]],1)-1)</f>
        <v>Gal_170</v>
      </c>
      <c r="C7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Gal_170,Enmaderado                </v>
      </c>
      <c r="D7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14" s="47" t="s">
        <v>1390</v>
      </c>
      <c r="G714" t="s">
        <v>1391</v>
      </c>
      <c r="H7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15" spans="1:8" ht="15" customHeight="1" x14ac:dyDescent="0.25">
      <c r="A715" t="str">
        <f>MID(TB_CECO[[#This Row],[CECO_T]],1,5)</f>
        <v>41002</v>
      </c>
      <c r="B715" t="str">
        <f>MID(TB_CECO[[#This Row],[TRABAJO]],1,SEARCH(",",TB_CECO[[#This Row],[TRABAJO]],1)-1)</f>
        <v>Gal_170</v>
      </c>
      <c r="C7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Gal_170,Limpieza                  </v>
      </c>
      <c r="D7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15" s="47" t="s">
        <v>1392</v>
      </c>
      <c r="G715" t="s">
        <v>1393</v>
      </c>
      <c r="H7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16" spans="1:8" ht="15" customHeight="1" x14ac:dyDescent="0.25">
      <c r="A716" t="str">
        <f>MID(TB_CECO[[#This Row],[CECO_T]],1,5)</f>
        <v>41002</v>
      </c>
      <c r="B716" t="str">
        <f>MID(TB_CECO[[#This Row],[TRABAJO]],1,SEARCH(",",TB_CECO[[#This Row],[TRABAJO]],1)-1)</f>
        <v>Gal_170</v>
      </c>
      <c r="C7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Gal_170,Servicios                 </v>
      </c>
      <c r="D7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16" s="47" t="s">
        <v>1394</v>
      </c>
      <c r="G716" t="s">
        <v>1395</v>
      </c>
      <c r="H7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17" spans="1:8" ht="15" customHeight="1" x14ac:dyDescent="0.25">
      <c r="A717" t="str">
        <f>MID(TB_CECO[[#This Row],[CECO_T]],1,5)</f>
        <v>41002</v>
      </c>
      <c r="B717" t="str">
        <f>MID(TB_CECO[[#This Row],[TRABAJO]],1,SEARCH(",",TB_CECO[[#This Row],[TRABAJO]],1)-1)</f>
        <v>Gal_170</v>
      </c>
      <c r="C7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Gal_170,Extraccion                </v>
      </c>
      <c r="D7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17" s="47" t="s">
        <v>1396</v>
      </c>
      <c r="G717" t="s">
        <v>1397</v>
      </c>
      <c r="H7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18" spans="1:8" ht="15" customHeight="1" x14ac:dyDescent="0.25">
      <c r="A718" t="str">
        <f>MID(TB_CECO[[#This Row],[CECO_T]],1,5)</f>
        <v>41002</v>
      </c>
      <c r="B718" t="str">
        <f>MID(TB_CECO[[#This Row],[TRABAJO]],1,SEARCH(",",TB_CECO[[#This Row],[TRABAJO]],1)-1)</f>
        <v>Gal_170</v>
      </c>
      <c r="C7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Gal_170,Split set                 </v>
      </c>
      <c r="D7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18" s="47" t="s">
        <v>1398</v>
      </c>
      <c r="G718" t="s">
        <v>1399</v>
      </c>
      <c r="H7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19" spans="1:8" ht="15" customHeight="1" x14ac:dyDescent="0.25">
      <c r="A719" t="str">
        <f>MID(TB_CECO[[#This Row],[CECO_T]],1,5)</f>
        <v>41002</v>
      </c>
      <c r="B719" t="str">
        <f>MID(TB_CECO[[#This Row],[TRABAJO]],1,SEARCH(",",TB_CECO[[#This Row],[TRABAJO]],1)-1)</f>
        <v>Gal_170</v>
      </c>
      <c r="C7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Gal_170,Split con Malla           </v>
      </c>
      <c r="D7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19" s="47" t="s">
        <v>1400</v>
      </c>
      <c r="G719" t="s">
        <v>1401</v>
      </c>
      <c r="H7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20" spans="1:8" ht="15" customHeight="1" x14ac:dyDescent="0.25">
      <c r="A720" t="str">
        <f>MID(TB_CECO[[#This Row],[CECO_T]],1,5)</f>
        <v>41002</v>
      </c>
      <c r="B720" t="str">
        <f>MID(TB_CECO[[#This Row],[TRABAJO]],1,SEARCH(",",TB_CECO[[#This Row],[TRABAJO]],1)-1)</f>
        <v>Gal_170</v>
      </c>
      <c r="C7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Gal_170,Izaje y Descenso W        </v>
      </c>
      <c r="D7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20" s="47" t="s">
        <v>1402</v>
      </c>
      <c r="G720" t="s">
        <v>1403</v>
      </c>
      <c r="H7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21" spans="1:8" ht="15" customHeight="1" x14ac:dyDescent="0.25">
      <c r="A721" t="str">
        <f>MID(TB_CECO[[#This Row],[CECO_T]],1,5)</f>
        <v>41002</v>
      </c>
      <c r="B721" t="str">
        <f>MID(TB_CECO[[#This Row],[TRABAJO]],1,SEARCH(",",TB_CECO[[#This Row],[TRABAJO]],1)-1)</f>
        <v>Gal_170</v>
      </c>
      <c r="C7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Gal_170,Perforacion               </v>
      </c>
      <c r="D7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21" s="47" t="s">
        <v>1404</v>
      </c>
      <c r="G721" t="s">
        <v>1405</v>
      </c>
      <c r="H7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22" spans="1:8" ht="15" customHeight="1" x14ac:dyDescent="0.25">
      <c r="A722" t="str">
        <f>MID(TB_CECO[[#This Row],[CECO_T]],1,5)</f>
        <v>41102</v>
      </c>
      <c r="B722" t="str">
        <f>MID(TB_CECO[[#This Row],[TRABAJO]],1,SEARCH(",",TB_CECO[[#This Row],[TRABAJO]],1)-1)</f>
        <v>CX 128-1 NE GAL 028 NE</v>
      </c>
      <c r="C7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128-1 NE GAL 028 NE,DESQUINCHE </v>
      </c>
      <c r="D7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22" s="47" t="s">
        <v>1406</v>
      </c>
      <c r="G722" t="s">
        <v>1407</v>
      </c>
      <c r="H7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23" spans="1:8" ht="15" customHeight="1" x14ac:dyDescent="0.25">
      <c r="A723" t="str">
        <f>MID(TB_CECO[[#This Row],[CECO_T]],1,5)</f>
        <v>41102</v>
      </c>
      <c r="B723" t="str">
        <f>MID(TB_CECO[[#This Row],[TRABAJO]],1,SEARCH(",",TB_CECO[[#This Row],[TRABAJO]],1)-1)</f>
        <v>CX 128-1 NE GAL 028 NE</v>
      </c>
      <c r="C7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128-1 NE GAL 028 NE,ENMADERADO </v>
      </c>
      <c r="D7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23" s="47" t="s">
        <v>1408</v>
      </c>
      <c r="G723" t="s">
        <v>1409</v>
      </c>
      <c r="H7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24" spans="1:8" ht="15" customHeight="1" x14ac:dyDescent="0.25">
      <c r="A724" t="str">
        <f>MID(TB_CECO[[#This Row],[CECO_T]],1,5)</f>
        <v>41102</v>
      </c>
      <c r="B724" t="str">
        <f>MID(TB_CECO[[#This Row],[TRABAJO]],1,SEARCH(",",TB_CECO[[#This Row],[TRABAJO]],1)-1)</f>
        <v>CX 128-1 NE GAL 028 NE</v>
      </c>
      <c r="C7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128-1 NE GAL 028 NE,LIMPIEZA   </v>
      </c>
      <c r="D7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24" s="47" t="s">
        <v>1410</v>
      </c>
      <c r="G724" t="s">
        <v>1411</v>
      </c>
      <c r="H7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25" spans="1:8" ht="15" customHeight="1" x14ac:dyDescent="0.25">
      <c r="A725" t="str">
        <f>MID(TB_CECO[[#This Row],[CECO_T]],1,5)</f>
        <v>41102</v>
      </c>
      <c r="B725" t="str">
        <f>MID(TB_CECO[[#This Row],[TRABAJO]],1,SEARCH(",",TB_CECO[[#This Row],[TRABAJO]],1)-1)</f>
        <v>CX 128-1 NE GAL 028 NE</v>
      </c>
      <c r="C7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128-1 NE GAL 028 NE,SERVICIOS  </v>
      </c>
      <c r="D7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25" s="47" t="s">
        <v>1412</v>
      </c>
      <c r="G725" t="s">
        <v>1413</v>
      </c>
      <c r="H7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26" spans="1:8" ht="15" customHeight="1" x14ac:dyDescent="0.25">
      <c r="A726" t="str">
        <f>MID(TB_CECO[[#This Row],[CECO_T]],1,5)</f>
        <v>41102</v>
      </c>
      <c r="B726" t="str">
        <f>MID(TB_CECO[[#This Row],[TRABAJO]],1,SEARCH(",",TB_CECO[[#This Row],[TRABAJO]],1)-1)</f>
        <v>CX 128-1 NE GAL 028 NE</v>
      </c>
      <c r="C7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128-1 NE GAL 028 NE,EXTRACCION </v>
      </c>
      <c r="D7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26" s="47" t="s">
        <v>1414</v>
      </c>
      <c r="G726" t="s">
        <v>1415</v>
      </c>
      <c r="H7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27" spans="1:8" ht="15" customHeight="1" x14ac:dyDescent="0.25">
      <c r="A727" t="str">
        <f>MID(TB_CECO[[#This Row],[CECO_T]],1,5)</f>
        <v>41102</v>
      </c>
      <c r="B727" t="str">
        <f>MID(TB_CECO[[#This Row],[TRABAJO]],1,SEARCH(",",TB_CECO[[#This Row],[TRABAJO]],1)-1)</f>
        <v>CX 128-1 NE GAL 028 NE</v>
      </c>
      <c r="C7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128-1 NE GAL 028 NE,SPLIT SET  </v>
      </c>
      <c r="D7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27" s="47" t="s">
        <v>1416</v>
      </c>
      <c r="G727" t="s">
        <v>1417</v>
      </c>
      <c r="H7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28" spans="1:8" ht="15" customHeight="1" x14ac:dyDescent="0.25">
      <c r="A728" t="str">
        <f>MID(TB_CECO[[#This Row],[CECO_T]],1,5)</f>
        <v>41102</v>
      </c>
      <c r="B728" t="str">
        <f>MID(TB_CECO[[#This Row],[TRABAJO]],1,SEARCH(",",TB_CECO[[#This Row],[TRABAJO]],1)-1)</f>
        <v>CX 128-1 NE GAL 028 NE</v>
      </c>
      <c r="C7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128-1 NE GAL 028 NE,SPLIT CON M</v>
      </c>
      <c r="D7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28" s="47" t="s">
        <v>1418</v>
      </c>
      <c r="G728" t="s">
        <v>1419</v>
      </c>
      <c r="H7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29" spans="1:8" ht="15" customHeight="1" x14ac:dyDescent="0.25">
      <c r="A729" t="str">
        <f>MID(TB_CECO[[#This Row],[CECO_T]],1,5)</f>
        <v>41102</v>
      </c>
      <c r="B729" t="str">
        <f>MID(TB_CECO[[#This Row],[TRABAJO]],1,SEARCH(",",TB_CECO[[#This Row],[TRABAJO]],1)-1)</f>
        <v>CX 128-1 NE GAL 028 NE</v>
      </c>
      <c r="C7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128-1 NE GAL 028 NE,IZAJE Y DES</v>
      </c>
      <c r="D7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29" s="47" t="s">
        <v>1420</v>
      </c>
      <c r="G729" t="s">
        <v>1421</v>
      </c>
      <c r="H7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30" spans="1:8" ht="15" customHeight="1" x14ac:dyDescent="0.25">
      <c r="A730" t="str">
        <f>MID(TB_CECO[[#This Row],[CECO_T]],1,5)</f>
        <v>41102</v>
      </c>
      <c r="B730" t="str">
        <f>MID(TB_CECO[[#This Row],[TRABAJO]],1,SEARCH(",",TB_CECO[[#This Row],[TRABAJO]],1)-1)</f>
        <v>CX 128-1 NE GAL 028 NE</v>
      </c>
      <c r="C7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128-1 NE GAL 028 NE,PERFORACION</v>
      </c>
      <c r="D7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30" s="47" t="s">
        <v>1422</v>
      </c>
      <c r="G730" t="s">
        <v>1423</v>
      </c>
      <c r="H7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31" spans="1:8" ht="15" customHeight="1" x14ac:dyDescent="0.25">
      <c r="A731" t="str">
        <f>MID(TB_CECO[[#This Row],[CECO_T]],1,5)</f>
        <v>41104</v>
      </c>
      <c r="B731" t="str">
        <f>MID(TB_CECO[[#This Row],[TRABAJO]],1,SEARCH(",",TB_CECO[[#This Row],[TRABAJO]],1)-1)</f>
        <v>CX 020 SW (GAL 170 SW)</v>
      </c>
      <c r="C7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020 SW (GAL 170 SW),DESQUINCHE  </v>
      </c>
      <c r="D7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31" s="47" t="s">
        <v>1424</v>
      </c>
      <c r="G731" t="s">
        <v>1425</v>
      </c>
      <c r="H7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32" spans="1:8" ht="15" customHeight="1" x14ac:dyDescent="0.25">
      <c r="A732" t="str">
        <f>MID(TB_CECO[[#This Row],[CECO_T]],1,5)</f>
        <v>41104</v>
      </c>
      <c r="B732" t="str">
        <f>MID(TB_CECO[[#This Row],[TRABAJO]],1,SEARCH(",",TB_CECO[[#This Row],[TRABAJO]],1)-1)</f>
        <v>CX 020 SW (GAL 170 SW)</v>
      </c>
      <c r="C7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020 SW (GAL 170 SW),ENMADERADO  </v>
      </c>
      <c r="D7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32" s="47" t="s">
        <v>1426</v>
      </c>
      <c r="G732" t="s">
        <v>1427</v>
      </c>
      <c r="H7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33" spans="1:8" ht="15" customHeight="1" x14ac:dyDescent="0.25">
      <c r="A733" t="str">
        <f>MID(TB_CECO[[#This Row],[CECO_T]],1,5)</f>
        <v>41104</v>
      </c>
      <c r="B733" t="str">
        <f>MID(TB_CECO[[#This Row],[TRABAJO]],1,SEARCH(",",TB_CECO[[#This Row],[TRABAJO]],1)-1)</f>
        <v>CX 020 SW (GAL 170 SW)</v>
      </c>
      <c r="C7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020 SW (GAL 170 SW),LIMPIEZA    </v>
      </c>
      <c r="D7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33" s="47" t="s">
        <v>1428</v>
      </c>
      <c r="G733" t="s">
        <v>1429</v>
      </c>
      <c r="H7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34" spans="1:8" ht="15" customHeight="1" x14ac:dyDescent="0.25">
      <c r="A734" t="str">
        <f>MID(TB_CECO[[#This Row],[CECO_T]],1,5)</f>
        <v>41104</v>
      </c>
      <c r="B734" t="str">
        <f>MID(TB_CECO[[#This Row],[TRABAJO]],1,SEARCH(",",TB_CECO[[#This Row],[TRABAJO]],1)-1)</f>
        <v>CX 020 SW (GAL 170 SW)</v>
      </c>
      <c r="C7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020 SW (GAL 170 SW),SERVICIOS   </v>
      </c>
      <c r="D7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34" s="47" t="s">
        <v>1430</v>
      </c>
      <c r="G734" t="s">
        <v>1431</v>
      </c>
      <c r="H7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35" spans="1:8" ht="15" customHeight="1" x14ac:dyDescent="0.25">
      <c r="A735" t="str">
        <f>MID(TB_CECO[[#This Row],[CECO_T]],1,5)</f>
        <v>41104</v>
      </c>
      <c r="B735" t="str">
        <f>MID(TB_CECO[[#This Row],[TRABAJO]],1,SEARCH(",",TB_CECO[[#This Row],[TRABAJO]],1)-1)</f>
        <v>CX 020 SW (GAL 170 SW)</v>
      </c>
      <c r="C7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020 SW (GAL 170 SW),EXTRACCION  </v>
      </c>
      <c r="D7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35" s="47" t="s">
        <v>1432</v>
      </c>
      <c r="G735" t="s">
        <v>1433</v>
      </c>
      <c r="H7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36" spans="1:8" ht="15" customHeight="1" x14ac:dyDescent="0.25">
      <c r="A736" t="str">
        <f>MID(TB_CECO[[#This Row],[CECO_T]],1,5)</f>
        <v>41104</v>
      </c>
      <c r="B736" t="str">
        <f>MID(TB_CECO[[#This Row],[TRABAJO]],1,SEARCH(",",TB_CECO[[#This Row],[TRABAJO]],1)-1)</f>
        <v>CX 020 SW (GAL 170 SW)</v>
      </c>
      <c r="C7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020 SW (GAL 170 SW),SPLIT SET   </v>
      </c>
      <c r="D7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36" s="47" t="s">
        <v>1434</v>
      </c>
      <c r="G736" t="s">
        <v>1435</v>
      </c>
      <c r="H7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37" spans="1:8" ht="15" customHeight="1" x14ac:dyDescent="0.25">
      <c r="A737" t="str">
        <f>MID(TB_CECO[[#This Row],[CECO_T]],1,5)</f>
        <v>41104</v>
      </c>
      <c r="B737" t="str">
        <f>MID(TB_CECO[[#This Row],[TRABAJO]],1,SEARCH(",",TB_CECO[[#This Row],[TRABAJO]],1)-1)</f>
        <v>CX 020 SW (GAL 170 SW)</v>
      </c>
      <c r="C7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020 SW (GAL 170 SW),SPLIT CON MA</v>
      </c>
      <c r="D7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37" s="47" t="s">
        <v>1436</v>
      </c>
      <c r="G737" t="s">
        <v>1437</v>
      </c>
      <c r="H7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38" spans="1:8" ht="15" customHeight="1" x14ac:dyDescent="0.25">
      <c r="A738" t="str">
        <f>MID(TB_CECO[[#This Row],[CECO_T]],1,5)</f>
        <v>41104</v>
      </c>
      <c r="B738" t="str">
        <f>MID(TB_CECO[[#This Row],[TRABAJO]],1,SEARCH(",",TB_CECO[[#This Row],[TRABAJO]],1)-1)</f>
        <v>CX 020 SW (GAL 170 SW)</v>
      </c>
      <c r="C7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020 SW (GAL 170 SW),IZAJE Y DESC</v>
      </c>
      <c r="D7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38" s="47" t="s">
        <v>1438</v>
      </c>
      <c r="G738" t="s">
        <v>1439</v>
      </c>
      <c r="H7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39" spans="1:8" ht="15" customHeight="1" x14ac:dyDescent="0.25">
      <c r="A739" t="str">
        <f>MID(TB_CECO[[#This Row],[CECO_T]],1,5)</f>
        <v>41104</v>
      </c>
      <c r="B739" t="str">
        <f>MID(TB_CECO[[#This Row],[TRABAJO]],1,SEARCH(",",TB_CECO[[#This Row],[TRABAJO]],1)-1)</f>
        <v>CX 020 SW (GAL 170 SW)</v>
      </c>
      <c r="C7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020 SW (GAL 170 SW),PERFORACION </v>
      </c>
      <c r="D7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39" s="47" t="s">
        <v>1440</v>
      </c>
      <c r="G739" t="s">
        <v>1441</v>
      </c>
      <c r="H7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40" spans="1:8" ht="15" customHeight="1" x14ac:dyDescent="0.25">
      <c r="A740" t="str">
        <f>MID(TB_CECO[[#This Row],[CECO_T]],1,5)</f>
        <v>41221</v>
      </c>
      <c r="B740" t="str">
        <f>MID(TB_CECO[[#This Row],[TRABAJO]],1,SEARCH(",",TB_CECO[[#This Row],[TRABAJO]],1)-1)</f>
        <v>CH 044 (GAL 170 SW)</v>
      </c>
      <c r="C7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044 (GAL 170 SW),DESQUINCHE     </v>
      </c>
      <c r="D7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40" s="47" t="s">
        <v>1442</v>
      </c>
      <c r="G740" t="s">
        <v>1443</v>
      </c>
      <c r="H7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41" spans="1:8" ht="15" customHeight="1" x14ac:dyDescent="0.25">
      <c r="A741" t="str">
        <f>MID(TB_CECO[[#This Row],[CECO_T]],1,5)</f>
        <v>41221</v>
      </c>
      <c r="B741" t="str">
        <f>MID(TB_CECO[[#This Row],[TRABAJO]],1,SEARCH(",",TB_CECO[[#This Row],[TRABAJO]],1)-1)</f>
        <v>CH 044 (GAL 170 SW)</v>
      </c>
      <c r="C7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044 (GAL 170 SW),ENMADERADO     </v>
      </c>
      <c r="D7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41" s="47" t="s">
        <v>1444</v>
      </c>
      <c r="G741" t="s">
        <v>1445</v>
      </c>
      <c r="H7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42" spans="1:8" ht="15" customHeight="1" x14ac:dyDescent="0.25">
      <c r="A742" t="str">
        <f>MID(TB_CECO[[#This Row],[CECO_T]],1,5)</f>
        <v>41221</v>
      </c>
      <c r="B742" t="str">
        <f>MID(TB_CECO[[#This Row],[TRABAJO]],1,SEARCH(",",TB_CECO[[#This Row],[TRABAJO]],1)-1)</f>
        <v>CH 044 (GAL 170 SW)</v>
      </c>
      <c r="C7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044 (GAL 170 SW),LIMPIEZA       </v>
      </c>
      <c r="D7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42" s="47" t="s">
        <v>1446</v>
      </c>
      <c r="G742" t="s">
        <v>1447</v>
      </c>
      <c r="H7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43" spans="1:8" ht="15" customHeight="1" x14ac:dyDescent="0.25">
      <c r="A743" t="str">
        <f>MID(TB_CECO[[#This Row],[CECO_T]],1,5)</f>
        <v>41221</v>
      </c>
      <c r="B743" t="str">
        <f>MID(TB_CECO[[#This Row],[TRABAJO]],1,SEARCH(",",TB_CECO[[#This Row],[TRABAJO]],1)-1)</f>
        <v>CH 044 (GAL 170 SW)</v>
      </c>
      <c r="C7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044 (GAL 170 SW),SERVICIOS      </v>
      </c>
      <c r="D7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43" s="47" t="s">
        <v>1448</v>
      </c>
      <c r="G743" t="s">
        <v>1449</v>
      </c>
      <c r="H7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44" spans="1:8" ht="15" customHeight="1" x14ac:dyDescent="0.25">
      <c r="A744" t="str">
        <f>MID(TB_CECO[[#This Row],[CECO_T]],1,5)</f>
        <v>41221</v>
      </c>
      <c r="B744" t="str">
        <f>MID(TB_CECO[[#This Row],[TRABAJO]],1,SEARCH(",",TB_CECO[[#This Row],[TRABAJO]],1)-1)</f>
        <v>CH 044 (GAL 170 SW)</v>
      </c>
      <c r="C7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044 (GAL 170 SW),EXTRACCION     </v>
      </c>
      <c r="D7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44" s="47" t="s">
        <v>1450</v>
      </c>
      <c r="G744" t="s">
        <v>1451</v>
      </c>
      <c r="H7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45" spans="1:8" ht="15" customHeight="1" x14ac:dyDescent="0.25">
      <c r="A745" t="str">
        <f>MID(TB_CECO[[#This Row],[CECO_T]],1,5)</f>
        <v>41221</v>
      </c>
      <c r="B745" t="str">
        <f>MID(TB_CECO[[#This Row],[TRABAJO]],1,SEARCH(",",TB_CECO[[#This Row],[TRABAJO]],1)-1)</f>
        <v>CH 044 (GAL 170 SW)</v>
      </c>
      <c r="C7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044 (GAL 170 SW),SPLIT SET      </v>
      </c>
      <c r="D7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45" s="47" t="s">
        <v>1452</v>
      </c>
      <c r="G745" t="s">
        <v>1453</v>
      </c>
      <c r="H7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46" spans="1:8" ht="15" customHeight="1" x14ac:dyDescent="0.25">
      <c r="A746" t="str">
        <f>MID(TB_CECO[[#This Row],[CECO_T]],1,5)</f>
        <v>41221</v>
      </c>
      <c r="B746" t="str">
        <f>MID(TB_CECO[[#This Row],[TRABAJO]],1,SEARCH(",",TB_CECO[[#This Row],[TRABAJO]],1)-1)</f>
        <v>CH 044 (GAL 170 SW)</v>
      </c>
      <c r="C7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(GAL 170 SW),SPLIT CON MALLA</v>
      </c>
      <c r="D7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46" s="47" t="s">
        <v>1454</v>
      </c>
      <c r="G746" t="s">
        <v>1455</v>
      </c>
      <c r="H7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47" spans="1:8" ht="15" customHeight="1" x14ac:dyDescent="0.25">
      <c r="A747" t="str">
        <f>MID(TB_CECO[[#This Row],[CECO_T]],1,5)</f>
        <v>41221</v>
      </c>
      <c r="B747" t="str">
        <f>MID(TB_CECO[[#This Row],[TRABAJO]],1,SEARCH(",",TB_CECO[[#This Row],[TRABAJO]],1)-1)</f>
        <v>CH 044 (GAL 170 SW)</v>
      </c>
      <c r="C7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(GAL 170 SW),IZAJE Y DESCENS</v>
      </c>
      <c r="D7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47" s="47" t="s">
        <v>1456</v>
      </c>
      <c r="G747" t="s">
        <v>1457</v>
      </c>
      <c r="H7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48" spans="1:8" ht="15" customHeight="1" x14ac:dyDescent="0.25">
      <c r="A748" t="str">
        <f>MID(TB_CECO[[#This Row],[CECO_T]],1,5)</f>
        <v>41221</v>
      </c>
      <c r="B748" t="str">
        <f>MID(TB_CECO[[#This Row],[TRABAJO]],1,SEARCH(",",TB_CECO[[#This Row],[TRABAJO]],1)-1)</f>
        <v>CH 044 (GAL 170 SW)</v>
      </c>
      <c r="C7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044 (GAL 170 SW),PERFORACION    </v>
      </c>
      <c r="D7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7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748" s="47" t="s">
        <v>1458</v>
      </c>
      <c r="G748" t="s">
        <v>1459</v>
      </c>
      <c r="H7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49" spans="1:8" ht="15" customHeight="1" x14ac:dyDescent="0.25">
      <c r="A749" t="str">
        <f>MID(TB_CECO[[#This Row],[CECO_T]],1,5)</f>
        <v>41417</v>
      </c>
      <c r="B749" t="str">
        <f>MID(TB_CECO[[#This Row],[TRABAJO]],1,SEARCH(",",TB_CECO[[#This Row],[TRABAJO]],1)-1)</f>
        <v>SNV 100-SW CH 100</v>
      </c>
      <c r="C7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100,DESQUINCHE      </v>
      </c>
      <c r="D7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49" s="47" t="s">
        <v>1460</v>
      </c>
      <c r="G749" t="s">
        <v>1461</v>
      </c>
      <c r="H7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50" spans="1:8" ht="15" customHeight="1" x14ac:dyDescent="0.25">
      <c r="A750" t="str">
        <f>MID(TB_CECO[[#This Row],[CECO_T]],1,5)</f>
        <v>41417</v>
      </c>
      <c r="B750" t="str">
        <f>MID(TB_CECO[[#This Row],[TRABAJO]],1,SEARCH(",",TB_CECO[[#This Row],[TRABAJO]],1)-1)</f>
        <v>SNV 100-SW CH 100</v>
      </c>
      <c r="C7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100,ENMADERADO      </v>
      </c>
      <c r="D7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50" s="47" t="s">
        <v>1462</v>
      </c>
      <c r="G750" t="s">
        <v>1463</v>
      </c>
      <c r="H7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51" spans="1:8" ht="15" customHeight="1" x14ac:dyDescent="0.25">
      <c r="A751" t="str">
        <f>MID(TB_CECO[[#This Row],[CECO_T]],1,5)</f>
        <v>41417</v>
      </c>
      <c r="B751" t="str">
        <f>MID(TB_CECO[[#This Row],[TRABAJO]],1,SEARCH(",",TB_CECO[[#This Row],[TRABAJO]],1)-1)</f>
        <v>SNV 100-SW CH 100</v>
      </c>
      <c r="C7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100,LIMPIEZA        </v>
      </c>
      <c r="D7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51" s="47" t="s">
        <v>1464</v>
      </c>
      <c r="G751" t="s">
        <v>1465</v>
      </c>
      <c r="H7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52" spans="1:8" ht="15" customHeight="1" x14ac:dyDescent="0.25">
      <c r="A752" t="str">
        <f>MID(TB_CECO[[#This Row],[CECO_T]],1,5)</f>
        <v>41417</v>
      </c>
      <c r="B752" t="str">
        <f>MID(TB_CECO[[#This Row],[TRABAJO]],1,SEARCH(",",TB_CECO[[#This Row],[TRABAJO]],1)-1)</f>
        <v>SNV 100-SW CH 100</v>
      </c>
      <c r="C7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100,SERVICIOS       </v>
      </c>
      <c r="D7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52" s="47" t="s">
        <v>1466</v>
      </c>
      <c r="G752" t="s">
        <v>1467</v>
      </c>
      <c r="H7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53" spans="1:8" ht="15" customHeight="1" x14ac:dyDescent="0.25">
      <c r="A753" t="str">
        <f>MID(TB_CECO[[#This Row],[CECO_T]],1,5)</f>
        <v>41417</v>
      </c>
      <c r="B753" t="str">
        <f>MID(TB_CECO[[#This Row],[TRABAJO]],1,SEARCH(",",TB_CECO[[#This Row],[TRABAJO]],1)-1)</f>
        <v>SNV 100-SW CH 100</v>
      </c>
      <c r="C7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100,EXTRACCION      </v>
      </c>
      <c r="D7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53" s="47" t="s">
        <v>1468</v>
      </c>
      <c r="G753" t="s">
        <v>1469</v>
      </c>
      <c r="H7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54" spans="1:8" ht="15" customHeight="1" x14ac:dyDescent="0.25">
      <c r="A754" t="str">
        <f>MID(TB_CECO[[#This Row],[CECO_T]],1,5)</f>
        <v>41417</v>
      </c>
      <c r="B754" t="str">
        <f>MID(TB_CECO[[#This Row],[TRABAJO]],1,SEARCH(",",TB_CECO[[#This Row],[TRABAJO]],1)-1)</f>
        <v>SNV 100-SW CH 100</v>
      </c>
      <c r="C7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100,SPLIT SET       </v>
      </c>
      <c r="D7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54" s="47" t="s">
        <v>1470</v>
      </c>
      <c r="G754" t="s">
        <v>1471</v>
      </c>
      <c r="H7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55" spans="1:8" ht="15" customHeight="1" x14ac:dyDescent="0.25">
      <c r="A755" t="str">
        <f>MID(TB_CECO[[#This Row],[CECO_T]],1,5)</f>
        <v>41417</v>
      </c>
      <c r="B755" t="str">
        <f>MID(TB_CECO[[#This Row],[TRABAJO]],1,SEARCH(",",TB_CECO[[#This Row],[TRABAJO]],1)-1)</f>
        <v>SNV 100-SW CH 100</v>
      </c>
      <c r="C7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100,SPLIT CON MALLA </v>
      </c>
      <c r="D7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55" s="47" t="s">
        <v>1472</v>
      </c>
      <c r="G755" t="s">
        <v>1473</v>
      </c>
      <c r="H7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56" spans="1:8" ht="15" customHeight="1" x14ac:dyDescent="0.25">
      <c r="A756" t="str">
        <f>MID(TB_CECO[[#This Row],[CECO_T]],1,5)</f>
        <v>41417</v>
      </c>
      <c r="B756" t="str">
        <f>MID(TB_CECO[[#This Row],[TRABAJO]],1,SEARCH(",",TB_CECO[[#This Row],[TRABAJO]],1)-1)</f>
        <v>SNV 100-SW CH 100</v>
      </c>
      <c r="C7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100-SW CH 100,IZAJE Y DESCENSO</v>
      </c>
      <c r="D7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56" s="47" t="s">
        <v>1474</v>
      </c>
      <c r="G756" t="s">
        <v>1475</v>
      </c>
      <c r="H7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57" spans="1:8" ht="15" customHeight="1" x14ac:dyDescent="0.25">
      <c r="A757" t="str">
        <f>MID(TB_CECO[[#This Row],[CECO_T]],1,5)</f>
        <v>41417</v>
      </c>
      <c r="B757" t="str">
        <f>MID(TB_CECO[[#This Row],[TRABAJO]],1,SEARCH(",",TB_CECO[[#This Row],[TRABAJO]],1)-1)</f>
        <v>SNV 100-SW CH 100</v>
      </c>
      <c r="C7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100,PERFORACION     </v>
      </c>
      <c r="D7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57" s="47" t="s">
        <v>1476</v>
      </c>
      <c r="G757" t="s">
        <v>1477</v>
      </c>
      <c r="H7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58" spans="1:8" ht="15" customHeight="1" x14ac:dyDescent="0.25">
      <c r="A758" t="str">
        <f>MID(TB_CECO[[#This Row],[CECO_T]],1,5)</f>
        <v>41418</v>
      </c>
      <c r="B758" t="str">
        <f>MID(TB_CECO[[#This Row],[TRABAJO]],1,SEARCH(",",TB_CECO[[#This Row],[TRABAJO]],1)-1)</f>
        <v>SNV 100-NE CH 100</v>
      </c>
      <c r="C7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100,DESQUINCHE      </v>
      </c>
      <c r="D7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58" s="47" t="s">
        <v>1478</v>
      </c>
      <c r="G758" t="s">
        <v>1479</v>
      </c>
      <c r="H7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59" spans="1:8" ht="15" customHeight="1" x14ac:dyDescent="0.25">
      <c r="A759" t="str">
        <f>MID(TB_CECO[[#This Row],[CECO_T]],1,5)</f>
        <v>41418</v>
      </c>
      <c r="B759" t="str">
        <f>MID(TB_CECO[[#This Row],[TRABAJO]],1,SEARCH(",",TB_CECO[[#This Row],[TRABAJO]],1)-1)</f>
        <v>SNV 100-NE CH 100</v>
      </c>
      <c r="C7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100,ENMADERADO      </v>
      </c>
      <c r="D7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59" s="47" t="s">
        <v>1480</v>
      </c>
      <c r="G759" t="s">
        <v>1481</v>
      </c>
      <c r="H7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60" spans="1:8" ht="15" customHeight="1" x14ac:dyDescent="0.25">
      <c r="A760" t="str">
        <f>MID(TB_CECO[[#This Row],[CECO_T]],1,5)</f>
        <v>41418</v>
      </c>
      <c r="B760" t="str">
        <f>MID(TB_CECO[[#This Row],[TRABAJO]],1,SEARCH(",",TB_CECO[[#This Row],[TRABAJO]],1)-1)</f>
        <v>SNV 100-NE CH 100</v>
      </c>
      <c r="C7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100,LIMPIEZA        </v>
      </c>
      <c r="D7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60" s="47" t="s">
        <v>1482</v>
      </c>
      <c r="G760" t="s">
        <v>1483</v>
      </c>
      <c r="H7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61" spans="1:8" ht="15" customHeight="1" x14ac:dyDescent="0.25">
      <c r="A761" t="str">
        <f>MID(TB_CECO[[#This Row],[CECO_T]],1,5)</f>
        <v>41418</v>
      </c>
      <c r="B761" t="str">
        <f>MID(TB_CECO[[#This Row],[TRABAJO]],1,SEARCH(",",TB_CECO[[#This Row],[TRABAJO]],1)-1)</f>
        <v>SNV 100-NE CH 100</v>
      </c>
      <c r="C7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100,SERVICIOS       </v>
      </c>
      <c r="D7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61" s="47" t="s">
        <v>1484</v>
      </c>
      <c r="G761" t="s">
        <v>1485</v>
      </c>
      <c r="H7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62" spans="1:8" ht="15" customHeight="1" x14ac:dyDescent="0.25">
      <c r="A762" t="str">
        <f>MID(TB_CECO[[#This Row],[CECO_T]],1,5)</f>
        <v>41418</v>
      </c>
      <c r="B762" t="str">
        <f>MID(TB_CECO[[#This Row],[TRABAJO]],1,SEARCH(",",TB_CECO[[#This Row],[TRABAJO]],1)-1)</f>
        <v>SNV 100-NE CH 100</v>
      </c>
      <c r="C7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100,EXTRACCION      </v>
      </c>
      <c r="D7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62" s="47" t="s">
        <v>1486</v>
      </c>
      <c r="G762" t="s">
        <v>1487</v>
      </c>
      <c r="H7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63" spans="1:8" ht="15" customHeight="1" x14ac:dyDescent="0.25">
      <c r="A763" t="str">
        <f>MID(TB_CECO[[#This Row],[CECO_T]],1,5)</f>
        <v>41418</v>
      </c>
      <c r="B763" t="str">
        <f>MID(TB_CECO[[#This Row],[TRABAJO]],1,SEARCH(",",TB_CECO[[#This Row],[TRABAJO]],1)-1)</f>
        <v>SNV 100-NE CH 100</v>
      </c>
      <c r="C7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100,SPLIT SET       </v>
      </c>
      <c r="D7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63" s="47" t="s">
        <v>1488</v>
      </c>
      <c r="G763" t="s">
        <v>1489</v>
      </c>
      <c r="H7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64" spans="1:8" ht="15" customHeight="1" x14ac:dyDescent="0.25">
      <c r="A764" t="str">
        <f>MID(TB_CECO[[#This Row],[CECO_T]],1,5)</f>
        <v>41418</v>
      </c>
      <c r="B764" t="str">
        <f>MID(TB_CECO[[#This Row],[TRABAJO]],1,SEARCH(",",TB_CECO[[#This Row],[TRABAJO]],1)-1)</f>
        <v>SNV 100-NE CH 100</v>
      </c>
      <c r="C7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100,SPLIT CON MALLA </v>
      </c>
      <c r="D7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64" s="47" t="s">
        <v>1490</v>
      </c>
      <c r="G764" t="s">
        <v>1491</v>
      </c>
      <c r="H7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65" spans="1:8" ht="15" customHeight="1" x14ac:dyDescent="0.25">
      <c r="A765" t="str">
        <f>MID(TB_CECO[[#This Row],[CECO_T]],1,5)</f>
        <v>41418</v>
      </c>
      <c r="B765" t="str">
        <f>MID(TB_CECO[[#This Row],[TRABAJO]],1,SEARCH(",",TB_CECO[[#This Row],[TRABAJO]],1)-1)</f>
        <v>SNV 100-NE CH 100</v>
      </c>
      <c r="C7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100-NE CH 100,IZAJE Y DESCENSO</v>
      </c>
      <c r="D7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65" s="47" t="s">
        <v>1492</v>
      </c>
      <c r="G765" t="s">
        <v>1493</v>
      </c>
      <c r="H7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66" spans="1:8" ht="15" customHeight="1" x14ac:dyDescent="0.25">
      <c r="A766" t="str">
        <f>MID(TB_CECO[[#This Row],[CECO_T]],1,5)</f>
        <v>41418</v>
      </c>
      <c r="B766" t="str">
        <f>MID(TB_CECO[[#This Row],[TRABAJO]],1,SEARCH(",",TB_CECO[[#This Row],[TRABAJO]],1)-1)</f>
        <v>SNV 100-NE CH 100</v>
      </c>
      <c r="C7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100,PERFORACION     </v>
      </c>
      <c r="D7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66" s="47" t="s">
        <v>1494</v>
      </c>
      <c r="G766" t="s">
        <v>1495</v>
      </c>
      <c r="H7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67" spans="1:8" ht="15" customHeight="1" x14ac:dyDescent="0.25">
      <c r="A767" t="str">
        <f>MID(TB_CECO[[#This Row],[CECO_T]],1,5)</f>
        <v>41419</v>
      </c>
      <c r="B767" t="str">
        <f>MID(TB_CECO[[#This Row],[TRABAJO]],1,SEARCH(",",TB_CECO[[#This Row],[TRABAJO]],1)-1)</f>
        <v>SNV 150-SW CH 150</v>
      </c>
      <c r="C7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150,DESQUINCHE      </v>
      </c>
      <c r="D7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67" s="47" t="s">
        <v>1496</v>
      </c>
      <c r="G767" t="s">
        <v>1497</v>
      </c>
      <c r="H7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68" spans="1:8" ht="15" customHeight="1" x14ac:dyDescent="0.25">
      <c r="A768" t="str">
        <f>MID(TB_CECO[[#This Row],[CECO_T]],1,5)</f>
        <v>41419</v>
      </c>
      <c r="B768" t="str">
        <f>MID(TB_CECO[[#This Row],[TRABAJO]],1,SEARCH(",",TB_CECO[[#This Row],[TRABAJO]],1)-1)</f>
        <v>SNV 150-SW CH 150</v>
      </c>
      <c r="C7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150,ENMADERADO      </v>
      </c>
      <c r="D7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68" s="47" t="s">
        <v>1498</v>
      </c>
      <c r="G768" t="s">
        <v>1499</v>
      </c>
      <c r="H7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69" spans="1:8" ht="15" customHeight="1" x14ac:dyDescent="0.25">
      <c r="A769" t="str">
        <f>MID(TB_CECO[[#This Row],[CECO_T]],1,5)</f>
        <v>41419</v>
      </c>
      <c r="B769" t="str">
        <f>MID(TB_CECO[[#This Row],[TRABAJO]],1,SEARCH(",",TB_CECO[[#This Row],[TRABAJO]],1)-1)</f>
        <v>SNV 150-SW CH 150</v>
      </c>
      <c r="C7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150,LIMPIEZA        </v>
      </c>
      <c r="D7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69" s="47" t="s">
        <v>1500</v>
      </c>
      <c r="G769" t="s">
        <v>1501</v>
      </c>
      <c r="H7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70" spans="1:8" ht="15" customHeight="1" x14ac:dyDescent="0.25">
      <c r="A770" t="str">
        <f>MID(TB_CECO[[#This Row],[CECO_T]],1,5)</f>
        <v>41419</v>
      </c>
      <c r="B770" t="str">
        <f>MID(TB_CECO[[#This Row],[TRABAJO]],1,SEARCH(",",TB_CECO[[#This Row],[TRABAJO]],1)-1)</f>
        <v>SNV 150-SW CH 150</v>
      </c>
      <c r="C7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150,SERVICIOS       </v>
      </c>
      <c r="D7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70" s="47" t="s">
        <v>1502</v>
      </c>
      <c r="G770" t="s">
        <v>1503</v>
      </c>
      <c r="H7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71" spans="1:8" ht="15" customHeight="1" x14ac:dyDescent="0.25">
      <c r="A771" t="str">
        <f>MID(TB_CECO[[#This Row],[CECO_T]],1,5)</f>
        <v>41419</v>
      </c>
      <c r="B771" t="str">
        <f>MID(TB_CECO[[#This Row],[TRABAJO]],1,SEARCH(",",TB_CECO[[#This Row],[TRABAJO]],1)-1)</f>
        <v>SNV 150-SW CH 150</v>
      </c>
      <c r="C7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150,EXTRACCION      </v>
      </c>
      <c r="D7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71" s="47" t="s">
        <v>1504</v>
      </c>
      <c r="G771" t="s">
        <v>1505</v>
      </c>
      <c r="H7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72" spans="1:8" ht="15" customHeight="1" x14ac:dyDescent="0.25">
      <c r="A772" t="str">
        <f>MID(TB_CECO[[#This Row],[CECO_T]],1,5)</f>
        <v>41419</v>
      </c>
      <c r="B772" t="str">
        <f>MID(TB_CECO[[#This Row],[TRABAJO]],1,SEARCH(",",TB_CECO[[#This Row],[TRABAJO]],1)-1)</f>
        <v>SNV 150-SW CH 150</v>
      </c>
      <c r="C7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150,SPLIT SET       </v>
      </c>
      <c r="D7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72" s="47" t="s">
        <v>1506</v>
      </c>
      <c r="G772" t="s">
        <v>1507</v>
      </c>
      <c r="H7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73" spans="1:8" ht="15" customHeight="1" x14ac:dyDescent="0.25">
      <c r="A773" t="str">
        <f>MID(TB_CECO[[#This Row],[CECO_T]],1,5)</f>
        <v>41419</v>
      </c>
      <c r="B773" t="str">
        <f>MID(TB_CECO[[#This Row],[TRABAJO]],1,SEARCH(",",TB_CECO[[#This Row],[TRABAJO]],1)-1)</f>
        <v>SNV 150-SW CH 150</v>
      </c>
      <c r="C7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150,SPLIT CON MALLA </v>
      </c>
      <c r="D7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73" s="47" t="s">
        <v>1508</v>
      </c>
      <c r="G773" t="s">
        <v>1509</v>
      </c>
      <c r="H7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74" spans="1:8" ht="15" customHeight="1" x14ac:dyDescent="0.25">
      <c r="A774" t="str">
        <f>MID(TB_CECO[[#This Row],[CECO_T]],1,5)</f>
        <v>41419</v>
      </c>
      <c r="B774" t="str">
        <f>MID(TB_CECO[[#This Row],[TRABAJO]],1,SEARCH(",",TB_CECO[[#This Row],[TRABAJO]],1)-1)</f>
        <v>SNV 150-SW CH 150</v>
      </c>
      <c r="C7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150-SW CH 150,IZAJE Y DESCENSO</v>
      </c>
      <c r="D7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74" s="47" t="s">
        <v>1510</v>
      </c>
      <c r="G774" t="s">
        <v>1511</v>
      </c>
      <c r="H7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75" spans="1:8" ht="15" customHeight="1" x14ac:dyDescent="0.25">
      <c r="A775" t="str">
        <f>MID(TB_CECO[[#This Row],[CECO_T]],1,5)</f>
        <v>41419</v>
      </c>
      <c r="B775" t="str">
        <f>MID(TB_CECO[[#This Row],[TRABAJO]],1,SEARCH(",",TB_CECO[[#This Row],[TRABAJO]],1)-1)</f>
        <v>SNV 150-SW CH 150</v>
      </c>
      <c r="C7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150,PERFORACION     </v>
      </c>
      <c r="D7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75" s="47" t="s">
        <v>1512</v>
      </c>
      <c r="G775" t="s">
        <v>1513</v>
      </c>
      <c r="H7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76" spans="1:8" ht="15" customHeight="1" x14ac:dyDescent="0.25">
      <c r="A776" t="str">
        <f>MID(TB_CECO[[#This Row],[CECO_T]],1,5)</f>
        <v>41420</v>
      </c>
      <c r="B776" t="str">
        <f>MID(TB_CECO[[#This Row],[TRABAJO]],1,SEARCH(",",TB_CECO[[#This Row],[TRABAJO]],1)-1)</f>
        <v>SNV 150-NE CH 150</v>
      </c>
      <c r="C7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150,DESQUINCHE      </v>
      </c>
      <c r="D7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76" s="47" t="s">
        <v>1514</v>
      </c>
      <c r="G776" t="s">
        <v>1515</v>
      </c>
      <c r="H7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77" spans="1:8" ht="15" customHeight="1" x14ac:dyDescent="0.25">
      <c r="A777" t="str">
        <f>MID(TB_CECO[[#This Row],[CECO_T]],1,5)</f>
        <v>41420</v>
      </c>
      <c r="B777" t="str">
        <f>MID(TB_CECO[[#This Row],[TRABAJO]],1,SEARCH(",",TB_CECO[[#This Row],[TRABAJO]],1)-1)</f>
        <v>SNV 150-NE CH 150</v>
      </c>
      <c r="C7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150,ENMADERADO      </v>
      </c>
      <c r="D7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77" s="47" t="s">
        <v>1516</v>
      </c>
      <c r="G777" t="s">
        <v>1517</v>
      </c>
      <c r="H7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78" spans="1:8" ht="15" customHeight="1" x14ac:dyDescent="0.25">
      <c r="A778" t="str">
        <f>MID(TB_CECO[[#This Row],[CECO_T]],1,5)</f>
        <v>41420</v>
      </c>
      <c r="B778" t="str">
        <f>MID(TB_CECO[[#This Row],[TRABAJO]],1,SEARCH(",",TB_CECO[[#This Row],[TRABAJO]],1)-1)</f>
        <v>SNV 150-NE CH 150</v>
      </c>
      <c r="C7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150,LIMPIEZA        </v>
      </c>
      <c r="D7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78" s="47" t="s">
        <v>1518</v>
      </c>
      <c r="G778" t="s">
        <v>1519</v>
      </c>
      <c r="H7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79" spans="1:8" ht="15" customHeight="1" x14ac:dyDescent="0.25">
      <c r="A779" t="str">
        <f>MID(TB_CECO[[#This Row],[CECO_T]],1,5)</f>
        <v>41420</v>
      </c>
      <c r="B779" t="str">
        <f>MID(TB_CECO[[#This Row],[TRABAJO]],1,SEARCH(",",TB_CECO[[#This Row],[TRABAJO]],1)-1)</f>
        <v>SNV 150-NE CH 150</v>
      </c>
      <c r="C7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150,SERVICIOS       </v>
      </c>
      <c r="D7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79" s="47" t="s">
        <v>1520</v>
      </c>
      <c r="G779" t="s">
        <v>1521</v>
      </c>
      <c r="H7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80" spans="1:8" ht="15" customHeight="1" x14ac:dyDescent="0.25">
      <c r="A780" t="str">
        <f>MID(TB_CECO[[#This Row],[CECO_T]],1,5)</f>
        <v>41420</v>
      </c>
      <c r="B780" t="str">
        <f>MID(TB_CECO[[#This Row],[TRABAJO]],1,SEARCH(",",TB_CECO[[#This Row],[TRABAJO]],1)-1)</f>
        <v>SNV 150-NE CH 150</v>
      </c>
      <c r="C7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150,EXTRACCION      </v>
      </c>
      <c r="D7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80" s="47" t="s">
        <v>1522</v>
      </c>
      <c r="G780" t="s">
        <v>1523</v>
      </c>
      <c r="H7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81" spans="1:8" ht="15" customHeight="1" x14ac:dyDescent="0.25">
      <c r="A781" t="str">
        <f>MID(TB_CECO[[#This Row],[CECO_T]],1,5)</f>
        <v>41420</v>
      </c>
      <c r="B781" t="str">
        <f>MID(TB_CECO[[#This Row],[TRABAJO]],1,SEARCH(",",TB_CECO[[#This Row],[TRABAJO]],1)-1)</f>
        <v>SNV 150-NE CH 150</v>
      </c>
      <c r="C7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150,SPLIT SET       </v>
      </c>
      <c r="D7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81" s="47" t="s">
        <v>1524</v>
      </c>
      <c r="G781" t="s">
        <v>1525</v>
      </c>
      <c r="H7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82" spans="1:8" ht="15" customHeight="1" x14ac:dyDescent="0.25">
      <c r="A782" t="str">
        <f>MID(TB_CECO[[#This Row],[CECO_T]],1,5)</f>
        <v>41420</v>
      </c>
      <c r="B782" t="str">
        <f>MID(TB_CECO[[#This Row],[TRABAJO]],1,SEARCH(",",TB_CECO[[#This Row],[TRABAJO]],1)-1)</f>
        <v>SNV 150-NE CH 150</v>
      </c>
      <c r="C7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150,SPLIT CON MALLA </v>
      </c>
      <c r="D7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82" s="47" t="s">
        <v>1526</v>
      </c>
      <c r="G782" t="s">
        <v>1527</v>
      </c>
      <c r="H7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83" spans="1:8" ht="15" customHeight="1" x14ac:dyDescent="0.25">
      <c r="A783" t="str">
        <f>MID(TB_CECO[[#This Row],[CECO_T]],1,5)</f>
        <v>41420</v>
      </c>
      <c r="B783" t="str">
        <f>MID(TB_CECO[[#This Row],[TRABAJO]],1,SEARCH(",",TB_CECO[[#This Row],[TRABAJO]],1)-1)</f>
        <v>SNV 150-NE CH 150</v>
      </c>
      <c r="C7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150-NE CH 150,IZAJE Y DESCENSO</v>
      </c>
      <c r="D7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83" s="47" t="s">
        <v>1528</v>
      </c>
      <c r="G783" t="s">
        <v>1529</v>
      </c>
      <c r="H7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84" spans="1:8" ht="15" customHeight="1" x14ac:dyDescent="0.25">
      <c r="A784" t="str">
        <f>MID(TB_CECO[[#This Row],[CECO_T]],1,5)</f>
        <v>41420</v>
      </c>
      <c r="B784" t="str">
        <f>MID(TB_CECO[[#This Row],[TRABAJO]],1,SEARCH(",",TB_CECO[[#This Row],[TRABAJO]],1)-1)</f>
        <v>SNV 150-NE CH 150</v>
      </c>
      <c r="C7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150,PERFORACION     </v>
      </c>
      <c r="D7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84" s="47" t="s">
        <v>1530</v>
      </c>
      <c r="G784" t="s">
        <v>1531</v>
      </c>
      <c r="H7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85" spans="1:8" ht="15" customHeight="1" x14ac:dyDescent="0.25">
      <c r="A785" t="str">
        <f>MID(TB_CECO[[#This Row],[CECO_T]],1,5)</f>
        <v>41421</v>
      </c>
      <c r="B785" t="str">
        <f>MID(TB_CECO[[#This Row],[TRABAJO]],1,SEARCH(",",TB_CECO[[#This Row],[TRABAJO]],1)-1)</f>
        <v>SNv 170 NE CX 128 NE</v>
      </c>
      <c r="C7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170 NE CX 128 NE,DESQUINCHE   </v>
      </c>
      <c r="D7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85" s="47" t="s">
        <v>1532</v>
      </c>
      <c r="G785" t="s">
        <v>1533</v>
      </c>
      <c r="H7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86" spans="1:8" ht="15" customHeight="1" x14ac:dyDescent="0.25">
      <c r="A786" t="str">
        <f>MID(TB_CECO[[#This Row],[CECO_T]],1,5)</f>
        <v>41421</v>
      </c>
      <c r="B786" t="str">
        <f>MID(TB_CECO[[#This Row],[TRABAJO]],1,SEARCH(",",TB_CECO[[#This Row],[TRABAJO]],1)-1)</f>
        <v>SNv 170 NE CX 128 NE</v>
      </c>
      <c r="C7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170 NE CX 128 NE,ENMADERADO   </v>
      </c>
      <c r="D7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86" s="47" t="s">
        <v>1534</v>
      </c>
      <c r="G786" t="s">
        <v>1535</v>
      </c>
      <c r="H7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87" spans="1:8" ht="15" customHeight="1" x14ac:dyDescent="0.25">
      <c r="A787" t="str">
        <f>MID(TB_CECO[[#This Row],[CECO_T]],1,5)</f>
        <v>41421</v>
      </c>
      <c r="B787" t="str">
        <f>MID(TB_CECO[[#This Row],[TRABAJO]],1,SEARCH(",",TB_CECO[[#This Row],[TRABAJO]],1)-1)</f>
        <v>SNv 170 NE CX 128 NE</v>
      </c>
      <c r="C7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170 NE CX 128 NE,LIMPIEZA     </v>
      </c>
      <c r="D7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87" s="47" t="s">
        <v>1536</v>
      </c>
      <c r="G787" t="s">
        <v>1537</v>
      </c>
      <c r="H7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88" spans="1:8" ht="15" customHeight="1" x14ac:dyDescent="0.25">
      <c r="A788" t="str">
        <f>MID(TB_CECO[[#This Row],[CECO_T]],1,5)</f>
        <v>41421</v>
      </c>
      <c r="B788" t="str">
        <f>MID(TB_CECO[[#This Row],[TRABAJO]],1,SEARCH(",",TB_CECO[[#This Row],[TRABAJO]],1)-1)</f>
        <v>SNv 170 NE CX 128 NE</v>
      </c>
      <c r="C7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170 NE CX 128 NE,SERVICIOS    </v>
      </c>
      <c r="D7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88" s="47" t="s">
        <v>1538</v>
      </c>
      <c r="G788" t="s">
        <v>1539</v>
      </c>
      <c r="H7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89" spans="1:8" ht="15" customHeight="1" x14ac:dyDescent="0.25">
      <c r="A789" t="str">
        <f>MID(TB_CECO[[#This Row],[CECO_T]],1,5)</f>
        <v>41421</v>
      </c>
      <c r="B789" t="str">
        <f>MID(TB_CECO[[#This Row],[TRABAJO]],1,SEARCH(",",TB_CECO[[#This Row],[TRABAJO]],1)-1)</f>
        <v>SNv 170 NE CX 128 NE</v>
      </c>
      <c r="C7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170 NE CX 128 NE,EXTRACCION   </v>
      </c>
      <c r="D7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89" s="47" t="s">
        <v>1540</v>
      </c>
      <c r="G789" t="s">
        <v>1541</v>
      </c>
      <c r="H7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90" spans="1:8" ht="15" customHeight="1" x14ac:dyDescent="0.25">
      <c r="A790" t="str">
        <f>MID(TB_CECO[[#This Row],[CECO_T]],1,5)</f>
        <v>41421</v>
      </c>
      <c r="B790" t="str">
        <f>MID(TB_CECO[[#This Row],[TRABAJO]],1,SEARCH(",",TB_CECO[[#This Row],[TRABAJO]],1)-1)</f>
        <v>SNv 170 NE CX 128 NE</v>
      </c>
      <c r="C7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170 NE CX 128 NE,SPLIT SET    </v>
      </c>
      <c r="D7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90" s="47" t="s">
        <v>1542</v>
      </c>
      <c r="G790" t="s">
        <v>1543</v>
      </c>
      <c r="H7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91" spans="1:8" ht="15" customHeight="1" x14ac:dyDescent="0.25">
      <c r="A791" t="str">
        <f>MID(TB_CECO[[#This Row],[CECO_T]],1,5)</f>
        <v>41421</v>
      </c>
      <c r="B791" t="str">
        <f>MID(TB_CECO[[#This Row],[TRABAJO]],1,SEARCH(",",TB_CECO[[#This Row],[TRABAJO]],1)-1)</f>
        <v>SNv 170 NE CX 128 NE</v>
      </c>
      <c r="C7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170 NE CX 128 NE,SPLIT CON MAL</v>
      </c>
      <c r="D7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91" s="47" t="s">
        <v>1544</v>
      </c>
      <c r="G791" t="s">
        <v>1545</v>
      </c>
      <c r="H7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92" spans="1:8" ht="15" customHeight="1" x14ac:dyDescent="0.25">
      <c r="A792" t="str">
        <f>MID(TB_CECO[[#This Row],[CECO_T]],1,5)</f>
        <v>41421</v>
      </c>
      <c r="B792" t="str">
        <f>MID(TB_CECO[[#This Row],[TRABAJO]],1,SEARCH(",",TB_CECO[[#This Row],[TRABAJO]],1)-1)</f>
        <v>SNv 170 NE CX 128 NE</v>
      </c>
      <c r="C7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170 NE CX 128 NE,IZAJE Y DESCE</v>
      </c>
      <c r="D7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92" s="47" t="s">
        <v>1546</v>
      </c>
      <c r="G792" t="s">
        <v>1547</v>
      </c>
      <c r="H7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93" spans="1:8" ht="15" customHeight="1" x14ac:dyDescent="0.25">
      <c r="A793" t="str">
        <f>MID(TB_CECO[[#This Row],[CECO_T]],1,5)</f>
        <v>41421</v>
      </c>
      <c r="B793" t="str">
        <f>MID(TB_CECO[[#This Row],[TRABAJO]],1,SEARCH(",",TB_CECO[[#This Row],[TRABAJO]],1)-1)</f>
        <v>SNv 170 NE CX 128 NE</v>
      </c>
      <c r="C7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170 NE CX 128 NE,PERFORACION  </v>
      </c>
      <c r="D7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93" s="47" t="s">
        <v>1548</v>
      </c>
      <c r="G793" t="s">
        <v>1549</v>
      </c>
      <c r="H7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94" spans="1:8" ht="15" customHeight="1" x14ac:dyDescent="0.25">
      <c r="A794" t="str">
        <f>MID(TB_CECO[[#This Row],[CECO_T]],1,5)</f>
        <v>41514</v>
      </c>
      <c r="B794" t="str">
        <f>MID(TB_CECO[[#This Row],[TRABAJO]],1,SEARCH(",",TB_CECO[[#This Row],[TRABAJO]],1)-1)</f>
        <v>Est. 170 SE Gal 170 SW</v>
      </c>
      <c r="C7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170 SE Gal 170 SW,DESQUINCHE </v>
      </c>
      <c r="D7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94" s="47" t="s">
        <v>1550</v>
      </c>
      <c r="G794" t="s">
        <v>1551</v>
      </c>
      <c r="H7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95" spans="1:8" ht="15" customHeight="1" x14ac:dyDescent="0.25">
      <c r="A795" t="str">
        <f>MID(TB_CECO[[#This Row],[CECO_T]],1,5)</f>
        <v>41514</v>
      </c>
      <c r="B795" t="str">
        <f>MID(TB_CECO[[#This Row],[TRABAJO]],1,SEARCH(",",TB_CECO[[#This Row],[TRABAJO]],1)-1)</f>
        <v>Est. 170 SE Gal 170 SW</v>
      </c>
      <c r="C7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170 SE Gal 170 SW,ENMADERADO </v>
      </c>
      <c r="D7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95" s="47" t="s">
        <v>1552</v>
      </c>
      <c r="G795" t="s">
        <v>1553</v>
      </c>
      <c r="H7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96" spans="1:8" ht="15" customHeight="1" x14ac:dyDescent="0.25">
      <c r="A796" t="str">
        <f>MID(TB_CECO[[#This Row],[CECO_T]],1,5)</f>
        <v>41514</v>
      </c>
      <c r="B796" t="str">
        <f>MID(TB_CECO[[#This Row],[TRABAJO]],1,SEARCH(",",TB_CECO[[#This Row],[TRABAJO]],1)-1)</f>
        <v>Est. 170 SE Gal 170 SW</v>
      </c>
      <c r="C7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170 SE Gal 170 SW,LIMPIEZA   </v>
      </c>
      <c r="D7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96" s="47" t="s">
        <v>1554</v>
      </c>
      <c r="G796" t="s">
        <v>1555</v>
      </c>
      <c r="H7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97" spans="1:8" ht="15" customHeight="1" x14ac:dyDescent="0.25">
      <c r="A797" t="str">
        <f>MID(TB_CECO[[#This Row],[CECO_T]],1,5)</f>
        <v>41514</v>
      </c>
      <c r="B797" t="str">
        <f>MID(TB_CECO[[#This Row],[TRABAJO]],1,SEARCH(",",TB_CECO[[#This Row],[TRABAJO]],1)-1)</f>
        <v>Est. 170 SE Gal 170 SW</v>
      </c>
      <c r="C7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170 SE Gal 170 SW,SERVICIOS  </v>
      </c>
      <c r="D7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97" s="47" t="s">
        <v>1556</v>
      </c>
      <c r="G797" t="s">
        <v>1557</v>
      </c>
      <c r="H7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98" spans="1:8" ht="15" customHeight="1" x14ac:dyDescent="0.25">
      <c r="A798" t="str">
        <f>MID(TB_CECO[[#This Row],[CECO_T]],1,5)</f>
        <v>41514</v>
      </c>
      <c r="B798" t="str">
        <f>MID(TB_CECO[[#This Row],[TRABAJO]],1,SEARCH(",",TB_CECO[[#This Row],[TRABAJO]],1)-1)</f>
        <v>Est. 170 SE Gal 170 SW</v>
      </c>
      <c r="C7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170 SE Gal 170 SW,EXTRACCION </v>
      </c>
      <c r="D7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98" s="47" t="s">
        <v>1558</v>
      </c>
      <c r="G798" t="s">
        <v>1559</v>
      </c>
      <c r="H7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799" spans="1:8" ht="15" customHeight="1" x14ac:dyDescent="0.25">
      <c r="A799" t="str">
        <f>MID(TB_CECO[[#This Row],[CECO_T]],1,5)</f>
        <v>41514</v>
      </c>
      <c r="B799" t="str">
        <f>MID(TB_CECO[[#This Row],[TRABAJO]],1,SEARCH(",",TB_CECO[[#This Row],[TRABAJO]],1)-1)</f>
        <v>Est. 170 SE Gal 170 SW</v>
      </c>
      <c r="C7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170 SE Gal 170 SW,SPLIT SET  </v>
      </c>
      <c r="D7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7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799" s="47" t="s">
        <v>1560</v>
      </c>
      <c r="G799" t="s">
        <v>1561</v>
      </c>
      <c r="H7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00" spans="1:8" ht="15" customHeight="1" x14ac:dyDescent="0.25">
      <c r="A800" t="str">
        <f>MID(TB_CECO[[#This Row],[CECO_T]],1,5)</f>
        <v>41514</v>
      </c>
      <c r="B800" t="str">
        <f>MID(TB_CECO[[#This Row],[TRABAJO]],1,SEARCH(",",TB_CECO[[#This Row],[TRABAJO]],1)-1)</f>
        <v>Est. 170 SE Gal 170 SW</v>
      </c>
      <c r="C8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170 SE Gal 170 SW,SPLIT CON M</v>
      </c>
      <c r="D8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00" s="47" t="s">
        <v>1562</v>
      </c>
      <c r="G800" t="s">
        <v>1563</v>
      </c>
      <c r="H8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01" spans="1:8" ht="15" customHeight="1" x14ac:dyDescent="0.25">
      <c r="A801" t="str">
        <f>MID(TB_CECO[[#This Row],[CECO_T]],1,5)</f>
        <v>41514</v>
      </c>
      <c r="B801" t="str">
        <f>MID(TB_CECO[[#This Row],[TRABAJO]],1,SEARCH(",",TB_CECO[[#This Row],[TRABAJO]],1)-1)</f>
        <v>Est.170 SE Gal 170 SW</v>
      </c>
      <c r="C8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Est.170 SE Gal 170 SW,IZAJE Y DESC</v>
      </c>
      <c r="D8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01" s="47" t="s">
        <v>1564</v>
      </c>
      <c r="G801" t="s">
        <v>1565</v>
      </c>
      <c r="H8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02" spans="1:8" ht="15" customHeight="1" x14ac:dyDescent="0.25">
      <c r="A802" t="str">
        <f>MID(TB_CECO[[#This Row],[CECO_T]],1,5)</f>
        <v>41514</v>
      </c>
      <c r="B802" t="str">
        <f>MID(TB_CECO[[#This Row],[TRABAJO]],1,SEARCH(",",TB_CECO[[#This Row],[TRABAJO]],1)-1)</f>
        <v>Est. 170 SE Gal 170 SW</v>
      </c>
      <c r="C8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170 SE Gal 170 SW,PERFORACION</v>
      </c>
      <c r="D8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02" s="47" t="s">
        <v>1566</v>
      </c>
      <c r="G802" t="s">
        <v>1567</v>
      </c>
      <c r="H8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03" spans="1:8" ht="15" customHeight="1" x14ac:dyDescent="0.25">
      <c r="A803" t="str">
        <f>MID(TB_CECO[[#This Row],[CECO_T]],1,5)</f>
        <v>41515</v>
      </c>
      <c r="B803" t="str">
        <f>MID(TB_CECO[[#This Row],[TRABAJO]],1,SEARCH(",",TB_CECO[[#This Row],[TRABAJO]],1)-1)</f>
        <v>Est. 074 SE Gal 170 SW</v>
      </c>
      <c r="C8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074 SE Gal 170 SW,DESQUINCHE </v>
      </c>
      <c r="D8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03" s="47" t="s">
        <v>1568</v>
      </c>
      <c r="G803" t="s">
        <v>1569</v>
      </c>
      <c r="H8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04" spans="1:8" ht="15" customHeight="1" x14ac:dyDescent="0.25">
      <c r="A804" t="str">
        <f>MID(TB_CECO[[#This Row],[CECO_T]],1,5)</f>
        <v>41515</v>
      </c>
      <c r="B804" t="str">
        <f>MID(TB_CECO[[#This Row],[TRABAJO]],1,SEARCH(",",TB_CECO[[#This Row],[TRABAJO]],1)-1)</f>
        <v>Est. 074 SE Gal 170 SW</v>
      </c>
      <c r="C8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074 SE Gal 170 SW,ENMADERADO </v>
      </c>
      <c r="D8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04" s="47" t="s">
        <v>1570</v>
      </c>
      <c r="G804" t="s">
        <v>1571</v>
      </c>
      <c r="H8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05" spans="1:8" ht="15" customHeight="1" x14ac:dyDescent="0.25">
      <c r="A805" t="str">
        <f>MID(TB_CECO[[#This Row],[CECO_T]],1,5)</f>
        <v>41515</v>
      </c>
      <c r="B805" t="str">
        <f>MID(TB_CECO[[#This Row],[TRABAJO]],1,SEARCH(",",TB_CECO[[#This Row],[TRABAJO]],1)-1)</f>
        <v>Est. 074 SE Gal 170 SW</v>
      </c>
      <c r="C8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074 SE Gal 170 SW,LIMPIEZA   </v>
      </c>
      <c r="D8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05" s="47" t="s">
        <v>1572</v>
      </c>
      <c r="G805" t="s">
        <v>1573</v>
      </c>
      <c r="H8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06" spans="1:8" ht="15" customHeight="1" x14ac:dyDescent="0.25">
      <c r="A806" t="str">
        <f>MID(TB_CECO[[#This Row],[CECO_T]],1,5)</f>
        <v>41515</v>
      </c>
      <c r="B806" t="str">
        <f>MID(TB_CECO[[#This Row],[TRABAJO]],1,SEARCH(",",TB_CECO[[#This Row],[TRABAJO]],1)-1)</f>
        <v>Est. 074 SE Gal 170 SW</v>
      </c>
      <c r="C8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074 SE Gal 170 SW,SERVICIOS  </v>
      </c>
      <c r="D8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06" s="47" t="s">
        <v>1574</v>
      </c>
      <c r="G806" t="s">
        <v>1575</v>
      </c>
      <c r="H8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07" spans="1:8" ht="15" customHeight="1" x14ac:dyDescent="0.25">
      <c r="A807" t="str">
        <f>MID(TB_CECO[[#This Row],[CECO_T]],1,5)</f>
        <v>41515</v>
      </c>
      <c r="B807" t="str">
        <f>MID(TB_CECO[[#This Row],[TRABAJO]],1,SEARCH(",",TB_CECO[[#This Row],[TRABAJO]],1)-1)</f>
        <v>Est. 074 SE Gal 170 SW</v>
      </c>
      <c r="C8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074 SE Gal 170 SW,EXTRACCION </v>
      </c>
      <c r="D8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07" s="47" t="s">
        <v>1576</v>
      </c>
      <c r="G807" t="s">
        <v>1577</v>
      </c>
      <c r="H8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08" spans="1:8" ht="15" customHeight="1" x14ac:dyDescent="0.25">
      <c r="A808" t="str">
        <f>MID(TB_CECO[[#This Row],[CECO_T]],1,5)</f>
        <v>41515</v>
      </c>
      <c r="B808" t="str">
        <f>MID(TB_CECO[[#This Row],[TRABAJO]],1,SEARCH(",",TB_CECO[[#This Row],[TRABAJO]],1)-1)</f>
        <v>Est. 074 SE Gal 170 SW</v>
      </c>
      <c r="C8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074 SE Gal 170 SW,SPLIT SET  </v>
      </c>
      <c r="D8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08" s="47" t="s">
        <v>1578</v>
      </c>
      <c r="G808" t="s">
        <v>1579</v>
      </c>
      <c r="H8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09" spans="1:8" ht="15" customHeight="1" x14ac:dyDescent="0.25">
      <c r="A809" t="str">
        <f>MID(TB_CECO[[#This Row],[CECO_T]],1,5)</f>
        <v>41515</v>
      </c>
      <c r="B809" t="str">
        <f>MID(TB_CECO[[#This Row],[TRABAJO]],1,SEARCH(",",TB_CECO[[#This Row],[TRABAJO]],1)-1)</f>
        <v>Est. 074 SE Gal 170 SW</v>
      </c>
      <c r="C8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074 SE Gal 170 SW,SPLIT CON M</v>
      </c>
      <c r="D8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09" s="47" t="s">
        <v>1580</v>
      </c>
      <c r="G809" t="s">
        <v>1581</v>
      </c>
      <c r="H8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10" spans="1:8" ht="15" customHeight="1" x14ac:dyDescent="0.25">
      <c r="A810" t="str">
        <f>MID(TB_CECO[[#This Row],[CECO_T]],1,5)</f>
        <v>41515</v>
      </c>
      <c r="B810" t="str">
        <f>MID(TB_CECO[[#This Row],[TRABAJO]],1,SEARCH(",",TB_CECO[[#This Row],[TRABAJO]],1)-1)</f>
        <v>Est. 074 SE Gal 170 SW</v>
      </c>
      <c r="C8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074 SE Gal 170 SW,IZAJE Y DES</v>
      </c>
      <c r="D8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10" s="47" t="s">
        <v>1582</v>
      </c>
      <c r="G810" t="s">
        <v>1583</v>
      </c>
      <c r="H8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11" spans="1:8" ht="15" customHeight="1" x14ac:dyDescent="0.25">
      <c r="A811" t="str">
        <f>MID(TB_CECO[[#This Row],[CECO_T]],1,5)</f>
        <v>41515</v>
      </c>
      <c r="B811" t="str">
        <f>MID(TB_CECO[[#This Row],[TRABAJO]],1,SEARCH(",",TB_CECO[[#This Row],[TRABAJO]],1)-1)</f>
        <v>Est. 074 SE Gal 170 SW</v>
      </c>
      <c r="C8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074 SE Gal 170 SW,PERFORACION</v>
      </c>
      <c r="D8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11" s="47" t="s">
        <v>1584</v>
      </c>
      <c r="G811" t="s">
        <v>1585</v>
      </c>
      <c r="H8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12" spans="1:8" ht="15" customHeight="1" x14ac:dyDescent="0.25">
      <c r="A812" t="str">
        <f>MID(TB_CECO[[#This Row],[CECO_T]],1,5)</f>
        <v>41516</v>
      </c>
      <c r="B812" t="str">
        <f>MID(TB_CECO[[#This Row],[TRABAJO]],1,SEARCH(",",TB_CECO[[#This Row],[TRABAJO]],1)-1)</f>
        <v>Est 125 N Gal 170 sw</v>
      </c>
      <c r="C8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125 N Gal 170 sw,DESQUINCHE   </v>
      </c>
      <c r="D8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12" s="47" t="s">
        <v>1586</v>
      </c>
      <c r="G812" t="s">
        <v>1587</v>
      </c>
      <c r="H8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13" spans="1:8" ht="15" customHeight="1" x14ac:dyDescent="0.25">
      <c r="A813" t="str">
        <f>MID(TB_CECO[[#This Row],[CECO_T]],1,5)</f>
        <v>41516</v>
      </c>
      <c r="B813" t="str">
        <f>MID(TB_CECO[[#This Row],[TRABAJO]],1,SEARCH(",",TB_CECO[[#This Row],[TRABAJO]],1)-1)</f>
        <v>Est 125 N Gal 170 sw</v>
      </c>
      <c r="C8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125 N Gal 170 sw,ENMADERADO   </v>
      </c>
      <c r="D8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13" s="47" t="s">
        <v>1588</v>
      </c>
      <c r="G813" t="s">
        <v>1589</v>
      </c>
      <c r="H8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14" spans="1:8" ht="15" customHeight="1" x14ac:dyDescent="0.25">
      <c r="A814" t="str">
        <f>MID(TB_CECO[[#This Row],[CECO_T]],1,5)</f>
        <v>41516</v>
      </c>
      <c r="B814" t="str">
        <f>MID(TB_CECO[[#This Row],[TRABAJO]],1,SEARCH(",",TB_CECO[[#This Row],[TRABAJO]],1)-1)</f>
        <v>Est 125 N Gal 170 sw</v>
      </c>
      <c r="C8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125 N Gal 170 sw,LIMPIEZA     </v>
      </c>
      <c r="D8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14" s="47" t="s">
        <v>1590</v>
      </c>
      <c r="G814" t="s">
        <v>1591</v>
      </c>
      <c r="H8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15" spans="1:8" ht="15" customHeight="1" x14ac:dyDescent="0.25">
      <c r="A815" t="str">
        <f>MID(TB_CECO[[#This Row],[CECO_T]],1,5)</f>
        <v>41516</v>
      </c>
      <c r="B815" t="str">
        <f>MID(TB_CECO[[#This Row],[TRABAJO]],1,SEARCH(",",TB_CECO[[#This Row],[TRABAJO]],1)-1)</f>
        <v>Est 125 N Gal 170 sw</v>
      </c>
      <c r="C8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125 N Gal 170 sw,SERVICIOS    </v>
      </c>
      <c r="D8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15" s="47" t="s">
        <v>1592</v>
      </c>
      <c r="G815" t="s">
        <v>1593</v>
      </c>
      <c r="H8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16" spans="1:8" ht="15" customHeight="1" x14ac:dyDescent="0.25">
      <c r="A816" t="str">
        <f>MID(TB_CECO[[#This Row],[CECO_T]],1,5)</f>
        <v>41516</v>
      </c>
      <c r="B816" t="str">
        <f>MID(TB_CECO[[#This Row],[TRABAJO]],1,SEARCH(",",TB_CECO[[#This Row],[TRABAJO]],1)-1)</f>
        <v>Est 125 N Gal 170 sw</v>
      </c>
      <c r="C8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125 N Gal 170 sw,EXTRACCION   </v>
      </c>
      <c r="D8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16" s="47" t="s">
        <v>1594</v>
      </c>
      <c r="G816" t="s">
        <v>1595</v>
      </c>
      <c r="H8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17" spans="1:8" ht="15" customHeight="1" x14ac:dyDescent="0.25">
      <c r="A817" t="str">
        <f>MID(TB_CECO[[#This Row],[CECO_T]],1,5)</f>
        <v>41516</v>
      </c>
      <c r="B817" t="str">
        <f>MID(TB_CECO[[#This Row],[TRABAJO]],1,SEARCH(",",TB_CECO[[#This Row],[TRABAJO]],1)-1)</f>
        <v>Est 125 N Gal 170 sw</v>
      </c>
      <c r="C8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125 N Gal 170 sw,SPLIT SET    </v>
      </c>
      <c r="D8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17" s="47" t="s">
        <v>1596</v>
      </c>
      <c r="G817" t="s">
        <v>1597</v>
      </c>
      <c r="H8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18" spans="1:8" ht="15" customHeight="1" x14ac:dyDescent="0.25">
      <c r="A818" t="str">
        <f>MID(TB_CECO[[#This Row],[CECO_T]],1,5)</f>
        <v>41516</v>
      </c>
      <c r="B818" t="str">
        <f>MID(TB_CECO[[#This Row],[TRABAJO]],1,SEARCH(",",TB_CECO[[#This Row],[TRABAJO]],1)-1)</f>
        <v>Est 125 N Gal 170 sw</v>
      </c>
      <c r="C8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125 N Gal 170 sw,SPLIT CON MAL</v>
      </c>
      <c r="D8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18" s="47" t="s">
        <v>1598</v>
      </c>
      <c r="G818" t="s">
        <v>1599</v>
      </c>
      <c r="H8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19" spans="1:8" ht="15" customHeight="1" x14ac:dyDescent="0.25">
      <c r="A819" t="str">
        <f>MID(TB_CECO[[#This Row],[CECO_T]],1,5)</f>
        <v>41516</v>
      </c>
      <c r="B819" t="str">
        <f>MID(TB_CECO[[#This Row],[TRABAJO]],1,SEARCH(",",TB_CECO[[#This Row],[TRABAJO]],1)-1)</f>
        <v>Est 125 N Gal 170 sw</v>
      </c>
      <c r="C8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125 N Gal 170 sw,IZAJE Y DESC </v>
      </c>
      <c r="D8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19" s="47" t="s">
        <v>1600</v>
      </c>
      <c r="G819" t="s">
        <v>1601</v>
      </c>
      <c r="H8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20" spans="1:8" ht="15" customHeight="1" x14ac:dyDescent="0.25">
      <c r="A820" t="str">
        <f>MID(TB_CECO[[#This Row],[CECO_T]],1,5)</f>
        <v>41516</v>
      </c>
      <c r="B820" t="str">
        <f>MID(TB_CECO[[#This Row],[TRABAJO]],1,SEARCH(",",TB_CECO[[#This Row],[TRABAJO]],1)-1)</f>
        <v>Est 125 N Gal 170 sw</v>
      </c>
      <c r="C8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125 N Gal 170 sw,PERFORACION  </v>
      </c>
      <c r="D8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820" s="47" t="s">
        <v>1602</v>
      </c>
      <c r="G820" t="s">
        <v>1603</v>
      </c>
      <c r="H8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21" spans="1:8" ht="15" customHeight="1" x14ac:dyDescent="0.25">
      <c r="A821" t="str">
        <f>MID(TB_CECO[[#This Row],[CECO_T]],1,5)</f>
        <v>42208</v>
      </c>
      <c r="B821" t="str">
        <f>MID(TB_CECO[[#This Row],[TRABAJO]],1,SEARCH(",",TB_CECO[[#This Row],[TRABAJO]],1)-1)</f>
        <v>CH 100 GAL 170</v>
      </c>
      <c r="C8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170,DESQUINCHE         </v>
      </c>
      <c r="D8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21" s="47" t="s">
        <v>1604</v>
      </c>
      <c r="G821" t="s">
        <v>1605</v>
      </c>
      <c r="H8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22" spans="1:8" ht="15" customHeight="1" x14ac:dyDescent="0.25">
      <c r="A822" t="str">
        <f>MID(TB_CECO[[#This Row],[CECO_T]],1,5)</f>
        <v>42208</v>
      </c>
      <c r="B822" t="str">
        <f>MID(TB_CECO[[#This Row],[TRABAJO]],1,SEARCH(",",TB_CECO[[#This Row],[TRABAJO]],1)-1)</f>
        <v>CH 100 GAL 170</v>
      </c>
      <c r="C8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170,ENMADERADO         </v>
      </c>
      <c r="D8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22" s="47" t="s">
        <v>1606</v>
      </c>
      <c r="G822" t="s">
        <v>1607</v>
      </c>
      <c r="H8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23" spans="1:8" ht="15" customHeight="1" x14ac:dyDescent="0.25">
      <c r="A823" t="str">
        <f>MID(TB_CECO[[#This Row],[CECO_T]],1,5)</f>
        <v>42208</v>
      </c>
      <c r="B823" t="str">
        <f>MID(TB_CECO[[#This Row],[TRABAJO]],1,SEARCH(",",TB_CECO[[#This Row],[TRABAJO]],1)-1)</f>
        <v>CH 100 GAL 170</v>
      </c>
      <c r="C8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170,LIMPIEZA           </v>
      </c>
      <c r="D8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23" s="47" t="s">
        <v>1608</v>
      </c>
      <c r="G823" t="s">
        <v>1609</v>
      </c>
      <c r="H8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24" spans="1:8" ht="15" customHeight="1" x14ac:dyDescent="0.25">
      <c r="A824" t="str">
        <f>MID(TB_CECO[[#This Row],[CECO_T]],1,5)</f>
        <v>42208</v>
      </c>
      <c r="B824" t="str">
        <f>MID(TB_CECO[[#This Row],[TRABAJO]],1,SEARCH(",",TB_CECO[[#This Row],[TRABAJO]],1)-1)</f>
        <v>CH 100 GAL 170</v>
      </c>
      <c r="C8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170,SERVICIOS          </v>
      </c>
      <c r="D8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24" s="47" t="s">
        <v>1610</v>
      </c>
      <c r="G824" t="s">
        <v>1611</v>
      </c>
      <c r="H8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25" spans="1:8" ht="15" customHeight="1" x14ac:dyDescent="0.25">
      <c r="A825" t="str">
        <f>MID(TB_CECO[[#This Row],[CECO_T]],1,5)</f>
        <v>42208</v>
      </c>
      <c r="B825" t="str">
        <f>MID(TB_CECO[[#This Row],[TRABAJO]],1,SEARCH(",",TB_CECO[[#This Row],[TRABAJO]],1)-1)</f>
        <v>CH 100 GAL 170</v>
      </c>
      <c r="C8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170,EXTRACCION         </v>
      </c>
      <c r="D8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25" s="47" t="s">
        <v>1612</v>
      </c>
      <c r="G825" t="s">
        <v>1613</v>
      </c>
      <c r="H8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26" spans="1:8" ht="15" customHeight="1" x14ac:dyDescent="0.25">
      <c r="A826" t="str">
        <f>MID(TB_CECO[[#This Row],[CECO_T]],1,5)</f>
        <v>42208</v>
      </c>
      <c r="B826" t="str">
        <f>MID(TB_CECO[[#This Row],[TRABAJO]],1,SEARCH(",",TB_CECO[[#This Row],[TRABAJO]],1)-1)</f>
        <v>CH 100 GAL 170</v>
      </c>
      <c r="C8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170,SPLIT SET          </v>
      </c>
      <c r="D8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26" s="47" t="s">
        <v>1614</v>
      </c>
      <c r="G826" t="s">
        <v>1615</v>
      </c>
      <c r="H8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27" spans="1:8" ht="15" customHeight="1" x14ac:dyDescent="0.25">
      <c r="A827" t="str">
        <f>MID(TB_CECO[[#This Row],[CECO_T]],1,5)</f>
        <v>42208</v>
      </c>
      <c r="B827" t="str">
        <f>MID(TB_CECO[[#This Row],[TRABAJO]],1,SEARCH(",",TB_CECO[[#This Row],[TRABAJO]],1)-1)</f>
        <v>CH 100 GAL 170</v>
      </c>
      <c r="C8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170,SPLIT CON MALLA    </v>
      </c>
      <c r="D8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27" s="47" t="s">
        <v>1616</v>
      </c>
      <c r="G827" t="s">
        <v>1617</v>
      </c>
      <c r="H8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28" spans="1:8" ht="15" customHeight="1" x14ac:dyDescent="0.25">
      <c r="A828" t="str">
        <f>MID(TB_CECO[[#This Row],[CECO_T]],1,5)</f>
        <v>42208</v>
      </c>
      <c r="B828" t="str">
        <f>MID(TB_CECO[[#This Row],[TRABAJO]],1,SEARCH(",",TB_CECO[[#This Row],[TRABAJO]],1)-1)</f>
        <v>CH 100 GAL 170</v>
      </c>
      <c r="C8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170,IZAJE Y DESCENSO W </v>
      </c>
      <c r="D8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28" s="47" t="s">
        <v>1618</v>
      </c>
      <c r="G828" t="s">
        <v>1619</v>
      </c>
      <c r="H8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29" spans="1:8" ht="15" customHeight="1" x14ac:dyDescent="0.25">
      <c r="A829" t="str">
        <f>MID(TB_CECO[[#This Row],[CECO_T]],1,5)</f>
        <v>42208</v>
      </c>
      <c r="B829" t="str">
        <f>MID(TB_CECO[[#This Row],[TRABAJO]],1,SEARCH(",",TB_CECO[[#This Row],[TRABAJO]],1)-1)</f>
        <v>CH 100 GAL 170</v>
      </c>
      <c r="C8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170,PERFORACION        </v>
      </c>
      <c r="D8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29" s="47" t="s">
        <v>1620</v>
      </c>
      <c r="G829" t="s">
        <v>1621</v>
      </c>
      <c r="H8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30" spans="1:8" ht="15" customHeight="1" x14ac:dyDescent="0.25">
      <c r="A830" t="str">
        <f>MID(TB_CECO[[#This Row],[CECO_T]],1,5)</f>
        <v>42215</v>
      </c>
      <c r="B830" t="str">
        <f>MID(TB_CECO[[#This Row],[TRABAJO]],1,SEARCH(",",TB_CECO[[#This Row],[TRABAJO]],1)-1)</f>
        <v>CH 120 SNV 120 SW</v>
      </c>
      <c r="C8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SW,DESQUINCHE      </v>
      </c>
      <c r="D8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30" s="47" t="s">
        <v>1622</v>
      </c>
      <c r="G830" t="s">
        <v>1623</v>
      </c>
      <c r="H8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31" spans="1:8" ht="15" customHeight="1" x14ac:dyDescent="0.25">
      <c r="A831" t="str">
        <f>MID(TB_CECO[[#This Row],[CECO_T]],1,5)</f>
        <v>42215</v>
      </c>
      <c r="B831" t="str">
        <f>MID(TB_CECO[[#This Row],[TRABAJO]],1,SEARCH(",",TB_CECO[[#This Row],[TRABAJO]],1)-1)</f>
        <v>CH 120 SNV 120 SW</v>
      </c>
      <c r="C8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SW,ENMADERADO      </v>
      </c>
      <c r="D8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31" s="47" t="s">
        <v>1624</v>
      </c>
      <c r="G831" t="s">
        <v>1625</v>
      </c>
      <c r="H8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32" spans="1:8" ht="15" customHeight="1" x14ac:dyDescent="0.25">
      <c r="A832" t="str">
        <f>MID(TB_CECO[[#This Row],[CECO_T]],1,5)</f>
        <v>42215</v>
      </c>
      <c r="B832" t="str">
        <f>MID(TB_CECO[[#This Row],[TRABAJO]],1,SEARCH(",",TB_CECO[[#This Row],[TRABAJO]],1)-1)</f>
        <v>CH 120 SNV 120 SW</v>
      </c>
      <c r="C8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SW,LIMPIEZA        </v>
      </c>
      <c r="D8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32" s="47" t="s">
        <v>1626</v>
      </c>
      <c r="G832" t="s">
        <v>1627</v>
      </c>
      <c r="H8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33" spans="1:8" ht="15" customHeight="1" x14ac:dyDescent="0.25">
      <c r="A833" t="str">
        <f>MID(TB_CECO[[#This Row],[CECO_T]],1,5)</f>
        <v>42215</v>
      </c>
      <c r="B833" t="str">
        <f>MID(TB_CECO[[#This Row],[TRABAJO]],1,SEARCH(",",TB_CECO[[#This Row],[TRABAJO]],1)-1)</f>
        <v>CH 120 SNV 120 SW</v>
      </c>
      <c r="C8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SW,SERVICIOS       </v>
      </c>
      <c r="D8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33" s="47" t="s">
        <v>1628</v>
      </c>
      <c r="G833" t="s">
        <v>1629</v>
      </c>
      <c r="H8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34" spans="1:8" ht="15" customHeight="1" x14ac:dyDescent="0.25">
      <c r="A834" t="str">
        <f>MID(TB_CECO[[#This Row],[CECO_T]],1,5)</f>
        <v>42215</v>
      </c>
      <c r="B834" t="str">
        <f>MID(TB_CECO[[#This Row],[TRABAJO]],1,SEARCH(",",TB_CECO[[#This Row],[TRABAJO]],1)-1)</f>
        <v>CH 120 SNV 120 SW</v>
      </c>
      <c r="C8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SW,EXTRACCION      </v>
      </c>
      <c r="D8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34" s="47" t="s">
        <v>1630</v>
      </c>
      <c r="G834" t="s">
        <v>1631</v>
      </c>
      <c r="H8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35" spans="1:8" ht="15" customHeight="1" x14ac:dyDescent="0.25">
      <c r="A835" t="str">
        <f>MID(TB_CECO[[#This Row],[CECO_T]],1,5)</f>
        <v>42215</v>
      </c>
      <c r="B835" t="str">
        <f>MID(TB_CECO[[#This Row],[TRABAJO]],1,SEARCH(",",TB_CECO[[#This Row],[TRABAJO]],1)-1)</f>
        <v>CH 120 SNV 120 SW</v>
      </c>
      <c r="C8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SW,SPLIT SET       </v>
      </c>
      <c r="D8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35" s="47" t="s">
        <v>1632</v>
      </c>
      <c r="G835" t="s">
        <v>1633</v>
      </c>
      <c r="H8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36" spans="1:8" ht="15" customHeight="1" x14ac:dyDescent="0.25">
      <c r="A836" t="str">
        <f>MID(TB_CECO[[#This Row],[CECO_T]],1,5)</f>
        <v>42215</v>
      </c>
      <c r="B836" t="str">
        <f>MID(TB_CECO[[#This Row],[TRABAJO]],1,SEARCH(",",TB_CECO[[#This Row],[TRABAJO]],1)-1)</f>
        <v>CH 120 SNV 120 SW</v>
      </c>
      <c r="C8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SW,SPLIT CON MALLA </v>
      </c>
      <c r="D8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36" s="47" t="s">
        <v>1634</v>
      </c>
      <c r="G836" t="s">
        <v>1635</v>
      </c>
      <c r="H8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37" spans="1:8" ht="15" customHeight="1" x14ac:dyDescent="0.25">
      <c r="A837" t="str">
        <f>MID(TB_CECO[[#This Row],[CECO_T]],1,5)</f>
        <v>42215</v>
      </c>
      <c r="B837" t="str">
        <f>MID(TB_CECO[[#This Row],[TRABAJO]],1,SEARCH(",",TB_CECO[[#This Row],[TRABAJO]],1)-1)</f>
        <v>CH 120 SNV 120 SW</v>
      </c>
      <c r="C8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120 SNV 120 SW,IZAJE Y DESCENSO</v>
      </c>
      <c r="D8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37" s="47" t="s">
        <v>1636</v>
      </c>
      <c r="G837" t="s">
        <v>1637</v>
      </c>
      <c r="H8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38" spans="1:8" ht="15" customHeight="1" x14ac:dyDescent="0.25">
      <c r="A838" t="str">
        <f>MID(TB_CECO[[#This Row],[CECO_T]],1,5)</f>
        <v>42215</v>
      </c>
      <c r="B838" t="str">
        <f>MID(TB_CECO[[#This Row],[TRABAJO]],1,SEARCH(",",TB_CECO[[#This Row],[TRABAJO]],1)-1)</f>
        <v>CH 120 SNV 120 SW</v>
      </c>
      <c r="C8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SW,PERFORACION     </v>
      </c>
      <c r="D8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38" s="47" t="s">
        <v>1638</v>
      </c>
      <c r="G838" t="s">
        <v>1639</v>
      </c>
      <c r="H8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39" spans="1:8" ht="15" customHeight="1" x14ac:dyDescent="0.25">
      <c r="A839" t="str">
        <f>MID(TB_CECO[[#This Row],[CECO_T]],1,5)</f>
        <v>42216</v>
      </c>
      <c r="B839" t="str">
        <f>MID(TB_CECO[[#This Row],[TRABAJO]],1,SEARCH(",",TB_CECO[[#This Row],[TRABAJO]],1)-1)</f>
        <v>CH 120 SNV 120 NE</v>
      </c>
      <c r="C8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NE,DESQUINCHE      </v>
      </c>
      <c r="D8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39" s="47" t="s">
        <v>1640</v>
      </c>
      <c r="G839" t="s">
        <v>1641</v>
      </c>
      <c r="H8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40" spans="1:8" ht="15" customHeight="1" x14ac:dyDescent="0.25">
      <c r="A840" t="str">
        <f>MID(TB_CECO[[#This Row],[CECO_T]],1,5)</f>
        <v>42216</v>
      </c>
      <c r="B840" t="str">
        <f>MID(TB_CECO[[#This Row],[TRABAJO]],1,SEARCH(",",TB_CECO[[#This Row],[TRABAJO]],1)-1)</f>
        <v>CH 120 SNV 120 NE</v>
      </c>
      <c r="C8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NE,ENMADERADO      </v>
      </c>
      <c r="D8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40" s="47" t="s">
        <v>1642</v>
      </c>
      <c r="G840" t="s">
        <v>1643</v>
      </c>
      <c r="H8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41" spans="1:8" ht="15" customHeight="1" x14ac:dyDescent="0.25">
      <c r="A841" t="str">
        <f>MID(TB_CECO[[#This Row],[CECO_T]],1,5)</f>
        <v>42216</v>
      </c>
      <c r="B841" t="str">
        <f>MID(TB_CECO[[#This Row],[TRABAJO]],1,SEARCH(",",TB_CECO[[#This Row],[TRABAJO]],1)-1)</f>
        <v>CH 120 SNV 120 NE</v>
      </c>
      <c r="C8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NE,LIMPIEZA        </v>
      </c>
      <c r="D8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41" s="47" t="s">
        <v>1644</v>
      </c>
      <c r="G841" t="s">
        <v>1645</v>
      </c>
      <c r="H8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42" spans="1:8" ht="15" customHeight="1" x14ac:dyDescent="0.25">
      <c r="A842" t="str">
        <f>MID(TB_CECO[[#This Row],[CECO_T]],1,5)</f>
        <v>42216</v>
      </c>
      <c r="B842" t="str">
        <f>MID(TB_CECO[[#This Row],[TRABAJO]],1,SEARCH(",",TB_CECO[[#This Row],[TRABAJO]],1)-1)</f>
        <v>CH 120 SNV 120 NE</v>
      </c>
      <c r="C8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NE,SERVICIOS       </v>
      </c>
      <c r="D8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42" s="47" t="s">
        <v>1646</v>
      </c>
      <c r="G842" t="s">
        <v>1647</v>
      </c>
      <c r="H8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43" spans="1:8" ht="15" customHeight="1" x14ac:dyDescent="0.25">
      <c r="A843" t="str">
        <f>MID(TB_CECO[[#This Row],[CECO_T]],1,5)</f>
        <v>42216</v>
      </c>
      <c r="B843" t="str">
        <f>MID(TB_CECO[[#This Row],[TRABAJO]],1,SEARCH(",",TB_CECO[[#This Row],[TRABAJO]],1)-1)</f>
        <v>CH 120 SNV 120 NE</v>
      </c>
      <c r="C8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NE,EXTRACCION      </v>
      </c>
      <c r="D8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43" s="47" t="s">
        <v>1648</v>
      </c>
      <c r="G843" t="s">
        <v>1649</v>
      </c>
      <c r="H8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44" spans="1:8" ht="15" customHeight="1" x14ac:dyDescent="0.25">
      <c r="A844" t="str">
        <f>MID(TB_CECO[[#This Row],[CECO_T]],1,5)</f>
        <v>42216</v>
      </c>
      <c r="B844" t="str">
        <f>MID(TB_CECO[[#This Row],[TRABAJO]],1,SEARCH(",",TB_CECO[[#This Row],[TRABAJO]],1)-1)</f>
        <v>CH 120 SNV 120 NE</v>
      </c>
      <c r="C8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NE,SPLIT SET       </v>
      </c>
      <c r="D8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44" s="47" t="s">
        <v>1650</v>
      </c>
      <c r="G844" t="s">
        <v>1651</v>
      </c>
      <c r="H8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45" spans="1:8" ht="15" customHeight="1" x14ac:dyDescent="0.25">
      <c r="A845" t="str">
        <f>MID(TB_CECO[[#This Row],[CECO_T]],1,5)</f>
        <v>42216</v>
      </c>
      <c r="B845" t="str">
        <f>MID(TB_CECO[[#This Row],[TRABAJO]],1,SEARCH(",",TB_CECO[[#This Row],[TRABAJO]],1)-1)</f>
        <v>CH 120 SNV 120 NE</v>
      </c>
      <c r="C8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NE,SPLIT CON MALLA </v>
      </c>
      <c r="D8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45" s="47" t="s">
        <v>1652</v>
      </c>
      <c r="G845" t="s">
        <v>1653</v>
      </c>
      <c r="H8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46" spans="1:8" ht="15" customHeight="1" x14ac:dyDescent="0.25">
      <c r="A846" t="str">
        <f>MID(TB_CECO[[#This Row],[CECO_T]],1,5)</f>
        <v>42216</v>
      </c>
      <c r="B846" t="str">
        <f>MID(TB_CECO[[#This Row],[TRABAJO]],1,SEARCH(",",TB_CECO[[#This Row],[TRABAJO]],1)-1)</f>
        <v>CH 120 SNV 120 NE</v>
      </c>
      <c r="C8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120 SNV 120 NE,IZAJE Y DESCENSO</v>
      </c>
      <c r="D8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46" s="47" t="s">
        <v>1654</v>
      </c>
      <c r="G846" t="s">
        <v>1655</v>
      </c>
      <c r="H8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47" spans="1:8" ht="15" customHeight="1" x14ac:dyDescent="0.25">
      <c r="A847" t="str">
        <f>MID(TB_CECO[[#This Row],[CECO_T]],1,5)</f>
        <v>42216</v>
      </c>
      <c r="B847" t="str">
        <f>MID(TB_CECO[[#This Row],[TRABAJO]],1,SEARCH(",",TB_CECO[[#This Row],[TRABAJO]],1)-1)</f>
        <v>CH 120 SNV 120 NE</v>
      </c>
      <c r="C8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NE,PERFORACION     </v>
      </c>
      <c r="D8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47" s="47" t="s">
        <v>1656</v>
      </c>
      <c r="G847" t="s">
        <v>1657</v>
      </c>
      <c r="H8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48" spans="1:8" ht="15" customHeight="1" x14ac:dyDescent="0.25">
      <c r="A848" t="str">
        <f>MID(TB_CECO[[#This Row],[CECO_T]],1,5)</f>
        <v>42408</v>
      </c>
      <c r="B848" t="str">
        <f>MID(TB_CECO[[#This Row],[TRABAJO]],1,SEARCH(",",TB_CECO[[#This Row],[TRABAJO]],1)-1)</f>
        <v xml:space="preserve"> SNV 165 SW CH 100 </v>
      </c>
      <c r="C8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DESQUINCHE</v>
      </c>
      <c r="D8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48" s="47" t="s">
        <v>1658</v>
      </c>
      <c r="G848" t="s">
        <v>1659</v>
      </c>
      <c r="H8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49" spans="1:8" ht="15" customHeight="1" x14ac:dyDescent="0.25">
      <c r="A849" t="str">
        <f>MID(TB_CECO[[#This Row],[CECO_T]],1,5)</f>
        <v>42408</v>
      </c>
      <c r="B849" t="str">
        <f>MID(TB_CECO[[#This Row],[TRABAJO]],1,SEARCH(",",TB_CECO[[#This Row],[TRABAJO]],1)-1)</f>
        <v xml:space="preserve"> SNV 165 SW CH 100 </v>
      </c>
      <c r="C8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ENMADERADO</v>
      </c>
      <c r="D8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49" s="47" t="s">
        <v>1660</v>
      </c>
      <c r="G849" t="s">
        <v>1661</v>
      </c>
      <c r="H8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50" spans="1:8" ht="15" customHeight="1" x14ac:dyDescent="0.25">
      <c r="A850" t="str">
        <f>MID(TB_CECO[[#This Row],[CECO_T]],1,5)</f>
        <v>42408</v>
      </c>
      <c r="B850" t="str">
        <f>MID(TB_CECO[[#This Row],[TRABAJO]],1,SEARCH(",",TB_CECO[[#This Row],[TRABAJO]],1)-1)</f>
        <v xml:space="preserve"> SNV 165 SW CH 100 </v>
      </c>
      <c r="C8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LIMPIEZA  </v>
      </c>
      <c r="D8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50" s="47" t="s">
        <v>1662</v>
      </c>
      <c r="G850" t="s">
        <v>1663</v>
      </c>
      <c r="H8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51" spans="1:8" ht="15" customHeight="1" x14ac:dyDescent="0.25">
      <c r="A851" t="str">
        <f>MID(TB_CECO[[#This Row],[CECO_T]],1,5)</f>
        <v>42408</v>
      </c>
      <c r="B851" t="str">
        <f>MID(TB_CECO[[#This Row],[TRABAJO]],1,SEARCH(",",TB_CECO[[#This Row],[TRABAJO]],1)-1)</f>
        <v xml:space="preserve"> SNV 165 SW CH 100 </v>
      </c>
      <c r="C8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SERVICIOS </v>
      </c>
      <c r="D8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51" s="47" t="s">
        <v>1664</v>
      </c>
      <c r="G851" t="s">
        <v>1665</v>
      </c>
      <c r="H8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52" spans="1:8" ht="15" customHeight="1" x14ac:dyDescent="0.25">
      <c r="A852" t="str">
        <f>MID(TB_CECO[[#This Row],[CECO_T]],1,5)</f>
        <v>42408</v>
      </c>
      <c r="B852" t="str">
        <f>MID(TB_CECO[[#This Row],[TRABAJO]],1,SEARCH(",",TB_CECO[[#This Row],[TRABAJO]],1)-1)</f>
        <v xml:space="preserve"> SNV 165 SW CH 100 </v>
      </c>
      <c r="C8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EXTRACCION</v>
      </c>
      <c r="D8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52" s="47" t="s">
        <v>1666</v>
      </c>
      <c r="G852" t="s">
        <v>1667</v>
      </c>
      <c r="H8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53" spans="1:8" ht="15" customHeight="1" x14ac:dyDescent="0.25">
      <c r="A853" t="str">
        <f>MID(TB_CECO[[#This Row],[CECO_T]],1,5)</f>
        <v>42408</v>
      </c>
      <c r="B853" t="str">
        <f>MID(TB_CECO[[#This Row],[TRABAJO]],1,SEARCH(",",TB_CECO[[#This Row],[TRABAJO]],1)-1)</f>
        <v xml:space="preserve"> SNV 165 SW CH 100 </v>
      </c>
      <c r="C8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split set </v>
      </c>
      <c r="D8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53" s="47" t="s">
        <v>1668</v>
      </c>
      <c r="G853" t="s">
        <v>1669</v>
      </c>
      <c r="H8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54" spans="1:8" ht="15" customHeight="1" x14ac:dyDescent="0.25">
      <c r="A854" t="str">
        <f>MID(TB_CECO[[#This Row],[CECO_T]],1,5)</f>
        <v>42408</v>
      </c>
      <c r="B854" t="str">
        <f>MID(TB_CECO[[#This Row],[TRABAJO]],1,SEARCH(",",TB_CECO[[#This Row],[TRABAJO]],1)-1)</f>
        <v xml:space="preserve"> SNV 165 SW CH 100 </v>
      </c>
      <c r="C8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split con </v>
      </c>
      <c r="D8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54" s="47" t="s">
        <v>1670</v>
      </c>
      <c r="G854" t="s">
        <v>1671</v>
      </c>
      <c r="H8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55" spans="1:8" ht="15" customHeight="1" x14ac:dyDescent="0.25">
      <c r="A855" t="str">
        <f>MID(TB_CECO[[#This Row],[CECO_T]],1,5)</f>
        <v>42408</v>
      </c>
      <c r="B855" t="str">
        <f>MID(TB_CECO[[#This Row],[TRABAJO]],1,SEARCH(",",TB_CECO[[#This Row],[TRABAJO]],1)-1)</f>
        <v xml:space="preserve"> SNV 165 SW CH 100 </v>
      </c>
      <c r="C8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IZAJE Y DE</v>
      </c>
      <c r="D8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55" s="47" t="s">
        <v>1672</v>
      </c>
      <c r="G855" t="s">
        <v>1673</v>
      </c>
      <c r="H8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56" spans="1:8" ht="15" customHeight="1" x14ac:dyDescent="0.25">
      <c r="A856" t="str">
        <f>MID(TB_CECO[[#This Row],[CECO_T]],1,5)</f>
        <v>42408</v>
      </c>
      <c r="B856" t="str">
        <f>MID(TB_CECO[[#This Row],[TRABAJO]],1,SEARCH(",",TB_CECO[[#This Row],[TRABAJO]],1)-1)</f>
        <v xml:space="preserve"> SNV 165 SW CH 100 </v>
      </c>
      <c r="C8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PERFORACIO</v>
      </c>
      <c r="D8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56" s="47" t="s">
        <v>1674</v>
      </c>
      <c r="G856" t="s">
        <v>1675</v>
      </c>
      <c r="H8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57" spans="1:8" ht="15" customHeight="1" x14ac:dyDescent="0.25">
      <c r="A857" t="str">
        <f>MID(TB_CECO[[#This Row],[CECO_T]],1,5)</f>
        <v>42409</v>
      </c>
      <c r="B857" t="str">
        <f>MID(TB_CECO[[#This Row],[TRABAJO]],1,SEARCH(",",TB_CECO[[#This Row],[TRABAJO]],1)-1)</f>
        <v xml:space="preserve"> SNV 165 NE CH 100 </v>
      </c>
      <c r="C8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DESQUINCHE</v>
      </c>
      <c r="D8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57" s="47" t="s">
        <v>1676</v>
      </c>
      <c r="G857" t="s">
        <v>1677</v>
      </c>
      <c r="H8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58" spans="1:8" ht="15" customHeight="1" x14ac:dyDescent="0.25">
      <c r="A858" t="str">
        <f>MID(TB_CECO[[#This Row],[CECO_T]],1,5)</f>
        <v>42409</v>
      </c>
      <c r="B858" t="str">
        <f>MID(TB_CECO[[#This Row],[TRABAJO]],1,SEARCH(",",TB_CECO[[#This Row],[TRABAJO]],1)-1)</f>
        <v xml:space="preserve"> SNV 165 NE CH 100 </v>
      </c>
      <c r="C8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ENMADERADO</v>
      </c>
      <c r="D8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58" s="47" t="s">
        <v>1678</v>
      </c>
      <c r="G858" t="s">
        <v>1679</v>
      </c>
      <c r="H8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59" spans="1:8" ht="15" customHeight="1" x14ac:dyDescent="0.25">
      <c r="A859" t="str">
        <f>MID(TB_CECO[[#This Row],[CECO_T]],1,5)</f>
        <v>42409</v>
      </c>
      <c r="B859" t="str">
        <f>MID(TB_CECO[[#This Row],[TRABAJO]],1,SEARCH(",",TB_CECO[[#This Row],[TRABAJO]],1)-1)</f>
        <v xml:space="preserve"> SNV 165 NE CH 100 </v>
      </c>
      <c r="C8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LIMPIEZA  </v>
      </c>
      <c r="D8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59" s="47" t="s">
        <v>1680</v>
      </c>
      <c r="G859" t="s">
        <v>1681</v>
      </c>
      <c r="H8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60" spans="1:8" ht="15" customHeight="1" x14ac:dyDescent="0.25">
      <c r="A860" t="str">
        <f>MID(TB_CECO[[#This Row],[CECO_T]],1,5)</f>
        <v>42409</v>
      </c>
      <c r="B860" t="str">
        <f>MID(TB_CECO[[#This Row],[TRABAJO]],1,SEARCH(",",TB_CECO[[#This Row],[TRABAJO]],1)-1)</f>
        <v xml:space="preserve"> SNV 165 NE CH 100 </v>
      </c>
      <c r="C8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SERVICIOS </v>
      </c>
      <c r="D8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60" s="47" t="s">
        <v>1682</v>
      </c>
      <c r="G860" t="s">
        <v>1683</v>
      </c>
      <c r="H8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61" spans="1:8" ht="15" customHeight="1" x14ac:dyDescent="0.25">
      <c r="A861" t="str">
        <f>MID(TB_CECO[[#This Row],[CECO_T]],1,5)</f>
        <v>42409</v>
      </c>
      <c r="B861" t="str">
        <f>MID(TB_CECO[[#This Row],[TRABAJO]],1,SEARCH(",",TB_CECO[[#This Row],[TRABAJO]],1)-1)</f>
        <v xml:space="preserve"> SNV 165 NE CH 100 </v>
      </c>
      <c r="C8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EXTRACCION</v>
      </c>
      <c r="D8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61" s="47" t="s">
        <v>1684</v>
      </c>
      <c r="G861" t="s">
        <v>1685</v>
      </c>
      <c r="H8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62" spans="1:8" ht="15" customHeight="1" x14ac:dyDescent="0.25">
      <c r="A862" t="str">
        <f>MID(TB_CECO[[#This Row],[CECO_T]],1,5)</f>
        <v>42409</v>
      </c>
      <c r="B862" t="str">
        <f>MID(TB_CECO[[#This Row],[TRABAJO]],1,SEARCH(",",TB_CECO[[#This Row],[TRABAJO]],1)-1)</f>
        <v xml:space="preserve"> SNV 165 NE CH 100 </v>
      </c>
      <c r="C8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split set </v>
      </c>
      <c r="D8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62" s="47" t="s">
        <v>1686</v>
      </c>
      <c r="G862" t="s">
        <v>1687</v>
      </c>
      <c r="H8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63" spans="1:8" ht="15" customHeight="1" x14ac:dyDescent="0.25">
      <c r="A863" t="str">
        <f>MID(TB_CECO[[#This Row],[CECO_T]],1,5)</f>
        <v>42409</v>
      </c>
      <c r="B863" t="str">
        <f>MID(TB_CECO[[#This Row],[TRABAJO]],1,SEARCH(",",TB_CECO[[#This Row],[TRABAJO]],1)-1)</f>
        <v xml:space="preserve"> SNV 165 NE CH 100 </v>
      </c>
      <c r="C8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split con </v>
      </c>
      <c r="D8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63" s="47" t="s">
        <v>1688</v>
      </c>
      <c r="G863" t="s">
        <v>1689</v>
      </c>
      <c r="H8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64" spans="1:8" ht="15" customHeight="1" x14ac:dyDescent="0.25">
      <c r="A864" t="str">
        <f>MID(TB_CECO[[#This Row],[CECO_T]],1,5)</f>
        <v>42409</v>
      </c>
      <c r="B864" t="str">
        <f>MID(TB_CECO[[#This Row],[TRABAJO]],1,SEARCH(",",TB_CECO[[#This Row],[TRABAJO]],1)-1)</f>
        <v xml:space="preserve"> SNV 165 NE CH 100 </v>
      </c>
      <c r="C8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IZAJE Y DE</v>
      </c>
      <c r="D8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64" s="47" t="s">
        <v>1690</v>
      </c>
      <c r="G864" t="s">
        <v>1691</v>
      </c>
      <c r="H8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65" spans="1:8" ht="15" customHeight="1" x14ac:dyDescent="0.25">
      <c r="A865" t="str">
        <f>MID(TB_CECO[[#This Row],[CECO_T]],1,5)</f>
        <v>42409</v>
      </c>
      <c r="B865" t="str">
        <f>MID(TB_CECO[[#This Row],[TRABAJO]],1,SEARCH(",",TB_CECO[[#This Row],[TRABAJO]],1)-1)</f>
        <v xml:space="preserve"> SNV 165 NE CH 100 </v>
      </c>
      <c r="C8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PERFORACIO</v>
      </c>
      <c r="D8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65" s="47" t="s">
        <v>1692</v>
      </c>
      <c r="G865" t="s">
        <v>1693</v>
      </c>
      <c r="H8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66" spans="1:8" ht="15" customHeight="1" x14ac:dyDescent="0.25">
      <c r="A866" t="str">
        <f>MID(TB_CECO[[#This Row],[CECO_T]],1,5)</f>
        <v>42423</v>
      </c>
      <c r="B866" t="str">
        <f>MID(TB_CECO[[#This Row],[TRABAJO]],1,SEARCH(",",TB_CECO[[#This Row],[TRABAJO]],1)-1)</f>
        <v xml:space="preserve"> SNV 100_1 NE CH 100</v>
      </c>
      <c r="C8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DESQUINCHE </v>
      </c>
      <c r="D8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66" s="47" t="s">
        <v>1694</v>
      </c>
      <c r="G866" t="s">
        <v>1695</v>
      </c>
      <c r="H8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67" spans="1:8" ht="15" customHeight="1" x14ac:dyDescent="0.25">
      <c r="A867" t="str">
        <f>MID(TB_CECO[[#This Row],[CECO_T]],1,5)</f>
        <v>42423</v>
      </c>
      <c r="B867" t="str">
        <f>MID(TB_CECO[[#This Row],[TRABAJO]],1,SEARCH(",",TB_CECO[[#This Row],[TRABAJO]],1)-1)</f>
        <v xml:space="preserve"> SNV 100_1 NE CH 100</v>
      </c>
      <c r="C8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ENMADERADO </v>
      </c>
      <c r="D8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67" s="47" t="s">
        <v>1696</v>
      </c>
      <c r="G867" t="s">
        <v>1697</v>
      </c>
      <c r="H8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68" spans="1:8" ht="15" customHeight="1" x14ac:dyDescent="0.25">
      <c r="A868" t="str">
        <f>MID(TB_CECO[[#This Row],[CECO_T]],1,5)</f>
        <v>42423</v>
      </c>
      <c r="B868" t="str">
        <f>MID(TB_CECO[[#This Row],[TRABAJO]],1,SEARCH(",",TB_CECO[[#This Row],[TRABAJO]],1)-1)</f>
        <v xml:space="preserve"> SNV 100_1 NE CH 100</v>
      </c>
      <c r="C8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LIMPIEZA   </v>
      </c>
      <c r="D8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68" s="47" t="s">
        <v>1698</v>
      </c>
      <c r="G868" t="s">
        <v>1699</v>
      </c>
      <c r="H8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69" spans="1:8" ht="15" customHeight="1" x14ac:dyDescent="0.25">
      <c r="A869" t="str">
        <f>MID(TB_CECO[[#This Row],[CECO_T]],1,5)</f>
        <v>42423</v>
      </c>
      <c r="B869" t="str">
        <f>MID(TB_CECO[[#This Row],[TRABAJO]],1,SEARCH(",",TB_CECO[[#This Row],[TRABAJO]],1)-1)</f>
        <v xml:space="preserve"> SNV 100_1 NE CH 100</v>
      </c>
      <c r="C8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SERVICIOS  </v>
      </c>
      <c r="D8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69" s="47" t="s">
        <v>1700</v>
      </c>
      <c r="G869" t="s">
        <v>1701</v>
      </c>
      <c r="H8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70" spans="1:8" ht="15" customHeight="1" x14ac:dyDescent="0.25">
      <c r="A870" t="str">
        <f>MID(TB_CECO[[#This Row],[CECO_T]],1,5)</f>
        <v>42423</v>
      </c>
      <c r="B870" t="str">
        <f>MID(TB_CECO[[#This Row],[TRABAJO]],1,SEARCH(",",TB_CECO[[#This Row],[TRABAJO]],1)-1)</f>
        <v xml:space="preserve"> SNV 100_1 NE CH 100</v>
      </c>
      <c r="C8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EXTRACCION </v>
      </c>
      <c r="D8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70" s="47" t="s">
        <v>1702</v>
      </c>
      <c r="G870" t="s">
        <v>1703</v>
      </c>
      <c r="H8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71" spans="1:8" ht="15" customHeight="1" x14ac:dyDescent="0.25">
      <c r="A871" t="str">
        <f>MID(TB_CECO[[#This Row],[CECO_T]],1,5)</f>
        <v>42423</v>
      </c>
      <c r="B871" t="str">
        <f>MID(TB_CECO[[#This Row],[TRABAJO]],1,SEARCH(",",TB_CECO[[#This Row],[TRABAJO]],1)-1)</f>
        <v xml:space="preserve"> SNV 100_1 NE CH 100</v>
      </c>
      <c r="C8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SPLIT SET  </v>
      </c>
      <c r="D8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71" s="47" t="s">
        <v>1704</v>
      </c>
      <c r="G871" t="s">
        <v>1705</v>
      </c>
      <c r="H8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72" spans="1:8" ht="15" customHeight="1" x14ac:dyDescent="0.25">
      <c r="A872" t="str">
        <f>MID(TB_CECO[[#This Row],[CECO_T]],1,5)</f>
        <v>42423</v>
      </c>
      <c r="B872" t="str">
        <f>MID(TB_CECO[[#This Row],[TRABAJO]],1,SEARCH(",",TB_CECO[[#This Row],[TRABAJO]],1)-1)</f>
        <v xml:space="preserve"> SNV 100_1 NE CH 100</v>
      </c>
      <c r="C8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SPLIT CON M</v>
      </c>
      <c r="D8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72" s="47" t="s">
        <v>1706</v>
      </c>
      <c r="G872" t="s">
        <v>1707</v>
      </c>
      <c r="H8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73" spans="1:8" ht="15" customHeight="1" x14ac:dyDescent="0.25">
      <c r="A873" t="str">
        <f>MID(TB_CECO[[#This Row],[CECO_T]],1,5)</f>
        <v>42423</v>
      </c>
      <c r="B873" t="str">
        <f>MID(TB_CECO[[#This Row],[TRABAJO]],1,SEARCH(",",TB_CECO[[#This Row],[TRABAJO]],1)-1)</f>
        <v xml:space="preserve"> SNV 100_1 NE CH 100</v>
      </c>
      <c r="C8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IZAJE Y DES</v>
      </c>
      <c r="D8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73" s="47" t="s">
        <v>1708</v>
      </c>
      <c r="G873" t="s">
        <v>1709</v>
      </c>
      <c r="H8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74" spans="1:8" ht="15" customHeight="1" x14ac:dyDescent="0.25">
      <c r="A874" t="str">
        <f>MID(TB_CECO[[#This Row],[CECO_T]],1,5)</f>
        <v>42423</v>
      </c>
      <c r="B874" t="str">
        <f>MID(TB_CECO[[#This Row],[TRABAJO]],1,SEARCH(",",TB_CECO[[#This Row],[TRABAJO]],1)-1)</f>
        <v xml:space="preserve"> SNV 100_1 NE CH 100</v>
      </c>
      <c r="C8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PERFORACION</v>
      </c>
      <c r="D8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74" s="47" t="s">
        <v>1710</v>
      </c>
      <c r="G874" t="s">
        <v>1711</v>
      </c>
      <c r="H8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75" spans="1:8" ht="15" customHeight="1" x14ac:dyDescent="0.25">
      <c r="A875" t="str">
        <f>MID(TB_CECO[[#This Row],[CECO_T]],1,5)</f>
        <v>42424</v>
      </c>
      <c r="B875" t="str">
        <f>MID(TB_CECO[[#This Row],[TRABAJO]],1,SEARCH(",",TB_CECO[[#This Row],[TRABAJO]],1)-1)</f>
        <v xml:space="preserve"> SNV 100_1 SW CH 100</v>
      </c>
      <c r="C8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DESQUINCHE </v>
      </c>
      <c r="D8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75" s="47" t="s">
        <v>1712</v>
      </c>
      <c r="G875" t="s">
        <v>1713</v>
      </c>
      <c r="H8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76" spans="1:8" ht="15" customHeight="1" x14ac:dyDescent="0.25">
      <c r="A876" t="str">
        <f>MID(TB_CECO[[#This Row],[CECO_T]],1,5)</f>
        <v>42424</v>
      </c>
      <c r="B876" t="str">
        <f>MID(TB_CECO[[#This Row],[TRABAJO]],1,SEARCH(",",TB_CECO[[#This Row],[TRABAJO]],1)-1)</f>
        <v xml:space="preserve"> SNV 100_1 SW CH 100</v>
      </c>
      <c r="C8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ENMADERADO </v>
      </c>
      <c r="D8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76" s="47" t="s">
        <v>1714</v>
      </c>
      <c r="G876" t="s">
        <v>1715</v>
      </c>
      <c r="H8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77" spans="1:8" ht="15" customHeight="1" x14ac:dyDescent="0.25">
      <c r="A877" t="str">
        <f>MID(TB_CECO[[#This Row],[CECO_T]],1,5)</f>
        <v>42424</v>
      </c>
      <c r="B877" t="str">
        <f>MID(TB_CECO[[#This Row],[TRABAJO]],1,SEARCH(",",TB_CECO[[#This Row],[TRABAJO]],1)-1)</f>
        <v xml:space="preserve"> SNV 100_1 SW CH 100</v>
      </c>
      <c r="C8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LIMPIEZA   </v>
      </c>
      <c r="D8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77" s="47" t="s">
        <v>1716</v>
      </c>
      <c r="G877" t="s">
        <v>1717</v>
      </c>
      <c r="H8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78" spans="1:8" ht="15" customHeight="1" x14ac:dyDescent="0.25">
      <c r="A878" t="str">
        <f>MID(TB_CECO[[#This Row],[CECO_T]],1,5)</f>
        <v>42424</v>
      </c>
      <c r="B878" t="str">
        <f>MID(TB_CECO[[#This Row],[TRABAJO]],1,SEARCH(",",TB_CECO[[#This Row],[TRABAJO]],1)-1)</f>
        <v xml:space="preserve"> SNV 100_1 SW CH 100</v>
      </c>
      <c r="C8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SERVICIOS  </v>
      </c>
      <c r="D8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78" s="47" t="s">
        <v>1718</v>
      </c>
      <c r="G878" t="s">
        <v>1719</v>
      </c>
      <c r="H8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79" spans="1:8" ht="15" customHeight="1" x14ac:dyDescent="0.25">
      <c r="A879" t="str">
        <f>MID(TB_CECO[[#This Row],[CECO_T]],1,5)</f>
        <v>42424</v>
      </c>
      <c r="B879" t="str">
        <f>MID(TB_CECO[[#This Row],[TRABAJO]],1,SEARCH(",",TB_CECO[[#This Row],[TRABAJO]],1)-1)</f>
        <v xml:space="preserve"> SNV 100_1 SW CH 100</v>
      </c>
      <c r="C8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EXTRACCION </v>
      </c>
      <c r="D8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79" s="47" t="s">
        <v>1720</v>
      </c>
      <c r="G879" t="s">
        <v>1721</v>
      </c>
      <c r="H8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80" spans="1:8" ht="15" customHeight="1" x14ac:dyDescent="0.25">
      <c r="A880" t="str">
        <f>MID(TB_CECO[[#This Row],[CECO_T]],1,5)</f>
        <v>42424</v>
      </c>
      <c r="B880" t="str">
        <f>MID(TB_CECO[[#This Row],[TRABAJO]],1,SEARCH(",",TB_CECO[[#This Row],[TRABAJO]],1)-1)</f>
        <v xml:space="preserve"> SNV 100_1 SW CH 100</v>
      </c>
      <c r="C8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SPLIT SET  </v>
      </c>
      <c r="D8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80" s="47" t="s">
        <v>1722</v>
      </c>
      <c r="G880" t="s">
        <v>1723</v>
      </c>
      <c r="H8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81" spans="1:8" ht="15" customHeight="1" x14ac:dyDescent="0.25">
      <c r="A881" t="str">
        <f>MID(TB_CECO[[#This Row],[CECO_T]],1,5)</f>
        <v>42424</v>
      </c>
      <c r="B881" t="str">
        <f>MID(TB_CECO[[#This Row],[TRABAJO]],1,SEARCH(",",TB_CECO[[#This Row],[TRABAJO]],1)-1)</f>
        <v xml:space="preserve"> SNV 100_1 SW CH 100</v>
      </c>
      <c r="C8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SPLIT CON M</v>
      </c>
      <c r="D8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81" s="47" t="s">
        <v>1724</v>
      </c>
      <c r="G881" t="s">
        <v>1725</v>
      </c>
      <c r="H8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82" spans="1:8" ht="15" customHeight="1" x14ac:dyDescent="0.25">
      <c r="A882" t="str">
        <f>MID(TB_CECO[[#This Row],[CECO_T]],1,5)</f>
        <v>42424</v>
      </c>
      <c r="B882" t="str">
        <f>MID(TB_CECO[[#This Row],[TRABAJO]],1,SEARCH(",",TB_CECO[[#This Row],[TRABAJO]],1)-1)</f>
        <v xml:space="preserve"> SNV 100_1 SW CH 100</v>
      </c>
      <c r="C8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IZAJE Y DES</v>
      </c>
      <c r="D8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82" s="47" t="s">
        <v>1726</v>
      </c>
      <c r="G882" t="s">
        <v>1727</v>
      </c>
      <c r="H8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83" spans="1:8" ht="15" customHeight="1" x14ac:dyDescent="0.25">
      <c r="A883" t="str">
        <f>MID(TB_CECO[[#This Row],[CECO_T]],1,5)</f>
        <v>42424</v>
      </c>
      <c r="B883" t="str">
        <f>MID(TB_CECO[[#This Row],[TRABAJO]],1,SEARCH(",",TB_CECO[[#This Row],[TRABAJO]],1)-1)</f>
        <v xml:space="preserve"> SNV 100_1 SW CH 100</v>
      </c>
      <c r="C8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PERFORACION</v>
      </c>
      <c r="D8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8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883" s="47" t="s">
        <v>1728</v>
      </c>
      <c r="G883" t="s">
        <v>1729</v>
      </c>
      <c r="H8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84" spans="1:8" ht="15" customHeight="1" x14ac:dyDescent="0.25">
      <c r="A884" t="str">
        <f>MID(TB_CECO[[#This Row],[CECO_T]],1,5)</f>
        <v>43210</v>
      </c>
      <c r="B884" t="str">
        <f>MID(TB_CECO[[#This Row],[TRABAJO]],1,SEARCH(",",TB_CECO[[#This Row],[TRABAJO]],1)-1)</f>
        <v>CH 150 GAL 170 SW</v>
      </c>
      <c r="C8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150 GAL 170 SW,DESQUINCHE      </v>
      </c>
      <c r="D8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84" s="47" t="s">
        <v>1730</v>
      </c>
      <c r="G884" t="s">
        <v>1731</v>
      </c>
      <c r="H8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85" spans="1:8" ht="15" customHeight="1" x14ac:dyDescent="0.25">
      <c r="A885" t="str">
        <f>MID(TB_CECO[[#This Row],[CECO_T]],1,5)</f>
        <v>43210</v>
      </c>
      <c r="B885" t="str">
        <f>MID(TB_CECO[[#This Row],[TRABAJO]],1,SEARCH(",",TB_CECO[[#This Row],[TRABAJO]],1)-1)</f>
        <v>CH 150 GAL 170 SW</v>
      </c>
      <c r="C8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150 GAL 170 SW,ENMADERADO      </v>
      </c>
      <c r="D8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85" s="47" t="s">
        <v>1732</v>
      </c>
      <c r="G885" t="s">
        <v>1733</v>
      </c>
      <c r="H8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86" spans="1:8" ht="15" customHeight="1" x14ac:dyDescent="0.25">
      <c r="A886" t="str">
        <f>MID(TB_CECO[[#This Row],[CECO_T]],1,5)</f>
        <v>43210</v>
      </c>
      <c r="B886" t="str">
        <f>MID(TB_CECO[[#This Row],[TRABAJO]],1,SEARCH(",",TB_CECO[[#This Row],[TRABAJO]],1)-1)</f>
        <v>CH 150 GAL 170 SW</v>
      </c>
      <c r="C8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150 GAL 170 SW,LIMPIEZA        </v>
      </c>
      <c r="D8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86" s="47" t="s">
        <v>1734</v>
      </c>
      <c r="G886" t="s">
        <v>1735</v>
      </c>
      <c r="H8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87" spans="1:8" ht="15" customHeight="1" x14ac:dyDescent="0.25">
      <c r="A887" t="str">
        <f>MID(TB_CECO[[#This Row],[CECO_T]],1,5)</f>
        <v>43210</v>
      </c>
      <c r="B887" t="str">
        <f>MID(TB_CECO[[#This Row],[TRABAJO]],1,SEARCH(",",TB_CECO[[#This Row],[TRABAJO]],1)-1)</f>
        <v>CH 150 GAL 170 SW</v>
      </c>
      <c r="C8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150 GAL 170 SW,SERVICIOS       </v>
      </c>
      <c r="D8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87" s="47" t="s">
        <v>1736</v>
      </c>
      <c r="G887" t="s">
        <v>1737</v>
      </c>
      <c r="H8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88" spans="1:8" ht="15" customHeight="1" x14ac:dyDescent="0.25">
      <c r="A888" t="str">
        <f>MID(TB_CECO[[#This Row],[CECO_T]],1,5)</f>
        <v>43210</v>
      </c>
      <c r="B888" t="str">
        <f>MID(TB_CECO[[#This Row],[TRABAJO]],1,SEARCH(",",TB_CECO[[#This Row],[TRABAJO]],1)-1)</f>
        <v>CH 150 GAL 170 SW</v>
      </c>
      <c r="C8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150 GAL 170 SW,EXTRACCION      </v>
      </c>
      <c r="D8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88" s="47" t="s">
        <v>1738</v>
      </c>
      <c r="G888" t="s">
        <v>1739</v>
      </c>
      <c r="H8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89" spans="1:8" ht="15" customHeight="1" x14ac:dyDescent="0.25">
      <c r="A889" t="str">
        <f>MID(TB_CECO[[#This Row],[CECO_T]],1,5)</f>
        <v>43210</v>
      </c>
      <c r="B889" t="str">
        <f>MID(TB_CECO[[#This Row],[TRABAJO]],1,SEARCH(",",TB_CECO[[#This Row],[TRABAJO]],1)-1)</f>
        <v>CH 150 GAL 170 SW</v>
      </c>
      <c r="C8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150 GAL 170 SW,SPLIT SET       </v>
      </c>
      <c r="D8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89" s="47" t="s">
        <v>1740</v>
      </c>
      <c r="G889" t="s">
        <v>1741</v>
      </c>
      <c r="H8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90" spans="1:8" ht="15" customHeight="1" x14ac:dyDescent="0.25">
      <c r="A890" t="str">
        <f>MID(TB_CECO[[#This Row],[CECO_T]],1,5)</f>
        <v>43210</v>
      </c>
      <c r="B890" t="str">
        <f>MID(TB_CECO[[#This Row],[TRABAJO]],1,SEARCH(",",TB_CECO[[#This Row],[TRABAJO]],1)-1)</f>
        <v>CH 150 GAL 170 SW</v>
      </c>
      <c r="C8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150 GAL 170 SW,SPLIT CON MALLA </v>
      </c>
      <c r="D8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90" s="47" t="s">
        <v>1742</v>
      </c>
      <c r="G890" t="s">
        <v>1743</v>
      </c>
      <c r="H8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91" spans="1:8" ht="15" customHeight="1" x14ac:dyDescent="0.25">
      <c r="A891" t="str">
        <f>MID(TB_CECO[[#This Row],[CECO_T]],1,5)</f>
        <v>43210</v>
      </c>
      <c r="B891" t="str">
        <f>MID(TB_CECO[[#This Row],[TRABAJO]],1,SEARCH(",",TB_CECO[[#This Row],[TRABAJO]],1)-1)</f>
        <v>CH 150 GAL 170 SW</v>
      </c>
      <c r="C8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150 GAL 170 SW,IZAJE Y DESCENSO</v>
      </c>
      <c r="D8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91" s="47" t="s">
        <v>1744</v>
      </c>
      <c r="G891" t="s">
        <v>1745</v>
      </c>
      <c r="H8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92" spans="1:8" ht="15" customHeight="1" x14ac:dyDescent="0.25">
      <c r="A892" t="str">
        <f>MID(TB_CECO[[#This Row],[CECO_T]],1,5)</f>
        <v>43210</v>
      </c>
      <c r="B892" t="str">
        <f>MID(TB_CECO[[#This Row],[TRABAJO]],1,SEARCH(",",TB_CECO[[#This Row],[TRABAJO]],1)-1)</f>
        <v>CH 150 GAL 170 SW</v>
      </c>
      <c r="C8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150 GAL 170 SW,PERFORACION     </v>
      </c>
      <c r="D8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92" s="47" t="s">
        <v>1746</v>
      </c>
      <c r="G892" t="s">
        <v>1747</v>
      </c>
      <c r="H8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93" spans="1:8" ht="15" customHeight="1" x14ac:dyDescent="0.25">
      <c r="A893" t="str">
        <f>MID(TB_CECO[[#This Row],[CECO_T]],1,5)</f>
        <v>43213</v>
      </c>
      <c r="B893" t="str">
        <f>MID(TB_CECO[[#This Row],[TRABAJO]],1,SEARCH(",",TB_CECO[[#This Row],[TRABAJO]],1)-1)</f>
        <v>CH 056 GAL 170 SW</v>
      </c>
      <c r="C8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056 GAL 170 SW,DESQUINCHE      </v>
      </c>
      <c r="D8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93" s="47" t="s">
        <v>1748</v>
      </c>
      <c r="G893" t="s">
        <v>1749</v>
      </c>
      <c r="H8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94" spans="1:8" ht="15" customHeight="1" x14ac:dyDescent="0.25">
      <c r="A894" t="str">
        <f>MID(TB_CECO[[#This Row],[CECO_T]],1,5)</f>
        <v>43213</v>
      </c>
      <c r="B894" t="str">
        <f>MID(TB_CECO[[#This Row],[TRABAJO]],1,SEARCH(",",TB_CECO[[#This Row],[TRABAJO]],1)-1)</f>
        <v>CH 056 GAL 170 SW</v>
      </c>
      <c r="C8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056 GAL 170 SW,ENMADERADO      </v>
      </c>
      <c r="D8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94" s="47" t="s">
        <v>1750</v>
      </c>
      <c r="G894" t="s">
        <v>1751</v>
      </c>
      <c r="H8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95" spans="1:8" ht="15" customHeight="1" x14ac:dyDescent="0.25">
      <c r="A895" t="str">
        <f>MID(TB_CECO[[#This Row],[CECO_T]],1,5)</f>
        <v>43213</v>
      </c>
      <c r="B895" t="str">
        <f>MID(TB_CECO[[#This Row],[TRABAJO]],1,SEARCH(",",TB_CECO[[#This Row],[TRABAJO]],1)-1)</f>
        <v>CH 056 GAL 170 SW</v>
      </c>
      <c r="C8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056 GAL 170 SW,LIMPIEZA        </v>
      </c>
      <c r="D8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95" s="47" t="s">
        <v>1752</v>
      </c>
      <c r="G895" t="s">
        <v>1753</v>
      </c>
      <c r="H8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96" spans="1:8" ht="15" customHeight="1" x14ac:dyDescent="0.25">
      <c r="A896" t="str">
        <f>MID(TB_CECO[[#This Row],[CECO_T]],1,5)</f>
        <v>43213</v>
      </c>
      <c r="B896" t="str">
        <f>MID(TB_CECO[[#This Row],[TRABAJO]],1,SEARCH(",",TB_CECO[[#This Row],[TRABAJO]],1)-1)</f>
        <v>CH 056 GAL 170 SW</v>
      </c>
      <c r="C8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056 GAL 170 SW,SERVICIOS       </v>
      </c>
      <c r="D8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96" s="47" t="s">
        <v>1754</v>
      </c>
      <c r="G896" t="s">
        <v>1755</v>
      </c>
      <c r="H8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97" spans="1:8" ht="15" customHeight="1" x14ac:dyDescent="0.25">
      <c r="A897" t="str">
        <f>MID(TB_CECO[[#This Row],[CECO_T]],1,5)</f>
        <v>43213</v>
      </c>
      <c r="B897" t="str">
        <f>MID(TB_CECO[[#This Row],[TRABAJO]],1,SEARCH(",",TB_CECO[[#This Row],[TRABAJO]],1)-1)</f>
        <v>CH 056 GAL 170 SW</v>
      </c>
      <c r="C8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056 GAL 170 SW,EXTRACCION      </v>
      </c>
      <c r="D8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97" s="47" t="s">
        <v>1756</v>
      </c>
      <c r="G897" t="s">
        <v>1757</v>
      </c>
      <c r="H8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98" spans="1:8" ht="15" customHeight="1" x14ac:dyDescent="0.25">
      <c r="A898" t="str">
        <f>MID(TB_CECO[[#This Row],[CECO_T]],1,5)</f>
        <v>43213</v>
      </c>
      <c r="B898" t="str">
        <f>MID(TB_CECO[[#This Row],[TRABAJO]],1,SEARCH(",",TB_CECO[[#This Row],[TRABAJO]],1)-1)</f>
        <v>CH 056 GAL 170 SW</v>
      </c>
      <c r="C8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056 GAL 170 SW,SPLIT SET       </v>
      </c>
      <c r="D8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98" s="47" t="s">
        <v>1758</v>
      </c>
      <c r="G898" t="s">
        <v>1759</v>
      </c>
      <c r="H8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899" spans="1:8" ht="15" customHeight="1" x14ac:dyDescent="0.25">
      <c r="A899" t="str">
        <f>MID(TB_CECO[[#This Row],[CECO_T]],1,5)</f>
        <v>43213</v>
      </c>
      <c r="B899" t="str">
        <f>MID(TB_CECO[[#This Row],[TRABAJO]],1,SEARCH(",",TB_CECO[[#This Row],[TRABAJO]],1)-1)</f>
        <v>CH 056 GAL 170 SW</v>
      </c>
      <c r="C8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056 GAL 170 SW,SPLIT CON MALLA </v>
      </c>
      <c r="D8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8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899" s="47" t="s">
        <v>1760</v>
      </c>
      <c r="G899" t="s">
        <v>1761</v>
      </c>
      <c r="H8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00" spans="1:8" ht="15" customHeight="1" x14ac:dyDescent="0.25">
      <c r="A900" t="str">
        <f>MID(TB_CECO[[#This Row],[CECO_T]],1,5)</f>
        <v>43213</v>
      </c>
      <c r="B900" t="str">
        <f>MID(TB_CECO[[#This Row],[TRABAJO]],1,SEARCH(",",TB_CECO[[#This Row],[TRABAJO]],1)-1)</f>
        <v>CH 056 GAL 170 SW</v>
      </c>
      <c r="C9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056 GAL 170 SW,IZAJE Y DESCENSO</v>
      </c>
      <c r="D9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00" s="47" t="s">
        <v>1762</v>
      </c>
      <c r="G900" t="s">
        <v>1763</v>
      </c>
      <c r="H9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01" spans="1:8" ht="15" customHeight="1" x14ac:dyDescent="0.25">
      <c r="A901" t="str">
        <f>MID(TB_CECO[[#This Row],[CECO_T]],1,5)</f>
        <v>43213</v>
      </c>
      <c r="B901" t="str">
        <f>MID(TB_CECO[[#This Row],[TRABAJO]],1,SEARCH(",",TB_CECO[[#This Row],[TRABAJO]],1)-1)</f>
        <v>CH 056 GAL 170 SW</v>
      </c>
      <c r="C9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056 GAL 170 SW,PERFORACION     </v>
      </c>
      <c r="D9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01" s="47" t="s">
        <v>1764</v>
      </c>
      <c r="G901" t="s">
        <v>1765</v>
      </c>
      <c r="H9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02" spans="1:8" ht="15" customHeight="1" x14ac:dyDescent="0.25">
      <c r="A902" t="str">
        <f>MID(TB_CECO[[#This Row],[CECO_T]],1,5)</f>
        <v>43214</v>
      </c>
      <c r="B902" t="str">
        <f>MID(TB_CECO[[#This Row],[TRABAJO]],1,SEARCH(",",TB_CECO[[#This Row],[TRABAJO]],1)-1)</f>
        <v>CH 120 GAL 170 SW</v>
      </c>
      <c r="C9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SW,DESQUINCHE      </v>
      </c>
      <c r="D9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02" s="47" t="s">
        <v>1766</v>
      </c>
      <c r="G902" t="s">
        <v>1767</v>
      </c>
      <c r="H9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03" spans="1:8" ht="15" customHeight="1" x14ac:dyDescent="0.25">
      <c r="A903" t="str">
        <f>MID(TB_CECO[[#This Row],[CECO_T]],1,5)</f>
        <v>43214</v>
      </c>
      <c r="B903" t="str">
        <f>MID(TB_CECO[[#This Row],[TRABAJO]],1,SEARCH(",",TB_CECO[[#This Row],[TRABAJO]],1)-1)</f>
        <v>CH 120 GAL 170 SW</v>
      </c>
      <c r="C9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SW,ENMADERADO      </v>
      </c>
      <c r="D9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03" s="47" t="s">
        <v>1768</v>
      </c>
      <c r="G903" t="s">
        <v>1769</v>
      </c>
      <c r="H9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04" spans="1:8" ht="15" customHeight="1" x14ac:dyDescent="0.25">
      <c r="A904" t="str">
        <f>MID(TB_CECO[[#This Row],[CECO_T]],1,5)</f>
        <v>43214</v>
      </c>
      <c r="B904" t="str">
        <f>MID(TB_CECO[[#This Row],[TRABAJO]],1,SEARCH(",",TB_CECO[[#This Row],[TRABAJO]],1)-1)</f>
        <v>CH 120 GAL 170 SW</v>
      </c>
      <c r="C9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SW,LIMPIEZA        </v>
      </c>
      <c r="D9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04" s="47" t="s">
        <v>1770</v>
      </c>
      <c r="G904" t="s">
        <v>1771</v>
      </c>
      <c r="H9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05" spans="1:8" ht="15" customHeight="1" x14ac:dyDescent="0.25">
      <c r="A905" t="str">
        <f>MID(TB_CECO[[#This Row],[CECO_T]],1,5)</f>
        <v>43214</v>
      </c>
      <c r="B905" t="str">
        <f>MID(TB_CECO[[#This Row],[TRABAJO]],1,SEARCH(",",TB_CECO[[#This Row],[TRABAJO]],1)-1)</f>
        <v>CH 120 GAL 170 SW</v>
      </c>
      <c r="C9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SW,SERVICIOS       </v>
      </c>
      <c r="D9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05" s="47" t="s">
        <v>1772</v>
      </c>
      <c r="G905" t="s">
        <v>1773</v>
      </c>
      <c r="H9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06" spans="1:8" ht="15" customHeight="1" x14ac:dyDescent="0.25">
      <c r="A906" t="str">
        <f>MID(TB_CECO[[#This Row],[CECO_T]],1,5)</f>
        <v>43214</v>
      </c>
      <c r="B906" t="str">
        <f>MID(TB_CECO[[#This Row],[TRABAJO]],1,SEARCH(",",TB_CECO[[#This Row],[TRABAJO]],1)-1)</f>
        <v>CH 120 GAL 170 SW</v>
      </c>
      <c r="C9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SW,EXTRACCION      </v>
      </c>
      <c r="D9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06" s="47" t="s">
        <v>1774</v>
      </c>
      <c r="G906" t="s">
        <v>1775</v>
      </c>
      <c r="H9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07" spans="1:8" ht="15" customHeight="1" x14ac:dyDescent="0.25">
      <c r="A907" t="str">
        <f>MID(TB_CECO[[#This Row],[CECO_T]],1,5)</f>
        <v>43214</v>
      </c>
      <c r="B907" t="str">
        <f>MID(TB_CECO[[#This Row],[TRABAJO]],1,SEARCH(",",TB_CECO[[#This Row],[TRABAJO]],1)-1)</f>
        <v>CH 120 GAL 170 SW</v>
      </c>
      <c r="C9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SW,SPLIT SET       </v>
      </c>
      <c r="D9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07" s="47" t="s">
        <v>1776</v>
      </c>
      <c r="G907" t="s">
        <v>1777</v>
      </c>
      <c r="H9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08" spans="1:8" ht="15" customHeight="1" x14ac:dyDescent="0.25">
      <c r="A908" t="str">
        <f>MID(TB_CECO[[#This Row],[CECO_T]],1,5)</f>
        <v>43214</v>
      </c>
      <c r="B908" t="str">
        <f>MID(TB_CECO[[#This Row],[TRABAJO]],1,SEARCH(",",TB_CECO[[#This Row],[TRABAJO]],1)-1)</f>
        <v>CH 120 GAL 170 SW</v>
      </c>
      <c r="C9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SW,SPLIT CON MALLA </v>
      </c>
      <c r="D9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08" s="47" t="s">
        <v>1778</v>
      </c>
      <c r="G908" t="s">
        <v>1779</v>
      </c>
      <c r="H9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09" spans="1:8" ht="15" customHeight="1" x14ac:dyDescent="0.25">
      <c r="A909" t="str">
        <f>MID(TB_CECO[[#This Row],[CECO_T]],1,5)</f>
        <v>43214</v>
      </c>
      <c r="B909" t="str">
        <f>MID(TB_CECO[[#This Row],[TRABAJO]],1,SEARCH(",",TB_CECO[[#This Row],[TRABAJO]],1)-1)</f>
        <v>CH 120 GAL 170 SW</v>
      </c>
      <c r="C9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120 GAL 170 SW,IZAJE Y DESCENSO</v>
      </c>
      <c r="D9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09" s="47" t="s">
        <v>1780</v>
      </c>
      <c r="G909" t="s">
        <v>1781</v>
      </c>
      <c r="H9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10" spans="1:8" ht="15" customHeight="1" x14ac:dyDescent="0.25">
      <c r="A910" t="str">
        <f>MID(TB_CECO[[#This Row],[CECO_T]],1,5)</f>
        <v>43214</v>
      </c>
      <c r="B910" t="str">
        <f>MID(TB_CECO[[#This Row],[TRABAJO]],1,SEARCH(",",TB_CECO[[#This Row],[TRABAJO]],1)-1)</f>
        <v>CH 120 GAL 170 SW</v>
      </c>
      <c r="C9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SW,PERFORACION     </v>
      </c>
      <c r="D9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10" s="47" t="s">
        <v>1782</v>
      </c>
      <c r="G910" t="s">
        <v>1783</v>
      </c>
      <c r="H9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11" spans="1:8" ht="15" customHeight="1" x14ac:dyDescent="0.25">
      <c r="A911" t="str">
        <f>MID(TB_CECO[[#This Row],[CECO_T]],1,5)</f>
        <v>43425</v>
      </c>
      <c r="B911" t="str">
        <f>MID(TB_CECO[[#This Row],[TRABAJO]],1,SEARCH(",",TB_CECO[[#This Row],[TRABAJO]],1)-1)</f>
        <v xml:space="preserve"> SNV 109</v>
      </c>
      <c r="C9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DESQUINCHE      </v>
      </c>
      <c r="D9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11" s="47" t="s">
        <v>1784</v>
      </c>
      <c r="G911" t="s">
        <v>1785</v>
      </c>
      <c r="H9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12" spans="1:8" ht="15" customHeight="1" x14ac:dyDescent="0.25">
      <c r="A912" t="str">
        <f>MID(TB_CECO[[#This Row],[CECO_T]],1,5)</f>
        <v>43425</v>
      </c>
      <c r="B912" t="str">
        <f>MID(TB_CECO[[#This Row],[TRABAJO]],1,SEARCH(",",TB_CECO[[#This Row],[TRABAJO]],1)-1)</f>
        <v xml:space="preserve"> SNV 109</v>
      </c>
      <c r="C9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ENMADERADO      </v>
      </c>
      <c r="D9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12" s="47" t="s">
        <v>1786</v>
      </c>
      <c r="G912" t="s">
        <v>1787</v>
      </c>
      <c r="H9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13" spans="1:8" ht="15" customHeight="1" x14ac:dyDescent="0.25">
      <c r="A913" t="str">
        <f>MID(TB_CECO[[#This Row],[CECO_T]],1,5)</f>
        <v>43425</v>
      </c>
      <c r="B913" t="str">
        <f>MID(TB_CECO[[#This Row],[TRABAJO]],1,SEARCH(",",TB_CECO[[#This Row],[TRABAJO]],1)-1)</f>
        <v xml:space="preserve"> SNV 109</v>
      </c>
      <c r="C9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LIMPIEZA        </v>
      </c>
      <c r="D9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13" s="47" t="s">
        <v>1788</v>
      </c>
      <c r="G913" t="s">
        <v>1789</v>
      </c>
      <c r="H9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14" spans="1:8" ht="15" customHeight="1" x14ac:dyDescent="0.25">
      <c r="A914" t="str">
        <f>MID(TB_CECO[[#This Row],[CECO_T]],1,5)</f>
        <v>43425</v>
      </c>
      <c r="B914" t="str">
        <f>MID(TB_CECO[[#This Row],[TRABAJO]],1,SEARCH(",",TB_CECO[[#This Row],[TRABAJO]],1)-1)</f>
        <v xml:space="preserve"> SNV 109</v>
      </c>
      <c r="C9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SERVICIOS       </v>
      </c>
      <c r="D9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14" s="47" t="s">
        <v>1790</v>
      </c>
      <c r="G914" t="s">
        <v>1791</v>
      </c>
      <c r="H9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15" spans="1:8" ht="15" customHeight="1" x14ac:dyDescent="0.25">
      <c r="A915" t="str">
        <f>MID(TB_CECO[[#This Row],[CECO_T]],1,5)</f>
        <v>43425</v>
      </c>
      <c r="B915" t="str">
        <f>MID(TB_CECO[[#This Row],[TRABAJO]],1,SEARCH(",",TB_CECO[[#This Row],[TRABAJO]],1)-1)</f>
        <v xml:space="preserve"> SNV 109</v>
      </c>
      <c r="C9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EXTRACCION      </v>
      </c>
      <c r="D9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15" s="47" t="s">
        <v>1792</v>
      </c>
      <c r="G915" t="s">
        <v>1793</v>
      </c>
      <c r="H9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16" spans="1:8" ht="15" customHeight="1" x14ac:dyDescent="0.25">
      <c r="A916" t="str">
        <f>MID(TB_CECO[[#This Row],[CECO_T]],1,5)</f>
        <v>43425</v>
      </c>
      <c r="B916" t="str">
        <f>MID(TB_CECO[[#This Row],[TRABAJO]],1,SEARCH(",",TB_CECO[[#This Row],[TRABAJO]],1)-1)</f>
        <v xml:space="preserve"> SNV 109</v>
      </c>
      <c r="C9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SPLIT SET       </v>
      </c>
      <c r="D9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16" s="47" t="s">
        <v>1794</v>
      </c>
      <c r="G916" t="s">
        <v>1795</v>
      </c>
      <c r="H9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17" spans="1:8" ht="15" customHeight="1" x14ac:dyDescent="0.25">
      <c r="A917" t="str">
        <f>MID(TB_CECO[[#This Row],[CECO_T]],1,5)</f>
        <v>43425</v>
      </c>
      <c r="B917" t="str">
        <f>MID(TB_CECO[[#This Row],[TRABAJO]],1,SEARCH(",",TB_CECO[[#This Row],[TRABAJO]],1)-1)</f>
        <v xml:space="preserve"> SNV 109</v>
      </c>
      <c r="C9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SPLIT CON MALLA </v>
      </c>
      <c r="D9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17" s="47" t="s">
        <v>1796</v>
      </c>
      <c r="G917" t="s">
        <v>1797</v>
      </c>
      <c r="H9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18" spans="1:8" ht="15" customHeight="1" x14ac:dyDescent="0.25">
      <c r="A918" t="str">
        <f>MID(TB_CECO[[#This Row],[CECO_T]],1,5)</f>
        <v>43425</v>
      </c>
      <c r="B918" t="str">
        <f>MID(TB_CECO[[#This Row],[TRABAJO]],1,SEARCH(",",TB_CECO[[#This Row],[TRABAJO]],1)-1)</f>
        <v xml:space="preserve"> SNV 109</v>
      </c>
      <c r="C9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IZAJE Y DESCENSO</v>
      </c>
      <c r="D9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18" s="47" t="s">
        <v>1798</v>
      </c>
      <c r="G918" t="s">
        <v>1799</v>
      </c>
      <c r="H9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19" spans="1:8" ht="15" customHeight="1" x14ac:dyDescent="0.25">
      <c r="A919" t="str">
        <f>MID(TB_CECO[[#This Row],[CECO_T]],1,5)</f>
        <v>43425</v>
      </c>
      <c r="B919" t="str">
        <f>MID(TB_CECO[[#This Row],[TRABAJO]],1,SEARCH(",",TB_CECO[[#This Row],[TRABAJO]],1)-1)</f>
        <v xml:space="preserve"> SNV 109</v>
      </c>
      <c r="C9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PERFORACION     </v>
      </c>
      <c r="D9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9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919" s="47" t="s">
        <v>1800</v>
      </c>
      <c r="G919" t="s">
        <v>1801</v>
      </c>
      <c r="H9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20" spans="1:8" ht="15" customHeight="1" x14ac:dyDescent="0.25">
      <c r="A920" t="str">
        <f>MID(TB_CECO[[#This Row],[CECO_T]],1,5)</f>
        <v>43426</v>
      </c>
      <c r="B920" t="str">
        <f>MID(TB_CECO[[#This Row],[TRABAJO]],1,SEARCH(",",TB_CECO[[#This Row],[TRABAJO]],1)-1)</f>
        <v>SNV 109 NE</v>
      </c>
      <c r="C9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100,DESQUINCHE      </v>
      </c>
      <c r="D9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20" s="47" t="s">
        <v>1802</v>
      </c>
      <c r="G920" t="s">
        <v>1803</v>
      </c>
      <c r="H9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21" spans="1:8" ht="15" customHeight="1" x14ac:dyDescent="0.25">
      <c r="A921" t="str">
        <f>MID(TB_CECO[[#This Row],[CECO_T]],1,5)</f>
        <v>43426</v>
      </c>
      <c r="B921" t="str">
        <f>MID(TB_CECO[[#This Row],[TRABAJO]],1,SEARCH(",",TB_CECO[[#This Row],[TRABAJO]],1)-1)</f>
        <v>SNV 109 NE</v>
      </c>
      <c r="C9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100,ENMADERADO      </v>
      </c>
      <c r="D9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21" s="47" t="s">
        <v>1804</v>
      </c>
      <c r="G921" t="s">
        <v>1805</v>
      </c>
      <c r="H9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22" spans="1:8" ht="15" customHeight="1" x14ac:dyDescent="0.25">
      <c r="A922" t="str">
        <f>MID(TB_CECO[[#This Row],[CECO_T]],1,5)</f>
        <v>43426</v>
      </c>
      <c r="B922" t="str">
        <f>MID(TB_CECO[[#This Row],[TRABAJO]],1,SEARCH(",",TB_CECO[[#This Row],[TRABAJO]],1)-1)</f>
        <v>SNV 109 NE</v>
      </c>
      <c r="C9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100,LIMPIEZA        </v>
      </c>
      <c r="D9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22" s="47" t="s">
        <v>1806</v>
      </c>
      <c r="G922" t="s">
        <v>1807</v>
      </c>
      <c r="H9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23" spans="1:8" ht="15" customHeight="1" x14ac:dyDescent="0.25">
      <c r="A923" t="str">
        <f>MID(TB_CECO[[#This Row],[CECO_T]],1,5)</f>
        <v>43426</v>
      </c>
      <c r="B923" t="str">
        <f>MID(TB_CECO[[#This Row],[TRABAJO]],1,SEARCH(",",TB_CECO[[#This Row],[TRABAJO]],1)-1)</f>
        <v>SNV 109 NE</v>
      </c>
      <c r="C9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100,SERVICIOS       </v>
      </c>
      <c r="D9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23" s="47" t="s">
        <v>1808</v>
      </c>
      <c r="G923" t="s">
        <v>1809</v>
      </c>
      <c r="H9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24" spans="1:8" ht="15" customHeight="1" x14ac:dyDescent="0.25">
      <c r="A924" t="str">
        <f>MID(TB_CECO[[#This Row],[CECO_T]],1,5)</f>
        <v>43426</v>
      </c>
      <c r="B924" t="str">
        <f>MID(TB_CECO[[#This Row],[TRABAJO]],1,SEARCH(",",TB_CECO[[#This Row],[TRABAJO]],1)-1)</f>
        <v>SNV 109 NE</v>
      </c>
      <c r="C9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100,EXTRACCION      </v>
      </c>
      <c r="D9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24" s="47" t="s">
        <v>1810</v>
      </c>
      <c r="G924" t="s">
        <v>1811</v>
      </c>
      <c r="H9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25" spans="1:8" ht="15" customHeight="1" x14ac:dyDescent="0.25">
      <c r="A925" t="str">
        <f>MID(TB_CECO[[#This Row],[CECO_T]],1,5)</f>
        <v>43426</v>
      </c>
      <c r="B925" t="str">
        <f>MID(TB_CECO[[#This Row],[TRABAJO]],1,SEARCH(",",TB_CECO[[#This Row],[TRABAJO]],1)-1)</f>
        <v>SNV 109 NE</v>
      </c>
      <c r="C9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100,SPLIT SET       </v>
      </c>
      <c r="D9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25" s="47" t="s">
        <v>1812</v>
      </c>
      <c r="G925" t="s">
        <v>1813</v>
      </c>
      <c r="H9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26" spans="1:8" ht="15" customHeight="1" x14ac:dyDescent="0.25">
      <c r="A926" t="str">
        <f>MID(TB_CECO[[#This Row],[CECO_T]],1,5)</f>
        <v>43426</v>
      </c>
      <c r="B926" t="str">
        <f>MID(TB_CECO[[#This Row],[TRABAJO]],1,SEARCH(",",TB_CECO[[#This Row],[TRABAJO]],1)-1)</f>
        <v>SNV 109 NE</v>
      </c>
      <c r="C9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100,SPLIT CON MALLA </v>
      </c>
      <c r="D9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26" s="47" t="s">
        <v>1814</v>
      </c>
      <c r="G926" t="s">
        <v>1815</v>
      </c>
      <c r="H9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27" spans="1:8" ht="15" customHeight="1" x14ac:dyDescent="0.25">
      <c r="A927" t="str">
        <f>MID(TB_CECO[[#This Row],[CECO_T]],1,5)</f>
        <v>43426</v>
      </c>
      <c r="B927" t="str">
        <f>MID(TB_CECO[[#This Row],[TRABAJO]],1,SEARCH(",",TB_CECO[[#This Row],[TRABAJO]],1)-1)</f>
        <v>SNV 109 NE</v>
      </c>
      <c r="C9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109 NE, CH 100,IZAJE Y DESCENSO</v>
      </c>
      <c r="D9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27" s="47" t="s">
        <v>1816</v>
      </c>
      <c r="G927" t="s">
        <v>1817</v>
      </c>
      <c r="H9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28" spans="1:8" ht="15" customHeight="1" x14ac:dyDescent="0.25">
      <c r="A928" t="str">
        <f>MID(TB_CECO[[#This Row],[CECO_T]],1,5)</f>
        <v>43426</v>
      </c>
      <c r="B928" t="str">
        <f>MID(TB_CECO[[#This Row],[TRABAJO]],1,SEARCH(",",TB_CECO[[#This Row],[TRABAJO]],1)-1)</f>
        <v>SNV 109 NE</v>
      </c>
      <c r="C9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100,PERFORACION     </v>
      </c>
      <c r="D9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28" s="47" t="s">
        <v>1818</v>
      </c>
      <c r="G928" t="s">
        <v>1819</v>
      </c>
      <c r="H9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29" spans="1:8" ht="15" customHeight="1" x14ac:dyDescent="0.25">
      <c r="A929" t="str">
        <f>MID(TB_CECO[[#This Row],[CECO_T]],1,5)</f>
        <v>43427</v>
      </c>
      <c r="B929" t="str">
        <f>MID(TB_CECO[[#This Row],[TRABAJO]],1,SEARCH(",",TB_CECO[[#This Row],[TRABAJO]],1)-1)</f>
        <v>SNV 109 SW</v>
      </c>
      <c r="C9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SW, CH 056, DESQUINCHE     </v>
      </c>
      <c r="D9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29" s="47" t="s">
        <v>1820</v>
      </c>
      <c r="G929" t="s">
        <v>1821</v>
      </c>
      <c r="H9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30" spans="1:8" ht="15" customHeight="1" x14ac:dyDescent="0.25">
      <c r="A930" t="str">
        <f>MID(TB_CECO[[#This Row],[CECO_T]],1,5)</f>
        <v>43427</v>
      </c>
      <c r="B930" t="str">
        <f>MID(TB_CECO[[#This Row],[TRABAJO]],1,SEARCH(",",TB_CECO[[#This Row],[TRABAJO]],1)-1)</f>
        <v>SNV 109 SW</v>
      </c>
      <c r="C9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SW, CH 056, ENMADERADO     </v>
      </c>
      <c r="D9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30" s="47" t="s">
        <v>1822</v>
      </c>
      <c r="G930" t="s">
        <v>1823</v>
      </c>
      <c r="H9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31" spans="1:8" ht="15" customHeight="1" x14ac:dyDescent="0.25">
      <c r="A931" t="str">
        <f>MID(TB_CECO[[#This Row],[CECO_T]],1,5)</f>
        <v>43427</v>
      </c>
      <c r="B931" t="str">
        <f>MID(TB_CECO[[#This Row],[TRABAJO]],1,SEARCH(",",TB_CECO[[#This Row],[TRABAJO]],1)-1)</f>
        <v>SNV 109 SW</v>
      </c>
      <c r="C9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SW, CH 056, LIMPIEZA       </v>
      </c>
      <c r="D9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31" s="47" t="s">
        <v>1824</v>
      </c>
      <c r="G931" t="s">
        <v>1825</v>
      </c>
      <c r="H9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32" spans="1:8" ht="15" customHeight="1" x14ac:dyDescent="0.25">
      <c r="A932" t="str">
        <f>MID(TB_CECO[[#This Row],[CECO_T]],1,5)</f>
        <v>43427</v>
      </c>
      <c r="B932" t="str">
        <f>MID(TB_CECO[[#This Row],[TRABAJO]],1,SEARCH(",",TB_CECO[[#This Row],[TRABAJO]],1)-1)</f>
        <v>SNV 109 SW</v>
      </c>
      <c r="C9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SW, CH 056, SERVICIOS      </v>
      </c>
      <c r="D9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32" s="47" t="s">
        <v>1826</v>
      </c>
      <c r="G932" t="s">
        <v>1827</v>
      </c>
      <c r="H9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33" spans="1:8" ht="15" customHeight="1" x14ac:dyDescent="0.25">
      <c r="A933" t="str">
        <f>MID(TB_CECO[[#This Row],[CECO_T]],1,5)</f>
        <v>43427</v>
      </c>
      <c r="B933" t="str">
        <f>MID(TB_CECO[[#This Row],[TRABAJO]],1,SEARCH(",",TB_CECO[[#This Row],[TRABAJO]],1)-1)</f>
        <v>SNV 109 SW</v>
      </c>
      <c r="C9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SW, CH 056, EXTRACCION     </v>
      </c>
      <c r="D9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33" s="47" t="s">
        <v>1828</v>
      </c>
      <c r="G933" t="s">
        <v>1829</v>
      </c>
      <c r="H9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34" spans="1:8" ht="15" customHeight="1" x14ac:dyDescent="0.25">
      <c r="A934" t="str">
        <f>MID(TB_CECO[[#This Row],[CECO_T]],1,5)</f>
        <v>43427</v>
      </c>
      <c r="B934" t="str">
        <f>MID(TB_CECO[[#This Row],[TRABAJO]],1,SEARCH(",",TB_CECO[[#This Row],[TRABAJO]],1)-1)</f>
        <v>SNV 109 SW</v>
      </c>
      <c r="C9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SW, CH 056, SPLIT SET      </v>
      </c>
      <c r="D9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34" s="47" t="s">
        <v>1830</v>
      </c>
      <c r="G934" t="s">
        <v>1831</v>
      </c>
      <c r="H9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35" spans="1:8" ht="15" customHeight="1" x14ac:dyDescent="0.25">
      <c r="A935" t="str">
        <f>MID(TB_CECO[[#This Row],[CECO_T]],1,5)</f>
        <v>43427</v>
      </c>
      <c r="B935" t="str">
        <f>MID(TB_CECO[[#This Row],[TRABAJO]],1,SEARCH(",",TB_CECO[[#This Row],[TRABAJO]],1)-1)</f>
        <v>SNV 109 SW</v>
      </c>
      <c r="C9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109 SW, CH 056, SPLIT CON MALLA</v>
      </c>
      <c r="D9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35" s="47" t="s">
        <v>1832</v>
      </c>
      <c r="G935" t="s">
        <v>1833</v>
      </c>
      <c r="H9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36" spans="1:8" ht="15" customHeight="1" x14ac:dyDescent="0.25">
      <c r="A936" t="str">
        <f>MID(TB_CECO[[#This Row],[CECO_T]],1,5)</f>
        <v>43427</v>
      </c>
      <c r="B936" t="str">
        <f>MID(TB_CECO[[#This Row],[TRABAJO]],1,SEARCH(",",TB_CECO[[#This Row],[TRABAJO]],1)-1)</f>
        <v>SNV 109 SW</v>
      </c>
      <c r="C9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109 SW, CH 056, IZAJE Y DESCENS</v>
      </c>
      <c r="D9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36" s="47" t="s">
        <v>1834</v>
      </c>
      <c r="G936" t="s">
        <v>1835</v>
      </c>
      <c r="H9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37" spans="1:8" ht="15" customHeight="1" x14ac:dyDescent="0.25">
      <c r="A937" t="str">
        <f>MID(TB_CECO[[#This Row],[CECO_T]],1,5)</f>
        <v>43427</v>
      </c>
      <c r="B937" t="str">
        <f>MID(TB_CECO[[#This Row],[TRABAJO]],1,SEARCH(",",TB_CECO[[#This Row],[TRABAJO]],1)-1)</f>
        <v>SNV 109 SW</v>
      </c>
      <c r="C9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SW, CH 056, PERFORACION    </v>
      </c>
      <c r="D9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37" s="47" t="s">
        <v>1836</v>
      </c>
      <c r="G937" t="s">
        <v>1837</v>
      </c>
      <c r="H9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38" spans="1:8" ht="15" customHeight="1" x14ac:dyDescent="0.25">
      <c r="A938" t="str">
        <f>MID(TB_CECO[[#This Row],[CECO_T]],1,5)</f>
        <v>43428</v>
      </c>
      <c r="B938" t="str">
        <f>MID(TB_CECO[[#This Row],[TRABAJO]],1,SEARCH(",",TB_CECO[[#This Row],[TRABAJO]],1)-1)</f>
        <v>SNV 117 NE</v>
      </c>
      <c r="C9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056DESQUINCHE       </v>
      </c>
      <c r="D9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38" s="47" t="s">
        <v>1838</v>
      </c>
      <c r="G938" t="s">
        <v>1839</v>
      </c>
      <c r="H9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39" spans="1:8" ht="15" customHeight="1" x14ac:dyDescent="0.25">
      <c r="A939" t="str">
        <f>MID(TB_CECO[[#This Row],[CECO_T]],1,5)</f>
        <v>43428</v>
      </c>
      <c r="B939" t="str">
        <f>MID(TB_CECO[[#This Row],[TRABAJO]],1,SEARCH(",",TB_CECO[[#This Row],[TRABAJO]],1)-1)</f>
        <v>SNV 117 NE</v>
      </c>
      <c r="C9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056ENMADERADO       </v>
      </c>
      <c r="D9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39" s="47" t="s">
        <v>1840</v>
      </c>
      <c r="G939" t="s">
        <v>1841</v>
      </c>
      <c r="H9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40" spans="1:8" ht="15" customHeight="1" x14ac:dyDescent="0.25">
      <c r="A940" t="str">
        <f>MID(TB_CECO[[#This Row],[CECO_T]],1,5)</f>
        <v>43428</v>
      </c>
      <c r="B940" t="str">
        <f>MID(TB_CECO[[#This Row],[TRABAJO]],1,SEARCH(",",TB_CECO[[#This Row],[TRABAJO]],1)-1)</f>
        <v>SNV 117 NE</v>
      </c>
      <c r="C9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056LIMPIEZA         </v>
      </c>
      <c r="D9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40" s="47" t="s">
        <v>1842</v>
      </c>
      <c r="G940" t="s">
        <v>1843</v>
      </c>
      <c r="H9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41" spans="1:8" ht="15" customHeight="1" x14ac:dyDescent="0.25">
      <c r="A941" t="str">
        <f>MID(TB_CECO[[#This Row],[CECO_T]],1,5)</f>
        <v>43428</v>
      </c>
      <c r="B941" t="str">
        <f>MID(TB_CECO[[#This Row],[TRABAJO]],1,SEARCH(",",TB_CECO[[#This Row],[TRABAJO]],1)-1)</f>
        <v>SNV 117 NE</v>
      </c>
      <c r="C9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056SERVICIOS        </v>
      </c>
      <c r="D9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41" s="47" t="s">
        <v>1844</v>
      </c>
      <c r="G941" t="s">
        <v>1845</v>
      </c>
      <c r="H9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42" spans="1:8" ht="15" customHeight="1" x14ac:dyDescent="0.25">
      <c r="A942" t="str">
        <f>MID(TB_CECO[[#This Row],[CECO_T]],1,5)</f>
        <v>43428</v>
      </c>
      <c r="B942" t="str">
        <f>MID(TB_CECO[[#This Row],[TRABAJO]],1,SEARCH(",",TB_CECO[[#This Row],[TRABAJO]],1)-1)</f>
        <v>SNV 117 NE</v>
      </c>
      <c r="C9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056EXTRACCION       </v>
      </c>
      <c r="D9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42" s="47" t="s">
        <v>1846</v>
      </c>
      <c r="G942" t="s">
        <v>1847</v>
      </c>
      <c r="H9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43" spans="1:8" ht="15" customHeight="1" x14ac:dyDescent="0.25">
      <c r="A943" t="str">
        <f>MID(TB_CECO[[#This Row],[CECO_T]],1,5)</f>
        <v>43428</v>
      </c>
      <c r="B943" t="str">
        <f>MID(TB_CECO[[#This Row],[TRABAJO]],1,SEARCH(",",TB_CECO[[#This Row],[TRABAJO]],1)-1)</f>
        <v>SNV 117 NE</v>
      </c>
      <c r="C9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056SPLIT SET        </v>
      </c>
      <c r="D9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43" s="47" t="s">
        <v>1848</v>
      </c>
      <c r="G943" t="s">
        <v>1849</v>
      </c>
      <c r="H9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44" spans="1:8" ht="15" customHeight="1" x14ac:dyDescent="0.25">
      <c r="A944" t="str">
        <f>MID(TB_CECO[[#This Row],[CECO_T]],1,5)</f>
        <v>43428</v>
      </c>
      <c r="B944" t="str">
        <f>MID(TB_CECO[[#This Row],[TRABAJO]],1,SEARCH(",",TB_CECO[[#This Row],[TRABAJO]],1)-1)</f>
        <v>SNV 117 NE</v>
      </c>
      <c r="C9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056SPLIT CON MALLA  </v>
      </c>
      <c r="D9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44" s="47" t="s">
        <v>1850</v>
      </c>
      <c r="G944" t="s">
        <v>1851</v>
      </c>
      <c r="H9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45" spans="1:8" ht="15" customHeight="1" x14ac:dyDescent="0.25">
      <c r="A945" t="str">
        <f>MID(TB_CECO[[#This Row],[CECO_T]],1,5)</f>
        <v>43428</v>
      </c>
      <c r="B945" t="str">
        <f>MID(TB_CECO[[#This Row],[TRABAJO]],1,SEARCH(",",TB_CECO[[#This Row],[TRABAJO]],1)-1)</f>
        <v>SNV 117 NE</v>
      </c>
      <c r="C9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056IZAJE Y DESCENSO </v>
      </c>
      <c r="D9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45" s="47" t="s">
        <v>1852</v>
      </c>
      <c r="G945" t="s">
        <v>1853</v>
      </c>
      <c r="H9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46" spans="1:8" ht="15" customHeight="1" x14ac:dyDescent="0.25">
      <c r="A946" t="str">
        <f>MID(TB_CECO[[#This Row],[CECO_T]],1,5)</f>
        <v>43428</v>
      </c>
      <c r="B946" t="str">
        <f>MID(TB_CECO[[#This Row],[TRABAJO]],1,SEARCH(",",TB_CECO[[#This Row],[TRABAJO]],1)-1)</f>
        <v>SNV 117 NE</v>
      </c>
      <c r="C9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056PERFORACION      </v>
      </c>
      <c r="D9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46" s="47" t="s">
        <v>1854</v>
      </c>
      <c r="G946" t="s">
        <v>1855</v>
      </c>
      <c r="H9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47" spans="1:8" ht="15" customHeight="1" x14ac:dyDescent="0.25">
      <c r="A947" t="str">
        <f>MID(TB_CECO[[#This Row],[CECO_T]],1,5)</f>
        <v>43429</v>
      </c>
      <c r="B947" t="str">
        <f>MID(TB_CECO[[#This Row],[TRABAJO]],1,SEARCH(",",TB_CECO[[#This Row],[TRABAJO]],1)-1)</f>
        <v>SNV 117 SW</v>
      </c>
      <c r="C9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056DESQUINCHE       </v>
      </c>
      <c r="D9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47" s="47" t="s">
        <v>1856</v>
      </c>
      <c r="G947" t="s">
        <v>1857</v>
      </c>
      <c r="H9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48" spans="1:8" ht="15" customHeight="1" x14ac:dyDescent="0.25">
      <c r="A948" t="str">
        <f>MID(TB_CECO[[#This Row],[CECO_T]],1,5)</f>
        <v>43429</v>
      </c>
      <c r="B948" t="str">
        <f>MID(TB_CECO[[#This Row],[TRABAJO]],1,SEARCH(",",TB_CECO[[#This Row],[TRABAJO]],1)-1)</f>
        <v>SNV 117 SW</v>
      </c>
      <c r="C9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056ENMADERADO       </v>
      </c>
      <c r="D9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48" s="47" t="s">
        <v>1858</v>
      </c>
      <c r="G948" t="s">
        <v>1859</v>
      </c>
      <c r="H9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49" spans="1:8" ht="15" customHeight="1" x14ac:dyDescent="0.25">
      <c r="A949" t="str">
        <f>MID(TB_CECO[[#This Row],[CECO_T]],1,5)</f>
        <v>43429</v>
      </c>
      <c r="B949" t="str">
        <f>MID(TB_CECO[[#This Row],[TRABAJO]],1,SEARCH(",",TB_CECO[[#This Row],[TRABAJO]],1)-1)</f>
        <v>SNV 117 SW</v>
      </c>
      <c r="C9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056,LIMPIEZA        </v>
      </c>
      <c r="D9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49" s="47" t="s">
        <v>1860</v>
      </c>
      <c r="G949" t="s">
        <v>1861</v>
      </c>
      <c r="H9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50" spans="1:8" ht="15" customHeight="1" x14ac:dyDescent="0.25">
      <c r="A950" t="str">
        <f>MID(TB_CECO[[#This Row],[CECO_T]],1,5)</f>
        <v>43429</v>
      </c>
      <c r="B950" t="str">
        <f>MID(TB_CECO[[#This Row],[TRABAJO]],1,SEARCH(",",TB_CECO[[#This Row],[TRABAJO]],1)-1)</f>
        <v>SNV 117 SW</v>
      </c>
      <c r="C9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056,SERVICIOS       </v>
      </c>
      <c r="D9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50" s="47" t="s">
        <v>1862</v>
      </c>
      <c r="G950" t="s">
        <v>1863</v>
      </c>
      <c r="H9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51" spans="1:8" ht="15" customHeight="1" x14ac:dyDescent="0.25">
      <c r="A951" t="str">
        <f>MID(TB_CECO[[#This Row],[CECO_T]],1,5)</f>
        <v>43429</v>
      </c>
      <c r="B951" t="str">
        <f>MID(TB_CECO[[#This Row],[TRABAJO]],1,SEARCH(",",TB_CECO[[#This Row],[TRABAJO]],1)-1)</f>
        <v>SNV 117 SW</v>
      </c>
      <c r="C9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056,EXTRACCION      </v>
      </c>
      <c r="D9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51" s="47" t="s">
        <v>1864</v>
      </c>
      <c r="G951" t="s">
        <v>1865</v>
      </c>
      <c r="H9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52" spans="1:8" ht="15" customHeight="1" x14ac:dyDescent="0.25">
      <c r="A952" t="str">
        <f>MID(TB_CECO[[#This Row],[CECO_T]],1,5)</f>
        <v>43429</v>
      </c>
      <c r="B952" t="str">
        <f>MID(TB_CECO[[#This Row],[TRABAJO]],1,SEARCH(",",TB_CECO[[#This Row],[TRABAJO]],1)-1)</f>
        <v>SNV 117 SW</v>
      </c>
      <c r="C9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056,SPLIT SET       </v>
      </c>
      <c r="D9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52" s="47" t="s">
        <v>1866</v>
      </c>
      <c r="G952" t="s">
        <v>1867</v>
      </c>
      <c r="H9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53" spans="1:8" ht="15" customHeight="1" x14ac:dyDescent="0.25">
      <c r="A953" t="str">
        <f>MID(TB_CECO[[#This Row],[CECO_T]],1,5)</f>
        <v>43429</v>
      </c>
      <c r="B953" t="str">
        <f>MID(TB_CECO[[#This Row],[TRABAJO]],1,SEARCH(",",TB_CECO[[#This Row],[TRABAJO]],1)-1)</f>
        <v>SNV 117 SW</v>
      </c>
      <c r="C9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056,SPLIT CON MALLA </v>
      </c>
      <c r="D9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53" s="47" t="s">
        <v>1868</v>
      </c>
      <c r="G953" t="s">
        <v>1869</v>
      </c>
      <c r="H9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54" spans="1:8" ht="15" customHeight="1" x14ac:dyDescent="0.25">
      <c r="A954" t="str">
        <f>MID(TB_CECO[[#This Row],[CECO_T]],1,5)</f>
        <v>43429</v>
      </c>
      <c r="B954" t="str">
        <f>MID(TB_CECO[[#This Row],[TRABAJO]],1,SEARCH(",",TB_CECO[[#This Row],[TRABAJO]],1)-1)</f>
        <v>SNV 117 SW</v>
      </c>
      <c r="C9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117 SW, CH 056,IZAJE Y DESCENSO</v>
      </c>
      <c r="D9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54" s="47" t="s">
        <v>1870</v>
      </c>
      <c r="G954" t="s">
        <v>1871</v>
      </c>
      <c r="H9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55" spans="1:8" ht="15" customHeight="1" x14ac:dyDescent="0.25">
      <c r="A955" t="str">
        <f>MID(TB_CECO[[#This Row],[CECO_T]],1,5)</f>
        <v>43429</v>
      </c>
      <c r="B955" t="str">
        <f>MID(TB_CECO[[#This Row],[TRABAJO]],1,SEARCH(",",TB_CECO[[#This Row],[TRABAJO]],1)-1)</f>
        <v>SNV 117 SW</v>
      </c>
      <c r="C9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056,PERFORACION     </v>
      </c>
      <c r="D9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55" s="47" t="s">
        <v>1872</v>
      </c>
      <c r="G955" t="s">
        <v>1873</v>
      </c>
      <c r="H9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56" spans="1:8" ht="15" customHeight="1" x14ac:dyDescent="0.25">
      <c r="A956" t="str">
        <f>MID(TB_CECO[[#This Row],[CECO_T]],1,5)</f>
        <v>44519</v>
      </c>
      <c r="B956" t="str">
        <f>MID(TB_CECO[[#This Row],[TRABAJO]],1,SEARCH(",",TB_CECO[[#This Row],[TRABAJO]],1)-1)</f>
        <v>EST 132 SE CH 100</v>
      </c>
      <c r="C9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100,DESQUINCHE       </v>
      </c>
      <c r="D9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56" s="47" t="s">
        <v>1874</v>
      </c>
      <c r="G956" t="s">
        <v>1875</v>
      </c>
      <c r="H9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57" spans="1:8" ht="15" customHeight="1" x14ac:dyDescent="0.25">
      <c r="A957" t="str">
        <f>MID(TB_CECO[[#This Row],[CECO_T]],1,5)</f>
        <v>44519</v>
      </c>
      <c r="B957" t="str">
        <f>MID(TB_CECO[[#This Row],[TRABAJO]],1,SEARCH(",",TB_CECO[[#This Row],[TRABAJO]],1)-1)</f>
        <v>EST 132 SE CH 100</v>
      </c>
      <c r="C9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100,ENMADERADO       </v>
      </c>
      <c r="D9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57" s="47" t="s">
        <v>1876</v>
      </c>
      <c r="G957" t="s">
        <v>1877</v>
      </c>
      <c r="H9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58" spans="1:8" ht="15" customHeight="1" x14ac:dyDescent="0.25">
      <c r="A958" t="str">
        <f>MID(TB_CECO[[#This Row],[CECO_T]],1,5)</f>
        <v>44519</v>
      </c>
      <c r="B958" t="str">
        <f>MID(TB_CECO[[#This Row],[TRABAJO]],1,SEARCH(",",TB_CECO[[#This Row],[TRABAJO]],1)-1)</f>
        <v>EST 132 SE CH 100</v>
      </c>
      <c r="C9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100,LIMPIEZA         </v>
      </c>
      <c r="D9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58" s="47" t="s">
        <v>1878</v>
      </c>
      <c r="G958" t="s">
        <v>1879</v>
      </c>
      <c r="H9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59" spans="1:8" ht="15" customHeight="1" x14ac:dyDescent="0.25">
      <c r="A959" t="str">
        <f>MID(TB_CECO[[#This Row],[CECO_T]],1,5)</f>
        <v>44519</v>
      </c>
      <c r="B959" t="str">
        <f>MID(TB_CECO[[#This Row],[TRABAJO]],1,SEARCH(",",TB_CECO[[#This Row],[TRABAJO]],1)-1)</f>
        <v>EST 132 SE CH 100</v>
      </c>
      <c r="C9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100,SERVICIOS        </v>
      </c>
      <c r="D9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59" s="47" t="s">
        <v>1880</v>
      </c>
      <c r="G959" t="s">
        <v>1881</v>
      </c>
      <c r="H9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60" spans="1:8" ht="15" customHeight="1" x14ac:dyDescent="0.25">
      <c r="A960" t="str">
        <f>MID(TB_CECO[[#This Row],[CECO_T]],1,5)</f>
        <v>44519</v>
      </c>
      <c r="B960" t="str">
        <f>MID(TB_CECO[[#This Row],[TRABAJO]],1,SEARCH(",",TB_CECO[[#This Row],[TRABAJO]],1)-1)</f>
        <v>EST 132 SE CH 100</v>
      </c>
      <c r="C9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100,EXTRACCION       </v>
      </c>
      <c r="D9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60" s="47" t="s">
        <v>1882</v>
      </c>
      <c r="G960" t="s">
        <v>1883</v>
      </c>
      <c r="H9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61" spans="1:8" ht="15" customHeight="1" x14ac:dyDescent="0.25">
      <c r="A961" t="str">
        <f>MID(TB_CECO[[#This Row],[CECO_T]],1,5)</f>
        <v>44519</v>
      </c>
      <c r="B961" t="str">
        <f>MID(TB_CECO[[#This Row],[TRABAJO]],1,SEARCH(",",TB_CECO[[#This Row],[TRABAJO]],1)-1)</f>
        <v>EST 132 SE CH 100</v>
      </c>
      <c r="C9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100,SPLIT SET        </v>
      </c>
      <c r="D9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61" s="47" t="s">
        <v>1884</v>
      </c>
      <c r="G961" t="s">
        <v>1885</v>
      </c>
      <c r="H9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62" spans="1:8" ht="15" customHeight="1" x14ac:dyDescent="0.25">
      <c r="A962" t="str">
        <f>MID(TB_CECO[[#This Row],[CECO_T]],1,5)</f>
        <v>44519</v>
      </c>
      <c r="B962" t="str">
        <f>MID(TB_CECO[[#This Row],[TRABAJO]],1,SEARCH(",",TB_CECO[[#This Row],[TRABAJO]],1)-1)</f>
        <v>EST 132 SE CH 100</v>
      </c>
      <c r="C9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100,SPLIT CON MALLA  </v>
      </c>
      <c r="D9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62" s="47" t="s">
        <v>1886</v>
      </c>
      <c r="G962" t="s">
        <v>1887</v>
      </c>
      <c r="H9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63" spans="1:8" ht="15" customHeight="1" x14ac:dyDescent="0.25">
      <c r="A963" t="str">
        <f>MID(TB_CECO[[#This Row],[CECO_T]],1,5)</f>
        <v>44519</v>
      </c>
      <c r="B963" t="str">
        <f>MID(TB_CECO[[#This Row],[TRABAJO]],1,SEARCH(",",TB_CECO[[#This Row],[TRABAJO]],1)-1)</f>
        <v>EST 132 SE CH 100</v>
      </c>
      <c r="C9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100,IZAJE Y DESCENSO </v>
      </c>
      <c r="D9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63" s="47" t="s">
        <v>1888</v>
      </c>
      <c r="G963" t="s">
        <v>1889</v>
      </c>
      <c r="H9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64" spans="1:8" ht="15" customHeight="1" x14ac:dyDescent="0.25">
      <c r="A964" t="str">
        <f>MID(TB_CECO[[#This Row],[CECO_T]],1,5)</f>
        <v>44519</v>
      </c>
      <c r="B964" t="str">
        <f>MID(TB_CECO[[#This Row],[TRABAJO]],1,SEARCH(",",TB_CECO[[#This Row],[TRABAJO]],1)-1)</f>
        <v>EST 132 SE CH 100</v>
      </c>
      <c r="C9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100,PERFORACION      </v>
      </c>
      <c r="D9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64" s="47" t="s">
        <v>1890</v>
      </c>
      <c r="G964" t="s">
        <v>1891</v>
      </c>
      <c r="H9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65" spans="1:8" ht="15" customHeight="1" x14ac:dyDescent="0.25">
      <c r="A965" t="str">
        <f>MID(TB_CECO[[#This Row],[CECO_T]],1,5)</f>
        <v>44523</v>
      </c>
      <c r="B965" t="str">
        <f>MID(TB_CECO[[#This Row],[TRABAJO]],1,SEARCH(",",TB_CECO[[#This Row],[TRABAJO]],1)-1)</f>
        <v>EST. 150 NW (CH 150)</v>
      </c>
      <c r="C9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150 NW (CH 150),DESQUINCHE    </v>
      </c>
      <c r="D9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65" s="47" t="s">
        <v>1892</v>
      </c>
      <c r="G965" t="s">
        <v>1893</v>
      </c>
      <c r="H9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66" spans="1:8" ht="15" customHeight="1" x14ac:dyDescent="0.25">
      <c r="A966" t="str">
        <f>MID(TB_CECO[[#This Row],[CECO_T]],1,5)</f>
        <v>44523</v>
      </c>
      <c r="B966" t="str">
        <f>MID(TB_CECO[[#This Row],[TRABAJO]],1,SEARCH(",",TB_CECO[[#This Row],[TRABAJO]],1)-1)</f>
        <v>EST. 150 NW (CH 150)</v>
      </c>
      <c r="C9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150 NW (CH 150),ENMADERADO    </v>
      </c>
      <c r="D9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66" s="47" t="s">
        <v>1894</v>
      </c>
      <c r="G966" t="s">
        <v>1895</v>
      </c>
      <c r="H9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67" spans="1:8" ht="15" customHeight="1" x14ac:dyDescent="0.25">
      <c r="A967" t="str">
        <f>MID(TB_CECO[[#This Row],[CECO_T]],1,5)</f>
        <v>44523</v>
      </c>
      <c r="B967" t="str">
        <f>MID(TB_CECO[[#This Row],[TRABAJO]],1,SEARCH(",",TB_CECO[[#This Row],[TRABAJO]],1)-1)</f>
        <v>EST. 150 NW (CH 150)</v>
      </c>
      <c r="C9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150 NW (CH 150),LIMPIEZA      </v>
      </c>
      <c r="D9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67" s="47" t="s">
        <v>1896</v>
      </c>
      <c r="G967" t="s">
        <v>1897</v>
      </c>
      <c r="H9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68" spans="1:8" ht="15" customHeight="1" x14ac:dyDescent="0.25">
      <c r="A968" t="str">
        <f>MID(TB_CECO[[#This Row],[CECO_T]],1,5)</f>
        <v>44523</v>
      </c>
      <c r="B968" t="str">
        <f>MID(TB_CECO[[#This Row],[TRABAJO]],1,SEARCH(",",TB_CECO[[#This Row],[TRABAJO]],1)-1)</f>
        <v>EST. 150 NW (CH 150)</v>
      </c>
      <c r="C9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150 NW (CH 150),SERVICIOS     </v>
      </c>
      <c r="D9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68" s="47" t="s">
        <v>1898</v>
      </c>
      <c r="G968" t="s">
        <v>1899</v>
      </c>
      <c r="H9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69" spans="1:8" ht="15" customHeight="1" x14ac:dyDescent="0.25">
      <c r="A969" t="str">
        <f>MID(TB_CECO[[#This Row],[CECO_T]],1,5)</f>
        <v>44523</v>
      </c>
      <c r="B969" t="str">
        <f>MID(TB_CECO[[#This Row],[TRABAJO]],1,SEARCH(",",TB_CECO[[#This Row],[TRABAJO]],1)-1)</f>
        <v>EST. 150 NW (CH 150)</v>
      </c>
      <c r="C9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150 NW (CH 150),EXTRACCION    </v>
      </c>
      <c r="D9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69" s="47" t="s">
        <v>1900</v>
      </c>
      <c r="G969" t="s">
        <v>1901</v>
      </c>
      <c r="H9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70" spans="1:8" ht="15" customHeight="1" x14ac:dyDescent="0.25">
      <c r="A970" t="str">
        <f>MID(TB_CECO[[#This Row],[CECO_T]],1,5)</f>
        <v>44523</v>
      </c>
      <c r="B970" t="str">
        <f>MID(TB_CECO[[#This Row],[TRABAJO]],1,SEARCH(",",TB_CECO[[#This Row],[TRABAJO]],1)-1)</f>
        <v>EST. 150 NW (CH 150)</v>
      </c>
      <c r="C9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150 NW (CH 150),SPLIT SET     </v>
      </c>
      <c r="D9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70" s="47" t="s">
        <v>1902</v>
      </c>
      <c r="G970" t="s">
        <v>1903</v>
      </c>
      <c r="H9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71" spans="1:8" ht="15" customHeight="1" x14ac:dyDescent="0.25">
      <c r="A971" t="str">
        <f>MID(TB_CECO[[#This Row],[CECO_T]],1,5)</f>
        <v>44523</v>
      </c>
      <c r="B971" t="str">
        <f>MID(TB_CECO[[#This Row],[TRABAJO]],1,SEARCH(",",TB_CECO[[#This Row],[TRABAJO]],1)-1)</f>
        <v>EST. 150 NW (CH 150)</v>
      </c>
      <c r="C9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150 NW (CH 150),SPLIT CON MALL</v>
      </c>
      <c r="D9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71" s="47" t="s">
        <v>1904</v>
      </c>
      <c r="G971" t="s">
        <v>1905</v>
      </c>
      <c r="H9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72" spans="1:8" ht="15" customHeight="1" x14ac:dyDescent="0.25">
      <c r="A972" t="str">
        <f>MID(TB_CECO[[#This Row],[CECO_T]],1,5)</f>
        <v>44523</v>
      </c>
      <c r="B972" t="str">
        <f>MID(TB_CECO[[#This Row],[TRABAJO]],1,SEARCH(",",TB_CECO[[#This Row],[TRABAJO]],1)-1)</f>
        <v>EST. 150 NW (CH 150)</v>
      </c>
      <c r="C9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150 NW (CH 150),IZAJE Y DESCEN</v>
      </c>
      <c r="D9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72" s="47" t="s">
        <v>1906</v>
      </c>
      <c r="G972" t="s">
        <v>1907</v>
      </c>
      <c r="H9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73" spans="1:8" ht="15" customHeight="1" x14ac:dyDescent="0.25">
      <c r="A973" t="str">
        <f>MID(TB_CECO[[#This Row],[CECO_T]],1,5)</f>
        <v>44523</v>
      </c>
      <c r="B973" t="str">
        <f>MID(TB_CECO[[#This Row],[TRABAJO]],1,SEARCH(",",TB_CECO[[#This Row],[TRABAJO]],1)-1)</f>
        <v>EST. 150 NW (CH 150)</v>
      </c>
      <c r="C9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150 NW (CH 150),PERFORACION   </v>
      </c>
      <c r="D9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73" s="47" t="s">
        <v>1908</v>
      </c>
      <c r="G973" t="s">
        <v>1909</v>
      </c>
      <c r="H9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74" spans="1:8" ht="15" customHeight="1" x14ac:dyDescent="0.25">
      <c r="A974" t="str">
        <f>MID(TB_CECO[[#This Row],[CECO_T]],1,5)</f>
        <v>45313</v>
      </c>
      <c r="B974" t="str">
        <f>MID(TB_CECO[[#This Row],[TRABAJO]],1,SEARCH(",",TB_CECO[[#This Row],[TRABAJO]],1)-1)</f>
        <v>TJ 100 CH 120</v>
      </c>
      <c r="C9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120,DESQUINCHE           </v>
      </c>
      <c r="D9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74" s="47" t="s">
        <v>1910</v>
      </c>
      <c r="G974" t="s">
        <v>1911</v>
      </c>
      <c r="H9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75" spans="1:8" ht="15" customHeight="1" x14ac:dyDescent="0.25">
      <c r="A975" t="str">
        <f>MID(TB_CECO[[#This Row],[CECO_T]],1,5)</f>
        <v>45313</v>
      </c>
      <c r="B975" t="str">
        <f>MID(TB_CECO[[#This Row],[TRABAJO]],1,SEARCH(",",TB_CECO[[#This Row],[TRABAJO]],1)-1)</f>
        <v>TJ 100 CH 120</v>
      </c>
      <c r="C9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120,ENMADERADO           </v>
      </c>
      <c r="D9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75" s="47" t="s">
        <v>1912</v>
      </c>
      <c r="G975" t="s">
        <v>1913</v>
      </c>
      <c r="H9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76" spans="1:8" ht="15" customHeight="1" x14ac:dyDescent="0.25">
      <c r="A976" t="str">
        <f>MID(TB_CECO[[#This Row],[CECO_T]],1,5)</f>
        <v>45313</v>
      </c>
      <c r="B976" t="str">
        <f>MID(TB_CECO[[#This Row],[TRABAJO]],1,SEARCH(",",TB_CECO[[#This Row],[TRABAJO]],1)-1)</f>
        <v>TJ 100 CH 120</v>
      </c>
      <c r="C9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120,LIMPIEZA             </v>
      </c>
      <c r="D9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76" s="47" t="s">
        <v>1914</v>
      </c>
      <c r="G976" t="s">
        <v>1915</v>
      </c>
      <c r="H9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77" spans="1:8" ht="15" customHeight="1" x14ac:dyDescent="0.25">
      <c r="A977" t="str">
        <f>MID(TB_CECO[[#This Row],[CECO_T]],1,5)</f>
        <v>45313</v>
      </c>
      <c r="B977" t="str">
        <f>MID(TB_CECO[[#This Row],[TRABAJO]],1,SEARCH(",",TB_CECO[[#This Row],[TRABAJO]],1)-1)</f>
        <v>TJ 100 CH 120</v>
      </c>
      <c r="C9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120,SERVICIOS            </v>
      </c>
      <c r="D9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77" s="47" t="s">
        <v>1916</v>
      </c>
      <c r="G977" t="s">
        <v>1917</v>
      </c>
      <c r="H9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78" spans="1:8" ht="15" customHeight="1" x14ac:dyDescent="0.25">
      <c r="A978" t="str">
        <f>MID(TB_CECO[[#This Row],[CECO_T]],1,5)</f>
        <v>45313</v>
      </c>
      <c r="B978" t="str">
        <f>MID(TB_CECO[[#This Row],[TRABAJO]],1,SEARCH(",",TB_CECO[[#This Row],[TRABAJO]],1)-1)</f>
        <v>TJ 100 CH 120</v>
      </c>
      <c r="C9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120,EXTRACCION           </v>
      </c>
      <c r="D9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78" s="47" t="s">
        <v>1918</v>
      </c>
      <c r="G978" t="s">
        <v>1919</v>
      </c>
      <c r="H9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79" spans="1:8" ht="15" customHeight="1" x14ac:dyDescent="0.25">
      <c r="A979" t="str">
        <f>MID(TB_CECO[[#This Row],[CECO_T]],1,5)</f>
        <v>45313</v>
      </c>
      <c r="B979" t="str">
        <f>MID(TB_CECO[[#This Row],[TRABAJO]],1,SEARCH(",",TB_CECO[[#This Row],[TRABAJO]],1)-1)</f>
        <v>TJ 100 CH 120</v>
      </c>
      <c r="C9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120,SPLIT SET            </v>
      </c>
      <c r="D9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79" s="47" t="s">
        <v>1920</v>
      </c>
      <c r="G979" t="s">
        <v>1921</v>
      </c>
      <c r="H9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80" spans="1:8" ht="15" customHeight="1" x14ac:dyDescent="0.25">
      <c r="A980" t="str">
        <f>MID(TB_CECO[[#This Row],[CECO_T]],1,5)</f>
        <v>45313</v>
      </c>
      <c r="B980" t="str">
        <f>MID(TB_CECO[[#This Row],[TRABAJO]],1,SEARCH(",",TB_CECO[[#This Row],[TRABAJO]],1)-1)</f>
        <v>TJ 100 CH 120</v>
      </c>
      <c r="C9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120,SPLIT CON MALLA      </v>
      </c>
      <c r="D9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80" s="47" t="s">
        <v>1922</v>
      </c>
      <c r="G980" t="s">
        <v>1923</v>
      </c>
      <c r="H9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81" spans="1:8" ht="15" customHeight="1" x14ac:dyDescent="0.25">
      <c r="A981" t="str">
        <f>MID(TB_CECO[[#This Row],[CECO_T]],1,5)</f>
        <v>45313</v>
      </c>
      <c r="B981" t="str">
        <f>MID(TB_CECO[[#This Row],[TRABAJO]],1,SEARCH(",",TB_CECO[[#This Row],[TRABAJO]],1)-1)</f>
        <v>TJ 100 CH 120</v>
      </c>
      <c r="C9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120,IZAJE Y DESCENSO W   </v>
      </c>
      <c r="D9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81" s="47" t="s">
        <v>1924</v>
      </c>
      <c r="G981" t="s">
        <v>1925</v>
      </c>
      <c r="H9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82" spans="1:8" ht="15" customHeight="1" x14ac:dyDescent="0.25">
      <c r="A982" t="str">
        <f>MID(TB_CECO[[#This Row],[CECO_T]],1,5)</f>
        <v>45313</v>
      </c>
      <c r="B982" t="str">
        <f>MID(TB_CECO[[#This Row],[TRABAJO]],1,SEARCH(",",TB_CECO[[#This Row],[TRABAJO]],1)-1)</f>
        <v>TJ 100 CH 120</v>
      </c>
      <c r="C9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120,PERFORACION          </v>
      </c>
      <c r="D9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82" s="47" t="s">
        <v>1926</v>
      </c>
      <c r="G982" t="s">
        <v>1927</v>
      </c>
      <c r="H9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83" spans="1:8" ht="15" customHeight="1" x14ac:dyDescent="0.25">
      <c r="A983" t="str">
        <f>MID(TB_CECO[[#This Row],[CECO_T]],1,5)</f>
        <v>45315</v>
      </c>
      <c r="B983" t="str">
        <f>MID(TB_CECO[[#This Row],[TRABAJO]],1,SEARCH(",",TB_CECO[[#This Row],[TRABAJO]],1)-1)</f>
        <v>TJ 056 CH 100</v>
      </c>
      <c r="C9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100,DESQUINCHE           </v>
      </c>
      <c r="D9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83" s="47" t="s">
        <v>1928</v>
      </c>
      <c r="G983" t="s">
        <v>1929</v>
      </c>
      <c r="H9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84" spans="1:8" ht="15" customHeight="1" x14ac:dyDescent="0.25">
      <c r="A984" t="str">
        <f>MID(TB_CECO[[#This Row],[CECO_T]],1,5)</f>
        <v>45315</v>
      </c>
      <c r="B984" t="str">
        <f>MID(TB_CECO[[#This Row],[TRABAJO]],1,SEARCH(",",TB_CECO[[#This Row],[TRABAJO]],1)-1)</f>
        <v>TJ 056 CH 100</v>
      </c>
      <c r="C9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100,ENMADERADO           </v>
      </c>
      <c r="D9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84" s="47" t="s">
        <v>1930</v>
      </c>
      <c r="G984" t="s">
        <v>1931</v>
      </c>
      <c r="H9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85" spans="1:8" ht="15" customHeight="1" x14ac:dyDescent="0.25">
      <c r="A985" t="str">
        <f>MID(TB_CECO[[#This Row],[CECO_T]],1,5)</f>
        <v>45315</v>
      </c>
      <c r="B985" t="str">
        <f>MID(TB_CECO[[#This Row],[TRABAJO]],1,SEARCH(",",TB_CECO[[#This Row],[TRABAJO]],1)-1)</f>
        <v>TJ 056 CH 100</v>
      </c>
      <c r="C9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100,LIMPIEZA             </v>
      </c>
      <c r="D9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85" s="47" t="s">
        <v>1932</v>
      </c>
      <c r="G985" t="s">
        <v>1933</v>
      </c>
      <c r="H9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86" spans="1:8" ht="15" customHeight="1" x14ac:dyDescent="0.25">
      <c r="A986" t="str">
        <f>MID(TB_CECO[[#This Row],[CECO_T]],1,5)</f>
        <v>45315</v>
      </c>
      <c r="B986" t="str">
        <f>MID(TB_CECO[[#This Row],[TRABAJO]],1,SEARCH(",",TB_CECO[[#This Row],[TRABAJO]],1)-1)</f>
        <v>TJ 056 CH 100</v>
      </c>
      <c r="C9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100,SERVICIOS            </v>
      </c>
      <c r="D9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86" s="47" t="s">
        <v>1934</v>
      </c>
      <c r="G986" t="s">
        <v>1935</v>
      </c>
      <c r="H9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87" spans="1:8" ht="15" customHeight="1" x14ac:dyDescent="0.25">
      <c r="A987" t="str">
        <f>MID(TB_CECO[[#This Row],[CECO_T]],1,5)</f>
        <v>45315</v>
      </c>
      <c r="B987" t="str">
        <f>MID(TB_CECO[[#This Row],[TRABAJO]],1,SEARCH(",",TB_CECO[[#This Row],[TRABAJO]],1)-1)</f>
        <v>TJ 056 CH 100</v>
      </c>
      <c r="C9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100,EXTRACCION           </v>
      </c>
      <c r="D9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87" s="47" t="s">
        <v>1936</v>
      </c>
      <c r="G987" t="s">
        <v>1937</v>
      </c>
      <c r="H9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88" spans="1:8" ht="15" customHeight="1" x14ac:dyDescent="0.25">
      <c r="A988" t="str">
        <f>MID(TB_CECO[[#This Row],[CECO_T]],1,5)</f>
        <v>45315</v>
      </c>
      <c r="B988" t="str">
        <f>MID(TB_CECO[[#This Row],[TRABAJO]],1,SEARCH(",",TB_CECO[[#This Row],[TRABAJO]],1)-1)</f>
        <v>TJ 056 CH 100</v>
      </c>
      <c r="C9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100,SPLIT SET            </v>
      </c>
      <c r="D9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88" s="47" t="s">
        <v>1938</v>
      </c>
      <c r="G988" t="s">
        <v>1939</v>
      </c>
      <c r="H9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89" spans="1:8" ht="15" customHeight="1" x14ac:dyDescent="0.25">
      <c r="A989" t="str">
        <f>MID(TB_CECO[[#This Row],[CECO_T]],1,5)</f>
        <v>45315</v>
      </c>
      <c r="B989" t="str">
        <f>MID(TB_CECO[[#This Row],[TRABAJO]],1,SEARCH(",",TB_CECO[[#This Row],[TRABAJO]],1)-1)</f>
        <v>TJ 056 CH 100</v>
      </c>
      <c r="C9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100,SPLIT CON MALLA      </v>
      </c>
      <c r="D9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89" s="47" t="s">
        <v>1940</v>
      </c>
      <c r="G989" t="s">
        <v>1941</v>
      </c>
      <c r="H9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90" spans="1:8" ht="15" customHeight="1" x14ac:dyDescent="0.25">
      <c r="A990" t="str">
        <f>MID(TB_CECO[[#This Row],[CECO_T]],1,5)</f>
        <v>45315</v>
      </c>
      <c r="B990" t="str">
        <f>MID(TB_CECO[[#This Row],[TRABAJO]],1,SEARCH(",",TB_CECO[[#This Row],[TRABAJO]],1)-1)</f>
        <v>TJ 056 CH 100</v>
      </c>
      <c r="C9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100,IZAJE Y DESCENSO W   </v>
      </c>
      <c r="D9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90" s="47" t="s">
        <v>1942</v>
      </c>
      <c r="G990" t="s">
        <v>1943</v>
      </c>
      <c r="H9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91" spans="1:8" ht="15" customHeight="1" x14ac:dyDescent="0.25">
      <c r="A991" t="str">
        <f>MID(TB_CECO[[#This Row],[CECO_T]],1,5)</f>
        <v>45315</v>
      </c>
      <c r="B991" t="str">
        <f>MID(TB_CECO[[#This Row],[TRABAJO]],1,SEARCH(",",TB_CECO[[#This Row],[TRABAJO]],1)-1)</f>
        <v>TJ 056 CH 100</v>
      </c>
      <c r="C9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100,PERFORACION          </v>
      </c>
      <c r="D9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991" s="47" t="s">
        <v>1944</v>
      </c>
      <c r="G991" t="s">
        <v>1945</v>
      </c>
      <c r="H9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992" spans="1:8" ht="15" customHeight="1" x14ac:dyDescent="0.25">
      <c r="A992" t="str">
        <f>MID(TB_CECO[[#This Row],[CECO_T]],1,5)</f>
        <v>53003</v>
      </c>
      <c r="B992" t="str">
        <f>MID(TB_CECO[[#This Row],[TRABAJO]],1,SEARCH(",",TB_CECO[[#This Row],[TRABAJO]],1)-1)</f>
        <v xml:space="preserve"> GAL 168 SW</v>
      </c>
      <c r="C9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DESQUINCHE  </v>
      </c>
      <c r="D9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92" s="47" t="s">
        <v>1946</v>
      </c>
      <c r="G992" t="s">
        <v>1947</v>
      </c>
      <c r="H9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93" spans="1:8" ht="15" customHeight="1" x14ac:dyDescent="0.25">
      <c r="A993" t="str">
        <f>MID(TB_CECO[[#This Row],[CECO_T]],1,5)</f>
        <v>53003</v>
      </c>
      <c r="B993" t="str">
        <f>MID(TB_CECO[[#This Row],[TRABAJO]],1,SEARCH(",",TB_CECO[[#This Row],[TRABAJO]],1)-1)</f>
        <v xml:space="preserve"> GAL 168 SW</v>
      </c>
      <c r="C9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ENMADERADO  </v>
      </c>
      <c r="D9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93" s="47" t="s">
        <v>1948</v>
      </c>
      <c r="G993" t="s">
        <v>1949</v>
      </c>
      <c r="H9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94" spans="1:8" ht="15" customHeight="1" x14ac:dyDescent="0.25">
      <c r="A994" t="str">
        <f>MID(TB_CECO[[#This Row],[CECO_T]],1,5)</f>
        <v>53003</v>
      </c>
      <c r="B994" t="str">
        <f>MID(TB_CECO[[#This Row],[TRABAJO]],1,SEARCH(",",TB_CECO[[#This Row],[TRABAJO]],1)-1)</f>
        <v xml:space="preserve"> GAL 168 SW</v>
      </c>
      <c r="C9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LIMPIEZA    </v>
      </c>
      <c r="D9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94" s="47" t="s">
        <v>1950</v>
      </c>
      <c r="G994" t="s">
        <v>1951</v>
      </c>
      <c r="H9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95" spans="1:8" ht="15" customHeight="1" x14ac:dyDescent="0.25">
      <c r="A995" t="str">
        <f>MID(TB_CECO[[#This Row],[CECO_T]],1,5)</f>
        <v>53003</v>
      </c>
      <c r="B995" t="str">
        <f>MID(TB_CECO[[#This Row],[TRABAJO]],1,SEARCH(",",TB_CECO[[#This Row],[TRABAJO]],1)-1)</f>
        <v xml:space="preserve"> GAL 168 SW</v>
      </c>
      <c r="C9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SERVICIOS   </v>
      </c>
      <c r="D9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95" s="47" t="s">
        <v>1952</v>
      </c>
      <c r="G995" t="s">
        <v>1953</v>
      </c>
      <c r="H9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96" spans="1:8" ht="15" customHeight="1" x14ac:dyDescent="0.25">
      <c r="A996" t="str">
        <f>MID(TB_CECO[[#This Row],[CECO_T]],1,5)</f>
        <v>53003</v>
      </c>
      <c r="B996" t="str">
        <f>MID(TB_CECO[[#This Row],[TRABAJO]],1,SEARCH(",",TB_CECO[[#This Row],[TRABAJO]],1)-1)</f>
        <v xml:space="preserve"> GAL 168 SW</v>
      </c>
      <c r="C9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EXTRACCION  </v>
      </c>
      <c r="D9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96" s="47" t="s">
        <v>1954</v>
      </c>
      <c r="G996" t="s">
        <v>1955</v>
      </c>
      <c r="H9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97" spans="1:8" ht="15" customHeight="1" x14ac:dyDescent="0.25">
      <c r="A997" t="str">
        <f>MID(TB_CECO[[#This Row],[CECO_T]],1,5)</f>
        <v>53003</v>
      </c>
      <c r="B997" t="str">
        <f>MID(TB_CECO[[#This Row],[TRABAJO]],1,SEARCH(",",TB_CECO[[#This Row],[TRABAJO]],1)-1)</f>
        <v xml:space="preserve"> GAL 168 SW</v>
      </c>
      <c r="C9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SPLIT SET   </v>
      </c>
      <c r="D9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97" s="47" t="s">
        <v>1956</v>
      </c>
      <c r="G997" t="s">
        <v>1957</v>
      </c>
      <c r="H9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98" spans="1:8" ht="15" customHeight="1" x14ac:dyDescent="0.25">
      <c r="A998" t="str">
        <f>MID(TB_CECO[[#This Row],[CECO_T]],1,5)</f>
        <v>53003</v>
      </c>
      <c r="B998" t="str">
        <f>MID(TB_CECO[[#This Row],[TRABAJO]],1,SEARCH(",",TB_CECO[[#This Row],[TRABAJO]],1)-1)</f>
        <v xml:space="preserve"> GAL 168 SW</v>
      </c>
      <c r="C9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SPLIT CON MA</v>
      </c>
      <c r="D9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98" s="47" t="s">
        <v>1958</v>
      </c>
      <c r="G998" t="s">
        <v>1959</v>
      </c>
      <c r="H9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999" spans="1:8" ht="15" customHeight="1" x14ac:dyDescent="0.25">
      <c r="A999" t="str">
        <f>MID(TB_CECO[[#This Row],[CECO_T]],1,5)</f>
        <v>53003</v>
      </c>
      <c r="B999" t="str">
        <f>MID(TB_CECO[[#This Row],[TRABAJO]],1,SEARCH(",",TB_CECO[[#This Row],[TRABAJO]],1)-1)</f>
        <v xml:space="preserve"> GAL 168 SW</v>
      </c>
      <c r="C9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IZAJE Y DESC</v>
      </c>
      <c r="D9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9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999" s="47" t="s">
        <v>1960</v>
      </c>
      <c r="G999" t="s">
        <v>1961</v>
      </c>
      <c r="H9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00" spans="1:8" ht="15" customHeight="1" x14ac:dyDescent="0.25">
      <c r="A1000" t="str">
        <f>MID(TB_CECO[[#This Row],[CECO_T]],1,5)</f>
        <v>53003</v>
      </c>
      <c r="B1000" t="str">
        <f>MID(TB_CECO[[#This Row],[TRABAJO]],1,SEARCH(",",TB_CECO[[#This Row],[TRABAJO]],1)-1)</f>
        <v xml:space="preserve"> GAL 168 SW</v>
      </c>
      <c r="C10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PERFORACION </v>
      </c>
      <c r="D10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0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000" s="47" t="s">
        <v>1962</v>
      </c>
      <c r="G1000" t="s">
        <v>1963</v>
      </c>
      <c r="H10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01" spans="1:8" ht="15" customHeight="1" x14ac:dyDescent="0.25">
      <c r="A1001" t="str">
        <f>MID(TB_CECO[[#This Row],[CECO_T]],1,5)</f>
        <v>53218</v>
      </c>
      <c r="B1001" t="str">
        <f>MID(TB_CECO[[#This Row],[TRABAJO]],1,SEARCH(",",TB_CECO[[#This Row],[TRABAJO]],1)-1)</f>
        <v>CH 152</v>
      </c>
      <c r="C10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SW,DESQUINCHE        </v>
      </c>
      <c r="D10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01" s="47" t="s">
        <v>1964</v>
      </c>
      <c r="G1001" t="s">
        <v>1965</v>
      </c>
      <c r="H10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02" spans="1:8" ht="15" customHeight="1" x14ac:dyDescent="0.25">
      <c r="A1002" t="str">
        <f>MID(TB_CECO[[#This Row],[CECO_T]],1,5)</f>
        <v>53218</v>
      </c>
      <c r="B1002" t="str">
        <f>MID(TB_CECO[[#This Row],[TRABAJO]],1,SEARCH(",",TB_CECO[[#This Row],[TRABAJO]],1)-1)</f>
        <v>CH 152</v>
      </c>
      <c r="C10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SW,ENMADERADO        </v>
      </c>
      <c r="D10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02" s="47" t="s">
        <v>1966</v>
      </c>
      <c r="G1002" t="s">
        <v>1967</v>
      </c>
      <c r="H10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03" spans="1:8" ht="15" customHeight="1" x14ac:dyDescent="0.25">
      <c r="A1003" t="str">
        <f>MID(TB_CECO[[#This Row],[CECO_T]],1,5)</f>
        <v>53218</v>
      </c>
      <c r="B1003" t="str">
        <f>MID(TB_CECO[[#This Row],[TRABAJO]],1,SEARCH(",",TB_CECO[[#This Row],[TRABAJO]],1)-1)</f>
        <v>CH 152</v>
      </c>
      <c r="C10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SW,LIMPIEZA          </v>
      </c>
      <c r="D10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03" s="47" t="s">
        <v>1968</v>
      </c>
      <c r="G1003" t="s">
        <v>1969</v>
      </c>
      <c r="H10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04" spans="1:8" ht="15" customHeight="1" x14ac:dyDescent="0.25">
      <c r="A1004" t="str">
        <f>MID(TB_CECO[[#This Row],[CECO_T]],1,5)</f>
        <v>53218</v>
      </c>
      <c r="B1004" t="str">
        <f>MID(TB_CECO[[#This Row],[TRABAJO]],1,SEARCH(",",TB_CECO[[#This Row],[TRABAJO]],1)-1)</f>
        <v>CH 152</v>
      </c>
      <c r="C10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SW,SERVICIOS         </v>
      </c>
      <c r="D10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04" s="47" t="s">
        <v>1970</v>
      </c>
      <c r="G1004" t="s">
        <v>1971</v>
      </c>
      <c r="H10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05" spans="1:8" ht="15" customHeight="1" x14ac:dyDescent="0.25">
      <c r="A1005" t="str">
        <f>MID(TB_CECO[[#This Row],[CECO_T]],1,5)</f>
        <v>53218</v>
      </c>
      <c r="B1005" t="str">
        <f>MID(TB_CECO[[#This Row],[TRABAJO]],1,SEARCH(",",TB_CECO[[#This Row],[TRABAJO]],1)-1)</f>
        <v>CH 152</v>
      </c>
      <c r="C10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SW,EXTRACCION        </v>
      </c>
      <c r="D10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05" s="47" t="s">
        <v>1972</v>
      </c>
      <c r="G1005" t="s">
        <v>1973</v>
      </c>
      <c r="H10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06" spans="1:8" ht="15" customHeight="1" x14ac:dyDescent="0.25">
      <c r="A1006" t="str">
        <f>MID(TB_CECO[[#This Row],[CECO_T]],1,5)</f>
        <v>53218</v>
      </c>
      <c r="B1006" t="str">
        <f>MID(TB_CECO[[#This Row],[TRABAJO]],1,SEARCH(",",TB_CECO[[#This Row],[TRABAJO]],1)-1)</f>
        <v>CH 152</v>
      </c>
      <c r="C10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SW,SPLIT SET         </v>
      </c>
      <c r="D10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06" s="47" t="s">
        <v>1974</v>
      </c>
      <c r="G1006" t="s">
        <v>1975</v>
      </c>
      <c r="H10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07" spans="1:8" ht="15" customHeight="1" x14ac:dyDescent="0.25">
      <c r="A1007" t="str">
        <f>MID(TB_CECO[[#This Row],[CECO_T]],1,5)</f>
        <v>53218</v>
      </c>
      <c r="B1007" t="str">
        <f>MID(TB_CECO[[#This Row],[TRABAJO]],1,SEARCH(",",TB_CECO[[#This Row],[TRABAJO]],1)-1)</f>
        <v>CH 152</v>
      </c>
      <c r="C10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SW,SPLIT CON MALLA   </v>
      </c>
      <c r="D10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07" s="47" t="s">
        <v>1976</v>
      </c>
      <c r="G1007" t="s">
        <v>1977</v>
      </c>
      <c r="H10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08" spans="1:8" ht="15" customHeight="1" x14ac:dyDescent="0.25">
      <c r="A1008" t="str">
        <f>MID(TB_CECO[[#This Row],[CECO_T]],1,5)</f>
        <v>53218</v>
      </c>
      <c r="B1008" t="str">
        <f>MID(TB_CECO[[#This Row],[TRABAJO]],1,SEARCH(",",TB_CECO[[#This Row],[TRABAJO]],1)-1)</f>
        <v>CH 152</v>
      </c>
      <c r="C10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152, GAL 168 SW,IZAJE Y DESCENSO W</v>
      </c>
      <c r="D10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08" s="47" t="s">
        <v>1978</v>
      </c>
      <c r="G1008" t="s">
        <v>1979</v>
      </c>
      <c r="H10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09" spans="1:8" ht="15" customHeight="1" x14ac:dyDescent="0.25">
      <c r="A1009" t="str">
        <f>MID(TB_CECO[[#This Row],[CECO_T]],1,5)</f>
        <v>53218</v>
      </c>
      <c r="B1009" t="str">
        <f>MID(TB_CECO[[#This Row],[TRABAJO]],1,SEARCH(",",TB_CECO[[#This Row],[TRABAJO]],1)-1)</f>
        <v>CH 152</v>
      </c>
      <c r="C10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SW,PERFORACION       </v>
      </c>
      <c r="D10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09" s="47" t="s">
        <v>1980</v>
      </c>
      <c r="G1009" t="s">
        <v>1981</v>
      </c>
      <c r="H10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10" spans="1:8" ht="15" customHeight="1" x14ac:dyDescent="0.25">
      <c r="A1010" t="str">
        <f>MID(TB_CECO[[#This Row],[CECO_T]],1,5)</f>
        <v>61003</v>
      </c>
      <c r="B1010" t="str">
        <f>MID(TB_CECO[[#This Row],[TRABAJO]],1,SEARCH(",",TB_CECO[[#This Row],[TRABAJO]],1)-1)</f>
        <v>GAL 150 SW (CX 150 NW)</v>
      </c>
      <c r="C10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NW),DESQUINCHE   </v>
      </c>
      <c r="D10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10" s="47" t="s">
        <v>1982</v>
      </c>
      <c r="G1010" t="s">
        <v>1983</v>
      </c>
      <c r="H10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11" spans="1:8" ht="15" customHeight="1" x14ac:dyDescent="0.25">
      <c r="A1011" t="str">
        <f>MID(TB_CECO[[#This Row],[CECO_T]],1,5)</f>
        <v>61003</v>
      </c>
      <c r="B1011" t="str">
        <f>MID(TB_CECO[[#This Row],[TRABAJO]],1,SEARCH(",",TB_CECO[[#This Row],[TRABAJO]],1)-1)</f>
        <v>GAL 150 SW (CX 150 NW)</v>
      </c>
      <c r="C10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NW),ENMADERADO   </v>
      </c>
      <c r="D10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11" s="47" t="s">
        <v>1984</v>
      </c>
      <c r="G1011" t="s">
        <v>1985</v>
      </c>
      <c r="H10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12" spans="1:8" ht="15" customHeight="1" x14ac:dyDescent="0.25">
      <c r="A1012" t="str">
        <f>MID(TB_CECO[[#This Row],[CECO_T]],1,5)</f>
        <v>61003</v>
      </c>
      <c r="B1012" t="str">
        <f>MID(TB_CECO[[#This Row],[TRABAJO]],1,SEARCH(",",TB_CECO[[#This Row],[TRABAJO]],1)-1)</f>
        <v>GAL 150 SW (CX 150 NW)</v>
      </c>
      <c r="C10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NW),LIMPIEZA     </v>
      </c>
      <c r="D10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12" s="47" t="s">
        <v>1986</v>
      </c>
      <c r="G1012" t="s">
        <v>1987</v>
      </c>
      <c r="H10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13" spans="1:8" ht="15" customHeight="1" x14ac:dyDescent="0.25">
      <c r="A1013" t="str">
        <f>MID(TB_CECO[[#This Row],[CECO_T]],1,5)</f>
        <v>61003</v>
      </c>
      <c r="B1013" t="str">
        <f>MID(TB_CECO[[#This Row],[TRABAJO]],1,SEARCH(",",TB_CECO[[#This Row],[TRABAJO]],1)-1)</f>
        <v>GAL 150 SW (CX 150 NW)</v>
      </c>
      <c r="C10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NW),SERVICIOS    </v>
      </c>
      <c r="D10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13" s="47" t="s">
        <v>1988</v>
      </c>
      <c r="G1013" t="s">
        <v>1989</v>
      </c>
      <c r="H10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14" spans="1:8" ht="15" customHeight="1" x14ac:dyDescent="0.25">
      <c r="A1014" t="str">
        <f>MID(TB_CECO[[#This Row],[CECO_T]],1,5)</f>
        <v>61003</v>
      </c>
      <c r="B1014" t="str">
        <f>MID(TB_CECO[[#This Row],[TRABAJO]],1,SEARCH(",",TB_CECO[[#This Row],[TRABAJO]],1)-1)</f>
        <v>GAL 150 SW (CX 150 NW)</v>
      </c>
      <c r="C10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NW),EXTRACCION   </v>
      </c>
      <c r="D10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14" s="47" t="s">
        <v>1990</v>
      </c>
      <c r="G1014" t="s">
        <v>1991</v>
      </c>
      <c r="H10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15" spans="1:8" ht="15" customHeight="1" x14ac:dyDescent="0.25">
      <c r="A1015" t="str">
        <f>MID(TB_CECO[[#This Row],[CECO_T]],1,5)</f>
        <v>61003</v>
      </c>
      <c r="B1015" t="str">
        <f>MID(TB_CECO[[#This Row],[TRABAJO]],1,SEARCH(",",TB_CECO[[#This Row],[TRABAJO]],1)-1)</f>
        <v>GAL 150 SW (CX 150 NW)</v>
      </c>
      <c r="C10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NW),SPLIT SET    </v>
      </c>
      <c r="D10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15" s="47" t="s">
        <v>1992</v>
      </c>
      <c r="G1015" t="s">
        <v>1993</v>
      </c>
      <c r="H10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16" spans="1:8" ht="15" customHeight="1" x14ac:dyDescent="0.25">
      <c r="A1016" t="str">
        <f>MID(TB_CECO[[#This Row],[CECO_T]],1,5)</f>
        <v>61003</v>
      </c>
      <c r="B1016" t="str">
        <f>MID(TB_CECO[[#This Row],[TRABAJO]],1,SEARCH(",",TB_CECO[[#This Row],[TRABAJO]],1)-1)</f>
        <v>GAL 150 SW (CX 150 NW)</v>
      </c>
      <c r="C10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SW (CX 150 NW),SPLIT CON MAL</v>
      </c>
      <c r="D10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16" s="47" t="s">
        <v>1994</v>
      </c>
      <c r="G1016" t="s">
        <v>1995</v>
      </c>
      <c r="H10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17" spans="1:8" ht="15" customHeight="1" x14ac:dyDescent="0.25">
      <c r="A1017" t="str">
        <f>MID(TB_CECO[[#This Row],[CECO_T]],1,5)</f>
        <v>61003</v>
      </c>
      <c r="B1017" t="str">
        <f>MID(TB_CECO[[#This Row],[TRABAJO]],1,SEARCH(",",TB_CECO[[#This Row],[TRABAJO]],1)-1)</f>
        <v>GAL 150 SW (CX 150 NW)</v>
      </c>
      <c r="C10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SW (CX 150 NW),IZAJE Y DESCE</v>
      </c>
      <c r="D10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17" s="47" t="s">
        <v>1996</v>
      </c>
      <c r="G1017" t="s">
        <v>1997</v>
      </c>
      <c r="H10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18" spans="1:8" ht="15" customHeight="1" x14ac:dyDescent="0.25">
      <c r="A1018" t="str">
        <f>MID(TB_CECO[[#This Row],[CECO_T]],1,5)</f>
        <v>61003</v>
      </c>
      <c r="B1018" t="str">
        <f>MID(TB_CECO[[#This Row],[TRABAJO]],1,SEARCH(",",TB_CECO[[#This Row],[TRABAJO]],1)-1)</f>
        <v>GAL 150 SW (CX 150 NW)</v>
      </c>
      <c r="C10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NW),PERFORACION  </v>
      </c>
      <c r="D10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18" s="47" t="s">
        <v>1998</v>
      </c>
      <c r="G1018" t="s">
        <v>1999</v>
      </c>
      <c r="H10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19" spans="1:8" ht="15" customHeight="1" x14ac:dyDescent="0.25">
      <c r="A1019" t="str">
        <f>MID(TB_CECO[[#This Row],[CECO_T]],1,5)</f>
        <v>61004</v>
      </c>
      <c r="B1019" t="str">
        <f>MID(TB_CECO[[#This Row],[TRABAJO]],1,SEARCH(",",TB_CECO[[#This Row],[TRABAJO]],1)-1)</f>
        <v>GAL 150 NE (CX 150 NW)</v>
      </c>
      <c r="C10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NW),DESQUINCHE   </v>
      </c>
      <c r="D10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19" s="47" t="s">
        <v>2000</v>
      </c>
      <c r="G1019" t="s">
        <v>2001</v>
      </c>
      <c r="H10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20" spans="1:8" ht="15" customHeight="1" x14ac:dyDescent="0.25">
      <c r="A1020" t="str">
        <f>MID(TB_CECO[[#This Row],[CECO_T]],1,5)</f>
        <v>61004</v>
      </c>
      <c r="B1020" t="str">
        <f>MID(TB_CECO[[#This Row],[TRABAJO]],1,SEARCH(",",TB_CECO[[#This Row],[TRABAJO]],1)-1)</f>
        <v>GAL 150 NE (CX 150 NW)</v>
      </c>
      <c r="C10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NW),ENMADERADO   </v>
      </c>
      <c r="D10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20" s="47" t="s">
        <v>2002</v>
      </c>
      <c r="G1020" t="s">
        <v>2003</v>
      </c>
      <c r="H10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21" spans="1:8" ht="15" customHeight="1" x14ac:dyDescent="0.25">
      <c r="A1021" t="str">
        <f>MID(TB_CECO[[#This Row],[CECO_T]],1,5)</f>
        <v>61004</v>
      </c>
      <c r="B1021" t="str">
        <f>MID(TB_CECO[[#This Row],[TRABAJO]],1,SEARCH(",",TB_CECO[[#This Row],[TRABAJO]],1)-1)</f>
        <v>GAL 150 NE (CX 150 NW)</v>
      </c>
      <c r="C10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NW),LIMPIEZA     </v>
      </c>
      <c r="D10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21" s="47" t="s">
        <v>2004</v>
      </c>
      <c r="G1021" t="s">
        <v>2005</v>
      </c>
      <c r="H10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22" spans="1:8" ht="15" customHeight="1" x14ac:dyDescent="0.25">
      <c r="A1022" t="str">
        <f>MID(TB_CECO[[#This Row],[CECO_T]],1,5)</f>
        <v>61004</v>
      </c>
      <c r="B1022" t="str">
        <f>MID(TB_CECO[[#This Row],[TRABAJO]],1,SEARCH(",",TB_CECO[[#This Row],[TRABAJO]],1)-1)</f>
        <v>GAL 150 NE (CX 150 NW)</v>
      </c>
      <c r="C10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NW),SERVICIOS    </v>
      </c>
      <c r="D10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22" s="47" t="s">
        <v>2006</v>
      </c>
      <c r="G1022" t="s">
        <v>2007</v>
      </c>
      <c r="H10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23" spans="1:8" ht="15" customHeight="1" x14ac:dyDescent="0.25">
      <c r="A1023" t="str">
        <f>MID(TB_CECO[[#This Row],[CECO_T]],1,5)</f>
        <v>61004</v>
      </c>
      <c r="B1023" t="str">
        <f>MID(TB_CECO[[#This Row],[TRABAJO]],1,SEARCH(",",TB_CECO[[#This Row],[TRABAJO]],1)-1)</f>
        <v>GAL 150 NE (CX 150 NW)</v>
      </c>
      <c r="C10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NW),EXTRACCION   </v>
      </c>
      <c r="D10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23" s="47" t="s">
        <v>2008</v>
      </c>
      <c r="G1023" t="s">
        <v>2009</v>
      </c>
      <c r="H10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24" spans="1:8" ht="15" customHeight="1" x14ac:dyDescent="0.25">
      <c r="A1024" t="str">
        <f>MID(TB_CECO[[#This Row],[CECO_T]],1,5)</f>
        <v>61004</v>
      </c>
      <c r="B1024" t="str">
        <f>MID(TB_CECO[[#This Row],[TRABAJO]],1,SEARCH(",",TB_CECO[[#This Row],[TRABAJO]],1)-1)</f>
        <v>GAL 150 NE (CX 150 NW)</v>
      </c>
      <c r="C10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NW),SPLIT SET    </v>
      </c>
      <c r="D10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24" s="47" t="s">
        <v>2010</v>
      </c>
      <c r="G1024" t="s">
        <v>2011</v>
      </c>
      <c r="H10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25" spans="1:8" ht="15" customHeight="1" x14ac:dyDescent="0.25">
      <c r="A1025" t="str">
        <f>MID(TB_CECO[[#This Row],[CECO_T]],1,5)</f>
        <v>61004</v>
      </c>
      <c r="B1025" t="str">
        <f>MID(TB_CECO[[#This Row],[TRABAJO]],1,SEARCH(",",TB_CECO[[#This Row],[TRABAJO]],1)-1)</f>
        <v>GAL 150 NE (CX 150 NW)</v>
      </c>
      <c r="C10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NE (CX 150 NW),SPLIT CON MAL</v>
      </c>
      <c r="D10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25" s="47" t="s">
        <v>2012</v>
      </c>
      <c r="G1025" t="s">
        <v>2013</v>
      </c>
      <c r="H10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26" spans="1:8" ht="15" customHeight="1" x14ac:dyDescent="0.25">
      <c r="A1026" t="str">
        <f>MID(TB_CECO[[#This Row],[CECO_T]],1,5)</f>
        <v>61004</v>
      </c>
      <c r="B1026" t="str">
        <f>MID(TB_CECO[[#This Row],[TRABAJO]],1,SEARCH(",",TB_CECO[[#This Row],[TRABAJO]],1)-1)</f>
        <v>GAL 150 NE (CX 150 NW)</v>
      </c>
      <c r="C10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NE (CX 150 NW),IZAJE Y DESCE</v>
      </c>
      <c r="D10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26" s="47" t="s">
        <v>2014</v>
      </c>
      <c r="G1026" t="s">
        <v>2015</v>
      </c>
      <c r="H10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27" spans="1:8" ht="15" customHeight="1" x14ac:dyDescent="0.25">
      <c r="A1027" t="str">
        <f>MID(TB_CECO[[#This Row],[CECO_T]],1,5)</f>
        <v>61004</v>
      </c>
      <c r="B1027" t="str">
        <f>MID(TB_CECO[[#This Row],[TRABAJO]],1,SEARCH(",",TB_CECO[[#This Row],[TRABAJO]],1)-1)</f>
        <v>GAL 150 NE (CX 150 NW)</v>
      </c>
      <c r="C10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NW),PERFORACION  </v>
      </c>
      <c r="D10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27" s="47" t="s">
        <v>2016</v>
      </c>
      <c r="G1027" t="s">
        <v>2017</v>
      </c>
      <c r="H10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28" spans="1:8" ht="15" customHeight="1" x14ac:dyDescent="0.25">
      <c r="A1028" t="str">
        <f>MID(TB_CECO[[#This Row],[CECO_T]],1,5)</f>
        <v>61103</v>
      </c>
      <c r="B1028" t="str">
        <f>MID(TB_CECO[[#This Row],[TRABAJO]],1,SEARCH(",",TB_CECO[[#This Row],[TRABAJO]],1)-1)</f>
        <v>CX 150 NW (GAL 170 SW)</v>
      </c>
      <c r="C10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150 NW (GAL 170 SW),DESQUINCHE   </v>
      </c>
      <c r="D10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28" s="47" t="s">
        <v>2018</v>
      </c>
      <c r="G1028" t="s">
        <v>2019</v>
      </c>
      <c r="H10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29" spans="1:8" ht="15" customHeight="1" x14ac:dyDescent="0.25">
      <c r="A1029" t="str">
        <f>MID(TB_CECO[[#This Row],[CECO_T]],1,5)</f>
        <v>61103</v>
      </c>
      <c r="B1029" t="str">
        <f>MID(TB_CECO[[#This Row],[TRABAJO]],1,SEARCH(",",TB_CECO[[#This Row],[TRABAJO]],1)-1)</f>
        <v>CX 150 NW (GAL 170 SW)</v>
      </c>
      <c r="C10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150 NW (GAL 170 SW),ENMADERADO   </v>
      </c>
      <c r="D10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29" s="47" t="s">
        <v>2020</v>
      </c>
      <c r="G1029" t="s">
        <v>2021</v>
      </c>
      <c r="H10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30" spans="1:8" ht="15" customHeight="1" x14ac:dyDescent="0.25">
      <c r="A1030" t="str">
        <f>MID(TB_CECO[[#This Row],[CECO_T]],1,5)</f>
        <v>61103</v>
      </c>
      <c r="B1030" t="str">
        <f>MID(TB_CECO[[#This Row],[TRABAJO]],1,SEARCH(",",TB_CECO[[#This Row],[TRABAJO]],1)-1)</f>
        <v>CX 150 NW (GAL 170 SW)</v>
      </c>
      <c r="C10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150 NW (GAL 170 SW),LIMPIEZA     </v>
      </c>
      <c r="D10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30" s="47" t="s">
        <v>2022</v>
      </c>
      <c r="G1030" t="s">
        <v>2023</v>
      </c>
      <c r="H10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31" spans="1:8" ht="15" customHeight="1" x14ac:dyDescent="0.25">
      <c r="A1031" t="str">
        <f>MID(TB_CECO[[#This Row],[CECO_T]],1,5)</f>
        <v>61103</v>
      </c>
      <c r="B1031" t="str">
        <f>MID(TB_CECO[[#This Row],[TRABAJO]],1,SEARCH(",",TB_CECO[[#This Row],[TRABAJO]],1)-1)</f>
        <v>CX 150 NW (GAL 170 SW)</v>
      </c>
      <c r="C10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150 NW (GAL 170 SW),SERVICIOS    </v>
      </c>
      <c r="D10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31" s="47" t="s">
        <v>2024</v>
      </c>
      <c r="G1031" t="s">
        <v>2025</v>
      </c>
      <c r="H10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32" spans="1:8" ht="15" customHeight="1" x14ac:dyDescent="0.25">
      <c r="A1032" t="str">
        <f>MID(TB_CECO[[#This Row],[CECO_T]],1,5)</f>
        <v>61103</v>
      </c>
      <c r="B1032" t="str">
        <f>MID(TB_CECO[[#This Row],[TRABAJO]],1,SEARCH(",",TB_CECO[[#This Row],[TRABAJO]],1)-1)</f>
        <v>CX 150 NW (GAL 170 SW)</v>
      </c>
      <c r="C10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150 NW (GAL 170 SW),EXTRACCION   </v>
      </c>
      <c r="D10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32" s="47" t="s">
        <v>2026</v>
      </c>
      <c r="G1032" t="s">
        <v>2027</v>
      </c>
      <c r="H10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33" spans="1:8" ht="15" customHeight="1" x14ac:dyDescent="0.25">
      <c r="A1033" t="str">
        <f>MID(TB_CECO[[#This Row],[CECO_T]],1,5)</f>
        <v>61103</v>
      </c>
      <c r="B1033" t="str">
        <f>MID(TB_CECO[[#This Row],[TRABAJO]],1,SEARCH(",",TB_CECO[[#This Row],[TRABAJO]],1)-1)</f>
        <v>CX 150 NW (GAL 170 SW)</v>
      </c>
      <c r="C10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150 NW (GAL 170 SW),SPLIT SET    </v>
      </c>
      <c r="D10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33" s="47" t="s">
        <v>2028</v>
      </c>
      <c r="G1033" t="s">
        <v>2029</v>
      </c>
      <c r="H10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34" spans="1:8" ht="15" customHeight="1" x14ac:dyDescent="0.25">
      <c r="A1034" t="str">
        <f>MID(TB_CECO[[#This Row],[CECO_T]],1,5)</f>
        <v>61103</v>
      </c>
      <c r="B1034" t="str">
        <f>MID(TB_CECO[[#This Row],[TRABAJO]],1,SEARCH(",",TB_CECO[[#This Row],[TRABAJO]],1)-1)</f>
        <v>CX 150 NW (GAL 170 SW)</v>
      </c>
      <c r="C10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150 NW (GAL 170 SW),SPLIT CON MAL</v>
      </c>
      <c r="D10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34" s="47" t="s">
        <v>2030</v>
      </c>
      <c r="G1034" t="s">
        <v>2031</v>
      </c>
      <c r="H10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35" spans="1:8" ht="15" customHeight="1" x14ac:dyDescent="0.25">
      <c r="A1035" t="str">
        <f>MID(TB_CECO[[#This Row],[CECO_T]],1,5)</f>
        <v>61103</v>
      </c>
      <c r="B1035" t="str">
        <f>MID(TB_CECO[[#This Row],[TRABAJO]],1,SEARCH(",",TB_CECO[[#This Row],[TRABAJO]],1)-1)</f>
        <v>CX 150 NW (GAL 170 SW)</v>
      </c>
      <c r="C10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150 NW (GAL 170 SW),IZAJE Y DESCE</v>
      </c>
      <c r="D10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35" s="47" t="s">
        <v>2032</v>
      </c>
      <c r="G1035" t="s">
        <v>2033</v>
      </c>
      <c r="H10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36" spans="1:8" ht="15" customHeight="1" x14ac:dyDescent="0.25">
      <c r="A1036" t="str">
        <f>MID(TB_CECO[[#This Row],[CECO_T]],1,5)</f>
        <v>61103</v>
      </c>
      <c r="B1036" t="str">
        <f>MID(TB_CECO[[#This Row],[TRABAJO]],1,SEARCH(",",TB_CECO[[#This Row],[TRABAJO]],1)-1)</f>
        <v>CX 150 NW (GAL 170 SW)</v>
      </c>
      <c r="C10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150 NW (GAL 170 SW),PERFORACION  </v>
      </c>
      <c r="D10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36" s="47" t="s">
        <v>2034</v>
      </c>
      <c r="G1036" t="s">
        <v>2035</v>
      </c>
      <c r="H10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37" spans="1:8" ht="15" customHeight="1" x14ac:dyDescent="0.25">
      <c r="A1037" t="str">
        <f>MID(TB_CECO[[#This Row],[CECO_T]],1,5)</f>
        <v>61107</v>
      </c>
      <c r="B1037" t="str">
        <f>MID(TB_CECO[[#This Row],[TRABAJO]],1,SEARCH(",",TB_CECO[[#This Row],[TRABAJO]],1)-1)</f>
        <v>CX 074 SW (CX 150 NW )</v>
      </c>
      <c r="C10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074 SW (CX 150 NW ),DESQUINCHE   </v>
      </c>
      <c r="D10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37" s="47" t="s">
        <v>2036</v>
      </c>
      <c r="G1037" t="s">
        <v>2037</v>
      </c>
      <c r="H10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38" spans="1:8" ht="15" customHeight="1" x14ac:dyDescent="0.25">
      <c r="A1038" t="str">
        <f>MID(TB_CECO[[#This Row],[CECO_T]],1,5)</f>
        <v>61107</v>
      </c>
      <c r="B1038" t="str">
        <f>MID(TB_CECO[[#This Row],[TRABAJO]],1,SEARCH(",",TB_CECO[[#This Row],[TRABAJO]],1)-1)</f>
        <v>CX 074 SW (CX 150 NW )</v>
      </c>
      <c r="C10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074 SW (CX 150 NW ),ENMADERADO   </v>
      </c>
      <c r="D10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38" s="47" t="s">
        <v>2038</v>
      </c>
      <c r="G1038" t="s">
        <v>2039</v>
      </c>
      <c r="H10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39" spans="1:8" ht="15" customHeight="1" x14ac:dyDescent="0.25">
      <c r="A1039" t="str">
        <f>MID(TB_CECO[[#This Row],[CECO_T]],1,5)</f>
        <v>61107</v>
      </c>
      <c r="B1039" t="str">
        <f>MID(TB_CECO[[#This Row],[TRABAJO]],1,SEARCH(",",TB_CECO[[#This Row],[TRABAJO]],1)-1)</f>
        <v>CX 074 SW (CX 150 NW )</v>
      </c>
      <c r="C10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074 SW (CX 150 NW ),LIMPIEZA     </v>
      </c>
      <c r="D10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39" s="47" t="s">
        <v>2040</v>
      </c>
      <c r="G1039" t="s">
        <v>2041</v>
      </c>
      <c r="H10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40" spans="1:8" ht="15" customHeight="1" x14ac:dyDescent="0.25">
      <c r="A1040" t="str">
        <f>MID(TB_CECO[[#This Row],[CECO_T]],1,5)</f>
        <v>61107</v>
      </c>
      <c r="B1040" t="str">
        <f>MID(TB_CECO[[#This Row],[TRABAJO]],1,SEARCH(",",TB_CECO[[#This Row],[TRABAJO]],1)-1)</f>
        <v>CX 074 SW (CX 150 NW )</v>
      </c>
      <c r="C10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074 SW (CX 150 NW ),SERVICIOS    </v>
      </c>
      <c r="D10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40" s="47" t="s">
        <v>2042</v>
      </c>
      <c r="G1040" t="s">
        <v>2043</v>
      </c>
      <c r="H10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41" spans="1:8" ht="15" customHeight="1" x14ac:dyDescent="0.25">
      <c r="A1041" t="str">
        <f>MID(TB_CECO[[#This Row],[CECO_T]],1,5)</f>
        <v>61107</v>
      </c>
      <c r="B1041" t="str">
        <f>MID(TB_CECO[[#This Row],[TRABAJO]],1,SEARCH(",",TB_CECO[[#This Row],[TRABAJO]],1)-1)</f>
        <v>CX 074 SW (CX 150 NW )</v>
      </c>
      <c r="C10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074 SW (CX 150 NW ),EXTRACCION   </v>
      </c>
      <c r="D10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41" s="47" t="s">
        <v>2044</v>
      </c>
      <c r="G1041" t="s">
        <v>2045</v>
      </c>
      <c r="H10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42" spans="1:8" ht="15" customHeight="1" x14ac:dyDescent="0.25">
      <c r="A1042" t="str">
        <f>MID(TB_CECO[[#This Row],[CECO_T]],1,5)</f>
        <v>61107</v>
      </c>
      <c r="B1042" t="str">
        <f>MID(TB_CECO[[#This Row],[TRABAJO]],1,SEARCH(",",TB_CECO[[#This Row],[TRABAJO]],1)-1)</f>
        <v>CX 074 SW (CX 150 NW )</v>
      </c>
      <c r="C10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074 SW (CX 150 NW ),SPLIT SET    </v>
      </c>
      <c r="D10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42" s="47" t="s">
        <v>2046</v>
      </c>
      <c r="G1042" t="s">
        <v>2047</v>
      </c>
      <c r="H10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43" spans="1:8" ht="15" customHeight="1" x14ac:dyDescent="0.25">
      <c r="A1043" t="str">
        <f>MID(TB_CECO[[#This Row],[CECO_T]],1,5)</f>
        <v>61107</v>
      </c>
      <c r="B1043" t="str">
        <f>MID(TB_CECO[[#This Row],[TRABAJO]],1,SEARCH(",",TB_CECO[[#This Row],[TRABAJO]],1)-1)</f>
        <v>CX 074 SW (CX 150 NW )</v>
      </c>
      <c r="C10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074 SW (CX 150 NW ),SPLIT CON MAL</v>
      </c>
      <c r="D10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43" s="47" t="s">
        <v>2048</v>
      </c>
      <c r="G1043" t="s">
        <v>2049</v>
      </c>
      <c r="H10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44" spans="1:8" ht="15" customHeight="1" x14ac:dyDescent="0.25">
      <c r="A1044" t="str">
        <f>MID(TB_CECO[[#This Row],[CECO_T]],1,5)</f>
        <v>61107</v>
      </c>
      <c r="B1044" t="str">
        <f>MID(TB_CECO[[#This Row],[TRABAJO]],1,SEARCH(",",TB_CECO[[#This Row],[TRABAJO]],1)-1)</f>
        <v>CX 074 SW (CX 150 NW )</v>
      </c>
      <c r="C10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074 SW (CX 150 NW ),IZAJE Y DESCE</v>
      </c>
      <c r="D10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44" s="47" t="s">
        <v>2050</v>
      </c>
      <c r="G1044" t="s">
        <v>2051</v>
      </c>
      <c r="H10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45" spans="1:8" ht="15" customHeight="1" x14ac:dyDescent="0.25">
      <c r="A1045" t="str">
        <f>MID(TB_CECO[[#This Row],[CECO_T]],1,5)</f>
        <v>61107</v>
      </c>
      <c r="B1045" t="str">
        <f>MID(TB_CECO[[#This Row],[TRABAJO]],1,SEARCH(",",TB_CECO[[#This Row],[TRABAJO]],1)-1)</f>
        <v>CX 074 SW (CX 150 NW )</v>
      </c>
      <c r="C10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074 SW (CX 150 NW ),PERFORACION  </v>
      </c>
      <c r="D10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45" s="47" t="s">
        <v>2052</v>
      </c>
      <c r="G1045" t="s">
        <v>2053</v>
      </c>
      <c r="H10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46" spans="1:8" ht="15" customHeight="1" x14ac:dyDescent="0.25">
      <c r="A1046" t="str">
        <f>MID(TB_CECO[[#This Row],[CECO_T]],1,5)</f>
        <v>61219</v>
      </c>
      <c r="B1046" t="str">
        <f>MID(TB_CECO[[#This Row],[TRABAJO]],1,SEARCH(",",TB_CECO[[#This Row],[TRABAJO]],1)-1)</f>
        <v>CH 125 (CX 150 NW)</v>
      </c>
      <c r="C10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NW),DESQUINCHE       </v>
      </c>
      <c r="D10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46" s="47" t="s">
        <v>2054</v>
      </c>
      <c r="G1046" t="s">
        <v>2055</v>
      </c>
      <c r="H10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47" spans="1:8" ht="15" customHeight="1" x14ac:dyDescent="0.25">
      <c r="A1047" t="str">
        <f>MID(TB_CECO[[#This Row],[CECO_T]],1,5)</f>
        <v>61219</v>
      </c>
      <c r="B1047" t="str">
        <f>MID(TB_CECO[[#This Row],[TRABAJO]],1,SEARCH(",",TB_CECO[[#This Row],[TRABAJO]],1)-1)</f>
        <v>CH 125 (CX 150 NW)</v>
      </c>
      <c r="C10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NW),ENMADERADO       </v>
      </c>
      <c r="D10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47" s="47" t="s">
        <v>2056</v>
      </c>
      <c r="G1047" t="s">
        <v>2057</v>
      </c>
      <c r="H10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48" spans="1:8" ht="15" customHeight="1" x14ac:dyDescent="0.25">
      <c r="A1048" t="str">
        <f>MID(TB_CECO[[#This Row],[CECO_T]],1,5)</f>
        <v>61219</v>
      </c>
      <c r="B1048" t="str">
        <f>MID(TB_CECO[[#This Row],[TRABAJO]],1,SEARCH(",",TB_CECO[[#This Row],[TRABAJO]],1)-1)</f>
        <v>CH 125 (CX 150 NW)</v>
      </c>
      <c r="C10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NW),LIMPIEZA         </v>
      </c>
      <c r="D10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48" s="47" t="s">
        <v>2058</v>
      </c>
      <c r="G1048" t="s">
        <v>2059</v>
      </c>
      <c r="H10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49" spans="1:8" ht="15" customHeight="1" x14ac:dyDescent="0.25">
      <c r="A1049" t="str">
        <f>MID(TB_CECO[[#This Row],[CECO_T]],1,5)</f>
        <v>61219</v>
      </c>
      <c r="B1049" t="str">
        <f>MID(TB_CECO[[#This Row],[TRABAJO]],1,SEARCH(",",TB_CECO[[#This Row],[TRABAJO]],1)-1)</f>
        <v>CH 125 (CX 150 NW)</v>
      </c>
      <c r="C10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NW),SERVICIOS        </v>
      </c>
      <c r="D10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49" s="47" t="s">
        <v>2060</v>
      </c>
      <c r="G1049" t="s">
        <v>2061</v>
      </c>
      <c r="H10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50" spans="1:8" ht="15" customHeight="1" x14ac:dyDescent="0.25">
      <c r="A1050" t="str">
        <f>MID(TB_CECO[[#This Row],[CECO_T]],1,5)</f>
        <v>61219</v>
      </c>
      <c r="B1050" t="str">
        <f>MID(TB_CECO[[#This Row],[TRABAJO]],1,SEARCH(",",TB_CECO[[#This Row],[TRABAJO]],1)-1)</f>
        <v>CH 125 (CX 150 NW)</v>
      </c>
      <c r="C10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NW),EXTRACCION       </v>
      </c>
      <c r="D10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50" s="47" t="s">
        <v>2062</v>
      </c>
      <c r="G1050" t="s">
        <v>2063</v>
      </c>
      <c r="H10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51" spans="1:8" ht="15" customHeight="1" x14ac:dyDescent="0.25">
      <c r="A1051" t="str">
        <f>MID(TB_CECO[[#This Row],[CECO_T]],1,5)</f>
        <v>61219</v>
      </c>
      <c r="B1051" t="str">
        <f>MID(TB_CECO[[#This Row],[TRABAJO]],1,SEARCH(",",TB_CECO[[#This Row],[TRABAJO]],1)-1)</f>
        <v>CH 125 (CX 150 NW)</v>
      </c>
      <c r="C10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NW),SPLIT SET        </v>
      </c>
      <c r="D10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51" s="47" t="s">
        <v>2064</v>
      </c>
      <c r="G1051" t="s">
        <v>2065</v>
      </c>
      <c r="H10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52" spans="1:8" ht="15" customHeight="1" x14ac:dyDescent="0.25">
      <c r="A1052" t="str">
        <f>MID(TB_CECO[[#This Row],[CECO_T]],1,5)</f>
        <v>61219</v>
      </c>
      <c r="B1052" t="str">
        <f>MID(TB_CECO[[#This Row],[TRABAJO]],1,SEARCH(",",TB_CECO[[#This Row],[TRABAJO]],1)-1)</f>
        <v>CH 125 (CX 150 NW)</v>
      </c>
      <c r="C10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NW),SPLIT CON MALLA  </v>
      </c>
      <c r="D10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52" s="47" t="s">
        <v>2066</v>
      </c>
      <c r="G1052" t="s">
        <v>2067</v>
      </c>
      <c r="H10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53" spans="1:8" ht="15" customHeight="1" x14ac:dyDescent="0.25">
      <c r="A1053" t="str">
        <f>MID(TB_CECO[[#This Row],[CECO_T]],1,5)</f>
        <v>61219</v>
      </c>
      <c r="B1053" t="str">
        <f>MID(TB_CECO[[#This Row],[TRABAJO]],1,SEARCH(",",TB_CECO[[#This Row],[TRABAJO]],1)-1)</f>
        <v>CH 125 (CX 150 NW)</v>
      </c>
      <c r="C10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NW),IZAJE Y DESCENSO </v>
      </c>
      <c r="D10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53" s="47" t="s">
        <v>2068</v>
      </c>
      <c r="G1053" t="s">
        <v>2069</v>
      </c>
      <c r="H10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54" spans="1:8" ht="15" customHeight="1" x14ac:dyDescent="0.25">
      <c r="A1054" t="str">
        <f>MID(TB_CECO[[#This Row],[CECO_T]],1,5)</f>
        <v>61219</v>
      </c>
      <c r="B1054" t="str">
        <f>MID(TB_CECO[[#This Row],[TRABAJO]],1,SEARCH(",",TB_CECO[[#This Row],[TRABAJO]],1)-1)</f>
        <v>CH 125 (CX 150 NW)</v>
      </c>
      <c r="C10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NW),PERFORACION      </v>
      </c>
      <c r="D10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54" s="47" t="s">
        <v>2070</v>
      </c>
      <c r="G1054" t="s">
        <v>2071</v>
      </c>
      <c r="H10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55" spans="1:8" ht="15" customHeight="1" x14ac:dyDescent="0.25">
      <c r="A1055" t="str">
        <f>MID(TB_CECO[[#This Row],[CECO_T]],1,5)</f>
        <v>61222</v>
      </c>
      <c r="B1055" t="str">
        <f>MID(TB_CECO[[#This Row],[TRABAJO]],1,SEARCH(",",TB_CECO[[#This Row],[TRABAJO]],1)-1)</f>
        <v>CH 080 (GAL 150 SW)</v>
      </c>
      <c r="C10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SW),DESQUINCHE      </v>
      </c>
      <c r="D10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55" s="47" t="s">
        <v>2072</v>
      </c>
      <c r="G1055" t="s">
        <v>2073</v>
      </c>
      <c r="H10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56" spans="1:8" ht="15" customHeight="1" x14ac:dyDescent="0.25">
      <c r="A1056" t="str">
        <f>MID(TB_CECO[[#This Row],[CECO_T]],1,5)</f>
        <v>61222</v>
      </c>
      <c r="B1056" t="str">
        <f>MID(TB_CECO[[#This Row],[TRABAJO]],1,SEARCH(",",TB_CECO[[#This Row],[TRABAJO]],1)-1)</f>
        <v>CH 080 (GAL 150 SW)</v>
      </c>
      <c r="C10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SW),ENMADERADO      </v>
      </c>
      <c r="D10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56" s="47" t="s">
        <v>2074</v>
      </c>
      <c r="G1056" t="s">
        <v>2075</v>
      </c>
      <c r="H10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57" spans="1:8" ht="15" customHeight="1" x14ac:dyDescent="0.25">
      <c r="A1057" t="str">
        <f>MID(TB_CECO[[#This Row],[CECO_T]],1,5)</f>
        <v>61222</v>
      </c>
      <c r="B1057" t="str">
        <f>MID(TB_CECO[[#This Row],[TRABAJO]],1,SEARCH(",",TB_CECO[[#This Row],[TRABAJO]],1)-1)</f>
        <v>CH 080 (GAL 150 SW)</v>
      </c>
      <c r="C10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SW),LIMPIEZA        </v>
      </c>
      <c r="D10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57" s="47" t="s">
        <v>2076</v>
      </c>
      <c r="G1057" t="s">
        <v>2077</v>
      </c>
      <c r="H10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58" spans="1:8" ht="15" customHeight="1" x14ac:dyDescent="0.25">
      <c r="A1058" t="str">
        <f>MID(TB_CECO[[#This Row],[CECO_T]],1,5)</f>
        <v>61222</v>
      </c>
      <c r="B1058" t="str">
        <f>MID(TB_CECO[[#This Row],[TRABAJO]],1,SEARCH(",",TB_CECO[[#This Row],[TRABAJO]],1)-1)</f>
        <v>CH 080 (GAL 150 SW)</v>
      </c>
      <c r="C10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SW),SERVICIOS       </v>
      </c>
      <c r="D10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58" s="47" t="s">
        <v>2078</v>
      </c>
      <c r="G1058" t="s">
        <v>2079</v>
      </c>
      <c r="H10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59" spans="1:8" ht="15" customHeight="1" x14ac:dyDescent="0.25">
      <c r="A1059" t="str">
        <f>MID(TB_CECO[[#This Row],[CECO_T]],1,5)</f>
        <v>61222</v>
      </c>
      <c r="B1059" t="str">
        <f>MID(TB_CECO[[#This Row],[TRABAJO]],1,SEARCH(",",TB_CECO[[#This Row],[TRABAJO]],1)-1)</f>
        <v>CH 080 (GAL 150 SW)</v>
      </c>
      <c r="C10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SW),EXTRACCION      </v>
      </c>
      <c r="D10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59" s="47" t="s">
        <v>2080</v>
      </c>
      <c r="G1059" t="s">
        <v>2081</v>
      </c>
      <c r="H10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60" spans="1:8" ht="15" customHeight="1" x14ac:dyDescent="0.25">
      <c r="A1060" t="str">
        <f>MID(TB_CECO[[#This Row],[CECO_T]],1,5)</f>
        <v>61222</v>
      </c>
      <c r="B1060" t="str">
        <f>MID(TB_CECO[[#This Row],[TRABAJO]],1,SEARCH(",",TB_CECO[[#This Row],[TRABAJO]],1)-1)</f>
        <v>CH 080 (GAL 150 SW)</v>
      </c>
      <c r="C10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SW),SPLIT SET       </v>
      </c>
      <c r="D10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60" s="47" t="s">
        <v>2082</v>
      </c>
      <c r="G1060" t="s">
        <v>2083</v>
      </c>
      <c r="H10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61" spans="1:8" ht="15" customHeight="1" x14ac:dyDescent="0.25">
      <c r="A1061" t="str">
        <f>MID(TB_CECO[[#This Row],[CECO_T]],1,5)</f>
        <v>61222</v>
      </c>
      <c r="B1061" t="str">
        <f>MID(TB_CECO[[#This Row],[TRABAJO]],1,SEARCH(",",TB_CECO[[#This Row],[TRABAJO]],1)-1)</f>
        <v>CH 080 (GAL 150 SW)</v>
      </c>
      <c r="C10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SW),SPLIT CON MALLA </v>
      </c>
      <c r="D10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61" s="47" t="s">
        <v>2084</v>
      </c>
      <c r="G1061" t="s">
        <v>2085</v>
      </c>
      <c r="H10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62" spans="1:8" ht="15" customHeight="1" x14ac:dyDescent="0.25">
      <c r="A1062" t="str">
        <f>MID(TB_CECO[[#This Row],[CECO_T]],1,5)</f>
        <v>61222</v>
      </c>
      <c r="B1062" t="str">
        <f>MID(TB_CECO[[#This Row],[TRABAJO]],1,SEARCH(",",TB_CECO[[#This Row],[TRABAJO]],1)-1)</f>
        <v>CH 080 (GAL 150 SW)</v>
      </c>
      <c r="C10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080 (GAL 150 SW),IZAJE Y DESCENSO</v>
      </c>
      <c r="D10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62" s="47" t="s">
        <v>2086</v>
      </c>
      <c r="G1062" t="s">
        <v>2087</v>
      </c>
      <c r="H10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63" spans="1:8" ht="15" customHeight="1" x14ac:dyDescent="0.25">
      <c r="A1063" t="str">
        <f>MID(TB_CECO[[#This Row],[CECO_T]],1,5)</f>
        <v>61222</v>
      </c>
      <c r="B1063" t="str">
        <f>MID(TB_CECO[[#This Row],[TRABAJO]],1,SEARCH(",",TB_CECO[[#This Row],[TRABAJO]],1)-1)</f>
        <v>CH 080 (GAL 150 SW)</v>
      </c>
      <c r="C10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SW),PERFORACION     </v>
      </c>
      <c r="D10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63" s="47" t="s">
        <v>2088</v>
      </c>
      <c r="G1063" t="s">
        <v>2089</v>
      </c>
      <c r="H10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64" spans="1:8" ht="15" customHeight="1" x14ac:dyDescent="0.25">
      <c r="A1064" t="str">
        <f>MID(TB_CECO[[#This Row],[CECO_T]],1,5)</f>
        <v>61435</v>
      </c>
      <c r="B1064" t="str">
        <f>MID(TB_CECO[[#This Row],[TRABAJO]],1,SEARCH(",",TB_CECO[[#This Row],[TRABAJO]],1)-1)</f>
        <v>SNV 125 NE (CX 150 NW)</v>
      </c>
      <c r="C10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NE (CX 150 NW),DESQUINCHE   </v>
      </c>
      <c r="D10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64" s="47" t="s">
        <v>2090</v>
      </c>
      <c r="G1064" t="s">
        <v>2091</v>
      </c>
      <c r="H10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65" spans="1:8" ht="15" customHeight="1" x14ac:dyDescent="0.25">
      <c r="A1065" t="str">
        <f>MID(TB_CECO[[#This Row],[CECO_T]],1,5)</f>
        <v>61435</v>
      </c>
      <c r="B1065" t="str">
        <f>MID(TB_CECO[[#This Row],[TRABAJO]],1,SEARCH(",",TB_CECO[[#This Row],[TRABAJO]],1)-1)</f>
        <v>SNV 125 NE (CX 150 NW)</v>
      </c>
      <c r="C10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NE (CX 150 NW),ENMADERADO   </v>
      </c>
      <c r="D10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65" s="47" t="s">
        <v>2092</v>
      </c>
      <c r="G1065" t="s">
        <v>2093</v>
      </c>
      <c r="H10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66" spans="1:8" ht="15" customHeight="1" x14ac:dyDescent="0.25">
      <c r="A1066" t="str">
        <f>MID(TB_CECO[[#This Row],[CECO_T]],1,5)</f>
        <v>61435</v>
      </c>
      <c r="B1066" t="str">
        <f>MID(TB_CECO[[#This Row],[TRABAJO]],1,SEARCH(",",TB_CECO[[#This Row],[TRABAJO]],1)-1)</f>
        <v>SNV 125 NE (CX 150 NW)</v>
      </c>
      <c r="C10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NE (CX 150 NW),LIMPIEZA     </v>
      </c>
      <c r="D10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66" s="47" t="s">
        <v>2094</v>
      </c>
      <c r="G1066" t="s">
        <v>2095</v>
      </c>
      <c r="H10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67" spans="1:8" ht="15" customHeight="1" x14ac:dyDescent="0.25">
      <c r="A1067" t="str">
        <f>MID(TB_CECO[[#This Row],[CECO_T]],1,5)</f>
        <v>61435</v>
      </c>
      <c r="B1067" t="str">
        <f>MID(TB_CECO[[#This Row],[TRABAJO]],1,SEARCH(",",TB_CECO[[#This Row],[TRABAJO]],1)-1)</f>
        <v>SNV 125 NE (CX 150 NW)</v>
      </c>
      <c r="C10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NE (CX 150 NW),SERVICIOS    </v>
      </c>
      <c r="D10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67" s="47" t="s">
        <v>2096</v>
      </c>
      <c r="G1067" t="s">
        <v>2097</v>
      </c>
      <c r="H10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68" spans="1:8" ht="15" customHeight="1" x14ac:dyDescent="0.25">
      <c r="A1068" t="str">
        <f>MID(TB_CECO[[#This Row],[CECO_T]],1,5)</f>
        <v>61435</v>
      </c>
      <c r="B1068" t="str">
        <f>MID(TB_CECO[[#This Row],[TRABAJO]],1,SEARCH(",",TB_CECO[[#This Row],[TRABAJO]],1)-1)</f>
        <v>SNV 125 NE (CX 150 NW)</v>
      </c>
      <c r="C10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NE (CX 150 NW),EXTRACCION   </v>
      </c>
      <c r="D10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68" s="47" t="s">
        <v>2098</v>
      </c>
      <c r="G1068" t="s">
        <v>2099</v>
      </c>
      <c r="H10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69" spans="1:8" ht="15" customHeight="1" x14ac:dyDescent="0.25">
      <c r="A1069" t="str">
        <f>MID(TB_CECO[[#This Row],[CECO_T]],1,5)</f>
        <v>61435</v>
      </c>
      <c r="B1069" t="str">
        <f>MID(TB_CECO[[#This Row],[TRABAJO]],1,SEARCH(",",TB_CECO[[#This Row],[TRABAJO]],1)-1)</f>
        <v>SNV 125 NE (CX 150 NW)</v>
      </c>
      <c r="C10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NE (CX 150 NW),SPLIT SET    </v>
      </c>
      <c r="D10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69" s="47" t="s">
        <v>2100</v>
      </c>
      <c r="G1069" t="s">
        <v>2101</v>
      </c>
      <c r="H10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70" spans="1:8" ht="15" customHeight="1" x14ac:dyDescent="0.25">
      <c r="A1070" t="str">
        <f>MID(TB_CECO[[#This Row],[CECO_T]],1,5)</f>
        <v>61435</v>
      </c>
      <c r="B1070" t="str">
        <f>MID(TB_CECO[[#This Row],[TRABAJO]],1,SEARCH(",",TB_CECO[[#This Row],[TRABAJO]],1)-1)</f>
        <v>SNV 125 NE (CX 150 NW)</v>
      </c>
      <c r="C10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NE (CX 150 NW),SPLIT CON MAL</v>
      </c>
      <c r="D10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70" s="47" t="s">
        <v>2102</v>
      </c>
      <c r="G1070" t="s">
        <v>2103</v>
      </c>
      <c r="H10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71" spans="1:8" ht="15" customHeight="1" x14ac:dyDescent="0.25">
      <c r="A1071" t="str">
        <f>MID(TB_CECO[[#This Row],[CECO_T]],1,5)</f>
        <v>61435</v>
      </c>
      <c r="B1071" t="str">
        <f>MID(TB_CECO[[#This Row],[TRABAJO]],1,SEARCH(",",TB_CECO[[#This Row],[TRABAJO]],1)-1)</f>
        <v>SNV 125 NE (CX 150 NW)</v>
      </c>
      <c r="C10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NE (CX 150 NW),IZAJE Y DESCE</v>
      </c>
      <c r="D10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71" s="47" t="s">
        <v>2104</v>
      </c>
      <c r="G1071" t="s">
        <v>2105</v>
      </c>
      <c r="H10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72" spans="1:8" ht="15" customHeight="1" x14ac:dyDescent="0.25">
      <c r="A1072" t="str">
        <f>MID(TB_CECO[[#This Row],[CECO_T]],1,5)</f>
        <v>61435</v>
      </c>
      <c r="B1072" t="str">
        <f>MID(TB_CECO[[#This Row],[TRABAJO]],1,SEARCH(",",TB_CECO[[#This Row],[TRABAJO]],1)-1)</f>
        <v>SNV 125 NE (CX 150 NW)</v>
      </c>
      <c r="C10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NE (CX 150 NW),PERFORACION  </v>
      </c>
      <c r="D10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72" s="47" t="s">
        <v>2106</v>
      </c>
      <c r="G1072" t="s">
        <v>2107</v>
      </c>
      <c r="H10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73" spans="1:8" ht="15" customHeight="1" x14ac:dyDescent="0.25">
      <c r="A1073" t="str">
        <f>MID(TB_CECO[[#This Row],[CECO_T]],1,5)</f>
        <v>61436</v>
      </c>
      <c r="B1073" t="str">
        <f>MID(TB_CECO[[#This Row],[TRABAJO]],1,SEARCH(",",TB_CECO[[#This Row],[TRABAJO]],1)-1)</f>
        <v>SNV 125 SW (CX 150 NW)</v>
      </c>
      <c r="C10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SW (CX 150 NW),DESQUINCHE   </v>
      </c>
      <c r="D10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73" s="47" t="s">
        <v>2108</v>
      </c>
      <c r="G1073" t="s">
        <v>2109</v>
      </c>
      <c r="H10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74" spans="1:8" ht="15" customHeight="1" x14ac:dyDescent="0.25">
      <c r="A1074" t="str">
        <f>MID(TB_CECO[[#This Row],[CECO_T]],1,5)</f>
        <v>61436</v>
      </c>
      <c r="B1074" t="str">
        <f>MID(TB_CECO[[#This Row],[TRABAJO]],1,SEARCH(",",TB_CECO[[#This Row],[TRABAJO]],1)-1)</f>
        <v>SNV 125 SW (CX 150 NW)</v>
      </c>
      <c r="C10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SW (CX 150 NW),ENMADERADO   </v>
      </c>
      <c r="D10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74" s="47" t="s">
        <v>2110</v>
      </c>
      <c r="G1074" t="s">
        <v>2111</v>
      </c>
      <c r="H10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75" spans="1:8" ht="15" customHeight="1" x14ac:dyDescent="0.25">
      <c r="A1075" t="str">
        <f>MID(TB_CECO[[#This Row],[CECO_T]],1,5)</f>
        <v>61436</v>
      </c>
      <c r="B1075" t="str">
        <f>MID(TB_CECO[[#This Row],[TRABAJO]],1,SEARCH(",",TB_CECO[[#This Row],[TRABAJO]],1)-1)</f>
        <v>SNV 125 SW (CX 150 NW)</v>
      </c>
      <c r="C10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SW (CX 150 NW),LIMPIEZA     </v>
      </c>
      <c r="D10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75" s="47" t="s">
        <v>2112</v>
      </c>
      <c r="G1075" t="s">
        <v>2113</v>
      </c>
      <c r="H10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76" spans="1:8" ht="15" customHeight="1" x14ac:dyDescent="0.25">
      <c r="A1076" t="str">
        <f>MID(TB_CECO[[#This Row],[CECO_T]],1,5)</f>
        <v>61436</v>
      </c>
      <c r="B1076" t="str">
        <f>MID(TB_CECO[[#This Row],[TRABAJO]],1,SEARCH(",",TB_CECO[[#This Row],[TRABAJO]],1)-1)</f>
        <v>SNV 125 SW (CX 150 NW)</v>
      </c>
      <c r="C10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SW (CX 150 NW),SERVICIOS    </v>
      </c>
      <c r="D10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76" s="47" t="s">
        <v>2114</v>
      </c>
      <c r="G1076" t="s">
        <v>2115</v>
      </c>
      <c r="H10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77" spans="1:8" ht="15" customHeight="1" x14ac:dyDescent="0.25">
      <c r="A1077" t="str">
        <f>MID(TB_CECO[[#This Row],[CECO_T]],1,5)</f>
        <v>61436</v>
      </c>
      <c r="B1077" t="str">
        <f>MID(TB_CECO[[#This Row],[TRABAJO]],1,SEARCH(",",TB_CECO[[#This Row],[TRABAJO]],1)-1)</f>
        <v>SNV 125 SW (CX 150 NW)</v>
      </c>
      <c r="C10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SW (CX 150 NW),EXTRACCION   </v>
      </c>
      <c r="D10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77" s="47" t="s">
        <v>2116</v>
      </c>
      <c r="G1077" t="s">
        <v>2117</v>
      </c>
      <c r="H10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78" spans="1:8" ht="15" customHeight="1" x14ac:dyDescent="0.25">
      <c r="A1078" t="str">
        <f>MID(TB_CECO[[#This Row],[CECO_T]],1,5)</f>
        <v>61436</v>
      </c>
      <c r="B1078" t="str">
        <f>MID(TB_CECO[[#This Row],[TRABAJO]],1,SEARCH(",",TB_CECO[[#This Row],[TRABAJO]],1)-1)</f>
        <v>SNV 125 SW (CX 150 NW)</v>
      </c>
      <c r="C10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SW (CX 150 NW),SPLIT SET    </v>
      </c>
      <c r="D10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78" s="47" t="s">
        <v>2118</v>
      </c>
      <c r="G1078" t="s">
        <v>2119</v>
      </c>
      <c r="H10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79" spans="1:8" ht="15" customHeight="1" x14ac:dyDescent="0.25">
      <c r="A1079" t="str">
        <f>MID(TB_CECO[[#This Row],[CECO_T]],1,5)</f>
        <v>61436</v>
      </c>
      <c r="B1079" t="str">
        <f>MID(TB_CECO[[#This Row],[TRABAJO]],1,SEARCH(",",TB_CECO[[#This Row],[TRABAJO]],1)-1)</f>
        <v>SNV 125 SW (CX 150 NW)</v>
      </c>
      <c r="C10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SW (CX 150 NW),SPLIT CON MAL</v>
      </c>
      <c r="D10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79" s="47" t="s">
        <v>2120</v>
      </c>
      <c r="G1079" t="s">
        <v>2121</v>
      </c>
      <c r="H10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80" spans="1:8" ht="15" customHeight="1" x14ac:dyDescent="0.25">
      <c r="A1080" t="str">
        <f>MID(TB_CECO[[#This Row],[CECO_T]],1,5)</f>
        <v>61436</v>
      </c>
      <c r="B1080" t="str">
        <f>MID(TB_CECO[[#This Row],[TRABAJO]],1,SEARCH(",",TB_CECO[[#This Row],[TRABAJO]],1)-1)</f>
        <v>SNV 125 SW (CX 150 NW)</v>
      </c>
      <c r="C10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SW (CX 150 NW),IZAJE Y DESCE</v>
      </c>
      <c r="D10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80" s="47" t="s">
        <v>2122</v>
      </c>
      <c r="G1080" t="s">
        <v>2123</v>
      </c>
      <c r="H10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81" spans="1:8" ht="15" customHeight="1" x14ac:dyDescent="0.25">
      <c r="A1081" t="str">
        <f>MID(TB_CECO[[#This Row],[CECO_T]],1,5)</f>
        <v>61436</v>
      </c>
      <c r="B1081" t="str">
        <f>MID(TB_CECO[[#This Row],[TRABAJO]],1,SEARCH(",",TB_CECO[[#This Row],[TRABAJO]],1)-1)</f>
        <v>SNV 125 SW (CX 150 NW)</v>
      </c>
      <c r="C10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SW (CX 150 NW),PERFORACION  </v>
      </c>
      <c r="D10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81" s="47" t="s">
        <v>2124</v>
      </c>
      <c r="G1081" t="s">
        <v>2125</v>
      </c>
      <c r="H10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82" spans="1:8" ht="15" customHeight="1" x14ac:dyDescent="0.25">
      <c r="A1082" t="str">
        <f>MID(TB_CECO[[#This Row],[CECO_T]],1,5)</f>
        <v>61437</v>
      </c>
      <c r="B1082" t="str">
        <f>MID(TB_CECO[[#This Row],[TRABAJO]],1,SEARCH(",",TB_CECO[[#This Row],[TRABAJO]],1)-1)</f>
        <v>SNV 103 SW (CX 150 NW)</v>
      </c>
      <c r="C10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(CX 150 NW),DESQUINCHE   </v>
      </c>
      <c r="D10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82" s="47" t="s">
        <v>2126</v>
      </c>
      <c r="G1082" t="s">
        <v>2127</v>
      </c>
      <c r="H10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83" spans="1:8" ht="15" customHeight="1" x14ac:dyDescent="0.25">
      <c r="A1083" t="str">
        <f>MID(TB_CECO[[#This Row],[CECO_T]],1,5)</f>
        <v>61437</v>
      </c>
      <c r="B1083" t="str">
        <f>MID(TB_CECO[[#This Row],[TRABAJO]],1,SEARCH(",",TB_CECO[[#This Row],[TRABAJO]],1)-1)</f>
        <v>SNV 103 SW (CX 150 NW)</v>
      </c>
      <c r="C10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(CX 150 NW),ENMADERADO   </v>
      </c>
      <c r="D10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83" s="47" t="s">
        <v>2128</v>
      </c>
      <c r="G1083" t="s">
        <v>2129</v>
      </c>
      <c r="H10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84" spans="1:8" ht="15" customHeight="1" x14ac:dyDescent="0.25">
      <c r="A1084" t="str">
        <f>MID(TB_CECO[[#This Row],[CECO_T]],1,5)</f>
        <v>61437</v>
      </c>
      <c r="B1084" t="str">
        <f>MID(TB_CECO[[#This Row],[TRABAJO]],1,SEARCH(",",TB_CECO[[#This Row],[TRABAJO]],1)-1)</f>
        <v>SNV 103 SW (CX 150 NW)</v>
      </c>
      <c r="C10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(CX 150 NW),LIMPIEZA     </v>
      </c>
      <c r="D10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84" s="47" t="s">
        <v>2130</v>
      </c>
      <c r="G1084" t="s">
        <v>2131</v>
      </c>
      <c r="H10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85" spans="1:8" ht="15" customHeight="1" x14ac:dyDescent="0.25">
      <c r="A1085" t="str">
        <f>MID(TB_CECO[[#This Row],[CECO_T]],1,5)</f>
        <v>61437</v>
      </c>
      <c r="B1085" t="str">
        <f>MID(TB_CECO[[#This Row],[TRABAJO]],1,SEARCH(",",TB_CECO[[#This Row],[TRABAJO]],1)-1)</f>
        <v>SNV 103 SW (CX 150 NW)</v>
      </c>
      <c r="C10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(CX 150 NW),SERVICIOS    </v>
      </c>
      <c r="D10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85" s="47" t="s">
        <v>2132</v>
      </c>
      <c r="G1085" t="s">
        <v>2133</v>
      </c>
      <c r="H10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86" spans="1:8" ht="15" customHeight="1" x14ac:dyDescent="0.25">
      <c r="A1086" t="str">
        <f>MID(TB_CECO[[#This Row],[CECO_T]],1,5)</f>
        <v>61437</v>
      </c>
      <c r="B1086" t="str">
        <f>MID(TB_CECO[[#This Row],[TRABAJO]],1,SEARCH(",",TB_CECO[[#This Row],[TRABAJO]],1)-1)</f>
        <v>SNV 103 SW (CX 150 NW)</v>
      </c>
      <c r="C10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(CX 150 NW),EXTRACCION   </v>
      </c>
      <c r="D10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86" s="47" t="s">
        <v>2134</v>
      </c>
      <c r="G1086" t="s">
        <v>2135</v>
      </c>
      <c r="H10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87" spans="1:8" ht="15" customHeight="1" x14ac:dyDescent="0.25">
      <c r="A1087" t="str">
        <f>MID(TB_CECO[[#This Row],[CECO_T]],1,5)</f>
        <v>61437</v>
      </c>
      <c r="B1087" t="str">
        <f>MID(TB_CECO[[#This Row],[TRABAJO]],1,SEARCH(",",TB_CECO[[#This Row],[TRABAJO]],1)-1)</f>
        <v>SNV 103 SW (CX 150 NW)</v>
      </c>
      <c r="C10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(CX 150 NW),SPLIT SET    </v>
      </c>
      <c r="D10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87" s="47" t="s">
        <v>2136</v>
      </c>
      <c r="G1087" t="s">
        <v>2137</v>
      </c>
      <c r="H10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88" spans="1:8" ht="15" customHeight="1" x14ac:dyDescent="0.25">
      <c r="A1088" t="str">
        <f>MID(TB_CECO[[#This Row],[CECO_T]],1,5)</f>
        <v>61437</v>
      </c>
      <c r="B1088" t="str">
        <f>MID(TB_CECO[[#This Row],[TRABAJO]],1,SEARCH(",",TB_CECO[[#This Row],[TRABAJO]],1)-1)</f>
        <v>SNV 103 SW (CX 150 NW)</v>
      </c>
      <c r="C10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103 SW (CX 150 NW),SPLIT CON MAL</v>
      </c>
      <c r="D10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88" s="47" t="s">
        <v>2138</v>
      </c>
      <c r="G1088" t="s">
        <v>2139</v>
      </c>
      <c r="H10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89" spans="1:8" ht="15" customHeight="1" x14ac:dyDescent="0.25">
      <c r="A1089" t="str">
        <f>MID(TB_CECO[[#This Row],[CECO_T]],1,5)</f>
        <v>61437</v>
      </c>
      <c r="B1089" t="str">
        <f>MID(TB_CECO[[#This Row],[TRABAJO]],1,SEARCH(",",TB_CECO[[#This Row],[TRABAJO]],1)-1)</f>
        <v>SNV 103 SW (CX 150 NW)</v>
      </c>
      <c r="C10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103 SW (CX 150 NW),IZAJE Y DESCE</v>
      </c>
      <c r="D10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89" s="47" t="s">
        <v>2140</v>
      </c>
      <c r="G1089" t="s">
        <v>2141</v>
      </c>
      <c r="H10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90" spans="1:8" ht="15" customHeight="1" x14ac:dyDescent="0.25">
      <c r="A1090" t="str">
        <f>MID(TB_CECO[[#This Row],[CECO_T]],1,5)</f>
        <v>61437</v>
      </c>
      <c r="B1090" t="str">
        <f>MID(TB_CECO[[#This Row],[TRABAJO]],1,SEARCH(",",TB_CECO[[#This Row],[TRABAJO]],1)-1)</f>
        <v>SNV 103 SW (CX 150 NW)</v>
      </c>
      <c r="C10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(CX 150 NW),PERFORACION  </v>
      </c>
      <c r="D10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90" s="47" t="s">
        <v>2142</v>
      </c>
      <c r="G1090" t="s">
        <v>2143</v>
      </c>
      <c r="H10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91" spans="1:8" ht="15" customHeight="1" x14ac:dyDescent="0.25">
      <c r="A1091" t="str">
        <f>MID(TB_CECO[[#This Row],[CECO_T]],1,5)</f>
        <v>61438</v>
      </c>
      <c r="B1091" t="str">
        <f>MID(TB_CECO[[#This Row],[TRABAJO]],1,SEARCH(",",TB_CECO[[#This Row],[TRABAJO]],1)-1)</f>
        <v>SNV 103 NE (CX 150 NW)</v>
      </c>
      <c r="C10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NE (CX 150 NW),DESQUINCHE   </v>
      </c>
      <c r="D10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91" s="47" t="s">
        <v>2144</v>
      </c>
      <c r="G1091" t="s">
        <v>2145</v>
      </c>
      <c r="H10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92" spans="1:8" ht="15" customHeight="1" x14ac:dyDescent="0.25">
      <c r="A1092" t="str">
        <f>MID(TB_CECO[[#This Row],[CECO_T]],1,5)</f>
        <v>61438</v>
      </c>
      <c r="B1092" t="str">
        <f>MID(TB_CECO[[#This Row],[TRABAJO]],1,SEARCH(",",TB_CECO[[#This Row],[TRABAJO]],1)-1)</f>
        <v>SNV 103 NE (CX 150 NW)</v>
      </c>
      <c r="C10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NE (CX 150 NW),ENMADERADO   </v>
      </c>
      <c r="D10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92" s="47" t="s">
        <v>2146</v>
      </c>
      <c r="G1092" t="s">
        <v>2147</v>
      </c>
      <c r="H10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93" spans="1:8" ht="15" customHeight="1" x14ac:dyDescent="0.25">
      <c r="A1093" t="str">
        <f>MID(TB_CECO[[#This Row],[CECO_T]],1,5)</f>
        <v>61438</v>
      </c>
      <c r="B1093" t="str">
        <f>MID(TB_CECO[[#This Row],[TRABAJO]],1,SEARCH(",",TB_CECO[[#This Row],[TRABAJO]],1)-1)</f>
        <v>SNV 103 NE (CX 150 NW)</v>
      </c>
      <c r="C10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NE (CX 150 NW),LIMPIEZA     </v>
      </c>
      <c r="D10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93" s="47" t="s">
        <v>2148</v>
      </c>
      <c r="G1093" t="s">
        <v>2149</v>
      </c>
      <c r="H10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94" spans="1:8" ht="15" customHeight="1" x14ac:dyDescent="0.25">
      <c r="A1094" t="str">
        <f>MID(TB_CECO[[#This Row],[CECO_T]],1,5)</f>
        <v>61438</v>
      </c>
      <c r="B1094" t="str">
        <f>MID(TB_CECO[[#This Row],[TRABAJO]],1,SEARCH(",",TB_CECO[[#This Row],[TRABAJO]],1)-1)</f>
        <v>SNV 103 NE (CX 150 NW)</v>
      </c>
      <c r="C10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NE (CX 150 NW),SERVICIOS    </v>
      </c>
      <c r="D10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94" s="47" t="s">
        <v>2150</v>
      </c>
      <c r="G1094" t="s">
        <v>2151</v>
      </c>
      <c r="H10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95" spans="1:8" ht="15" customHeight="1" x14ac:dyDescent="0.25">
      <c r="A1095" t="str">
        <f>MID(TB_CECO[[#This Row],[CECO_T]],1,5)</f>
        <v>61438</v>
      </c>
      <c r="B1095" t="str">
        <f>MID(TB_CECO[[#This Row],[TRABAJO]],1,SEARCH(",",TB_CECO[[#This Row],[TRABAJO]],1)-1)</f>
        <v>SNV 103 NE (CX 150 NW)</v>
      </c>
      <c r="C10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NE (CX 150 NW),EXTRACCION   </v>
      </c>
      <c r="D10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95" s="47" t="s">
        <v>2152</v>
      </c>
      <c r="G1095" t="s">
        <v>2153</v>
      </c>
      <c r="H10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96" spans="1:8" ht="15" customHeight="1" x14ac:dyDescent="0.25">
      <c r="A1096" t="str">
        <f>MID(TB_CECO[[#This Row],[CECO_T]],1,5)</f>
        <v>61438</v>
      </c>
      <c r="B1096" t="str">
        <f>MID(TB_CECO[[#This Row],[TRABAJO]],1,SEARCH(",",TB_CECO[[#This Row],[TRABAJO]],1)-1)</f>
        <v>SNV 103 NE (CX 150 NW)</v>
      </c>
      <c r="C10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NE (CX 150 NW),SPLIT SET    </v>
      </c>
      <c r="D10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96" s="47" t="s">
        <v>2154</v>
      </c>
      <c r="G1096" t="s">
        <v>2155</v>
      </c>
      <c r="H10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97" spans="1:8" ht="15" customHeight="1" x14ac:dyDescent="0.25">
      <c r="A1097" t="str">
        <f>MID(TB_CECO[[#This Row],[CECO_T]],1,5)</f>
        <v>61438</v>
      </c>
      <c r="B1097" t="str">
        <f>MID(TB_CECO[[#This Row],[TRABAJO]],1,SEARCH(",",TB_CECO[[#This Row],[TRABAJO]],1)-1)</f>
        <v>SNV 103 NE (CX 150 NW)</v>
      </c>
      <c r="C10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103 NE (CX 150 NW),SPLIT CON MAL</v>
      </c>
      <c r="D10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97" s="47" t="s">
        <v>2156</v>
      </c>
      <c r="G1097" t="s">
        <v>2157</v>
      </c>
      <c r="H10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98" spans="1:8" ht="15" customHeight="1" x14ac:dyDescent="0.25">
      <c r="A1098" t="str">
        <f>MID(TB_CECO[[#This Row],[CECO_T]],1,5)</f>
        <v>61438</v>
      </c>
      <c r="B1098" t="str">
        <f>MID(TB_CECO[[#This Row],[TRABAJO]],1,SEARCH(",",TB_CECO[[#This Row],[TRABAJO]],1)-1)</f>
        <v>SNV 103 NE (CX 150 NW)</v>
      </c>
      <c r="C10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103 NE (CX 150 NW),IZAJE Y DESCE</v>
      </c>
      <c r="D10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98" s="47" t="s">
        <v>2158</v>
      </c>
      <c r="G1098" t="s">
        <v>2159</v>
      </c>
      <c r="H10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099" spans="1:8" ht="15" customHeight="1" x14ac:dyDescent="0.25">
      <c r="A1099" t="str">
        <f>MID(TB_CECO[[#This Row],[CECO_T]],1,5)</f>
        <v>61438</v>
      </c>
      <c r="B1099" t="str">
        <f>MID(TB_CECO[[#This Row],[TRABAJO]],1,SEARCH(",",TB_CECO[[#This Row],[TRABAJO]],1)-1)</f>
        <v>SNV 103 NE (CX 150 NW)</v>
      </c>
      <c r="C10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NE (CX 150 NW),PERFORACION  </v>
      </c>
      <c r="D10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0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099" s="47" t="s">
        <v>2160</v>
      </c>
      <c r="G1099" t="s">
        <v>2161</v>
      </c>
      <c r="H10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00" spans="1:8" ht="15" customHeight="1" x14ac:dyDescent="0.25">
      <c r="A1100" t="str">
        <f>MID(TB_CECO[[#This Row],[CECO_T]],1,5)</f>
        <v>61442</v>
      </c>
      <c r="B1100" t="str">
        <f>MID(TB_CECO[[#This Row],[TRABAJO]],1,SEARCH(",",TB_CECO[[#This Row],[TRABAJO]],1)-1)</f>
        <v>SNV 103 SW (CH044)</v>
      </c>
      <c r="C11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(CH044),DESQUINCHE       </v>
      </c>
      <c r="D11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00" s="47" t="s">
        <v>2162</v>
      </c>
      <c r="G1100" t="s">
        <v>2163</v>
      </c>
      <c r="H11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01" spans="1:8" ht="15" customHeight="1" x14ac:dyDescent="0.25">
      <c r="A1101" t="str">
        <f>MID(TB_CECO[[#This Row],[CECO_T]],1,5)</f>
        <v>61442</v>
      </c>
      <c r="B1101" t="str">
        <f>MID(TB_CECO[[#This Row],[TRABAJO]],1,SEARCH(",",TB_CECO[[#This Row],[TRABAJO]],1)-1)</f>
        <v>SNV 103 SW (CH044)</v>
      </c>
      <c r="C11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(CH044),ENMADERADO       </v>
      </c>
      <c r="D11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01" s="47" t="s">
        <v>2164</v>
      </c>
      <c r="G1101" t="s">
        <v>2165</v>
      </c>
      <c r="H11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02" spans="1:8" ht="15" customHeight="1" x14ac:dyDescent="0.25">
      <c r="A1102" t="str">
        <f>MID(TB_CECO[[#This Row],[CECO_T]],1,5)</f>
        <v>61442</v>
      </c>
      <c r="B1102" t="str">
        <f>MID(TB_CECO[[#This Row],[TRABAJO]],1,SEARCH(",",TB_CECO[[#This Row],[TRABAJO]],1)-1)</f>
        <v>SNV 103 SW (CH044)</v>
      </c>
      <c r="C11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(CH044),LIMPIEZA         </v>
      </c>
      <c r="D11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02" s="47" t="s">
        <v>2166</v>
      </c>
      <c r="G1102" t="s">
        <v>2167</v>
      </c>
      <c r="H11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03" spans="1:8" ht="15" customHeight="1" x14ac:dyDescent="0.25">
      <c r="A1103" t="str">
        <f>MID(TB_CECO[[#This Row],[CECO_T]],1,5)</f>
        <v>61442</v>
      </c>
      <c r="B1103" t="str">
        <f>MID(TB_CECO[[#This Row],[TRABAJO]],1,SEARCH(",",TB_CECO[[#This Row],[TRABAJO]],1)-1)</f>
        <v>SNV 103 SW (CH044)</v>
      </c>
      <c r="C11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(CH044),SERVICIOS        </v>
      </c>
      <c r="D11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03" s="47" t="s">
        <v>2168</v>
      </c>
      <c r="G1103" t="s">
        <v>2169</v>
      </c>
      <c r="H11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04" spans="1:8" ht="15" customHeight="1" x14ac:dyDescent="0.25">
      <c r="A1104" t="str">
        <f>MID(TB_CECO[[#This Row],[CECO_T]],1,5)</f>
        <v>61442</v>
      </c>
      <c r="B1104" t="str">
        <f>MID(TB_CECO[[#This Row],[TRABAJO]],1,SEARCH(",",TB_CECO[[#This Row],[TRABAJO]],1)-1)</f>
        <v>SNV 103 SW (CH044)</v>
      </c>
      <c r="C11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(CH044),EXTRACCION       </v>
      </c>
      <c r="D11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04" s="47" t="s">
        <v>2170</v>
      </c>
      <c r="G1104" t="s">
        <v>2171</v>
      </c>
      <c r="H11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05" spans="1:8" ht="15" customHeight="1" x14ac:dyDescent="0.25">
      <c r="A1105" t="str">
        <f>MID(TB_CECO[[#This Row],[CECO_T]],1,5)</f>
        <v>61442</v>
      </c>
      <c r="B1105" t="str">
        <f>MID(TB_CECO[[#This Row],[TRABAJO]],1,SEARCH(",",TB_CECO[[#This Row],[TRABAJO]],1)-1)</f>
        <v>SNV 103 SW (CH044)</v>
      </c>
      <c r="C11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(CH044),SPLIT SET        </v>
      </c>
      <c r="D11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05" s="47" t="s">
        <v>2172</v>
      </c>
      <c r="G1105" t="s">
        <v>2173</v>
      </c>
      <c r="H11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06" spans="1:8" ht="15" customHeight="1" x14ac:dyDescent="0.25">
      <c r="A1106" t="str">
        <f>MID(TB_CECO[[#This Row],[CECO_T]],1,5)</f>
        <v>61442</v>
      </c>
      <c r="B1106" t="str">
        <f>MID(TB_CECO[[#This Row],[TRABAJO]],1,SEARCH(",",TB_CECO[[#This Row],[TRABAJO]],1)-1)</f>
        <v>SNV 103 SW (CH044)</v>
      </c>
      <c r="C11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(CH044),SPLIT CON MALLA  </v>
      </c>
      <c r="D11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06" s="47" t="s">
        <v>2174</v>
      </c>
      <c r="G1106" t="s">
        <v>2175</v>
      </c>
      <c r="H11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07" spans="1:8" ht="15" customHeight="1" x14ac:dyDescent="0.25">
      <c r="A1107" t="str">
        <f>MID(TB_CECO[[#This Row],[CECO_T]],1,5)</f>
        <v>61442</v>
      </c>
      <c r="B1107" t="str">
        <f>MID(TB_CECO[[#This Row],[TRABAJO]],1,SEARCH(",",TB_CECO[[#This Row],[TRABAJO]],1)-1)</f>
        <v>SNV 103 SW (CH044)</v>
      </c>
      <c r="C11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(CH044),IZAJE Y DESCENSO </v>
      </c>
      <c r="D11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07" s="47" t="s">
        <v>2176</v>
      </c>
      <c r="G1107" t="s">
        <v>2177</v>
      </c>
      <c r="H11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08" spans="1:8" ht="15" customHeight="1" x14ac:dyDescent="0.25">
      <c r="A1108" t="str">
        <f>MID(TB_CECO[[#This Row],[CECO_T]],1,5)</f>
        <v>61442</v>
      </c>
      <c r="B1108" t="str">
        <f>MID(TB_CECO[[#This Row],[TRABAJO]],1,SEARCH(",",TB_CECO[[#This Row],[TRABAJO]],1)-1)</f>
        <v>SNV 103 SW (CH044)</v>
      </c>
      <c r="C11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(CH044),PERFORACION      </v>
      </c>
      <c r="D11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08" s="47" t="s">
        <v>2178</v>
      </c>
      <c r="G1108" t="s">
        <v>2179</v>
      </c>
      <c r="H11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09" spans="1:8" ht="15" customHeight="1" x14ac:dyDescent="0.25">
      <c r="A1109" t="str">
        <f>MID(TB_CECO[[#This Row],[CECO_T]],1,5)</f>
        <v>61443</v>
      </c>
      <c r="B1109" t="str">
        <f>MID(TB_CECO[[#This Row],[TRABAJO]],1,SEARCH(",",TB_CECO[[#This Row],[TRABAJO]],1)-1)</f>
        <v>SNV 123-1 SW (SNV.123 SW)</v>
      </c>
      <c r="C11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SW (SNV.123 SW),DESQUINCHE</v>
      </c>
      <c r="D11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09" s="47" t="s">
        <v>2180</v>
      </c>
      <c r="G1109" t="s">
        <v>2181</v>
      </c>
      <c r="H11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10" spans="1:8" ht="15" customHeight="1" x14ac:dyDescent="0.25">
      <c r="A1110" t="str">
        <f>MID(TB_CECO[[#This Row],[CECO_T]],1,5)</f>
        <v>61443</v>
      </c>
      <c r="B1110" t="str">
        <f>MID(TB_CECO[[#This Row],[TRABAJO]],1,SEARCH(",",TB_CECO[[#This Row],[TRABAJO]],1)-1)</f>
        <v>SNV 123-1 SW (SNV.123 SW)</v>
      </c>
      <c r="C11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SW (SNV.123 SW),ENMADERADO</v>
      </c>
      <c r="D11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10" s="47" t="s">
        <v>2182</v>
      </c>
      <c r="G1110" t="s">
        <v>2183</v>
      </c>
      <c r="H11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11" spans="1:8" ht="15" customHeight="1" x14ac:dyDescent="0.25">
      <c r="A1111" t="str">
        <f>MID(TB_CECO[[#This Row],[CECO_T]],1,5)</f>
        <v>61443</v>
      </c>
      <c r="B1111" t="str">
        <f>MID(TB_CECO[[#This Row],[TRABAJO]],1,SEARCH(",",TB_CECO[[#This Row],[TRABAJO]],1)-1)</f>
        <v>SNV 123-1 SW (SNV.123 SW)</v>
      </c>
      <c r="C11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123-1 SW (SNV.123 SW),LIMPIEZA  </v>
      </c>
      <c r="D11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11" s="47" t="s">
        <v>2184</v>
      </c>
      <c r="G1111" t="s">
        <v>2185</v>
      </c>
      <c r="H11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12" spans="1:8" ht="15" customHeight="1" x14ac:dyDescent="0.25">
      <c r="A1112" t="str">
        <f>MID(TB_CECO[[#This Row],[CECO_T]],1,5)</f>
        <v>61443</v>
      </c>
      <c r="B1112" t="str">
        <f>MID(TB_CECO[[#This Row],[TRABAJO]],1,SEARCH(",",TB_CECO[[#This Row],[TRABAJO]],1)-1)</f>
        <v>SNV 123-1 SW (SNV.123 SW)</v>
      </c>
      <c r="C11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123-1 SW (SNV.123 SW),SERVICIOS </v>
      </c>
      <c r="D11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12" s="47" t="s">
        <v>2186</v>
      </c>
      <c r="G1112" t="s">
        <v>2187</v>
      </c>
      <c r="H11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13" spans="1:8" ht="15" customHeight="1" x14ac:dyDescent="0.25">
      <c r="A1113" t="str">
        <f>MID(TB_CECO[[#This Row],[CECO_T]],1,5)</f>
        <v>61443</v>
      </c>
      <c r="B1113" t="str">
        <f>MID(TB_CECO[[#This Row],[TRABAJO]],1,SEARCH(",",TB_CECO[[#This Row],[TRABAJO]],1)-1)</f>
        <v>SNV 123-1 SW (SNV.123 SW)</v>
      </c>
      <c r="C11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SW (SNV.123 SW),EXTRACCION</v>
      </c>
      <c r="D11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13" s="47" t="s">
        <v>2188</v>
      </c>
      <c r="G1113" t="s">
        <v>2189</v>
      </c>
      <c r="H11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14" spans="1:8" ht="15" customHeight="1" x14ac:dyDescent="0.25">
      <c r="A1114" t="str">
        <f>MID(TB_CECO[[#This Row],[CECO_T]],1,5)</f>
        <v>61443</v>
      </c>
      <c r="B1114" t="str">
        <f>MID(TB_CECO[[#This Row],[TRABAJO]],1,SEARCH(",",TB_CECO[[#This Row],[TRABAJO]],1)-1)</f>
        <v>SNV 123-1 SW (SNV.123 SW)</v>
      </c>
      <c r="C11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123-1 SW (SNV.123 SW),SPLIT SET </v>
      </c>
      <c r="D11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14" s="47" t="s">
        <v>2190</v>
      </c>
      <c r="G1114" t="s">
        <v>2191</v>
      </c>
      <c r="H11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15" spans="1:8" ht="15" customHeight="1" x14ac:dyDescent="0.25">
      <c r="A1115" t="str">
        <f>MID(TB_CECO[[#This Row],[CECO_T]],1,5)</f>
        <v>61443</v>
      </c>
      <c r="B1115" t="str">
        <f>MID(TB_CECO[[#This Row],[TRABAJO]],1,SEARCH(",",TB_CECO[[#This Row],[TRABAJO]],1)-1)</f>
        <v>SNV 123-1 SW (SNV.123 SW)</v>
      </c>
      <c r="C11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123-1 SW (SNV.123 SW),SPLIT CON </v>
      </c>
      <c r="D11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15" s="47" t="s">
        <v>2192</v>
      </c>
      <c r="G1115" t="s">
        <v>2193</v>
      </c>
      <c r="H11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16" spans="1:8" ht="15" customHeight="1" x14ac:dyDescent="0.25">
      <c r="A1116" t="str">
        <f>MID(TB_CECO[[#This Row],[CECO_T]],1,5)</f>
        <v>61443</v>
      </c>
      <c r="B1116" t="str">
        <f>MID(TB_CECO[[#This Row],[TRABAJO]],1,SEARCH(",",TB_CECO[[#This Row],[TRABAJO]],1)-1)</f>
        <v>SNV 123-1 SW (SNV.123 SW)</v>
      </c>
      <c r="C11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SW (SNV.123 SW),IZAJE Y DE</v>
      </c>
      <c r="D11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16" s="47" t="s">
        <v>2194</v>
      </c>
      <c r="G1116" t="s">
        <v>2195</v>
      </c>
      <c r="H11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17" spans="1:8" ht="15" customHeight="1" x14ac:dyDescent="0.25">
      <c r="A1117" t="str">
        <f>MID(TB_CECO[[#This Row],[CECO_T]],1,5)</f>
        <v>61443</v>
      </c>
      <c r="B1117" t="str">
        <f>MID(TB_CECO[[#This Row],[TRABAJO]],1,SEARCH(",",TB_CECO[[#This Row],[TRABAJO]],1)-1)</f>
        <v>SNV 123-1 SW (SNV.123 SW)</v>
      </c>
      <c r="C11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SW (SNV.123 SW),PERFORACIO</v>
      </c>
      <c r="D11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17" s="47" t="s">
        <v>2196</v>
      </c>
      <c r="G1117" t="s">
        <v>2197</v>
      </c>
      <c r="H11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18" spans="1:8" ht="15" customHeight="1" x14ac:dyDescent="0.25">
      <c r="A1118" t="str">
        <f>MID(TB_CECO[[#This Row],[CECO_T]],1,5)</f>
        <v>61444</v>
      </c>
      <c r="B1118" t="str">
        <f>MID(TB_CECO[[#This Row],[TRABAJO]],1,SEARCH(",",TB_CECO[[#This Row],[TRABAJO]],1)-1)</f>
        <v>SNV 123 SW (CH 044)</v>
      </c>
      <c r="C11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044),DESQUINCHE      </v>
      </c>
      <c r="D11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18" s="47" t="s">
        <v>2198</v>
      </c>
      <c r="G1118" t="s">
        <v>2199</v>
      </c>
      <c r="H11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19" spans="1:8" ht="15" customHeight="1" x14ac:dyDescent="0.25">
      <c r="A1119" t="str">
        <f>MID(TB_CECO[[#This Row],[CECO_T]],1,5)</f>
        <v>61444</v>
      </c>
      <c r="B1119" t="str">
        <f>MID(TB_CECO[[#This Row],[TRABAJO]],1,SEARCH(",",TB_CECO[[#This Row],[TRABAJO]],1)-1)</f>
        <v>SNV 123 SW (CH 044)</v>
      </c>
      <c r="C11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044),ENMADERADO      </v>
      </c>
      <c r="D11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19" s="47" t="s">
        <v>2200</v>
      </c>
      <c r="G1119" t="s">
        <v>2201</v>
      </c>
      <c r="H11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20" spans="1:8" ht="15" customHeight="1" x14ac:dyDescent="0.25">
      <c r="A1120" t="str">
        <f>MID(TB_CECO[[#This Row],[CECO_T]],1,5)</f>
        <v>61444</v>
      </c>
      <c r="B1120" t="str">
        <f>MID(TB_CECO[[#This Row],[TRABAJO]],1,SEARCH(",",TB_CECO[[#This Row],[TRABAJO]],1)-1)</f>
        <v>SNV 123 SW (CH 044)</v>
      </c>
      <c r="C11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044),LIMPIEZA        </v>
      </c>
      <c r="D11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20" s="47" t="s">
        <v>2202</v>
      </c>
      <c r="G1120" t="s">
        <v>2203</v>
      </c>
      <c r="H11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21" spans="1:8" ht="15" customHeight="1" x14ac:dyDescent="0.25">
      <c r="A1121" t="str">
        <f>MID(TB_CECO[[#This Row],[CECO_T]],1,5)</f>
        <v>61444</v>
      </c>
      <c r="B1121" t="str">
        <f>MID(TB_CECO[[#This Row],[TRABAJO]],1,SEARCH(",",TB_CECO[[#This Row],[TRABAJO]],1)-1)</f>
        <v>SNV 123 SW (CH 044)</v>
      </c>
      <c r="C11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044),SERVICIOS       </v>
      </c>
      <c r="D11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21" s="47" t="s">
        <v>2204</v>
      </c>
      <c r="G1121" t="s">
        <v>2205</v>
      </c>
      <c r="H11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22" spans="1:8" ht="15" customHeight="1" x14ac:dyDescent="0.25">
      <c r="A1122" t="str">
        <f>MID(TB_CECO[[#This Row],[CECO_T]],1,5)</f>
        <v>61444</v>
      </c>
      <c r="B1122" t="str">
        <f>MID(TB_CECO[[#This Row],[TRABAJO]],1,SEARCH(",",TB_CECO[[#This Row],[TRABAJO]],1)-1)</f>
        <v>SNV 123 SW (CH 044)</v>
      </c>
      <c r="C11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044),EXTRACCION      </v>
      </c>
      <c r="D11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22" s="47" t="s">
        <v>2206</v>
      </c>
      <c r="G1122" t="s">
        <v>2207</v>
      </c>
      <c r="H11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23" spans="1:8" ht="15" customHeight="1" x14ac:dyDescent="0.25">
      <c r="A1123" t="str">
        <f>MID(TB_CECO[[#This Row],[CECO_T]],1,5)</f>
        <v>61444</v>
      </c>
      <c r="B1123" t="str">
        <f>MID(TB_CECO[[#This Row],[TRABAJO]],1,SEARCH(",",TB_CECO[[#This Row],[TRABAJO]],1)-1)</f>
        <v>SNV 123 SW (CH 044)</v>
      </c>
      <c r="C11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044),SPLIT SET       </v>
      </c>
      <c r="D11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23" s="47" t="s">
        <v>2208</v>
      </c>
      <c r="G1123" t="s">
        <v>2209</v>
      </c>
      <c r="H11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24" spans="1:8" ht="15" customHeight="1" x14ac:dyDescent="0.25">
      <c r="A1124" t="str">
        <f>MID(TB_CECO[[#This Row],[CECO_T]],1,5)</f>
        <v>61444</v>
      </c>
      <c r="B1124" t="str">
        <f>MID(TB_CECO[[#This Row],[TRABAJO]],1,SEARCH(",",TB_CECO[[#This Row],[TRABAJO]],1)-1)</f>
        <v>SNV 123 SW (CH 044)</v>
      </c>
      <c r="C11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044),SPLIT CON MALLA </v>
      </c>
      <c r="D11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24" s="47" t="s">
        <v>2210</v>
      </c>
      <c r="G1124" t="s">
        <v>2211</v>
      </c>
      <c r="H11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25" spans="1:8" ht="15" customHeight="1" x14ac:dyDescent="0.25">
      <c r="A1125" t="str">
        <f>MID(TB_CECO[[#This Row],[CECO_T]],1,5)</f>
        <v>61444</v>
      </c>
      <c r="B1125" t="str">
        <f>MID(TB_CECO[[#This Row],[TRABAJO]],1,SEARCH(",",TB_CECO[[#This Row],[TRABAJO]],1)-1)</f>
        <v>SNV 123 SW (CH 044)</v>
      </c>
      <c r="C11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 SW (CH 044),IZAJE Y DESCENSO</v>
      </c>
      <c r="D11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25" s="47" t="s">
        <v>2212</v>
      </c>
      <c r="G1125" t="s">
        <v>2213</v>
      </c>
      <c r="H11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26" spans="1:8" ht="15" customHeight="1" x14ac:dyDescent="0.25">
      <c r="A1126" t="str">
        <f>MID(TB_CECO[[#This Row],[CECO_T]],1,5)</f>
        <v>61444</v>
      </c>
      <c r="B1126" t="str">
        <f>MID(TB_CECO[[#This Row],[TRABAJO]],1,SEARCH(",",TB_CECO[[#This Row],[TRABAJO]],1)-1)</f>
        <v>SNV 123 SW (CH 044)</v>
      </c>
      <c r="C11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044),PERFORACION     </v>
      </c>
      <c r="D11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26" s="47" t="s">
        <v>2214</v>
      </c>
      <c r="G1126" t="s">
        <v>2215</v>
      </c>
      <c r="H11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27" spans="1:8" ht="15" customHeight="1" x14ac:dyDescent="0.25">
      <c r="A1127" t="str">
        <f>MID(TB_CECO[[#This Row],[CECO_T]],1,5)</f>
        <v>61445</v>
      </c>
      <c r="B1127" t="str">
        <f>MID(TB_CECO[[#This Row],[TRABAJO]],1,SEARCH(",",TB_CECO[[#This Row],[TRABAJO]],1)-1)</f>
        <v>SNV 123 NE (CH 044)</v>
      </c>
      <c r="C11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044),DESQUINCHE      </v>
      </c>
      <c r="D11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27" s="47" t="s">
        <v>2216</v>
      </c>
      <c r="G1127" t="s">
        <v>2217</v>
      </c>
      <c r="H11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28" spans="1:8" ht="15" customHeight="1" x14ac:dyDescent="0.25">
      <c r="A1128" t="str">
        <f>MID(TB_CECO[[#This Row],[CECO_T]],1,5)</f>
        <v>61445</v>
      </c>
      <c r="B1128" t="str">
        <f>MID(TB_CECO[[#This Row],[TRABAJO]],1,SEARCH(",",TB_CECO[[#This Row],[TRABAJO]],1)-1)</f>
        <v>SNV 123 NE (CH 044)</v>
      </c>
      <c r="C11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044),ENMADERADO      </v>
      </c>
      <c r="D11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28" s="47" t="s">
        <v>2218</v>
      </c>
      <c r="G1128" t="s">
        <v>2219</v>
      </c>
      <c r="H11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29" spans="1:8" ht="15" customHeight="1" x14ac:dyDescent="0.25">
      <c r="A1129" t="str">
        <f>MID(TB_CECO[[#This Row],[CECO_T]],1,5)</f>
        <v>61445</v>
      </c>
      <c r="B1129" t="str">
        <f>MID(TB_CECO[[#This Row],[TRABAJO]],1,SEARCH(",",TB_CECO[[#This Row],[TRABAJO]],1)-1)</f>
        <v>SNV 123 NE (CH 044)</v>
      </c>
      <c r="C11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044),LIMPIEZA        </v>
      </c>
      <c r="D11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29" s="47" t="s">
        <v>2220</v>
      </c>
      <c r="G1129" t="s">
        <v>2221</v>
      </c>
      <c r="H11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30" spans="1:8" ht="15" customHeight="1" x14ac:dyDescent="0.25">
      <c r="A1130" t="str">
        <f>MID(TB_CECO[[#This Row],[CECO_T]],1,5)</f>
        <v>61445</v>
      </c>
      <c r="B1130" t="str">
        <f>MID(TB_CECO[[#This Row],[TRABAJO]],1,SEARCH(",",TB_CECO[[#This Row],[TRABAJO]],1)-1)</f>
        <v>SNV 123 NE (CH 044)</v>
      </c>
      <c r="C11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044),SERVICIOS       </v>
      </c>
      <c r="D11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30" s="47" t="s">
        <v>2222</v>
      </c>
      <c r="G1130" t="s">
        <v>2223</v>
      </c>
      <c r="H11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31" spans="1:8" ht="15" customHeight="1" x14ac:dyDescent="0.25">
      <c r="A1131" t="str">
        <f>MID(TB_CECO[[#This Row],[CECO_T]],1,5)</f>
        <v>61445</v>
      </c>
      <c r="B1131" t="str">
        <f>MID(TB_CECO[[#This Row],[TRABAJO]],1,SEARCH(",",TB_CECO[[#This Row],[TRABAJO]],1)-1)</f>
        <v>SNV 123 NE (CH 044)</v>
      </c>
      <c r="C11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044),EXTRACCION      </v>
      </c>
      <c r="D11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31" s="47" t="s">
        <v>2224</v>
      </c>
      <c r="G1131" t="s">
        <v>2225</v>
      </c>
      <c r="H11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32" spans="1:8" ht="15" customHeight="1" x14ac:dyDescent="0.25">
      <c r="A1132" t="str">
        <f>MID(TB_CECO[[#This Row],[CECO_T]],1,5)</f>
        <v>61445</v>
      </c>
      <c r="B1132" t="str">
        <f>MID(TB_CECO[[#This Row],[TRABAJO]],1,SEARCH(",",TB_CECO[[#This Row],[TRABAJO]],1)-1)</f>
        <v>SNV 123 NE (CH 044)</v>
      </c>
      <c r="C11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044),SPLIT SET       </v>
      </c>
      <c r="D11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32" s="47" t="s">
        <v>2226</v>
      </c>
      <c r="G1132" t="s">
        <v>2227</v>
      </c>
      <c r="H11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33" spans="1:8" ht="15" customHeight="1" x14ac:dyDescent="0.25">
      <c r="A1133" t="str">
        <f>MID(TB_CECO[[#This Row],[CECO_T]],1,5)</f>
        <v>61445</v>
      </c>
      <c r="B1133" t="str">
        <f>MID(TB_CECO[[#This Row],[TRABAJO]],1,SEARCH(",",TB_CECO[[#This Row],[TRABAJO]],1)-1)</f>
        <v>SNV 123 NE (CH 044)</v>
      </c>
      <c r="C11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044),SPLIT CON MALLA </v>
      </c>
      <c r="D11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33" s="47" t="s">
        <v>2228</v>
      </c>
      <c r="G1133" t="s">
        <v>2229</v>
      </c>
      <c r="H11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34" spans="1:8" ht="15" customHeight="1" x14ac:dyDescent="0.25">
      <c r="A1134" t="str">
        <f>MID(TB_CECO[[#This Row],[CECO_T]],1,5)</f>
        <v>61445</v>
      </c>
      <c r="B1134" t="str">
        <f>MID(TB_CECO[[#This Row],[TRABAJO]],1,SEARCH(",",TB_CECO[[#This Row],[TRABAJO]],1)-1)</f>
        <v>SNV 123 NE (CH 044)</v>
      </c>
      <c r="C11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 NE (CH 044),IZAJE Y DESCENSO</v>
      </c>
      <c r="D11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34" s="47" t="s">
        <v>2230</v>
      </c>
      <c r="G1134" t="s">
        <v>2231</v>
      </c>
      <c r="H11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35" spans="1:8" ht="15" customHeight="1" x14ac:dyDescent="0.25">
      <c r="A1135" t="str">
        <f>MID(TB_CECO[[#This Row],[CECO_T]],1,5)</f>
        <v>61445</v>
      </c>
      <c r="B1135" t="str">
        <f>MID(TB_CECO[[#This Row],[TRABAJO]],1,SEARCH(",",TB_CECO[[#This Row],[TRABAJO]],1)-1)</f>
        <v>SNV 123 NE (CH 044)</v>
      </c>
      <c r="C11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044),PERFORACION     </v>
      </c>
      <c r="D11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35" s="47" t="s">
        <v>2232</v>
      </c>
      <c r="G1135" t="s">
        <v>2233</v>
      </c>
      <c r="H11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36" spans="1:8" ht="15" customHeight="1" x14ac:dyDescent="0.25">
      <c r="A1136" t="str">
        <f>MID(TB_CECO[[#This Row],[CECO_T]],1,5)</f>
        <v>61520</v>
      </c>
      <c r="B1136" t="str">
        <f>MID(TB_CECO[[#This Row],[TRABAJO]],1,SEARCH(",",TB_CECO[[#This Row],[TRABAJO]],1)-1)</f>
        <v>EST. 094 NW (GAL 150 SW)</v>
      </c>
      <c r="C11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094 NW (GAL 150 SW),DESQUINCHE </v>
      </c>
      <c r="D11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36" s="47" t="s">
        <v>2234</v>
      </c>
      <c r="G1136" t="s">
        <v>2235</v>
      </c>
      <c r="H11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37" spans="1:8" ht="15" customHeight="1" x14ac:dyDescent="0.25">
      <c r="A1137" t="str">
        <f>MID(TB_CECO[[#This Row],[CECO_T]],1,5)</f>
        <v>61520</v>
      </c>
      <c r="B1137" t="str">
        <f>MID(TB_CECO[[#This Row],[TRABAJO]],1,SEARCH(",",TB_CECO[[#This Row],[TRABAJO]],1)-1)</f>
        <v>EST. 094 NW (GAL 150 SW)</v>
      </c>
      <c r="C11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094 NW (GAL 150 SW),ENMADERADO </v>
      </c>
      <c r="D11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37" s="47" t="s">
        <v>2236</v>
      </c>
      <c r="G1137" t="s">
        <v>2237</v>
      </c>
      <c r="H11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38" spans="1:8" ht="15" customHeight="1" x14ac:dyDescent="0.25">
      <c r="A1138" t="str">
        <f>MID(TB_CECO[[#This Row],[CECO_T]],1,5)</f>
        <v>61520</v>
      </c>
      <c r="B1138" t="str">
        <f>MID(TB_CECO[[#This Row],[TRABAJO]],1,SEARCH(",",TB_CECO[[#This Row],[TRABAJO]],1)-1)</f>
        <v>EST. 094 NW (GAL 150 SW)</v>
      </c>
      <c r="C11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094 NW (GAL 150 SW),LIMPIEZA   </v>
      </c>
      <c r="D11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38" s="47" t="s">
        <v>2238</v>
      </c>
      <c r="G1138" t="s">
        <v>2239</v>
      </c>
      <c r="H11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39" spans="1:8" ht="15" customHeight="1" x14ac:dyDescent="0.25">
      <c r="A1139" t="str">
        <f>MID(TB_CECO[[#This Row],[CECO_T]],1,5)</f>
        <v>61520</v>
      </c>
      <c r="B1139" t="str">
        <f>MID(TB_CECO[[#This Row],[TRABAJO]],1,SEARCH(",",TB_CECO[[#This Row],[TRABAJO]],1)-1)</f>
        <v>EST. 094 NW (GAL 150 SW)</v>
      </c>
      <c r="C11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094 NW (GAL 150 SW),SERVICIOS  </v>
      </c>
      <c r="D11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39" s="47" t="s">
        <v>2240</v>
      </c>
      <c r="G1139" t="s">
        <v>2241</v>
      </c>
      <c r="H11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40" spans="1:8" ht="15" customHeight="1" x14ac:dyDescent="0.25">
      <c r="A1140" t="str">
        <f>MID(TB_CECO[[#This Row],[CECO_T]],1,5)</f>
        <v>61520</v>
      </c>
      <c r="B1140" t="str">
        <f>MID(TB_CECO[[#This Row],[TRABAJO]],1,SEARCH(",",TB_CECO[[#This Row],[TRABAJO]],1)-1)</f>
        <v>EST. 094 NW (GAL 150 SW)</v>
      </c>
      <c r="C11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094 NW (GAL 150 SW),EXTRACCION </v>
      </c>
      <c r="D11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40" s="47" t="s">
        <v>2242</v>
      </c>
      <c r="G1140" t="s">
        <v>2243</v>
      </c>
      <c r="H11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41" spans="1:8" ht="15" customHeight="1" x14ac:dyDescent="0.25">
      <c r="A1141" t="str">
        <f>MID(TB_CECO[[#This Row],[CECO_T]],1,5)</f>
        <v>61520</v>
      </c>
      <c r="B1141" t="str">
        <f>MID(TB_CECO[[#This Row],[TRABAJO]],1,SEARCH(",",TB_CECO[[#This Row],[TRABAJO]],1)-1)</f>
        <v>EST. 094 NW (GAL 150 SW)</v>
      </c>
      <c r="C11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094 NW (GAL 150 SW),SPLIT SET  </v>
      </c>
      <c r="D11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41" s="47" t="s">
        <v>2244</v>
      </c>
      <c r="G1141" t="s">
        <v>2245</v>
      </c>
      <c r="H11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42" spans="1:8" ht="15" customHeight="1" x14ac:dyDescent="0.25">
      <c r="A1142" t="str">
        <f>MID(TB_CECO[[#This Row],[CECO_T]],1,5)</f>
        <v>61520</v>
      </c>
      <c r="B1142" t="str">
        <f>MID(TB_CECO[[#This Row],[TRABAJO]],1,SEARCH(",",TB_CECO[[#This Row],[TRABAJO]],1)-1)</f>
        <v>EST. 094 NW (GAL 150 SW)</v>
      </c>
      <c r="C11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094 NW (GAL 150 SW),SPLIT CON M</v>
      </c>
      <c r="D11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42" s="47" t="s">
        <v>2246</v>
      </c>
      <c r="G1142" t="s">
        <v>2247</v>
      </c>
      <c r="H11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43" spans="1:8" ht="15" customHeight="1" x14ac:dyDescent="0.25">
      <c r="A1143" t="str">
        <f>MID(TB_CECO[[#This Row],[CECO_T]],1,5)</f>
        <v>61520</v>
      </c>
      <c r="B1143" t="str">
        <f>MID(TB_CECO[[#This Row],[TRABAJO]],1,SEARCH(",",TB_CECO[[#This Row],[TRABAJO]],1)-1)</f>
        <v>EST. 094 NW (GAL 150 SW)</v>
      </c>
      <c r="C11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094 NW (GAL 150 SW),IZAJE Y DES</v>
      </c>
      <c r="D11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43" s="47" t="s">
        <v>2248</v>
      </c>
      <c r="G1143" t="s">
        <v>2249</v>
      </c>
      <c r="H11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44" spans="1:8" ht="15" customHeight="1" x14ac:dyDescent="0.25">
      <c r="A1144" t="str">
        <f>MID(TB_CECO[[#This Row],[CECO_T]],1,5)</f>
        <v>61520</v>
      </c>
      <c r="B1144" t="str">
        <f>MID(TB_CECO[[#This Row],[TRABAJO]],1,SEARCH(",",TB_CECO[[#This Row],[TRABAJO]],1)-1)</f>
        <v>EST. 094 NW (GAL 150 SW)</v>
      </c>
      <c r="C11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094 NW (GAL 150 SW),PERFORACION</v>
      </c>
      <c r="D11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44" s="47" t="s">
        <v>2250</v>
      </c>
      <c r="G1144" t="s">
        <v>2251</v>
      </c>
      <c r="H11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45" spans="1:8" ht="15" customHeight="1" x14ac:dyDescent="0.25">
      <c r="A1145" t="str">
        <f>MID(TB_CECO[[#This Row],[CECO_T]],1,5)</f>
        <v>61521</v>
      </c>
      <c r="B1145" t="str">
        <f>MID(TB_CECO[[#This Row],[TRABAJO]],1,SEARCH(",",TB_CECO[[#This Row],[TRABAJO]],1)-1)</f>
        <v>EST. 089NW (GAL 150 SW)</v>
      </c>
      <c r="C11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089NW (GAL 150 SW),DESQUINCHE  </v>
      </c>
      <c r="D11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45" s="47" t="s">
        <v>2252</v>
      </c>
      <c r="G1145" t="s">
        <v>2253</v>
      </c>
      <c r="H11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46" spans="1:8" ht="15" customHeight="1" x14ac:dyDescent="0.25">
      <c r="A1146" t="str">
        <f>MID(TB_CECO[[#This Row],[CECO_T]],1,5)</f>
        <v>61521</v>
      </c>
      <c r="B1146" t="str">
        <f>MID(TB_CECO[[#This Row],[TRABAJO]],1,SEARCH(",",TB_CECO[[#This Row],[TRABAJO]],1)-1)</f>
        <v>EST. 089NW (GAL 150 SW)</v>
      </c>
      <c r="C11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089NW (GAL 150 SW),ENMADERADO  </v>
      </c>
      <c r="D11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46" s="47" t="s">
        <v>2254</v>
      </c>
      <c r="G1146" t="s">
        <v>2255</v>
      </c>
      <c r="H11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47" spans="1:8" ht="15" customHeight="1" x14ac:dyDescent="0.25">
      <c r="A1147" t="str">
        <f>MID(TB_CECO[[#This Row],[CECO_T]],1,5)</f>
        <v>61521</v>
      </c>
      <c r="B1147" t="str">
        <f>MID(TB_CECO[[#This Row],[TRABAJO]],1,SEARCH(",",TB_CECO[[#This Row],[TRABAJO]],1)-1)</f>
        <v>EST. 089NW (GAL 150 SW)</v>
      </c>
      <c r="C11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089NW (GAL 150 SW),LIMPIEZA    </v>
      </c>
      <c r="D11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47" s="47" t="s">
        <v>2256</v>
      </c>
      <c r="G1147" t="s">
        <v>2257</v>
      </c>
      <c r="H11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48" spans="1:8" ht="15" customHeight="1" x14ac:dyDescent="0.25">
      <c r="A1148" t="str">
        <f>MID(TB_CECO[[#This Row],[CECO_T]],1,5)</f>
        <v>61521</v>
      </c>
      <c r="B1148" t="str">
        <f>MID(TB_CECO[[#This Row],[TRABAJO]],1,SEARCH(",",TB_CECO[[#This Row],[TRABAJO]],1)-1)</f>
        <v>EST. 089NW (GAL 150 SW)</v>
      </c>
      <c r="C11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089NW (GAL 150 SW),SERVICIOS   </v>
      </c>
      <c r="D11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48" s="47" t="s">
        <v>2258</v>
      </c>
      <c r="G1148" t="s">
        <v>2259</v>
      </c>
      <c r="H11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49" spans="1:8" ht="15" customHeight="1" x14ac:dyDescent="0.25">
      <c r="A1149" t="str">
        <f>MID(TB_CECO[[#This Row],[CECO_T]],1,5)</f>
        <v>61521</v>
      </c>
      <c r="B1149" t="str">
        <f>MID(TB_CECO[[#This Row],[TRABAJO]],1,SEARCH(",",TB_CECO[[#This Row],[TRABAJO]],1)-1)</f>
        <v>EST. 089NW (GAL 150 SW)</v>
      </c>
      <c r="C11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089NW (GAL 150 SW),EXTRACCION  </v>
      </c>
      <c r="D11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49" s="47" t="s">
        <v>2260</v>
      </c>
      <c r="G1149" t="s">
        <v>2261</v>
      </c>
      <c r="H11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50" spans="1:8" ht="15" customHeight="1" x14ac:dyDescent="0.25">
      <c r="A1150" t="str">
        <f>MID(TB_CECO[[#This Row],[CECO_T]],1,5)</f>
        <v>61521</v>
      </c>
      <c r="B1150" t="str">
        <f>MID(TB_CECO[[#This Row],[TRABAJO]],1,SEARCH(",",TB_CECO[[#This Row],[TRABAJO]],1)-1)</f>
        <v>EST. 089NW (GAL 150 SW)</v>
      </c>
      <c r="C11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089NW (GAL 150 SW),SPLIT SET   </v>
      </c>
      <c r="D11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50" s="47" t="s">
        <v>2262</v>
      </c>
      <c r="G1150" t="s">
        <v>2263</v>
      </c>
      <c r="H11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51" spans="1:8" ht="15" customHeight="1" x14ac:dyDescent="0.25">
      <c r="A1151" t="str">
        <f>MID(TB_CECO[[#This Row],[CECO_T]],1,5)</f>
        <v>61521</v>
      </c>
      <c r="B1151" t="str">
        <f>MID(TB_CECO[[#This Row],[TRABAJO]],1,SEARCH(",",TB_CECO[[#This Row],[TRABAJO]],1)-1)</f>
        <v>EST. 089NW (GAL 150 SW)</v>
      </c>
      <c r="C11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089NW (GAL 150 SW),SPLIT CON MA</v>
      </c>
      <c r="D11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51" s="47" t="s">
        <v>2264</v>
      </c>
      <c r="G1151" t="s">
        <v>2265</v>
      </c>
      <c r="H11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52" spans="1:8" ht="15" customHeight="1" x14ac:dyDescent="0.25">
      <c r="A1152" t="str">
        <f>MID(TB_CECO[[#This Row],[CECO_T]],1,5)</f>
        <v>61521</v>
      </c>
      <c r="B1152" t="str">
        <f>MID(TB_CECO[[#This Row],[TRABAJO]],1,SEARCH(",",TB_CECO[[#This Row],[TRABAJO]],1)-1)</f>
        <v>EST. 089NW (GAL 150 SW)</v>
      </c>
      <c r="C11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089NW (GAL 150 SW),IZAJE Y DESC</v>
      </c>
      <c r="D11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52" s="47" t="s">
        <v>2266</v>
      </c>
      <c r="G1152" t="s">
        <v>2267</v>
      </c>
      <c r="H11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53" spans="1:8" ht="15" customHeight="1" x14ac:dyDescent="0.25">
      <c r="A1153" t="str">
        <f>MID(TB_CECO[[#This Row],[CECO_T]],1,5)</f>
        <v>61521</v>
      </c>
      <c r="B1153" t="str">
        <f>MID(TB_CECO[[#This Row],[TRABAJO]],1,SEARCH(",",TB_CECO[[#This Row],[TRABAJO]],1)-1)</f>
        <v>EST. 089NW (GAL 150 SW)</v>
      </c>
      <c r="C11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089NW (GAL 150 SW),PERFORACION </v>
      </c>
      <c r="D11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53" s="47" t="s">
        <v>2268</v>
      </c>
      <c r="G1153" t="s">
        <v>2269</v>
      </c>
      <c r="H11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54" spans="1:8" ht="15" customHeight="1" x14ac:dyDescent="0.25">
      <c r="A1154" t="str">
        <f>MID(TB_CECO[[#This Row],[CECO_T]],1,5)</f>
        <v>62220</v>
      </c>
      <c r="B1154" t="str">
        <f>MID(TB_CECO[[#This Row],[TRABAJO]],1,SEARCH(",",TB_CECO[[#This Row],[TRABAJO]],1)-1)</f>
        <v>CH 107 (GAL 150 NE)</v>
      </c>
      <c r="C11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NE),DESQUINCHE      </v>
      </c>
      <c r="D11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54" s="47" t="s">
        <v>2270</v>
      </c>
      <c r="G1154" t="s">
        <v>2271</v>
      </c>
      <c r="H11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55" spans="1:8" ht="15" customHeight="1" x14ac:dyDescent="0.25">
      <c r="A1155" t="str">
        <f>MID(TB_CECO[[#This Row],[CECO_T]],1,5)</f>
        <v>62220</v>
      </c>
      <c r="B1155" t="str">
        <f>MID(TB_CECO[[#This Row],[TRABAJO]],1,SEARCH(",",TB_CECO[[#This Row],[TRABAJO]],1)-1)</f>
        <v>CH 107 (GAL 150 NE)</v>
      </c>
      <c r="C11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NE),ENMADERADO      </v>
      </c>
      <c r="D11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55" s="47" t="s">
        <v>2272</v>
      </c>
      <c r="G1155" t="s">
        <v>2273</v>
      </c>
      <c r="H11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56" spans="1:8" ht="15" customHeight="1" x14ac:dyDescent="0.25">
      <c r="A1156" t="str">
        <f>MID(TB_CECO[[#This Row],[CECO_T]],1,5)</f>
        <v>62220</v>
      </c>
      <c r="B1156" t="str">
        <f>MID(TB_CECO[[#This Row],[TRABAJO]],1,SEARCH(",",TB_CECO[[#This Row],[TRABAJO]],1)-1)</f>
        <v>CH 107 (GAL 150 NE)</v>
      </c>
      <c r="C11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NE),LIMPIEZA        </v>
      </c>
      <c r="D11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56" s="47" t="s">
        <v>2274</v>
      </c>
      <c r="G1156" t="s">
        <v>2275</v>
      </c>
      <c r="H11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57" spans="1:8" ht="15" customHeight="1" x14ac:dyDescent="0.25">
      <c r="A1157" t="str">
        <f>MID(TB_CECO[[#This Row],[CECO_T]],1,5)</f>
        <v>62220</v>
      </c>
      <c r="B1157" t="str">
        <f>MID(TB_CECO[[#This Row],[TRABAJO]],1,SEARCH(",",TB_CECO[[#This Row],[TRABAJO]],1)-1)</f>
        <v>CH 107 (GAL 150 NE)</v>
      </c>
      <c r="C11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NE),SERVICIOS       </v>
      </c>
      <c r="D11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57" s="47" t="s">
        <v>2276</v>
      </c>
      <c r="G1157" t="s">
        <v>2277</v>
      </c>
      <c r="H11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58" spans="1:8" ht="15" customHeight="1" x14ac:dyDescent="0.25">
      <c r="A1158" t="str">
        <f>MID(TB_CECO[[#This Row],[CECO_T]],1,5)</f>
        <v>62220</v>
      </c>
      <c r="B1158" t="str">
        <f>MID(TB_CECO[[#This Row],[TRABAJO]],1,SEARCH(",",TB_CECO[[#This Row],[TRABAJO]],1)-1)</f>
        <v>CH 107 (GAL 150 NE)</v>
      </c>
      <c r="C11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NE),EXTRACCION      </v>
      </c>
      <c r="D11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58" s="47" t="s">
        <v>2278</v>
      </c>
      <c r="G1158" t="s">
        <v>2279</v>
      </c>
      <c r="H11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59" spans="1:8" ht="15" customHeight="1" x14ac:dyDescent="0.25">
      <c r="A1159" t="str">
        <f>MID(TB_CECO[[#This Row],[CECO_T]],1,5)</f>
        <v>62220</v>
      </c>
      <c r="B1159" t="str">
        <f>MID(TB_CECO[[#This Row],[TRABAJO]],1,SEARCH(",",TB_CECO[[#This Row],[TRABAJO]],1)-1)</f>
        <v>CH 107 (GAL 150 NE)</v>
      </c>
      <c r="C11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NE),SPLIT SET       </v>
      </c>
      <c r="D11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59" s="47" t="s">
        <v>2280</v>
      </c>
      <c r="G1159" t="s">
        <v>2281</v>
      </c>
      <c r="H11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60" spans="1:8" ht="15" customHeight="1" x14ac:dyDescent="0.25">
      <c r="A1160" t="str">
        <f>MID(TB_CECO[[#This Row],[CECO_T]],1,5)</f>
        <v>62220</v>
      </c>
      <c r="B1160" t="str">
        <f>MID(TB_CECO[[#This Row],[TRABAJO]],1,SEARCH(",",TB_CECO[[#This Row],[TRABAJO]],1)-1)</f>
        <v>CH 107 (GAL 150 NE)</v>
      </c>
      <c r="C11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NE),SPLIT CON MALLA </v>
      </c>
      <c r="D11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60" s="47" t="s">
        <v>2282</v>
      </c>
      <c r="G1160" t="s">
        <v>2283</v>
      </c>
      <c r="H11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61" spans="1:8" ht="15" customHeight="1" x14ac:dyDescent="0.25">
      <c r="A1161" t="str">
        <f>MID(TB_CECO[[#This Row],[CECO_T]],1,5)</f>
        <v>62220</v>
      </c>
      <c r="B1161" t="str">
        <f>MID(TB_CECO[[#This Row],[TRABAJO]],1,SEARCH(",",TB_CECO[[#This Row],[TRABAJO]],1)-1)</f>
        <v>CH 107 (GAL 150 NE)</v>
      </c>
      <c r="C11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107 (GAL 150 NE),IZAJE Y DESCENSO</v>
      </c>
      <c r="D11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61" s="47" t="s">
        <v>2284</v>
      </c>
      <c r="G1161" t="s">
        <v>2285</v>
      </c>
      <c r="H11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62" spans="1:8" ht="15" customHeight="1" x14ac:dyDescent="0.25">
      <c r="A1162" t="str">
        <f>MID(TB_CECO[[#This Row],[CECO_T]],1,5)</f>
        <v>62220</v>
      </c>
      <c r="B1162" t="str">
        <f>MID(TB_CECO[[#This Row],[TRABAJO]],1,SEARCH(",",TB_CECO[[#This Row],[TRABAJO]],1)-1)</f>
        <v>CH 107 (GAL 150 NE)</v>
      </c>
      <c r="C11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NE),PERFORACION     </v>
      </c>
      <c r="D11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62" s="47" t="s">
        <v>2286</v>
      </c>
      <c r="G1162" t="s">
        <v>2287</v>
      </c>
      <c r="H11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63" spans="1:8" ht="15" customHeight="1" x14ac:dyDescent="0.25">
      <c r="A1163" t="str">
        <f>MID(TB_CECO[[#This Row],[CECO_T]],1,5)</f>
        <v>63439</v>
      </c>
      <c r="B1163" t="str">
        <f>MID(TB_CECO[[#This Row],[TRABAJO]],1,SEARCH(",",TB_CECO[[#This Row],[TRABAJO]],1)-1)</f>
        <v>SNV 123 SW (CH 107)</v>
      </c>
      <c r="C11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107),DESQUINCHE      </v>
      </c>
      <c r="D11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63" s="47" t="s">
        <v>2288</v>
      </c>
      <c r="G1163" t="s">
        <v>2289</v>
      </c>
      <c r="H11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64" spans="1:8" ht="15" customHeight="1" x14ac:dyDescent="0.25">
      <c r="A1164" t="str">
        <f>MID(TB_CECO[[#This Row],[CECO_T]],1,5)</f>
        <v>63439</v>
      </c>
      <c r="B1164" t="str">
        <f>MID(TB_CECO[[#This Row],[TRABAJO]],1,SEARCH(",",TB_CECO[[#This Row],[TRABAJO]],1)-1)</f>
        <v>SNV 123 SW (CH 107)</v>
      </c>
      <c r="C11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107),ENMADERADO      </v>
      </c>
      <c r="D11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64" s="47" t="s">
        <v>2290</v>
      </c>
      <c r="G1164" t="s">
        <v>2291</v>
      </c>
      <c r="H11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65" spans="1:8" ht="15" customHeight="1" x14ac:dyDescent="0.25">
      <c r="A1165" t="str">
        <f>MID(TB_CECO[[#This Row],[CECO_T]],1,5)</f>
        <v>63439</v>
      </c>
      <c r="B1165" t="str">
        <f>MID(TB_CECO[[#This Row],[TRABAJO]],1,SEARCH(",",TB_CECO[[#This Row],[TRABAJO]],1)-1)</f>
        <v>SNV 123 SW (CH 107)</v>
      </c>
      <c r="C11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107),LIMPIEZA        </v>
      </c>
      <c r="D11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65" s="47" t="s">
        <v>2292</v>
      </c>
      <c r="G1165" t="s">
        <v>2293</v>
      </c>
      <c r="H11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66" spans="1:8" ht="15" customHeight="1" x14ac:dyDescent="0.25">
      <c r="A1166" t="str">
        <f>MID(TB_CECO[[#This Row],[CECO_T]],1,5)</f>
        <v>63439</v>
      </c>
      <c r="B1166" t="str">
        <f>MID(TB_CECO[[#This Row],[TRABAJO]],1,SEARCH(",",TB_CECO[[#This Row],[TRABAJO]],1)-1)</f>
        <v>SNV 123 SW (CH 107)</v>
      </c>
      <c r="C11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107),SERVICIOS       </v>
      </c>
      <c r="D11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66" s="47" t="s">
        <v>2294</v>
      </c>
      <c r="G1166" t="s">
        <v>2295</v>
      </c>
      <c r="H11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67" spans="1:8" ht="15" customHeight="1" x14ac:dyDescent="0.25">
      <c r="A1167" t="str">
        <f>MID(TB_CECO[[#This Row],[CECO_T]],1,5)</f>
        <v>63439</v>
      </c>
      <c r="B1167" t="str">
        <f>MID(TB_CECO[[#This Row],[TRABAJO]],1,SEARCH(",",TB_CECO[[#This Row],[TRABAJO]],1)-1)</f>
        <v>SNV 123 SW (CH 107)</v>
      </c>
      <c r="C11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107),EXTRACCION      </v>
      </c>
      <c r="D11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67" s="47" t="s">
        <v>2296</v>
      </c>
      <c r="G1167" t="s">
        <v>2297</v>
      </c>
      <c r="H11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68" spans="1:8" ht="15" customHeight="1" x14ac:dyDescent="0.25">
      <c r="A1168" t="str">
        <f>MID(TB_CECO[[#This Row],[CECO_T]],1,5)</f>
        <v>63439</v>
      </c>
      <c r="B1168" t="str">
        <f>MID(TB_CECO[[#This Row],[TRABAJO]],1,SEARCH(",",TB_CECO[[#This Row],[TRABAJO]],1)-1)</f>
        <v>SNV 123 SW (CH 107)</v>
      </c>
      <c r="C11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107),SPLIT SET       </v>
      </c>
      <c r="D11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68" s="47" t="s">
        <v>2298</v>
      </c>
      <c r="G1168" t="s">
        <v>2299</v>
      </c>
      <c r="H11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69" spans="1:8" ht="15" customHeight="1" x14ac:dyDescent="0.25">
      <c r="A1169" t="str">
        <f>MID(TB_CECO[[#This Row],[CECO_T]],1,5)</f>
        <v>63439</v>
      </c>
      <c r="B1169" t="str">
        <f>MID(TB_CECO[[#This Row],[TRABAJO]],1,SEARCH(",",TB_CECO[[#This Row],[TRABAJO]],1)-1)</f>
        <v>SNV 123 SW (CH 107)</v>
      </c>
      <c r="C11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107),SPLIT CON MALLA </v>
      </c>
      <c r="D11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69" s="47" t="s">
        <v>2300</v>
      </c>
      <c r="G1169" t="s">
        <v>2301</v>
      </c>
      <c r="H11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70" spans="1:8" ht="15" customHeight="1" x14ac:dyDescent="0.25">
      <c r="A1170" t="str">
        <f>MID(TB_CECO[[#This Row],[CECO_T]],1,5)</f>
        <v>63439</v>
      </c>
      <c r="B1170" t="str">
        <f>MID(TB_CECO[[#This Row],[TRABAJO]],1,SEARCH(",",TB_CECO[[#This Row],[TRABAJO]],1)-1)</f>
        <v>SNV 123 SW (CH 107)</v>
      </c>
      <c r="C11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 SW (CH 107),IZAJE Y DESCENSO</v>
      </c>
      <c r="D11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70" s="47" t="s">
        <v>2302</v>
      </c>
      <c r="G1170" t="s">
        <v>2303</v>
      </c>
      <c r="H11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71" spans="1:8" ht="15" customHeight="1" x14ac:dyDescent="0.25">
      <c r="A1171" t="str">
        <f>MID(TB_CECO[[#This Row],[CECO_T]],1,5)</f>
        <v>63439</v>
      </c>
      <c r="B1171" t="str">
        <f>MID(TB_CECO[[#This Row],[TRABAJO]],1,SEARCH(",",TB_CECO[[#This Row],[TRABAJO]],1)-1)</f>
        <v>SNV 123 SW (CH 107)</v>
      </c>
      <c r="C11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107),PERFORACION     </v>
      </c>
      <c r="D11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71" s="47" t="s">
        <v>2304</v>
      </c>
      <c r="G1171" t="s">
        <v>2305</v>
      </c>
      <c r="H11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72" spans="1:8" ht="15" customHeight="1" x14ac:dyDescent="0.25">
      <c r="A1172" t="str">
        <f>MID(TB_CECO[[#This Row],[CECO_T]],1,5)</f>
        <v>63440</v>
      </c>
      <c r="B1172" t="str">
        <f>MID(TB_CECO[[#This Row],[TRABAJO]],1,SEARCH(",",TB_CECO[[#This Row],[TRABAJO]],1)-1)</f>
        <v>SNV 123 NE (CH 107)</v>
      </c>
      <c r="C11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107),DESQUINCHE      </v>
      </c>
      <c r="D11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72" s="47" t="s">
        <v>2306</v>
      </c>
      <c r="G1172" t="s">
        <v>2307</v>
      </c>
      <c r="H11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73" spans="1:8" ht="15" customHeight="1" x14ac:dyDescent="0.25">
      <c r="A1173" t="str">
        <f>MID(TB_CECO[[#This Row],[CECO_T]],1,5)</f>
        <v>63440</v>
      </c>
      <c r="B1173" t="str">
        <f>MID(TB_CECO[[#This Row],[TRABAJO]],1,SEARCH(",",TB_CECO[[#This Row],[TRABAJO]],1)-1)</f>
        <v>SNV 123 NE (CH 107)</v>
      </c>
      <c r="C11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107),ENMADERADO      </v>
      </c>
      <c r="D11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73" s="47" t="s">
        <v>2308</v>
      </c>
      <c r="G1173" t="s">
        <v>2309</v>
      </c>
      <c r="H11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74" spans="1:8" ht="15" customHeight="1" x14ac:dyDescent="0.25">
      <c r="A1174" t="str">
        <f>MID(TB_CECO[[#This Row],[CECO_T]],1,5)</f>
        <v>63440</v>
      </c>
      <c r="B1174" t="str">
        <f>MID(TB_CECO[[#This Row],[TRABAJO]],1,SEARCH(",",TB_CECO[[#This Row],[TRABAJO]],1)-1)</f>
        <v>SNV 123 NE (CH 107)</v>
      </c>
      <c r="C11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107),LIMPIEZA        </v>
      </c>
      <c r="D11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74" s="47" t="s">
        <v>2310</v>
      </c>
      <c r="G1174" t="s">
        <v>2311</v>
      </c>
      <c r="H11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75" spans="1:8" ht="15" customHeight="1" x14ac:dyDescent="0.25">
      <c r="A1175" t="str">
        <f>MID(TB_CECO[[#This Row],[CECO_T]],1,5)</f>
        <v>63440</v>
      </c>
      <c r="B1175" t="str">
        <f>MID(TB_CECO[[#This Row],[TRABAJO]],1,SEARCH(",",TB_CECO[[#This Row],[TRABAJO]],1)-1)</f>
        <v>SNV 123 NE (CH 107)</v>
      </c>
      <c r="C11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107),SERVICIOS       </v>
      </c>
      <c r="D11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75" s="47" t="s">
        <v>2312</v>
      </c>
      <c r="G1175" t="s">
        <v>2313</v>
      </c>
      <c r="H11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76" spans="1:8" ht="15" customHeight="1" x14ac:dyDescent="0.25">
      <c r="A1176" t="str">
        <f>MID(TB_CECO[[#This Row],[CECO_T]],1,5)</f>
        <v>63440</v>
      </c>
      <c r="B1176" t="str">
        <f>MID(TB_CECO[[#This Row],[TRABAJO]],1,SEARCH(",",TB_CECO[[#This Row],[TRABAJO]],1)-1)</f>
        <v>SNV 123 NE (CH 107)</v>
      </c>
      <c r="C11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107),EXTRACCION      </v>
      </c>
      <c r="D11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76" s="47" t="s">
        <v>2314</v>
      </c>
      <c r="G1176" t="s">
        <v>2315</v>
      </c>
      <c r="H11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77" spans="1:8" ht="15" customHeight="1" x14ac:dyDescent="0.25">
      <c r="A1177" t="str">
        <f>MID(TB_CECO[[#This Row],[CECO_T]],1,5)</f>
        <v>63440</v>
      </c>
      <c r="B1177" t="str">
        <f>MID(TB_CECO[[#This Row],[TRABAJO]],1,SEARCH(",",TB_CECO[[#This Row],[TRABAJO]],1)-1)</f>
        <v>SNV 123 NE (CH 107)</v>
      </c>
      <c r="C11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107),SPLIT SET       </v>
      </c>
      <c r="D11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77" s="47" t="s">
        <v>2316</v>
      </c>
      <c r="G1177" t="s">
        <v>2317</v>
      </c>
      <c r="H11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78" spans="1:8" ht="15" customHeight="1" x14ac:dyDescent="0.25">
      <c r="A1178" t="str">
        <f>MID(TB_CECO[[#This Row],[CECO_T]],1,5)</f>
        <v>63440</v>
      </c>
      <c r="B1178" t="str">
        <f>MID(TB_CECO[[#This Row],[TRABAJO]],1,SEARCH(",",TB_CECO[[#This Row],[TRABAJO]],1)-1)</f>
        <v>SNV 123 NE (CH 107)</v>
      </c>
      <c r="C11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107),SPLIT CON MALLA </v>
      </c>
      <c r="D11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78" s="47" t="s">
        <v>2318</v>
      </c>
      <c r="G1178" t="s">
        <v>2319</v>
      </c>
      <c r="H11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79" spans="1:8" ht="15" customHeight="1" x14ac:dyDescent="0.25">
      <c r="A1179" t="str">
        <f>MID(TB_CECO[[#This Row],[CECO_T]],1,5)</f>
        <v>63440</v>
      </c>
      <c r="B1179" t="str">
        <f>MID(TB_CECO[[#This Row],[TRABAJO]],1,SEARCH(",",TB_CECO[[#This Row],[TRABAJO]],1)-1)</f>
        <v>SNV 123 NE (CH 107)</v>
      </c>
      <c r="C11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 NE (CH 107),IZAJE Y DESCENSO</v>
      </c>
      <c r="D11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79" s="47" t="s">
        <v>2320</v>
      </c>
      <c r="G1179" t="s">
        <v>2321</v>
      </c>
      <c r="H11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80" spans="1:8" ht="15" customHeight="1" x14ac:dyDescent="0.25">
      <c r="A1180" t="str">
        <f>MID(TB_CECO[[#This Row],[CECO_T]],1,5)</f>
        <v>63440</v>
      </c>
      <c r="B1180" t="str">
        <f>MID(TB_CECO[[#This Row],[TRABAJO]],1,SEARCH(",",TB_CECO[[#This Row],[TRABAJO]],1)-1)</f>
        <v>SNV 123 NE (CH 107)</v>
      </c>
      <c r="C11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107),PERFORACION     </v>
      </c>
      <c r="D11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80" s="47" t="s">
        <v>2322</v>
      </c>
      <c r="G1180" t="s">
        <v>2323</v>
      </c>
      <c r="H11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81" spans="1:8" ht="15" customHeight="1" x14ac:dyDescent="0.25">
      <c r="A1181" t="str">
        <f>MID(TB_CECO[[#This Row],[CECO_T]],1,5)</f>
        <v>64522</v>
      </c>
      <c r="B1181" t="str">
        <f>MID(TB_CECO[[#This Row],[TRABAJO]],1,SEARCH(",",TB_CECO[[#This Row],[TRABAJO]],1)-1)</f>
        <v>EST. 088 SE (GAL 150 SW)</v>
      </c>
      <c r="C11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088 SE (GAL 150 SW),DESQUINCHE </v>
      </c>
      <c r="D11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81" s="47" t="s">
        <v>2324</v>
      </c>
      <c r="G1181" t="s">
        <v>2325</v>
      </c>
      <c r="H11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82" spans="1:8" ht="15" customHeight="1" x14ac:dyDescent="0.25">
      <c r="A1182" t="str">
        <f>MID(TB_CECO[[#This Row],[CECO_T]],1,5)</f>
        <v>64522</v>
      </c>
      <c r="B1182" t="str">
        <f>MID(TB_CECO[[#This Row],[TRABAJO]],1,SEARCH(",",TB_CECO[[#This Row],[TRABAJO]],1)-1)</f>
        <v>EST. 088 SE (GAL 150 SW)</v>
      </c>
      <c r="C11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088 SE (GAL 150 SW),ENMADERADO </v>
      </c>
      <c r="D11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82" s="47" t="s">
        <v>2326</v>
      </c>
      <c r="G1182" t="s">
        <v>2327</v>
      </c>
      <c r="H11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83" spans="1:8" ht="15" customHeight="1" x14ac:dyDescent="0.25">
      <c r="A1183" t="str">
        <f>MID(TB_CECO[[#This Row],[CECO_T]],1,5)</f>
        <v>64522</v>
      </c>
      <c r="B1183" t="str">
        <f>MID(TB_CECO[[#This Row],[TRABAJO]],1,SEARCH(",",TB_CECO[[#This Row],[TRABAJO]],1)-1)</f>
        <v>EST. 088 SE (GAL 150 SW)</v>
      </c>
      <c r="C11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088 SE (GAL 150 SW),LIMPIEZA   </v>
      </c>
      <c r="D11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83" s="47" t="s">
        <v>2328</v>
      </c>
      <c r="G1183" t="s">
        <v>2329</v>
      </c>
      <c r="H11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84" spans="1:8" ht="15" customHeight="1" x14ac:dyDescent="0.25">
      <c r="A1184" t="str">
        <f>MID(TB_CECO[[#This Row],[CECO_T]],1,5)</f>
        <v>64522</v>
      </c>
      <c r="B1184" t="str">
        <f>MID(TB_CECO[[#This Row],[TRABAJO]],1,SEARCH(",",TB_CECO[[#This Row],[TRABAJO]],1)-1)</f>
        <v>EST. 088 SE (GAL 150 SW)</v>
      </c>
      <c r="C11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088 SE (GAL 150 SW),SERVICIOS  </v>
      </c>
      <c r="D11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84" s="47" t="s">
        <v>2330</v>
      </c>
      <c r="G1184" t="s">
        <v>2331</v>
      </c>
      <c r="H11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85" spans="1:8" ht="15" customHeight="1" x14ac:dyDescent="0.25">
      <c r="A1185" t="str">
        <f>MID(TB_CECO[[#This Row],[CECO_T]],1,5)</f>
        <v>64522</v>
      </c>
      <c r="B1185" t="str">
        <f>MID(TB_CECO[[#This Row],[TRABAJO]],1,SEARCH(",",TB_CECO[[#This Row],[TRABAJO]],1)-1)</f>
        <v>EST. 088 SE (GAL 150 SW)</v>
      </c>
      <c r="C11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088 SE (GAL 150 SW),EXTRACCION </v>
      </c>
      <c r="D11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85" s="47" t="s">
        <v>2332</v>
      </c>
      <c r="G1185" t="s">
        <v>2333</v>
      </c>
      <c r="H11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86" spans="1:8" ht="15" customHeight="1" x14ac:dyDescent="0.25">
      <c r="A1186" t="str">
        <f>MID(TB_CECO[[#This Row],[CECO_T]],1,5)</f>
        <v>64522</v>
      </c>
      <c r="B1186" t="str">
        <f>MID(TB_CECO[[#This Row],[TRABAJO]],1,SEARCH(",",TB_CECO[[#This Row],[TRABAJO]],1)-1)</f>
        <v>EST. 088 SE (GAL 150 SW)</v>
      </c>
      <c r="C11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088 SE (GAL 150 SW),SPLIT SET  </v>
      </c>
      <c r="D11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86" s="47" t="s">
        <v>2334</v>
      </c>
      <c r="G1186" t="s">
        <v>2335</v>
      </c>
      <c r="H11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87" spans="1:8" ht="15" customHeight="1" x14ac:dyDescent="0.25">
      <c r="A1187" t="str">
        <f>MID(TB_CECO[[#This Row],[CECO_T]],1,5)</f>
        <v>64522</v>
      </c>
      <c r="B1187" t="str">
        <f>MID(TB_CECO[[#This Row],[TRABAJO]],1,SEARCH(",",TB_CECO[[#This Row],[TRABAJO]],1)-1)</f>
        <v>EST. 088 SE (GAL 150 SW)</v>
      </c>
      <c r="C11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088 SE (GAL 150 SW),SPLIT CON M</v>
      </c>
      <c r="D11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87" s="47" t="s">
        <v>2336</v>
      </c>
      <c r="G1187" t="s">
        <v>2337</v>
      </c>
      <c r="H11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88" spans="1:8" ht="15" customHeight="1" x14ac:dyDescent="0.25">
      <c r="A1188" t="str">
        <f>MID(TB_CECO[[#This Row],[CECO_T]],1,5)</f>
        <v>64522</v>
      </c>
      <c r="B1188" t="str">
        <f>MID(TB_CECO[[#This Row],[TRABAJO]],1,SEARCH(",",TB_CECO[[#This Row],[TRABAJO]],1)-1)</f>
        <v>EST. 088 SE (GAL 150 SW)</v>
      </c>
      <c r="C11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088 SE (GAL 150 SW),IZAJE Y DES</v>
      </c>
      <c r="D11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88" s="47" t="s">
        <v>2338</v>
      </c>
      <c r="G1188" t="s">
        <v>2339</v>
      </c>
      <c r="H11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89" spans="1:8" ht="15" customHeight="1" x14ac:dyDescent="0.25">
      <c r="A1189" t="str">
        <f>MID(TB_CECO[[#This Row],[CECO_T]],1,5)</f>
        <v>64522</v>
      </c>
      <c r="B1189" t="str">
        <f>MID(TB_CECO[[#This Row],[TRABAJO]],1,SEARCH(",",TB_CECO[[#This Row],[TRABAJO]],1)-1)</f>
        <v>EST. 088 SE (GAL 150 SW)</v>
      </c>
      <c r="C11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088 SE (GAL 150 SW),PERFORACION</v>
      </c>
      <c r="D11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89" s="47" t="s">
        <v>2340</v>
      </c>
      <c r="G1189" t="s">
        <v>2341</v>
      </c>
      <c r="H11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190" spans="1:8" ht="15" customHeight="1" x14ac:dyDescent="0.25">
      <c r="A1190" t="str">
        <f>MID(TB_CECO[[#This Row],[CECO_T]],1,5)</f>
        <v>65321</v>
      </c>
      <c r="B1190" t="str">
        <f>MID(TB_CECO[[#This Row],[TRABAJO]],1,SEARCH(",",TB_CECO[[#This Row],[TRABAJO]],1)-1)</f>
        <v>TJ 125 NE (CH 125)</v>
      </c>
      <c r="C11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125),DESQUINCHE       </v>
      </c>
      <c r="D11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90" s="47" t="s">
        <v>2342</v>
      </c>
      <c r="G1190" t="s">
        <v>2343</v>
      </c>
      <c r="H11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191" spans="1:8" ht="15" customHeight="1" x14ac:dyDescent="0.25">
      <c r="A1191" t="str">
        <f>MID(TB_CECO[[#This Row],[CECO_T]],1,5)</f>
        <v>65321</v>
      </c>
      <c r="B1191" t="str">
        <f>MID(TB_CECO[[#This Row],[TRABAJO]],1,SEARCH(",",TB_CECO[[#This Row],[TRABAJO]],1)-1)</f>
        <v>TJ 125 NE (CH 125)</v>
      </c>
      <c r="C11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125),ENMADERADO       </v>
      </c>
      <c r="D11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91" s="47" t="s">
        <v>2344</v>
      </c>
      <c r="G1191" t="s">
        <v>2345</v>
      </c>
      <c r="H11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192" spans="1:8" ht="15" customHeight="1" x14ac:dyDescent="0.25">
      <c r="A1192" t="str">
        <f>MID(TB_CECO[[#This Row],[CECO_T]],1,5)</f>
        <v>65321</v>
      </c>
      <c r="B1192" t="str">
        <f>MID(TB_CECO[[#This Row],[TRABAJO]],1,SEARCH(",",TB_CECO[[#This Row],[TRABAJO]],1)-1)</f>
        <v>TJ 125 NE (CH 125)</v>
      </c>
      <c r="C11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125),LIMPIEZA         </v>
      </c>
      <c r="D11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92" s="47" t="s">
        <v>2346</v>
      </c>
      <c r="G1192" t="s">
        <v>2347</v>
      </c>
      <c r="H11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193" spans="1:8" ht="15" customHeight="1" x14ac:dyDescent="0.25">
      <c r="A1193" t="str">
        <f>MID(TB_CECO[[#This Row],[CECO_T]],1,5)</f>
        <v>65321</v>
      </c>
      <c r="B1193" t="str">
        <f>MID(TB_CECO[[#This Row],[TRABAJO]],1,SEARCH(",",TB_CECO[[#This Row],[TRABAJO]],1)-1)</f>
        <v>TJ 125 NE (CH 125)</v>
      </c>
      <c r="C11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125),SERVICIOS        </v>
      </c>
      <c r="D11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93" s="47" t="s">
        <v>2348</v>
      </c>
      <c r="G1193" t="s">
        <v>2349</v>
      </c>
      <c r="H11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194" spans="1:8" ht="15" customHeight="1" x14ac:dyDescent="0.25">
      <c r="A1194" t="str">
        <f>MID(TB_CECO[[#This Row],[CECO_T]],1,5)</f>
        <v>65321</v>
      </c>
      <c r="B1194" t="str">
        <f>MID(TB_CECO[[#This Row],[TRABAJO]],1,SEARCH(",",TB_CECO[[#This Row],[TRABAJO]],1)-1)</f>
        <v>TJ 125 NE (CH 125)</v>
      </c>
      <c r="C11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125),EXTRACCION       </v>
      </c>
      <c r="D11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94" s="47" t="s">
        <v>2350</v>
      </c>
      <c r="G1194" t="s">
        <v>2351</v>
      </c>
      <c r="H11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195" spans="1:8" ht="15" customHeight="1" x14ac:dyDescent="0.25">
      <c r="A1195" t="str">
        <f>MID(TB_CECO[[#This Row],[CECO_T]],1,5)</f>
        <v>65321</v>
      </c>
      <c r="B1195" t="str">
        <f>MID(TB_CECO[[#This Row],[TRABAJO]],1,SEARCH(",",TB_CECO[[#This Row],[TRABAJO]],1)-1)</f>
        <v>TJ 125 NE (CH 125)</v>
      </c>
      <c r="C11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125),SPLIT SET        </v>
      </c>
      <c r="D11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95" s="47" t="s">
        <v>2352</v>
      </c>
      <c r="G1195" t="s">
        <v>2353</v>
      </c>
      <c r="H11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196" spans="1:8" ht="15" customHeight="1" x14ac:dyDescent="0.25">
      <c r="A1196" t="str">
        <f>MID(TB_CECO[[#This Row],[CECO_T]],1,5)</f>
        <v>65321</v>
      </c>
      <c r="B1196" t="str">
        <f>MID(TB_CECO[[#This Row],[TRABAJO]],1,SEARCH(",",TB_CECO[[#This Row],[TRABAJO]],1)-1)</f>
        <v>TJ 125 NE (CH 125)</v>
      </c>
      <c r="C11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125),SPLIT CON MALLA  </v>
      </c>
      <c r="D11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96" s="47" t="s">
        <v>2354</v>
      </c>
      <c r="G1196" t="s">
        <v>2355</v>
      </c>
      <c r="H11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197" spans="1:8" ht="15" customHeight="1" x14ac:dyDescent="0.25">
      <c r="A1197" t="str">
        <f>MID(TB_CECO[[#This Row],[CECO_T]],1,5)</f>
        <v>65321</v>
      </c>
      <c r="B1197" t="str">
        <f>MID(TB_CECO[[#This Row],[TRABAJO]],1,SEARCH(",",TB_CECO[[#This Row],[TRABAJO]],1)-1)</f>
        <v>TJ 125 NE (CH 125)</v>
      </c>
      <c r="C11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125),IZAJE Y DESCENSO </v>
      </c>
      <c r="D11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97" s="47" t="s">
        <v>2356</v>
      </c>
      <c r="G1197" t="s">
        <v>2357</v>
      </c>
      <c r="H11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198" spans="1:8" ht="15" customHeight="1" x14ac:dyDescent="0.25">
      <c r="A1198" t="str">
        <f>MID(TB_CECO[[#This Row],[CECO_T]],1,5)</f>
        <v>65321</v>
      </c>
      <c r="B1198" t="str">
        <f>MID(TB_CECO[[#This Row],[TRABAJO]],1,SEARCH(",",TB_CECO[[#This Row],[TRABAJO]],1)-1)</f>
        <v>TJ 125 NE (CH 125)</v>
      </c>
      <c r="C11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125),PERFORACION      </v>
      </c>
      <c r="D11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98" s="47" t="s">
        <v>2358</v>
      </c>
      <c r="G1198" t="s">
        <v>2359</v>
      </c>
      <c r="H11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199" spans="1:8" ht="15" customHeight="1" x14ac:dyDescent="0.25">
      <c r="A1199" t="str">
        <f>MID(TB_CECO[[#This Row],[CECO_T]],1,5)</f>
        <v>65322</v>
      </c>
      <c r="B1199" t="str">
        <f>MID(TB_CECO[[#This Row],[TRABAJO]],1,SEARCH(",",TB_CECO[[#This Row],[TRABAJO]],1)-1)</f>
        <v>TJ 125 SW (CH 125)</v>
      </c>
      <c r="C11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125),DESQUINCHE       </v>
      </c>
      <c r="D11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1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199" s="47" t="s">
        <v>2360</v>
      </c>
      <c r="G1199" t="s">
        <v>2361</v>
      </c>
      <c r="H11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00" spans="1:8" ht="15" customHeight="1" x14ac:dyDescent="0.25">
      <c r="A1200" t="str">
        <f>MID(TB_CECO[[#This Row],[CECO_T]],1,5)</f>
        <v>65322</v>
      </c>
      <c r="B1200" t="str">
        <f>MID(TB_CECO[[#This Row],[TRABAJO]],1,SEARCH(",",TB_CECO[[#This Row],[TRABAJO]],1)-1)</f>
        <v>TJ 125 SW (CH 125)</v>
      </c>
      <c r="C12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125),ENMADERADO       </v>
      </c>
      <c r="D12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00" s="47" t="s">
        <v>2362</v>
      </c>
      <c r="G1200" t="s">
        <v>2363</v>
      </c>
      <c r="H12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01" spans="1:8" ht="15" customHeight="1" x14ac:dyDescent="0.25">
      <c r="A1201" t="str">
        <f>MID(TB_CECO[[#This Row],[CECO_T]],1,5)</f>
        <v>65322</v>
      </c>
      <c r="B1201" t="str">
        <f>MID(TB_CECO[[#This Row],[TRABAJO]],1,SEARCH(",",TB_CECO[[#This Row],[TRABAJO]],1)-1)</f>
        <v>TJ 125 SW (CH 125)</v>
      </c>
      <c r="C12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125),LIMPIEZA         </v>
      </c>
      <c r="D12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01" s="47" t="s">
        <v>2364</v>
      </c>
      <c r="G1201" t="s">
        <v>2365</v>
      </c>
      <c r="H12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02" spans="1:8" ht="15" customHeight="1" x14ac:dyDescent="0.25">
      <c r="A1202" t="str">
        <f>MID(TB_CECO[[#This Row],[CECO_T]],1,5)</f>
        <v>65322</v>
      </c>
      <c r="B1202" t="str">
        <f>MID(TB_CECO[[#This Row],[TRABAJO]],1,SEARCH(",",TB_CECO[[#This Row],[TRABAJO]],1)-1)</f>
        <v>TJ 125 SW (CH 125)</v>
      </c>
      <c r="C12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125),SERVICIOS        </v>
      </c>
      <c r="D12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02" s="47" t="s">
        <v>2366</v>
      </c>
      <c r="G1202" t="s">
        <v>2367</v>
      </c>
      <c r="H12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03" spans="1:8" ht="15" customHeight="1" x14ac:dyDescent="0.25">
      <c r="A1203" t="str">
        <f>MID(TB_CECO[[#This Row],[CECO_T]],1,5)</f>
        <v>65322</v>
      </c>
      <c r="B1203" t="str">
        <f>MID(TB_CECO[[#This Row],[TRABAJO]],1,SEARCH(",",TB_CECO[[#This Row],[TRABAJO]],1)-1)</f>
        <v>TJ 125 SW (CH 125)</v>
      </c>
      <c r="C12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125),EXTRACCION       </v>
      </c>
      <c r="D12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03" s="47" t="s">
        <v>2368</v>
      </c>
      <c r="G1203" t="s">
        <v>2369</v>
      </c>
      <c r="H12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04" spans="1:8" ht="15" customHeight="1" x14ac:dyDescent="0.25">
      <c r="A1204" t="str">
        <f>MID(TB_CECO[[#This Row],[CECO_T]],1,5)</f>
        <v>65322</v>
      </c>
      <c r="B1204" t="str">
        <f>MID(TB_CECO[[#This Row],[TRABAJO]],1,SEARCH(",",TB_CECO[[#This Row],[TRABAJO]],1)-1)</f>
        <v>TJ 125 SW (CH 125)</v>
      </c>
      <c r="C12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125),SPLIT SET        </v>
      </c>
      <c r="D12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04" s="47" t="s">
        <v>2370</v>
      </c>
      <c r="G1204" t="s">
        <v>2371</v>
      </c>
      <c r="H12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05" spans="1:8" ht="15" customHeight="1" x14ac:dyDescent="0.25">
      <c r="A1205" t="str">
        <f>MID(TB_CECO[[#This Row],[CECO_T]],1,5)</f>
        <v>65322</v>
      </c>
      <c r="B1205" t="str">
        <f>MID(TB_CECO[[#This Row],[TRABAJO]],1,SEARCH(",",TB_CECO[[#This Row],[TRABAJO]],1)-1)</f>
        <v>TJ 125 SW (CH 125)</v>
      </c>
      <c r="C12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125),SPLIT CON MALLA  </v>
      </c>
      <c r="D12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05" s="47" t="s">
        <v>2372</v>
      </c>
      <c r="G1205" t="s">
        <v>2373</v>
      </c>
      <c r="H12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06" spans="1:8" ht="15" customHeight="1" x14ac:dyDescent="0.25">
      <c r="A1206" t="str">
        <f>MID(TB_CECO[[#This Row],[CECO_T]],1,5)</f>
        <v>65322</v>
      </c>
      <c r="B1206" t="str">
        <f>MID(TB_CECO[[#This Row],[TRABAJO]],1,SEARCH(",",TB_CECO[[#This Row],[TRABAJO]],1)-1)</f>
        <v>TJ 125 SW (CH 125)</v>
      </c>
      <c r="C12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125),IZAJE Y DESCENSO </v>
      </c>
      <c r="D12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06" s="47" t="s">
        <v>2374</v>
      </c>
      <c r="G1206" t="s">
        <v>2375</v>
      </c>
      <c r="H12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07" spans="1:8" ht="15" customHeight="1" x14ac:dyDescent="0.25">
      <c r="A1207" t="str">
        <f>MID(TB_CECO[[#This Row],[CECO_T]],1,5)</f>
        <v>65322</v>
      </c>
      <c r="B1207" t="str">
        <f>MID(TB_CECO[[#This Row],[TRABAJO]],1,SEARCH(",",TB_CECO[[#This Row],[TRABAJO]],1)-1)</f>
        <v>TJ 125 SW (CH 125)</v>
      </c>
      <c r="C12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125),PERFORACION      </v>
      </c>
      <c r="D12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07" s="47" t="s">
        <v>2376</v>
      </c>
      <c r="G1207" t="s">
        <v>2377</v>
      </c>
      <c r="H12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08" spans="1:8" ht="15" customHeight="1" x14ac:dyDescent="0.25">
      <c r="A1208" t="str">
        <f>MID(TB_CECO[[#This Row],[CECO_T]],1,5)</f>
        <v>65324</v>
      </c>
      <c r="B1208" t="str">
        <f>MID(TB_CECO[[#This Row],[TRABAJO]],1,SEARCH(",",TB_CECO[[#This Row],[TRABAJO]],1)-1)</f>
        <v>TJ 150 (GAL 150 NE)</v>
      </c>
      <c r="C12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NE),DESQUINCHE      </v>
      </c>
      <c r="D12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08" s="47" t="s">
        <v>2378</v>
      </c>
      <c r="G1208" t="s">
        <v>2379</v>
      </c>
      <c r="H12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09" spans="1:8" ht="15" customHeight="1" x14ac:dyDescent="0.25">
      <c r="A1209" t="str">
        <f>MID(TB_CECO[[#This Row],[CECO_T]],1,5)</f>
        <v>65324</v>
      </c>
      <c r="B1209" t="str">
        <f>MID(TB_CECO[[#This Row],[TRABAJO]],1,SEARCH(",",TB_CECO[[#This Row],[TRABAJO]],1)-1)</f>
        <v>TJ 150 (GAL 150 NE)</v>
      </c>
      <c r="C12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NE),ENMADERADO      </v>
      </c>
      <c r="D12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09" s="47" t="s">
        <v>2380</v>
      </c>
      <c r="G1209" t="s">
        <v>2381</v>
      </c>
      <c r="H12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10" spans="1:8" ht="15" customHeight="1" x14ac:dyDescent="0.25">
      <c r="A1210" t="str">
        <f>MID(TB_CECO[[#This Row],[CECO_T]],1,5)</f>
        <v>65324</v>
      </c>
      <c r="B1210" t="str">
        <f>MID(TB_CECO[[#This Row],[TRABAJO]],1,SEARCH(",",TB_CECO[[#This Row],[TRABAJO]],1)-1)</f>
        <v>TJ 150 (GAL 150 NE)</v>
      </c>
      <c r="C12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NE),LIMPIEZA        </v>
      </c>
      <c r="D12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10" s="47" t="s">
        <v>2382</v>
      </c>
      <c r="G1210" t="s">
        <v>2383</v>
      </c>
      <c r="H12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11" spans="1:8" ht="15" customHeight="1" x14ac:dyDescent="0.25">
      <c r="A1211" t="str">
        <f>MID(TB_CECO[[#This Row],[CECO_T]],1,5)</f>
        <v>65324</v>
      </c>
      <c r="B1211" t="str">
        <f>MID(TB_CECO[[#This Row],[TRABAJO]],1,SEARCH(",",TB_CECO[[#This Row],[TRABAJO]],1)-1)</f>
        <v>TJ 150 (GAL 150 NE)</v>
      </c>
      <c r="C12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NE),SERVICIOS       </v>
      </c>
      <c r="D12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11" s="47" t="s">
        <v>2384</v>
      </c>
      <c r="G1211" t="s">
        <v>2385</v>
      </c>
      <c r="H12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12" spans="1:8" ht="15" customHeight="1" x14ac:dyDescent="0.25">
      <c r="A1212" t="str">
        <f>MID(TB_CECO[[#This Row],[CECO_T]],1,5)</f>
        <v>65324</v>
      </c>
      <c r="B1212" t="str">
        <f>MID(TB_CECO[[#This Row],[TRABAJO]],1,SEARCH(",",TB_CECO[[#This Row],[TRABAJO]],1)-1)</f>
        <v>TJ 150 (GAL 150 NE)</v>
      </c>
      <c r="C12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NE),EXTRACCION      </v>
      </c>
      <c r="D12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12" s="47" t="s">
        <v>2386</v>
      </c>
      <c r="G1212" t="s">
        <v>2387</v>
      </c>
      <c r="H12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13" spans="1:8" ht="15" customHeight="1" x14ac:dyDescent="0.25">
      <c r="A1213" t="str">
        <f>MID(TB_CECO[[#This Row],[CECO_T]],1,5)</f>
        <v>65324</v>
      </c>
      <c r="B1213" t="str">
        <f>MID(TB_CECO[[#This Row],[TRABAJO]],1,SEARCH(",",TB_CECO[[#This Row],[TRABAJO]],1)-1)</f>
        <v>TJ 150 (GAL 150 NE)</v>
      </c>
      <c r="C12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NE),SPLIT SET       </v>
      </c>
      <c r="D12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13" s="47" t="s">
        <v>2388</v>
      </c>
      <c r="G1213" t="s">
        <v>2389</v>
      </c>
      <c r="H12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14" spans="1:8" ht="15" customHeight="1" x14ac:dyDescent="0.25">
      <c r="A1214" t="str">
        <f>MID(TB_CECO[[#This Row],[CECO_T]],1,5)</f>
        <v>65324</v>
      </c>
      <c r="B1214" t="str">
        <f>MID(TB_CECO[[#This Row],[TRABAJO]],1,SEARCH(",",TB_CECO[[#This Row],[TRABAJO]],1)-1)</f>
        <v>TJ 150 (GAL 150 NE)</v>
      </c>
      <c r="C12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NE),SPLIT CON MALLA </v>
      </c>
      <c r="D12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14" s="47" t="s">
        <v>2390</v>
      </c>
      <c r="G1214" t="s">
        <v>2391</v>
      </c>
      <c r="H12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15" spans="1:8" ht="15" customHeight="1" x14ac:dyDescent="0.25">
      <c r="A1215" t="str">
        <f>MID(TB_CECO[[#This Row],[CECO_T]],1,5)</f>
        <v>65324</v>
      </c>
      <c r="B1215" t="str">
        <f>MID(TB_CECO[[#This Row],[TRABAJO]],1,SEARCH(",",TB_CECO[[#This Row],[TRABAJO]],1)-1)</f>
        <v>TJ 150 (GAL 150 NE)</v>
      </c>
      <c r="C12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150 (GAL 150 NE),IZAJE Y DESCENSO</v>
      </c>
      <c r="D12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15" s="47" t="s">
        <v>2392</v>
      </c>
      <c r="G1215" t="s">
        <v>2393</v>
      </c>
      <c r="H12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16" spans="1:8" ht="15" customHeight="1" x14ac:dyDescent="0.25">
      <c r="A1216" t="str">
        <f>MID(TB_CECO[[#This Row],[CECO_T]],1,5)</f>
        <v>65324</v>
      </c>
      <c r="B1216" t="str">
        <f>MID(TB_CECO[[#This Row],[TRABAJO]],1,SEARCH(",",TB_CECO[[#This Row],[TRABAJO]],1)-1)</f>
        <v>TJ 150 (GAL 150 NE)</v>
      </c>
      <c r="C12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NE),PERFORACION     </v>
      </c>
      <c r="D12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2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16" s="47" t="s">
        <v>2394</v>
      </c>
      <c r="G1216" t="s">
        <v>2395</v>
      </c>
      <c r="H12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17" spans="1:8" ht="15" customHeight="1" x14ac:dyDescent="0.25">
      <c r="A1217" t="str">
        <f>MID(TB_CECO[[#This Row],[CECO_T]],1,5)</f>
        <v>11002</v>
      </c>
      <c r="B1217" t="str">
        <f>MID(TB_CECO[[#This Row],[TRABAJO]],1,SEARCH(",",TB_CECO[[#This Row],[TRABAJO]],1)-1)</f>
        <v>GA 170 NE Cx.128 NE</v>
      </c>
      <c r="C12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NE,VOLADURA     </v>
      </c>
      <c r="D12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17" s="47" t="s">
        <v>2396</v>
      </c>
      <c r="G1217" t="s">
        <v>2397</v>
      </c>
      <c r="H12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18" spans="1:8" ht="15" customHeight="1" x14ac:dyDescent="0.25">
      <c r="A1218" t="str">
        <f>MID(TB_CECO[[#This Row],[CECO_T]],1,5)</f>
        <v>11002</v>
      </c>
      <c r="B1218" t="str">
        <f>MID(TB_CECO[[#This Row],[TRABAJO]],1,SEARCH(",",TB_CECO[[#This Row],[TRABAJO]],1)-1)</f>
        <v>GA 170 NE Cx.128 NE</v>
      </c>
      <c r="C12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NE,CAMINOS      </v>
      </c>
      <c r="D12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18" s="47" t="s">
        <v>2398</v>
      </c>
      <c r="G1218" t="s">
        <v>2399</v>
      </c>
      <c r="H12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19" spans="1:8" ht="15" customHeight="1" x14ac:dyDescent="0.25">
      <c r="A1219" t="str">
        <f>MID(TB_CECO[[#This Row],[CECO_T]],1,5)</f>
        <v>11002</v>
      </c>
      <c r="B1219" t="str">
        <f>MID(TB_CECO[[#This Row],[TRABAJO]],1,SEARCH(",",TB_CECO[[#This Row],[TRABAJO]],1)-1)</f>
        <v>GA 170 NE Cx.128 NE</v>
      </c>
      <c r="C12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 170 NE Cx.128 NE,INSTAL. RIELE</v>
      </c>
      <c r="D12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19" s="47" t="s">
        <v>2400</v>
      </c>
      <c r="G1219" t="s">
        <v>2401</v>
      </c>
      <c r="H12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20" spans="1:8" ht="15" customHeight="1" x14ac:dyDescent="0.25">
      <c r="A1220" t="str">
        <f>MID(TB_CECO[[#This Row],[CECO_T]],1,5)</f>
        <v>11002</v>
      </c>
      <c r="B1220" t="str">
        <f>MID(TB_CECO[[#This Row],[TRABAJO]],1,SEARCH(",",TB_CECO[[#This Row],[TRABAJO]],1)-1)</f>
        <v>GA 170 NE Cx.128 NE</v>
      </c>
      <c r="C12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NE,REHABILIT DE </v>
      </c>
      <c r="D12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20" s="47" t="s">
        <v>2402</v>
      </c>
      <c r="G1220" t="s">
        <v>2403</v>
      </c>
      <c r="H12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21" spans="1:8" ht="15" customHeight="1" x14ac:dyDescent="0.25">
      <c r="A1221" t="str">
        <f>MID(TB_CECO[[#This Row],[CECO_T]],1,5)</f>
        <v>11101</v>
      </c>
      <c r="B1221" t="str">
        <f>MID(TB_CECO[[#This Row],[TRABAJO]],1,SEARCH(",",TB_CECO[[#This Row],[TRABAJO]],1)-1)</f>
        <v xml:space="preserve"> Cx.128 NE_GL.028 NE </v>
      </c>
      <c r="C12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VOLADURA </v>
      </c>
      <c r="D12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21" s="47" t="s">
        <v>2404</v>
      </c>
      <c r="G1221" t="s">
        <v>2405</v>
      </c>
      <c r="H12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22" spans="1:8" ht="15" customHeight="1" x14ac:dyDescent="0.25">
      <c r="A1222" t="str">
        <f>MID(TB_CECO[[#This Row],[CECO_T]],1,5)</f>
        <v>11101</v>
      </c>
      <c r="B1222" t="str">
        <f>MID(TB_CECO[[#This Row],[TRABAJO]],1,SEARCH(",",TB_CECO[[#This Row],[TRABAJO]],1)-1)</f>
        <v xml:space="preserve"> Cx.128 NE_GL.028 NE </v>
      </c>
      <c r="C12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CAMINOS  </v>
      </c>
      <c r="D12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22" s="47" t="s">
        <v>2406</v>
      </c>
      <c r="G1222" t="s">
        <v>2407</v>
      </c>
      <c r="H12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23" spans="1:8" ht="15" customHeight="1" x14ac:dyDescent="0.25">
      <c r="A1223" t="str">
        <f>MID(TB_CECO[[#This Row],[CECO_T]],1,5)</f>
        <v>11101</v>
      </c>
      <c r="B1223" t="str">
        <f>MID(TB_CECO[[#This Row],[TRABAJO]],1,SEARCH(",",TB_CECO[[#This Row],[TRABAJO]],1)-1)</f>
        <v xml:space="preserve"> Cx.128 NE_GL.028 NE </v>
      </c>
      <c r="C12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INSTAL.RI</v>
      </c>
      <c r="D12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23" s="47" t="s">
        <v>2408</v>
      </c>
      <c r="G1223" t="s">
        <v>2409</v>
      </c>
      <c r="H12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24" spans="1:8" ht="15" customHeight="1" x14ac:dyDescent="0.25">
      <c r="A1224" t="str">
        <f>MID(TB_CECO[[#This Row],[CECO_T]],1,5)</f>
        <v>11101</v>
      </c>
      <c r="B1224" t="str">
        <f>MID(TB_CECO[[#This Row],[TRABAJO]],1,SEARCH(",",TB_CECO[[#This Row],[TRABAJO]],1)-1)</f>
        <v xml:space="preserve"> Cx.128 NE_GL.028 NE </v>
      </c>
      <c r="C12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REHABILIT</v>
      </c>
      <c r="D12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24" s="47" t="s">
        <v>2410</v>
      </c>
      <c r="G1224" t="s">
        <v>2411</v>
      </c>
      <c r="H12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25" spans="1:8" ht="15" customHeight="1" x14ac:dyDescent="0.25">
      <c r="A1225" t="str">
        <f>MID(TB_CECO[[#This Row],[CECO_T]],1,5)</f>
        <v>11201</v>
      </c>
      <c r="B1225" t="str">
        <f>MID(TB_CECO[[#This Row],[TRABAJO]],1,SEARCH(",",TB_CECO[[#This Row],[TRABAJO]],1)-1)</f>
        <v xml:space="preserve"> CH.045_SN 095-1 SW </v>
      </c>
      <c r="C12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VOLADURA  </v>
      </c>
      <c r="D12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25" s="47" t="s">
        <v>2412</v>
      </c>
      <c r="G1225" t="s">
        <v>2413</v>
      </c>
      <c r="H12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26" spans="1:8" ht="15" customHeight="1" x14ac:dyDescent="0.25">
      <c r="A1226" t="str">
        <f>MID(TB_CECO[[#This Row],[CECO_T]],1,5)</f>
        <v>11201</v>
      </c>
      <c r="B1226" t="str">
        <f>MID(TB_CECO[[#This Row],[TRABAJO]],1,SEARCH(",",TB_CECO[[#This Row],[TRABAJO]],1)-1)</f>
        <v xml:space="preserve"> CH.045_SN 095-1 SW </v>
      </c>
      <c r="C12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CAMINOS   </v>
      </c>
      <c r="D12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26" s="47" t="s">
        <v>2414</v>
      </c>
      <c r="G1226" t="s">
        <v>2415</v>
      </c>
      <c r="H12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27" spans="1:8" ht="15" customHeight="1" x14ac:dyDescent="0.25">
      <c r="A1227" t="str">
        <f>MID(TB_CECO[[#This Row],[CECO_T]],1,5)</f>
        <v>11201</v>
      </c>
      <c r="B1227" t="str">
        <f>MID(TB_CECO[[#This Row],[TRABAJO]],1,SEARCH(",",TB_CECO[[#This Row],[TRABAJO]],1)-1)</f>
        <v xml:space="preserve"> CH.045_SN 095-1 SW </v>
      </c>
      <c r="C12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INSTAL.RIE</v>
      </c>
      <c r="D12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27" s="47" t="s">
        <v>2416</v>
      </c>
      <c r="G1227" t="s">
        <v>2417</v>
      </c>
      <c r="H12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28" spans="1:8" ht="15" customHeight="1" x14ac:dyDescent="0.25">
      <c r="A1228" t="str">
        <f>MID(TB_CECO[[#This Row],[CECO_T]],1,5)</f>
        <v>11201</v>
      </c>
      <c r="B1228" t="str">
        <f>MID(TB_CECO[[#This Row],[TRABAJO]],1,SEARCH(",",TB_CECO[[#This Row],[TRABAJO]],1)-1)</f>
        <v xml:space="preserve"> CH.045_SN 095-1 SW </v>
      </c>
      <c r="C12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CH.045_SN 095-1 SW , REHABILIT.</v>
      </c>
      <c r="D12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28" s="47" t="s">
        <v>2418</v>
      </c>
      <c r="G1228" t="s">
        <v>2419</v>
      </c>
      <c r="H12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29" spans="1:8" ht="15" customHeight="1" x14ac:dyDescent="0.25">
      <c r="A1229" t="str">
        <f>MID(TB_CECO[[#This Row],[CECO_T]],1,5)</f>
        <v>11205</v>
      </c>
      <c r="B1229" t="str">
        <f>MID(TB_CECO[[#This Row],[TRABAJO]],1,SEARCH(",",TB_CECO[[#This Row],[TRABAJO]],1)-1)</f>
        <v xml:space="preserve"> CH. 025  SNv.039-SW </v>
      </c>
      <c r="C12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025  SNv.039-SW , VOLADUR</v>
      </c>
      <c r="D12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29" s="47" t="s">
        <v>2420</v>
      </c>
      <c r="G1229" t="s">
        <v>2421</v>
      </c>
      <c r="H12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30" spans="1:8" ht="15" customHeight="1" x14ac:dyDescent="0.25">
      <c r="A1230" t="str">
        <f>MID(TB_CECO[[#This Row],[CECO_T]],1,5)</f>
        <v>11205</v>
      </c>
      <c r="B1230" t="str">
        <f>MID(TB_CECO[[#This Row],[TRABAJO]],1,SEARCH(",",TB_CECO[[#This Row],[TRABAJO]],1)-1)</f>
        <v xml:space="preserve"> CH. 025  SNv.039-SW </v>
      </c>
      <c r="C12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025  SNv.039-SW , CAMINOS</v>
      </c>
      <c r="D12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30" s="47" t="s">
        <v>2422</v>
      </c>
      <c r="G1230" t="s">
        <v>2423</v>
      </c>
      <c r="H12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31" spans="1:8" ht="15" customHeight="1" x14ac:dyDescent="0.25">
      <c r="A1231" t="str">
        <f>MID(TB_CECO[[#This Row],[CECO_T]],1,5)</f>
        <v>11205</v>
      </c>
      <c r="B1231" t="str">
        <f>MID(TB_CECO[[#This Row],[TRABAJO]],1,SEARCH(",",TB_CECO[[#This Row],[TRABAJO]],1)-1)</f>
        <v>CH.025 SNv.039-SW</v>
      </c>
      <c r="C12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CH.025 SNv.039-SW, INSTALAC DE </v>
      </c>
      <c r="D12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31" s="47" t="s">
        <v>2424</v>
      </c>
      <c r="G1231" t="s">
        <v>2425</v>
      </c>
      <c r="H12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32" spans="1:8" ht="15" customHeight="1" x14ac:dyDescent="0.25">
      <c r="A1232" t="str">
        <f>MID(TB_CECO[[#This Row],[CECO_T]],1,5)</f>
        <v>11205</v>
      </c>
      <c r="B1232" t="str">
        <f>MID(TB_CECO[[#This Row],[TRABAJO]],1,SEARCH(",",TB_CECO[[#This Row],[TRABAJO]],1)-1)</f>
        <v xml:space="preserve">CH.025 SNv.039-SW </v>
      </c>
      <c r="C12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CH.025 SNv.039-SW , REHABILIT DE </v>
      </c>
      <c r="D12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32" s="47" t="s">
        <v>2426</v>
      </c>
      <c r="G1232" t="s">
        <v>2427</v>
      </c>
      <c r="H12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33" spans="1:8" ht="15" customHeight="1" x14ac:dyDescent="0.25">
      <c r="A1233" t="str">
        <f>MID(TB_CECO[[#This Row],[CECO_T]],1,5)</f>
        <v>11209</v>
      </c>
      <c r="B1233" t="str">
        <f>MID(TB_CECO[[#This Row],[TRABAJO]],1,SEARCH(",",TB_CECO[[#This Row],[TRABAJO]],1)-1)</f>
        <v>CH 580 -1 TJ 580 NE</v>
      </c>
      <c r="C12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NE,VOLADURA     </v>
      </c>
      <c r="D12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33" s="47" t="s">
        <v>2428</v>
      </c>
      <c r="G1233" t="s">
        <v>2429</v>
      </c>
      <c r="H12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34" spans="1:8" ht="15" customHeight="1" x14ac:dyDescent="0.25">
      <c r="A1234" t="str">
        <f>MID(TB_CECO[[#This Row],[CECO_T]],1,5)</f>
        <v>11209</v>
      </c>
      <c r="B1234" t="str">
        <f>MID(TB_CECO[[#This Row],[TRABAJO]],1,SEARCH(",",TB_CECO[[#This Row],[TRABAJO]],1)-1)</f>
        <v>CH 580 -1 TJ 580 NE</v>
      </c>
      <c r="C12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NE,CAMINOS      </v>
      </c>
      <c r="D12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34" s="47" t="s">
        <v>2430</v>
      </c>
      <c r="G1234" t="s">
        <v>2431</v>
      </c>
      <c r="H12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35" spans="1:8" ht="15" customHeight="1" x14ac:dyDescent="0.25">
      <c r="A1235" t="str">
        <f>MID(TB_CECO[[#This Row],[CECO_T]],1,5)</f>
        <v>11209</v>
      </c>
      <c r="B1235" t="str">
        <f>MID(TB_CECO[[#This Row],[TRABAJO]],1,SEARCH(",",TB_CECO[[#This Row],[TRABAJO]],1)-1)</f>
        <v>CH 580 -1 TJ 580 NE</v>
      </c>
      <c r="C12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580 -1 TJ 580 NE,INST DE RIELE</v>
      </c>
      <c r="D12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35" s="47" t="s">
        <v>2432</v>
      </c>
      <c r="G1235" t="s">
        <v>2433</v>
      </c>
      <c r="H12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36" spans="1:8" ht="15" customHeight="1" x14ac:dyDescent="0.25">
      <c r="A1236" t="str">
        <f>MID(TB_CECO[[#This Row],[CECO_T]],1,5)</f>
        <v>11209</v>
      </c>
      <c r="B1236" t="str">
        <f>MID(TB_CECO[[#This Row],[TRABAJO]],1,SEARCH(",",TB_CECO[[#This Row],[TRABAJO]],1)-1)</f>
        <v>CH 580 -1 TJ 580 NE</v>
      </c>
      <c r="C12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580 -1 TJ 580 NE,REHAB DE LABO</v>
      </c>
      <c r="D12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36" s="47" t="s">
        <v>2434</v>
      </c>
      <c r="G1236" t="s">
        <v>2435</v>
      </c>
      <c r="H12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37" spans="1:8" ht="15" customHeight="1" x14ac:dyDescent="0.25">
      <c r="A1237" t="str">
        <f>MID(TB_CECO[[#This Row],[CECO_T]],1,5)</f>
        <v>11401</v>
      </c>
      <c r="B1237" t="str">
        <f>MID(TB_CECO[[#This Row],[TRABAJO]],1,SEARCH(",",TB_CECO[[#This Row],[TRABAJO]],1)-1)</f>
        <v xml:space="preserve"> Snv. 095-1-SW_Est. 095-1 SW </v>
      </c>
      <c r="C12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</v>
      </c>
      <c r="D12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37" s="47" t="s">
        <v>2436</v>
      </c>
      <c r="G1237" t="s">
        <v>102</v>
      </c>
      <c r="H12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38" spans="1:8" ht="15" customHeight="1" x14ac:dyDescent="0.25">
      <c r="A1238" t="str">
        <f>MID(TB_CECO[[#This Row],[CECO_T]],1,5)</f>
        <v>11401</v>
      </c>
      <c r="B1238" t="str">
        <f>MID(TB_CECO[[#This Row],[TRABAJO]],1,SEARCH(",",TB_CECO[[#This Row],[TRABAJO]],1)-1)</f>
        <v xml:space="preserve"> Snv. 095-1-SW_Est. 095-1 SW </v>
      </c>
      <c r="C12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</v>
      </c>
      <c r="D12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38" s="47" t="s">
        <v>2437</v>
      </c>
      <c r="G1238" t="s">
        <v>102</v>
      </c>
      <c r="H12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39" spans="1:8" ht="15" customHeight="1" x14ac:dyDescent="0.25">
      <c r="A1239" t="str">
        <f>MID(TB_CECO[[#This Row],[CECO_T]],1,5)</f>
        <v>11401</v>
      </c>
      <c r="B1239" t="str">
        <f>MID(TB_CECO[[#This Row],[TRABAJO]],1,SEARCH(",",TB_CECO[[#This Row],[TRABAJO]],1)-1)</f>
        <v xml:space="preserve"> Snv.095-1-SW_Est.095-1SW</v>
      </c>
      <c r="C12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Snv.095-1-SW_Est.095-1SW, INSTAL</v>
      </c>
      <c r="D12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39" s="47" t="s">
        <v>2438</v>
      </c>
      <c r="G1239" t="s">
        <v>2439</v>
      </c>
      <c r="H12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40" spans="1:8" ht="15" customHeight="1" x14ac:dyDescent="0.25">
      <c r="A1240" t="str">
        <f>MID(TB_CECO[[#This Row],[CECO_T]],1,5)</f>
        <v>11401</v>
      </c>
      <c r="B1240" t="str">
        <f>MID(TB_CECO[[#This Row],[TRABAJO]],1,SEARCH(",",TB_CECO[[#This Row],[TRABAJO]],1)-1)</f>
        <v>Snv.095-1-SW_Est.095-1SW</v>
      </c>
      <c r="C12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Snv.095-1-SW_Est.095-1SW,REHABILI</v>
      </c>
      <c r="D12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40" s="47" t="s">
        <v>2440</v>
      </c>
      <c r="G1240" t="s">
        <v>2441</v>
      </c>
      <c r="H12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41" spans="1:8" ht="15" customHeight="1" x14ac:dyDescent="0.25">
      <c r="A1241" t="str">
        <f>MID(TB_CECO[[#This Row],[CECO_T]],1,5)</f>
        <v>11402</v>
      </c>
      <c r="B1241" t="str">
        <f>MID(TB_CECO[[#This Row],[TRABAJO]],1,SEARCH(",",TB_CECO[[#This Row],[TRABAJO]],1)-1)</f>
        <v xml:space="preserve"> SN.039-SW Est. 039 SW </v>
      </c>
      <c r="C12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VOLAD</v>
      </c>
      <c r="D12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41" s="47" t="s">
        <v>2442</v>
      </c>
      <c r="G1241" t="s">
        <v>2443</v>
      </c>
      <c r="H12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42" spans="1:8" ht="15" customHeight="1" x14ac:dyDescent="0.25">
      <c r="A1242" t="str">
        <f>MID(TB_CECO[[#This Row],[CECO_T]],1,5)</f>
        <v>11402</v>
      </c>
      <c r="B1242" t="str">
        <f>MID(TB_CECO[[#This Row],[TRABAJO]],1,SEARCH(",",TB_CECO[[#This Row],[TRABAJO]],1)-1)</f>
        <v xml:space="preserve"> SN.039-SW Est. 039 SW </v>
      </c>
      <c r="C12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CAMIN</v>
      </c>
      <c r="D12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42" s="47" t="s">
        <v>2444</v>
      </c>
      <c r="G1242" t="s">
        <v>2445</v>
      </c>
      <c r="H12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43" spans="1:8" ht="15" customHeight="1" x14ac:dyDescent="0.25">
      <c r="A1243" t="str">
        <f>MID(TB_CECO[[#This Row],[CECO_T]],1,5)</f>
        <v>11402</v>
      </c>
      <c r="B1243" t="str">
        <f>MID(TB_CECO[[#This Row],[TRABAJO]],1,SEARCH(",",TB_CECO[[#This Row],[TRABAJO]],1)-1)</f>
        <v xml:space="preserve"> SN.039-SW Est. 039 SW </v>
      </c>
      <c r="C12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INST </v>
      </c>
      <c r="D12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43" s="47" t="s">
        <v>2446</v>
      </c>
      <c r="G1243" t="s">
        <v>2447</v>
      </c>
      <c r="H12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44" spans="1:8" ht="15" customHeight="1" x14ac:dyDescent="0.25">
      <c r="A1244" t="str">
        <f>MID(TB_CECO[[#This Row],[CECO_T]],1,5)</f>
        <v>11402</v>
      </c>
      <c r="B1244" t="str">
        <f>MID(TB_CECO[[#This Row],[TRABAJO]],1,SEARCH(",",TB_CECO[[#This Row],[TRABAJO]],1)-1)</f>
        <v xml:space="preserve"> SN.039-SW Est.039 SW </v>
      </c>
      <c r="C12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Est.039 SW , REHABILIT</v>
      </c>
      <c r="D12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44" s="47" t="s">
        <v>2448</v>
      </c>
      <c r="G1244" t="s">
        <v>2449</v>
      </c>
      <c r="H12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45" spans="1:8" ht="15" customHeight="1" x14ac:dyDescent="0.25">
      <c r="A1245" t="str">
        <f>MID(TB_CECO[[#This Row],[CECO_T]],1,5)</f>
        <v>11410</v>
      </c>
      <c r="B1245" t="str">
        <f>MID(TB_CECO[[#This Row],[TRABAJO]],1,SEARCH(",",TB_CECO[[#This Row],[TRABAJO]],1)-1)</f>
        <v>SNv.580-4SW CH 580</v>
      </c>
      <c r="C12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SNv.580-4SW CH 580,VOLADURA      </v>
      </c>
      <c r="D12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45" s="47" t="s">
        <v>2450</v>
      </c>
      <c r="G1245" t="s">
        <v>2451</v>
      </c>
      <c r="H12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46" spans="1:8" ht="15" customHeight="1" x14ac:dyDescent="0.25">
      <c r="A1246" t="str">
        <f>MID(TB_CECO[[#This Row],[CECO_T]],1,5)</f>
        <v>11410</v>
      </c>
      <c r="B1246" t="str">
        <f>MID(TB_CECO[[#This Row],[TRABAJO]],1,SEARCH(",",TB_CECO[[#This Row],[TRABAJO]],1)-1)</f>
        <v>SNv.580-4SW CH 580</v>
      </c>
      <c r="C12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SNv.580-4SW CH 580,CAMINOS       </v>
      </c>
      <c r="D12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46" s="47" t="s">
        <v>2452</v>
      </c>
      <c r="G1246" t="s">
        <v>2453</v>
      </c>
      <c r="H12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47" spans="1:8" ht="15" customHeight="1" x14ac:dyDescent="0.25">
      <c r="A1247" t="str">
        <f>MID(TB_CECO[[#This Row],[CECO_T]],1,5)</f>
        <v>11410</v>
      </c>
      <c r="B1247" t="str">
        <f>MID(TB_CECO[[#This Row],[TRABAJO]],1,SEARCH(",",TB_CECO[[#This Row],[TRABAJO]],1)-1)</f>
        <v>SNv.580-4SW CH 580</v>
      </c>
      <c r="C12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SNv.580-4SW CH 580,INST. DE RIELE</v>
      </c>
      <c r="D12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47" s="47" t="s">
        <v>2454</v>
      </c>
      <c r="G1247" t="s">
        <v>2455</v>
      </c>
      <c r="H12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48" spans="1:8" ht="15" customHeight="1" x14ac:dyDescent="0.25">
      <c r="A1248" t="str">
        <f>MID(TB_CECO[[#This Row],[CECO_T]],1,5)</f>
        <v>11410</v>
      </c>
      <c r="B1248" t="str">
        <f>MID(TB_CECO[[#This Row],[TRABAJO]],1,SEARCH(",",TB_CECO[[#This Row],[TRABAJO]],1)-1)</f>
        <v>SNv.580-4SW CH 580</v>
      </c>
      <c r="C12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SNv.580-4SW CH 580,REHAB DE LABOR</v>
      </c>
      <c r="D12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48" s="47" t="s">
        <v>2456</v>
      </c>
      <c r="G1248" t="s">
        <v>2457</v>
      </c>
      <c r="H12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49" spans="1:8" ht="15" customHeight="1" x14ac:dyDescent="0.25">
      <c r="A1249" t="str">
        <f>MID(TB_CECO[[#This Row],[CECO_T]],1,5)</f>
        <v>11413</v>
      </c>
      <c r="B1249" t="str">
        <f>MID(TB_CECO[[#This Row],[TRABAJO]],1,SEARCH(",",TB_CECO[[#This Row],[TRABAJO]],1)-1)</f>
        <v>SNV 095 NE EST 095 NE</v>
      </c>
      <c r="C12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095 NE,VOLADURA   </v>
      </c>
      <c r="D12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49" s="47" t="s">
        <v>2458</v>
      </c>
      <c r="G1249" t="s">
        <v>2459</v>
      </c>
      <c r="H12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50" spans="1:8" ht="15" customHeight="1" x14ac:dyDescent="0.25">
      <c r="A1250" t="str">
        <f>MID(TB_CECO[[#This Row],[CECO_T]],1,5)</f>
        <v>11413</v>
      </c>
      <c r="B1250" t="str">
        <f>MID(TB_CECO[[#This Row],[TRABAJO]],1,SEARCH(",",TB_CECO[[#This Row],[TRABAJO]],1)-1)</f>
        <v>SNV 095 NE EST 095 NE</v>
      </c>
      <c r="C12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095 NE,CAMINOS    </v>
      </c>
      <c r="D12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50" s="47" t="s">
        <v>2460</v>
      </c>
      <c r="G1250" t="s">
        <v>2461</v>
      </c>
      <c r="H12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51" spans="1:8" ht="15" customHeight="1" x14ac:dyDescent="0.25">
      <c r="A1251" t="str">
        <f>MID(TB_CECO[[#This Row],[CECO_T]],1,5)</f>
        <v>11413</v>
      </c>
      <c r="B1251" t="str">
        <f>MID(TB_CECO[[#This Row],[TRABAJO]],1,SEARCH(",",TB_CECO[[#This Row],[TRABAJO]],1)-1)</f>
        <v>SNV 095 NE EST 095 NE</v>
      </c>
      <c r="C12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NE EST 095 NE,INST. DE RI</v>
      </c>
      <c r="D12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51" s="47" t="s">
        <v>2462</v>
      </c>
      <c r="G1251" t="s">
        <v>2463</v>
      </c>
      <c r="H12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52" spans="1:8" ht="15" customHeight="1" x14ac:dyDescent="0.25">
      <c r="A1252" t="str">
        <f>MID(TB_CECO[[#This Row],[CECO_T]],1,5)</f>
        <v>11413</v>
      </c>
      <c r="B1252" t="str">
        <f>MID(TB_CECO[[#This Row],[TRABAJO]],1,SEARCH(",",TB_CECO[[#This Row],[TRABAJO]],1)-1)</f>
        <v>SNV 095 NE EST 095 NE</v>
      </c>
      <c r="C12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NE EST 095 NE,REHAB DE LA</v>
      </c>
      <c r="D12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52" s="47" t="s">
        <v>2464</v>
      </c>
      <c r="G1252" t="s">
        <v>2465</v>
      </c>
      <c r="H12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53" spans="1:8" ht="15" customHeight="1" x14ac:dyDescent="0.25">
      <c r="A1253" t="str">
        <f>MID(TB_CECO[[#This Row],[CECO_T]],1,5)</f>
        <v>11417</v>
      </c>
      <c r="B1253" t="str">
        <f>MID(TB_CECO[[#This Row],[TRABAJO]],1,SEARCH(",",TB_CECO[[#This Row],[TRABAJO]],1)-1)</f>
        <v>SNV 100-S CH 100</v>
      </c>
      <c r="C12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100,VOLADURA        </v>
      </c>
      <c r="D12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53" s="47" t="s">
        <v>2466</v>
      </c>
      <c r="G1253" t="s">
        <v>2467</v>
      </c>
      <c r="H12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54" spans="1:8" ht="15" customHeight="1" x14ac:dyDescent="0.25">
      <c r="A1254" t="str">
        <f>MID(TB_CECO[[#This Row],[CECO_T]],1,5)</f>
        <v>11417</v>
      </c>
      <c r="B1254" t="str">
        <f>MID(TB_CECO[[#This Row],[TRABAJO]],1,SEARCH(",",TB_CECO[[#This Row],[TRABAJO]],1)-1)</f>
        <v>SNV 100-S CH 100</v>
      </c>
      <c r="C12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100,CAMINOS         </v>
      </c>
      <c r="D12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54" s="47" t="s">
        <v>2468</v>
      </c>
      <c r="G1254" t="s">
        <v>2469</v>
      </c>
      <c r="H12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55" spans="1:8" ht="15" customHeight="1" x14ac:dyDescent="0.25">
      <c r="A1255" t="str">
        <f>MID(TB_CECO[[#This Row],[CECO_T]],1,5)</f>
        <v>11417</v>
      </c>
      <c r="B1255" t="str">
        <f>MID(TB_CECO[[#This Row],[TRABAJO]],1,SEARCH(",",TB_CECO[[#This Row],[TRABAJO]],1)-1)</f>
        <v>SNV 100-S CH 100</v>
      </c>
      <c r="C12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100,INST.DE RIELES  </v>
      </c>
      <c r="D12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55" s="47" t="s">
        <v>2470</v>
      </c>
      <c r="G1255" t="s">
        <v>2471</v>
      </c>
      <c r="H12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56" spans="1:8" ht="15" customHeight="1" x14ac:dyDescent="0.25">
      <c r="A1256" t="str">
        <f>MID(TB_CECO[[#This Row],[CECO_T]],1,5)</f>
        <v>11417</v>
      </c>
      <c r="B1256" t="str">
        <f>MID(TB_CECO[[#This Row],[TRABAJO]],1,SEARCH(",",TB_CECO[[#This Row],[TRABAJO]],1)-1)</f>
        <v>SNV 100-S CH 100</v>
      </c>
      <c r="C12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100-S CH 100,REHAB DE LABORES</v>
      </c>
      <c r="D12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56" s="47" t="s">
        <v>2472</v>
      </c>
      <c r="G1256" t="s">
        <v>2473</v>
      </c>
      <c r="H12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57" spans="1:8" ht="15" customHeight="1" x14ac:dyDescent="0.25">
      <c r="A1257" t="str">
        <f>MID(TB_CECO[[#This Row],[CECO_T]],1,5)</f>
        <v>11417</v>
      </c>
      <c r="B1257" t="str">
        <f>MID(TB_CECO[[#This Row],[TRABAJO]],1,SEARCH(",",TB_CECO[[#This Row],[TRABAJO]],1)-1)</f>
        <v>SNV 100-S CH 100</v>
      </c>
      <c r="C12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 CH 100,CICLO COMPLETO  </v>
      </c>
      <c r="D12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57" s="47" t="s">
        <v>2474</v>
      </c>
      <c r="G1257" t="s">
        <v>2475</v>
      </c>
      <c r="H12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58" spans="1:8" ht="15" customHeight="1" x14ac:dyDescent="0.25">
      <c r="A1258" t="str">
        <f>MID(TB_CECO[[#This Row],[CECO_T]],1,5)</f>
        <v>11418</v>
      </c>
      <c r="B1258" t="str">
        <f>MID(TB_CECO[[#This Row],[TRABAJO]],1,SEARCH(",",TB_CECO[[#This Row],[TRABAJO]],1)-1)</f>
        <v>SNV 100-N CH 100</v>
      </c>
      <c r="C12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100,VOLADURA        </v>
      </c>
      <c r="D12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58" s="47" t="s">
        <v>2476</v>
      </c>
      <c r="G1258" t="s">
        <v>2477</v>
      </c>
      <c r="H12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59" spans="1:8" ht="15" customHeight="1" x14ac:dyDescent="0.25">
      <c r="A1259" t="str">
        <f>MID(TB_CECO[[#This Row],[CECO_T]],1,5)</f>
        <v>11418</v>
      </c>
      <c r="B1259" t="str">
        <f>MID(TB_CECO[[#This Row],[TRABAJO]],1,SEARCH(",",TB_CECO[[#This Row],[TRABAJO]],1)-1)</f>
        <v>SNV 100-N CH 100</v>
      </c>
      <c r="C12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100,CAMINOS         </v>
      </c>
      <c r="D12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59" s="47" t="s">
        <v>2478</v>
      </c>
      <c r="G1259" t="s">
        <v>2479</v>
      </c>
      <c r="H12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60" spans="1:8" ht="15" customHeight="1" x14ac:dyDescent="0.25">
      <c r="A1260" t="str">
        <f>MID(TB_CECO[[#This Row],[CECO_T]],1,5)</f>
        <v>11418</v>
      </c>
      <c r="B1260" t="str">
        <f>MID(TB_CECO[[#This Row],[TRABAJO]],1,SEARCH(",",TB_CECO[[#This Row],[TRABAJO]],1)-1)</f>
        <v>SNV 100-N CH 100</v>
      </c>
      <c r="C12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100,INST.DE RIELES  </v>
      </c>
      <c r="D12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60" s="47" t="s">
        <v>2480</v>
      </c>
      <c r="G1260" t="s">
        <v>2481</v>
      </c>
      <c r="H12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61" spans="1:8" ht="15" customHeight="1" x14ac:dyDescent="0.25">
      <c r="A1261" t="str">
        <f>MID(TB_CECO[[#This Row],[CECO_T]],1,5)</f>
        <v>11418</v>
      </c>
      <c r="B1261" t="str">
        <f>MID(TB_CECO[[#This Row],[TRABAJO]],1,SEARCH(",",TB_CECO[[#This Row],[TRABAJO]],1)-1)</f>
        <v>SNV 100-N CH 100</v>
      </c>
      <c r="C12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100-N CH 100,REHAB DE LABORES</v>
      </c>
      <c r="D12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61" s="47" t="s">
        <v>2482</v>
      </c>
      <c r="G1261" t="s">
        <v>2483</v>
      </c>
      <c r="H12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62" spans="1:8" ht="15" customHeight="1" x14ac:dyDescent="0.25">
      <c r="A1262" t="str">
        <f>MID(TB_CECO[[#This Row],[CECO_T]],1,5)</f>
        <v>11418</v>
      </c>
      <c r="B1262" t="str">
        <f>MID(TB_CECO[[#This Row],[TRABAJO]],1,SEARCH(",",TB_CECO[[#This Row],[TRABAJO]],1)-1)</f>
        <v>SNV 100-N CH 100</v>
      </c>
      <c r="C12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 CH 100,CICLO COMPLETO  </v>
      </c>
      <c r="D12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62" s="47" t="s">
        <v>2484</v>
      </c>
      <c r="G1262" t="s">
        <v>2485</v>
      </c>
      <c r="H12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63" spans="1:8" ht="15" customHeight="1" x14ac:dyDescent="0.25">
      <c r="A1263" t="str">
        <f>MID(TB_CECO[[#This Row],[CECO_T]],1,5)</f>
        <v>11419</v>
      </c>
      <c r="B1263" t="str">
        <f>MID(TB_CECO[[#This Row],[TRABAJO]],1,SEARCH(",",TB_CECO[[#This Row],[TRABAJO]],1)-1)</f>
        <v>SNV 150-S CH 100</v>
      </c>
      <c r="C12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100,VOLADURA        </v>
      </c>
      <c r="D12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63" s="47" t="s">
        <v>2486</v>
      </c>
      <c r="G1263" t="s">
        <v>2487</v>
      </c>
      <c r="H12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64" spans="1:8" ht="15" customHeight="1" x14ac:dyDescent="0.25">
      <c r="A1264" t="str">
        <f>MID(TB_CECO[[#This Row],[CECO_T]],1,5)</f>
        <v>11419</v>
      </c>
      <c r="B1264" t="str">
        <f>MID(TB_CECO[[#This Row],[TRABAJO]],1,SEARCH(",",TB_CECO[[#This Row],[TRABAJO]],1)-1)</f>
        <v>SNV 150-S CH 100</v>
      </c>
      <c r="C12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100,CAMINOS         </v>
      </c>
      <c r="D12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64" s="47" t="s">
        <v>2488</v>
      </c>
      <c r="G1264" t="s">
        <v>2489</v>
      </c>
      <c r="H12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65" spans="1:8" ht="15" customHeight="1" x14ac:dyDescent="0.25">
      <c r="A1265" t="str">
        <f>MID(TB_CECO[[#This Row],[CECO_T]],1,5)</f>
        <v>11419</v>
      </c>
      <c r="B1265" t="str">
        <f>MID(TB_CECO[[#This Row],[TRABAJO]],1,SEARCH(",",TB_CECO[[#This Row],[TRABAJO]],1)-1)</f>
        <v>SNV 150-S CH 100</v>
      </c>
      <c r="C12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100,INST.DE RIELES  </v>
      </c>
      <c r="D12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65" s="47" t="s">
        <v>2490</v>
      </c>
      <c r="G1265" t="s">
        <v>2491</v>
      </c>
      <c r="H12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66" spans="1:8" ht="15" customHeight="1" x14ac:dyDescent="0.25">
      <c r="A1266" t="str">
        <f>MID(TB_CECO[[#This Row],[CECO_T]],1,5)</f>
        <v>11419</v>
      </c>
      <c r="B1266" t="str">
        <f>MID(TB_CECO[[#This Row],[TRABAJO]],1,SEARCH(",",TB_CECO[[#This Row],[TRABAJO]],1)-1)</f>
        <v>SNV 150-S CH 100</v>
      </c>
      <c r="C12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150-S CH 100,REHAB DE LABORES</v>
      </c>
      <c r="D12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66" s="47" t="s">
        <v>2492</v>
      </c>
      <c r="G1266" t="s">
        <v>2493</v>
      </c>
      <c r="H12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67" spans="1:8" ht="15" customHeight="1" x14ac:dyDescent="0.25">
      <c r="A1267" t="str">
        <f>MID(TB_CECO[[#This Row],[CECO_T]],1,5)</f>
        <v>11419</v>
      </c>
      <c r="B1267" t="str">
        <f>MID(TB_CECO[[#This Row],[TRABAJO]],1,SEARCH(",",TB_CECO[[#This Row],[TRABAJO]],1)-1)</f>
        <v>SNV 150-S CH 100</v>
      </c>
      <c r="C12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 CH 100,CICLO COMPLETO  </v>
      </c>
      <c r="D12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67" s="47" t="s">
        <v>2494</v>
      </c>
      <c r="G1267" t="s">
        <v>2495</v>
      </c>
      <c r="H12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68" spans="1:8" ht="15" customHeight="1" x14ac:dyDescent="0.25">
      <c r="A1268" t="str">
        <f>MID(TB_CECO[[#This Row],[CECO_T]],1,5)</f>
        <v>11420</v>
      </c>
      <c r="B1268" t="str">
        <f>MID(TB_CECO[[#This Row],[TRABAJO]],1,SEARCH(",",TB_CECO[[#This Row],[TRABAJO]],1)-1)</f>
        <v>SNV 150-N CH 100</v>
      </c>
      <c r="C12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100,VOLADURA        </v>
      </c>
      <c r="D12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68" s="47" t="s">
        <v>2496</v>
      </c>
      <c r="G1268" t="s">
        <v>2497</v>
      </c>
      <c r="H12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69" spans="1:8" ht="15" customHeight="1" x14ac:dyDescent="0.25">
      <c r="A1269" t="str">
        <f>MID(TB_CECO[[#This Row],[CECO_T]],1,5)</f>
        <v>11420</v>
      </c>
      <c r="B1269" t="str">
        <f>MID(TB_CECO[[#This Row],[TRABAJO]],1,SEARCH(",",TB_CECO[[#This Row],[TRABAJO]],1)-1)</f>
        <v>SNV 150-N CH 100</v>
      </c>
      <c r="C12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100,CAMINOS         </v>
      </c>
      <c r="D12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69" s="47" t="s">
        <v>2498</v>
      </c>
      <c r="G1269" t="s">
        <v>2499</v>
      </c>
      <c r="H12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70" spans="1:8" ht="15" customHeight="1" x14ac:dyDescent="0.25">
      <c r="A1270" t="str">
        <f>MID(TB_CECO[[#This Row],[CECO_T]],1,5)</f>
        <v>11420</v>
      </c>
      <c r="B1270" t="str">
        <f>MID(TB_CECO[[#This Row],[TRABAJO]],1,SEARCH(",",TB_CECO[[#This Row],[TRABAJO]],1)-1)</f>
        <v>SNV 150-N CH 100</v>
      </c>
      <c r="C12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100,INST.DE RIELES  </v>
      </c>
      <c r="D12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70" s="47" t="s">
        <v>2500</v>
      </c>
      <c r="G1270" t="s">
        <v>2501</v>
      </c>
      <c r="H12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71" spans="1:8" ht="15" customHeight="1" x14ac:dyDescent="0.25">
      <c r="A1271" t="str">
        <f>MID(TB_CECO[[#This Row],[CECO_T]],1,5)</f>
        <v>11420</v>
      </c>
      <c r="B1271" t="str">
        <f>MID(TB_CECO[[#This Row],[TRABAJO]],1,SEARCH(",",TB_CECO[[#This Row],[TRABAJO]],1)-1)</f>
        <v>SNV 150-N CH 100</v>
      </c>
      <c r="C12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150-N CH 100,REHAB DE LABORES</v>
      </c>
      <c r="D12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71" s="47" t="s">
        <v>2502</v>
      </c>
      <c r="G1271" t="s">
        <v>2503</v>
      </c>
      <c r="H12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72" spans="1:8" ht="15" customHeight="1" x14ac:dyDescent="0.25">
      <c r="A1272" t="str">
        <f>MID(TB_CECO[[#This Row],[CECO_T]],1,5)</f>
        <v>11420</v>
      </c>
      <c r="B1272" t="str">
        <f>MID(TB_CECO[[#This Row],[TRABAJO]],1,SEARCH(",",TB_CECO[[#This Row],[TRABAJO]],1)-1)</f>
        <v>SNV 150-N CH 100</v>
      </c>
      <c r="C12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 CH 100,CICLO COMPLETO  </v>
      </c>
      <c r="D12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72" s="47" t="s">
        <v>2504</v>
      </c>
      <c r="G1272" t="s">
        <v>2505</v>
      </c>
      <c r="H12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73" spans="1:8" ht="15" customHeight="1" x14ac:dyDescent="0.25">
      <c r="A1273" t="str">
        <f>MID(TB_CECO[[#This Row],[CECO_T]],1,5)</f>
        <v>11422</v>
      </c>
      <c r="B1273" t="str">
        <f>MID(TB_CECO[[#This Row],[TRABAJO]],1,SEARCH(",",TB_CECO[[#This Row],[TRABAJO]],1)-1)</f>
        <v>SNv 095 NE EST 077 NE</v>
      </c>
      <c r="C12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077 NE,VOLADURA   </v>
      </c>
      <c r="D12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73" s="47" t="s">
        <v>2506</v>
      </c>
      <c r="G1273" t="s">
        <v>2507</v>
      </c>
      <c r="H12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74" spans="1:8" ht="15" customHeight="1" x14ac:dyDescent="0.25">
      <c r="A1274" t="str">
        <f>MID(TB_CECO[[#This Row],[CECO_T]],1,5)</f>
        <v>11422</v>
      </c>
      <c r="B1274" t="str">
        <f>MID(TB_CECO[[#This Row],[TRABAJO]],1,SEARCH(",",TB_CECO[[#This Row],[TRABAJO]],1)-1)</f>
        <v>SNv 095 NE EST 077 NE</v>
      </c>
      <c r="C12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095 NE EST 077 NE,CAMINOS    </v>
      </c>
      <c r="D12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74" s="47" t="s">
        <v>2508</v>
      </c>
      <c r="G1274" t="s">
        <v>2509</v>
      </c>
      <c r="H12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75" spans="1:8" ht="15" customHeight="1" x14ac:dyDescent="0.25">
      <c r="A1275" t="str">
        <f>MID(TB_CECO[[#This Row],[CECO_T]],1,5)</f>
        <v>11422</v>
      </c>
      <c r="B1275" t="str">
        <f>MID(TB_CECO[[#This Row],[TRABAJO]],1,SEARCH(",",TB_CECO[[#This Row],[TRABAJO]],1)-1)</f>
        <v>SNv 095 NE EST 077 NE</v>
      </c>
      <c r="C12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NE EST 077 NE,INST.DE RIE</v>
      </c>
      <c r="D12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75" s="47" t="s">
        <v>2510</v>
      </c>
      <c r="G1275" t="s">
        <v>2511</v>
      </c>
      <c r="H12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76" spans="1:8" ht="15" customHeight="1" x14ac:dyDescent="0.25">
      <c r="A1276" t="str">
        <f>MID(TB_CECO[[#This Row],[CECO_T]],1,5)</f>
        <v>11422</v>
      </c>
      <c r="B1276" t="str">
        <f>MID(TB_CECO[[#This Row],[TRABAJO]],1,SEARCH(",",TB_CECO[[#This Row],[TRABAJO]],1)-1)</f>
        <v>SNv 095 NE EST 077 NE</v>
      </c>
      <c r="C12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NE EST 077 NE,REHAB DE LA</v>
      </c>
      <c r="D12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76" s="47" t="s">
        <v>2512</v>
      </c>
      <c r="G1276" t="s">
        <v>2513</v>
      </c>
      <c r="H12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77" spans="1:8" ht="15" customHeight="1" x14ac:dyDescent="0.25">
      <c r="A1277" t="str">
        <f>MID(TB_CECO[[#This Row],[CECO_T]],1,5)</f>
        <v>11422</v>
      </c>
      <c r="B1277" t="str">
        <f>MID(TB_CECO[[#This Row],[TRABAJO]],1,SEARCH(",",TB_CECO[[#This Row],[TRABAJO]],1)-1)</f>
        <v>SNv 095 NE EST 077 NE</v>
      </c>
      <c r="C12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NE EST 077 NE,CICLO COMPL</v>
      </c>
      <c r="D12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277" s="47" t="s">
        <v>2514</v>
      </c>
      <c r="G1277" t="s">
        <v>2515</v>
      </c>
      <c r="H12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78" spans="1:8" ht="15" customHeight="1" x14ac:dyDescent="0.25">
      <c r="A1278" t="str">
        <f>MID(TB_CECO[[#This Row],[CECO_T]],1,5)</f>
        <v>11502</v>
      </c>
      <c r="B1278" t="str">
        <f>MID(TB_CECO[[#This Row],[TRABAJO]],1,SEARCH(",",TB_CECO[[#This Row],[TRABAJO]],1)-1)</f>
        <v xml:space="preserve"> Est.039-SW_Snv.095-1-SW </v>
      </c>
      <c r="C12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 , VOLAD</v>
      </c>
      <c r="D12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78" s="47" t="s">
        <v>2516</v>
      </c>
      <c r="G1278" t="s">
        <v>2517</v>
      </c>
      <c r="H12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79" spans="1:8" ht="15" customHeight="1" x14ac:dyDescent="0.25">
      <c r="A1279" t="str">
        <f>MID(TB_CECO[[#This Row],[CECO_T]],1,5)</f>
        <v>11502</v>
      </c>
      <c r="B1279" t="str">
        <f>MID(TB_CECO[[#This Row],[TRABAJO]],1,SEARCH(",",TB_CECO[[#This Row],[TRABAJO]],1)-1)</f>
        <v xml:space="preserve"> Est.039-SW_Snv.095-1-SW </v>
      </c>
      <c r="C12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 , CAMIN</v>
      </c>
      <c r="D12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79" s="47" t="s">
        <v>2518</v>
      </c>
      <c r="G1279" t="s">
        <v>2519</v>
      </c>
      <c r="H12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80" spans="1:8" ht="15" customHeight="1" x14ac:dyDescent="0.25">
      <c r="A1280" t="str">
        <f>MID(TB_CECO[[#This Row],[CECO_T]],1,5)</f>
        <v>11502</v>
      </c>
      <c r="B1280" t="str">
        <f>MID(TB_CECO[[#This Row],[TRABAJO]],1,SEARCH(",",TB_CECO[[#This Row],[TRABAJO]],1)-1)</f>
        <v xml:space="preserve"> Est.039-SW_Snv.095-1-SW </v>
      </c>
      <c r="C12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Est.039-SW_Snv.095-1-SW , INSTA</v>
      </c>
      <c r="D12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80" s="47" t="s">
        <v>2520</v>
      </c>
      <c r="G1280" t="s">
        <v>2521</v>
      </c>
      <c r="H12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81" spans="1:8" ht="15" customHeight="1" x14ac:dyDescent="0.25">
      <c r="A1281" t="str">
        <f>MID(TB_CECO[[#This Row],[CECO_T]],1,5)</f>
        <v>11502</v>
      </c>
      <c r="B1281" t="str">
        <f>MID(TB_CECO[[#This Row],[TRABAJO]],1,SEARCH(",",TB_CECO[[#This Row],[TRABAJO]],1)-1)</f>
        <v>Est.039-SW_Snv.095-1-SW</v>
      </c>
      <c r="C12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Est.039-SW_Snv.095-1-SW,REHABILIT.</v>
      </c>
      <c r="D12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81" s="47" t="s">
        <v>2522</v>
      </c>
      <c r="G1281" t="s">
        <v>2523</v>
      </c>
      <c r="H12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82" spans="1:8" ht="15" customHeight="1" x14ac:dyDescent="0.25">
      <c r="A1282" t="str">
        <f>MID(TB_CECO[[#This Row],[CECO_T]],1,5)</f>
        <v>12301</v>
      </c>
      <c r="B1282" t="str">
        <f>MID(TB_CECO[[#This Row],[TRABAJO]],1,SEARCH(",",TB_CECO[[#This Row],[TRABAJO]],1)-1)</f>
        <v xml:space="preserve"> TJ 580 -3 NE </v>
      </c>
      <c r="C12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VOLADURA      </v>
      </c>
      <c r="D12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82" s="47" t="s">
        <v>2524</v>
      </c>
      <c r="G1282" t="s">
        <v>2525</v>
      </c>
      <c r="H12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83" spans="1:8" ht="15" customHeight="1" x14ac:dyDescent="0.25">
      <c r="A1283" t="str">
        <f>MID(TB_CECO[[#This Row],[CECO_T]],1,5)</f>
        <v>12301</v>
      </c>
      <c r="B1283" t="str">
        <f>MID(TB_CECO[[#This Row],[TRABAJO]],1,SEARCH(",",TB_CECO[[#This Row],[TRABAJO]],1)-1)</f>
        <v xml:space="preserve"> TJ 580 -3 NE </v>
      </c>
      <c r="C12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CAMINOS       </v>
      </c>
      <c r="D12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83" s="47" t="s">
        <v>2526</v>
      </c>
      <c r="G1283" t="s">
        <v>2527</v>
      </c>
      <c r="H12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84" spans="1:8" ht="15" customHeight="1" x14ac:dyDescent="0.25">
      <c r="A1284" t="str">
        <f>MID(TB_CECO[[#This Row],[CECO_T]],1,5)</f>
        <v>12301</v>
      </c>
      <c r="B1284" t="str">
        <f>MID(TB_CECO[[#This Row],[TRABAJO]],1,SEARCH(",",TB_CECO[[#This Row],[TRABAJO]],1)-1)</f>
        <v xml:space="preserve"> TJ 580 -3 NE </v>
      </c>
      <c r="C12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580 -3 NE , INSTALACION DE</v>
      </c>
      <c r="D12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84" s="47" t="s">
        <v>2528</v>
      </c>
      <c r="G1284" t="s">
        <v>2529</v>
      </c>
      <c r="H12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85" spans="1:8" ht="15" customHeight="1" x14ac:dyDescent="0.25">
      <c r="A1285" t="str">
        <f>MID(TB_CECO[[#This Row],[CECO_T]],1,5)</f>
        <v>12301</v>
      </c>
      <c r="B1285" t="str">
        <f>MID(TB_CECO[[#This Row],[TRABAJO]],1,SEARCH(",",TB_CECO[[#This Row],[TRABAJO]],1)-1)</f>
        <v xml:space="preserve"> TJ 580-3 NE </v>
      </c>
      <c r="C12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580-3 NE , REHABILIT DE LA</v>
      </c>
      <c r="D12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85" s="47" t="s">
        <v>2530</v>
      </c>
      <c r="G1285" t="s">
        <v>2531</v>
      </c>
      <c r="H12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86" spans="1:8" ht="15" customHeight="1" x14ac:dyDescent="0.25">
      <c r="A1286" t="str">
        <f>MID(TB_CECO[[#This Row],[CECO_T]],1,5)</f>
        <v>12303</v>
      </c>
      <c r="B1286" t="str">
        <f>MID(TB_CECO[[#This Row],[TRABAJO]],1,SEARCH(",",TB_CECO[[#This Row],[TRABAJO]],1)-1)</f>
        <v xml:space="preserve"> TJ 605 NE    P-3</v>
      </c>
      <c r="C12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   P-3,4 , VOLADURA</v>
      </c>
      <c r="D12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86" s="47" t="s">
        <v>2532</v>
      </c>
      <c r="G1286" t="s">
        <v>2533</v>
      </c>
      <c r="H12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87" spans="1:8" ht="15" customHeight="1" x14ac:dyDescent="0.25">
      <c r="A1287" t="str">
        <f>MID(TB_CECO[[#This Row],[CECO_T]],1,5)</f>
        <v>12303</v>
      </c>
      <c r="B1287" t="str">
        <f>MID(TB_CECO[[#This Row],[TRABAJO]],1,SEARCH(",",TB_CECO[[#This Row],[TRABAJO]],1)-1)</f>
        <v xml:space="preserve"> TJ 605 NE    P-3</v>
      </c>
      <c r="C12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   P-3,4 , CAMINOS </v>
      </c>
      <c r="D12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87" s="47" t="s">
        <v>2534</v>
      </c>
      <c r="G1287" t="s">
        <v>2535</v>
      </c>
      <c r="H12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88" spans="1:8" ht="15" customHeight="1" x14ac:dyDescent="0.25">
      <c r="A1288" t="str">
        <f>MID(TB_CECO[[#This Row],[CECO_T]],1,5)</f>
        <v>12303</v>
      </c>
      <c r="B1288" t="str">
        <f>MID(TB_CECO[[#This Row],[TRABAJO]],1,SEARCH(",",TB_CECO[[#This Row],[TRABAJO]],1)-1)</f>
        <v xml:space="preserve"> TJ 605 NE    P-3</v>
      </c>
      <c r="C12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   P-3,4 , INST DE </v>
      </c>
      <c r="D12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88" s="47" t="s">
        <v>2536</v>
      </c>
      <c r="G1288" t="s">
        <v>2537</v>
      </c>
      <c r="H12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89" spans="1:8" ht="15" customHeight="1" x14ac:dyDescent="0.25">
      <c r="A1289" t="str">
        <f>MID(TB_CECO[[#This Row],[CECO_T]],1,5)</f>
        <v>12303</v>
      </c>
      <c r="B1289" t="str">
        <f>MID(TB_CECO[[#This Row],[TRABAJO]],1,SEARCH(",",TB_CECO[[#This Row],[TRABAJO]],1)-1)</f>
        <v xml:space="preserve"> TJ 605 NE P-3</v>
      </c>
      <c r="C12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NE P-3,4, REHABILIT DE L</v>
      </c>
      <c r="D12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89" s="47" t="s">
        <v>2538</v>
      </c>
      <c r="G1289" t="s">
        <v>2539</v>
      </c>
      <c r="H12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90" spans="1:8" ht="15" customHeight="1" x14ac:dyDescent="0.25">
      <c r="A1290" t="str">
        <f>MID(TB_CECO[[#This Row],[CECO_T]],1,5)</f>
        <v>12304</v>
      </c>
      <c r="B1290" t="str">
        <f>MID(TB_CECO[[#This Row],[TRABAJO]],1,SEARCH(",",TB_CECO[[#This Row],[TRABAJO]],1)-1)</f>
        <v xml:space="preserve"> TJ 605 SW   P-3</v>
      </c>
      <c r="C12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  P-3,4 , VOLADURA </v>
      </c>
      <c r="D12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90" s="47" t="s">
        <v>2540</v>
      </c>
      <c r="G1290" t="s">
        <v>2541</v>
      </c>
      <c r="H12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91" spans="1:8" ht="15" customHeight="1" x14ac:dyDescent="0.25">
      <c r="A1291" t="str">
        <f>MID(TB_CECO[[#This Row],[CECO_T]],1,5)</f>
        <v>12304</v>
      </c>
      <c r="B1291" t="str">
        <f>MID(TB_CECO[[#This Row],[TRABAJO]],1,SEARCH(",",TB_CECO[[#This Row],[TRABAJO]],1)-1)</f>
        <v xml:space="preserve"> TJ 605 SW   P-3</v>
      </c>
      <c r="C12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  P-3,4 , CAMINOS  </v>
      </c>
      <c r="D12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91" s="47" t="s">
        <v>2542</v>
      </c>
      <c r="G1291" t="s">
        <v>2543</v>
      </c>
      <c r="H12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92" spans="1:8" ht="15" customHeight="1" x14ac:dyDescent="0.25">
      <c r="A1292" t="str">
        <f>MID(TB_CECO[[#This Row],[CECO_T]],1,5)</f>
        <v>12304</v>
      </c>
      <c r="B1292" t="str">
        <f>MID(TB_CECO[[#This Row],[TRABAJO]],1,SEARCH(",",TB_CECO[[#This Row],[TRABAJO]],1)-1)</f>
        <v xml:space="preserve"> TJ 605 SW P-3</v>
      </c>
      <c r="C12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605 SW P-3,4 , INSTAL DE R</v>
      </c>
      <c r="D12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92" s="47" t="s">
        <v>2544</v>
      </c>
      <c r="G1292" t="s">
        <v>2545</v>
      </c>
      <c r="H12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93" spans="1:8" ht="15" customHeight="1" x14ac:dyDescent="0.25">
      <c r="A1293" t="str">
        <f>MID(TB_CECO[[#This Row],[CECO_T]],1,5)</f>
        <v>12304</v>
      </c>
      <c r="B1293" t="str">
        <f>MID(TB_CECO[[#This Row],[TRABAJO]],1,SEARCH(",",TB_CECO[[#This Row],[TRABAJO]],1)-1)</f>
        <v>TJ 605 SW P-3</v>
      </c>
      <c r="C12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605 SW P-3,4 , REHABILIT DE</v>
      </c>
      <c r="D12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93" s="47" t="s">
        <v>2546</v>
      </c>
      <c r="G1293" t="s">
        <v>2547</v>
      </c>
      <c r="H12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294" spans="1:8" ht="15" customHeight="1" x14ac:dyDescent="0.25">
      <c r="A1294" t="str">
        <f>MID(TB_CECO[[#This Row],[CECO_T]],1,5)</f>
        <v>12305</v>
      </c>
      <c r="B1294" t="str">
        <f>MID(TB_CECO[[#This Row],[TRABAJO]],1,SEARCH(",",TB_CECO[[#This Row],[TRABAJO]],1)-1)</f>
        <v xml:space="preserve"> TJ 610 SW </v>
      </c>
      <c r="C12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VOLADURA         </v>
      </c>
      <c r="D12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94" s="47" t="s">
        <v>2548</v>
      </c>
      <c r="G1294" t="s">
        <v>2549</v>
      </c>
      <c r="H12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95" spans="1:8" ht="15" customHeight="1" x14ac:dyDescent="0.25">
      <c r="A1295" t="str">
        <f>MID(TB_CECO[[#This Row],[CECO_T]],1,5)</f>
        <v>12305</v>
      </c>
      <c r="B1295" t="str">
        <f>MID(TB_CECO[[#This Row],[TRABAJO]],1,SEARCH(",",TB_CECO[[#This Row],[TRABAJO]],1)-1)</f>
        <v xml:space="preserve"> TJ 610 SW </v>
      </c>
      <c r="C12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CAMINOS          </v>
      </c>
      <c r="D12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95" s="47" t="s">
        <v>2550</v>
      </c>
      <c r="G1295" t="s">
        <v>2551</v>
      </c>
      <c r="H12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96" spans="1:8" ht="15" customHeight="1" x14ac:dyDescent="0.25">
      <c r="A1296" t="str">
        <f>MID(TB_CECO[[#This Row],[CECO_T]],1,5)</f>
        <v>12305</v>
      </c>
      <c r="B1296" t="str">
        <f>MID(TB_CECO[[#This Row],[TRABAJO]],1,SEARCH(",",TB_CECO[[#This Row],[TRABAJO]],1)-1)</f>
        <v xml:space="preserve"> TJ 610 SW </v>
      </c>
      <c r="C12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INSTALACION DE RI</v>
      </c>
      <c r="D12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96" s="47" t="s">
        <v>2552</v>
      </c>
      <c r="G1296" t="s">
        <v>2553</v>
      </c>
      <c r="H12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97" spans="1:8" ht="15" customHeight="1" x14ac:dyDescent="0.25">
      <c r="A1297" t="str">
        <f>MID(TB_CECO[[#This Row],[CECO_T]],1,5)</f>
        <v>12305</v>
      </c>
      <c r="B1297" t="str">
        <f>MID(TB_CECO[[#This Row],[TRABAJO]],1,SEARCH(",",TB_CECO[[#This Row],[TRABAJO]],1)-1)</f>
        <v xml:space="preserve"> TJ 610 SW </v>
      </c>
      <c r="C12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SW , REHABILIT DE LABO</v>
      </c>
      <c r="D12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97" s="47" t="s">
        <v>2554</v>
      </c>
      <c r="G1297" t="s">
        <v>2555</v>
      </c>
      <c r="H12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98" spans="1:8" ht="15" customHeight="1" x14ac:dyDescent="0.25">
      <c r="A1298" t="str">
        <f>MID(TB_CECO[[#This Row],[CECO_T]],1,5)</f>
        <v>12306</v>
      </c>
      <c r="B1298" t="str">
        <f>MID(TB_CECO[[#This Row],[TRABAJO]],1,SEARCH(",",TB_CECO[[#This Row],[TRABAJO]],1)-1)</f>
        <v xml:space="preserve"> TJ 616 SW </v>
      </c>
      <c r="C12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VOLADURA         </v>
      </c>
      <c r="D12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98" s="47" t="s">
        <v>2556</v>
      </c>
      <c r="G1298" t="s">
        <v>2557</v>
      </c>
      <c r="H12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299" spans="1:8" ht="15" customHeight="1" x14ac:dyDescent="0.25">
      <c r="A1299" t="str">
        <f>MID(TB_CECO[[#This Row],[CECO_T]],1,5)</f>
        <v>12306</v>
      </c>
      <c r="B1299" t="str">
        <f>MID(TB_CECO[[#This Row],[TRABAJO]],1,SEARCH(",",TB_CECO[[#This Row],[TRABAJO]],1)-1)</f>
        <v xml:space="preserve"> TJ 616 SW </v>
      </c>
      <c r="C12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CAMINOS          </v>
      </c>
      <c r="D12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2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299" s="47" t="s">
        <v>2558</v>
      </c>
      <c r="G1299" t="s">
        <v>2559</v>
      </c>
      <c r="H12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00" spans="1:8" ht="15" customHeight="1" x14ac:dyDescent="0.25">
      <c r="A1300" t="str">
        <f>MID(TB_CECO[[#This Row],[CECO_T]],1,5)</f>
        <v>12306</v>
      </c>
      <c r="B1300" t="str">
        <f>MID(TB_CECO[[#This Row],[TRABAJO]],1,SEARCH(",",TB_CECO[[#This Row],[TRABAJO]],1)-1)</f>
        <v xml:space="preserve"> TJ 616 SW </v>
      </c>
      <c r="C13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INSTALACION DE RI</v>
      </c>
      <c r="D13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00" s="47" t="s">
        <v>2560</v>
      </c>
      <c r="G1300" t="s">
        <v>2561</v>
      </c>
      <c r="H13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01" spans="1:8" ht="15" customHeight="1" x14ac:dyDescent="0.25">
      <c r="A1301" t="str">
        <f>MID(TB_CECO[[#This Row],[CECO_T]],1,5)</f>
        <v>12306</v>
      </c>
      <c r="B1301" t="str">
        <f>MID(TB_CECO[[#This Row],[TRABAJO]],1,SEARCH(",",TB_CECO[[#This Row],[TRABAJO]],1)-1)</f>
        <v xml:space="preserve"> TJ 616 SW </v>
      </c>
      <c r="C13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616 SW , REHABILIT DE LABO</v>
      </c>
      <c r="D13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01" s="47" t="s">
        <v>2562</v>
      </c>
      <c r="G1301" t="s">
        <v>2563</v>
      </c>
      <c r="H13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02" spans="1:8" ht="15" customHeight="1" x14ac:dyDescent="0.25">
      <c r="A1302" t="str">
        <f>MID(TB_CECO[[#This Row],[CECO_T]],1,5)</f>
        <v>12307</v>
      </c>
      <c r="B1302" t="str">
        <f>MID(TB_CECO[[#This Row],[TRABAJO]],1,SEARCH(",",TB_CECO[[#This Row],[TRABAJO]],1)-1)</f>
        <v xml:space="preserve"> TJ 299 -3 NE </v>
      </c>
      <c r="C13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VOLADURA      </v>
      </c>
      <c r="D13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02" s="47" t="s">
        <v>2564</v>
      </c>
      <c r="G1302" t="s">
        <v>2565</v>
      </c>
      <c r="H13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03" spans="1:8" ht="15" customHeight="1" x14ac:dyDescent="0.25">
      <c r="A1303" t="str">
        <f>MID(TB_CECO[[#This Row],[CECO_T]],1,5)</f>
        <v>12307</v>
      </c>
      <c r="B1303" t="str">
        <f>MID(TB_CECO[[#This Row],[TRABAJO]],1,SEARCH(",",TB_CECO[[#This Row],[TRABAJO]],1)-1)</f>
        <v xml:space="preserve"> TJ 299 -3 NE </v>
      </c>
      <c r="C13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CAMINOS       </v>
      </c>
      <c r="D13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03" s="47" t="s">
        <v>2566</v>
      </c>
      <c r="G1303" t="s">
        <v>2567</v>
      </c>
      <c r="H13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04" spans="1:8" ht="15" customHeight="1" x14ac:dyDescent="0.25">
      <c r="A1304" t="str">
        <f>MID(TB_CECO[[#This Row],[CECO_T]],1,5)</f>
        <v>12307</v>
      </c>
      <c r="B1304" t="str">
        <f>MID(TB_CECO[[#This Row],[TRABAJO]],1,SEARCH(",",TB_CECO[[#This Row],[TRABAJO]],1)-1)</f>
        <v xml:space="preserve"> TJ 299 -3 NE </v>
      </c>
      <c r="C13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 NE , INSTALACION DE</v>
      </c>
      <c r="D13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04" s="47" t="s">
        <v>2568</v>
      </c>
      <c r="G1304" t="s">
        <v>2569</v>
      </c>
      <c r="H13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05" spans="1:8" ht="15" customHeight="1" x14ac:dyDescent="0.25">
      <c r="A1305" t="str">
        <f>MID(TB_CECO[[#This Row],[CECO_T]],1,5)</f>
        <v>12307</v>
      </c>
      <c r="B1305" t="str">
        <f>MID(TB_CECO[[#This Row],[TRABAJO]],1,SEARCH(",",TB_CECO[[#This Row],[TRABAJO]],1)-1)</f>
        <v xml:space="preserve"> TJ 299 -3NE</v>
      </c>
      <c r="C13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299 -3NE,REHABILIT DE LABO</v>
      </c>
      <c r="D13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05" s="47" t="s">
        <v>2570</v>
      </c>
      <c r="G1305" t="s">
        <v>2571</v>
      </c>
      <c r="H13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06" spans="1:8" ht="15" customHeight="1" x14ac:dyDescent="0.25">
      <c r="A1306" t="str">
        <f>MID(TB_CECO[[#This Row],[CECO_T]],1,5)</f>
        <v>12434</v>
      </c>
      <c r="B1306" t="str">
        <f>MID(TB_CECO[[#This Row],[TRABAJO]],1,SEARCH(",",TB_CECO[[#This Row],[TRABAJO]],1)-1)</f>
        <v>SNV 070 NE  CH 078</v>
      </c>
      <c r="C13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070 NE  CH 078,VOLADURA       </v>
      </c>
      <c r="D13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06" s="47" t="s">
        <v>2572</v>
      </c>
      <c r="G1306" t="s">
        <v>2573</v>
      </c>
      <c r="H13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07" spans="1:8" ht="15" customHeight="1" x14ac:dyDescent="0.25">
      <c r="A1307" t="str">
        <f>MID(TB_CECO[[#This Row],[CECO_T]],1,5)</f>
        <v>12434</v>
      </c>
      <c r="B1307" t="str">
        <f>MID(TB_CECO[[#This Row],[TRABAJO]],1,SEARCH(",",TB_CECO[[#This Row],[TRABAJO]],1)-1)</f>
        <v>SNV 070 NE  CH 078</v>
      </c>
      <c r="C13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070 NE  CH 078,CAMINOS        </v>
      </c>
      <c r="D13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07" s="47" t="s">
        <v>2574</v>
      </c>
      <c r="G1307" t="s">
        <v>2575</v>
      </c>
      <c r="H13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08" spans="1:8" ht="15" customHeight="1" x14ac:dyDescent="0.25">
      <c r="A1308" t="str">
        <f>MID(TB_CECO[[#This Row],[CECO_T]],1,5)</f>
        <v>12434</v>
      </c>
      <c r="B1308" t="str">
        <f>MID(TB_CECO[[#This Row],[TRABAJO]],1,SEARCH(",",TB_CECO[[#This Row],[TRABAJO]],1)-1)</f>
        <v>SNV 070 NE  CH 078</v>
      </c>
      <c r="C13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070 NE  CH 078,INST.DE RIELES </v>
      </c>
      <c r="D13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08" s="47" t="s">
        <v>2576</v>
      </c>
      <c r="G1308" t="s">
        <v>2577</v>
      </c>
      <c r="H13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09" spans="1:8" ht="15" customHeight="1" x14ac:dyDescent="0.25">
      <c r="A1309" t="str">
        <f>MID(TB_CECO[[#This Row],[CECO_T]],1,5)</f>
        <v>12434</v>
      </c>
      <c r="B1309" t="str">
        <f>MID(TB_CECO[[#This Row],[TRABAJO]],1,SEARCH(",",TB_CECO[[#This Row],[TRABAJO]],1)-1)</f>
        <v>SNV 070 NE  CH 078</v>
      </c>
      <c r="C13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 CH 078,REHAB DE LABORE</v>
      </c>
      <c r="D13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09" s="47" t="s">
        <v>2578</v>
      </c>
      <c r="G1309" t="s">
        <v>2579</v>
      </c>
      <c r="H13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10" spans="1:8" ht="15" customHeight="1" x14ac:dyDescent="0.25">
      <c r="A1310" t="str">
        <f>MID(TB_CECO[[#This Row],[CECO_T]],1,5)</f>
        <v>12434</v>
      </c>
      <c r="B1310" t="str">
        <f>MID(TB_CECO[[#This Row],[TRABAJO]],1,SEARCH(",",TB_CECO[[#This Row],[TRABAJO]],1)-1)</f>
        <v>SNV 070 NE  CH 078</v>
      </c>
      <c r="C13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070 NE  CH 078,CICLO COMPLETO </v>
      </c>
      <c r="D13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10" s="47" t="s">
        <v>2580</v>
      </c>
      <c r="G1310" t="s">
        <v>2581</v>
      </c>
      <c r="H13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11" spans="1:8" ht="15" customHeight="1" x14ac:dyDescent="0.25">
      <c r="A1311" t="str">
        <f>MID(TB_CECO[[#This Row],[CECO_T]],1,5)</f>
        <v>13209</v>
      </c>
      <c r="B1311" t="str">
        <f>MID(TB_CECO[[#This Row],[TRABAJO]],1,SEARCH(",",TB_CECO[[#This Row],[TRABAJO]],1)-1)</f>
        <v>CH 580 -1 TJ 580 NE</v>
      </c>
      <c r="C13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NE,VOLADURA     </v>
      </c>
      <c r="D13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11" s="47" t="s">
        <v>2582</v>
      </c>
      <c r="G1311" t="s">
        <v>2583</v>
      </c>
      <c r="H13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12" spans="1:8" ht="15" customHeight="1" x14ac:dyDescent="0.25">
      <c r="A1312" t="str">
        <f>MID(TB_CECO[[#This Row],[CECO_T]],1,5)</f>
        <v>13209</v>
      </c>
      <c r="B1312" t="str">
        <f>MID(TB_CECO[[#This Row],[TRABAJO]],1,SEARCH(",",TB_CECO[[#This Row],[TRABAJO]],1)-1)</f>
        <v>CH 580 -1 TJ 580 NE</v>
      </c>
      <c r="C13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580 -1 TJ 580 NE,CAMINOS      </v>
      </c>
      <c r="D13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12" s="47" t="s">
        <v>2584</v>
      </c>
      <c r="G1312" t="s">
        <v>2585</v>
      </c>
      <c r="H13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13" spans="1:8" ht="15" customHeight="1" x14ac:dyDescent="0.25">
      <c r="A1313" t="str">
        <f>MID(TB_CECO[[#This Row],[CECO_T]],1,5)</f>
        <v>13209</v>
      </c>
      <c r="B1313" t="str">
        <f>MID(TB_CECO[[#This Row],[TRABAJO]],1,SEARCH(",",TB_CECO[[#This Row],[TRABAJO]],1)-1)</f>
        <v>CH 580 -1 TJ 580 NE</v>
      </c>
      <c r="C13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580 -1 TJ 580 NE,INST. DE RIEL</v>
      </c>
      <c r="D13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13" s="47" t="s">
        <v>2586</v>
      </c>
      <c r="G1313" t="s">
        <v>2587</v>
      </c>
      <c r="H13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14" spans="1:8" ht="15" customHeight="1" x14ac:dyDescent="0.25">
      <c r="A1314" t="str">
        <f>MID(TB_CECO[[#This Row],[CECO_T]],1,5)</f>
        <v>13209</v>
      </c>
      <c r="B1314" t="str">
        <f>MID(TB_CECO[[#This Row],[TRABAJO]],1,SEARCH(",",TB_CECO[[#This Row],[TRABAJO]],1)-1)</f>
        <v>CH 580 -1 TJ 580 NE</v>
      </c>
      <c r="C13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580 -1 TJ 580 NE,REHAB DE LABO</v>
      </c>
      <c r="D13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14" s="47" t="s">
        <v>2588</v>
      </c>
      <c r="G1314" t="s">
        <v>2589</v>
      </c>
      <c r="H13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15" spans="1:8" ht="15" customHeight="1" x14ac:dyDescent="0.25">
      <c r="A1315" t="str">
        <f>MID(TB_CECO[[#This Row],[CECO_T]],1,5)</f>
        <v>13211</v>
      </c>
      <c r="B1315" t="str">
        <f>MID(TB_CECO[[#This Row],[TRABAJO]],1,SEARCH(",",TB_CECO[[#This Row],[TRABAJO]],1)-1)</f>
        <v>CH 105 SNV 095 NE</v>
      </c>
      <c r="C13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105 SNV 095 NE,VOLADURA       </v>
      </c>
      <c r="D13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15" s="47" t="s">
        <v>2590</v>
      </c>
      <c r="G1315" t="s">
        <v>2591</v>
      </c>
      <c r="H13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16" spans="1:8" ht="15" customHeight="1" x14ac:dyDescent="0.25">
      <c r="A1316" t="str">
        <f>MID(TB_CECO[[#This Row],[CECO_T]],1,5)</f>
        <v>13211</v>
      </c>
      <c r="B1316" t="str">
        <f>MID(TB_CECO[[#This Row],[TRABAJO]],1,SEARCH(",",TB_CECO[[#This Row],[TRABAJO]],1)-1)</f>
        <v>CH 105 SNV 095 NE</v>
      </c>
      <c r="C13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105 SNV 095 NE,CAMINOS        </v>
      </c>
      <c r="D13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16" s="47" t="s">
        <v>2592</v>
      </c>
      <c r="G1316" t="s">
        <v>2593</v>
      </c>
      <c r="H13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17" spans="1:8" ht="15" customHeight="1" x14ac:dyDescent="0.25">
      <c r="A1317" t="str">
        <f>MID(TB_CECO[[#This Row],[CECO_T]],1,5)</f>
        <v>13211</v>
      </c>
      <c r="B1317" t="str">
        <f>MID(TB_CECO[[#This Row],[TRABAJO]],1,SEARCH(",",TB_CECO[[#This Row],[TRABAJO]],1)-1)</f>
        <v>CH 105 SNV 095 NE</v>
      </c>
      <c r="C13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105 SNV 095 NE,INSTALACION DE </v>
      </c>
      <c r="D13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17" s="47" t="s">
        <v>2594</v>
      </c>
      <c r="G1317" t="s">
        <v>2595</v>
      </c>
      <c r="H13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18" spans="1:8" ht="15" customHeight="1" x14ac:dyDescent="0.25">
      <c r="A1318" t="str">
        <f>MID(TB_CECO[[#This Row],[CECO_T]],1,5)</f>
        <v>13211</v>
      </c>
      <c r="B1318" t="str">
        <f>MID(TB_CECO[[#This Row],[TRABAJO]],1,SEARCH(",",TB_CECO[[#This Row],[TRABAJO]],1)-1)</f>
        <v>CH 105 SNV 095 NE</v>
      </c>
      <c r="C13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105 SNV 095 NE,REHAB DE LABORE</v>
      </c>
      <c r="D13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18" s="47" t="s">
        <v>2596</v>
      </c>
      <c r="G1318" t="s">
        <v>2597</v>
      </c>
      <c r="H13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19" spans="1:8" ht="15" customHeight="1" x14ac:dyDescent="0.25">
      <c r="A1319" t="str">
        <f>MID(TB_CECO[[#This Row],[CECO_T]],1,5)</f>
        <v>13401</v>
      </c>
      <c r="B1319" t="str">
        <f>MID(TB_CECO[[#This Row],[TRABAJO]],1,SEARCH(",",TB_CECO[[#This Row],[TRABAJO]],1)-1)</f>
        <v xml:space="preserve"> Snv. 095-1-SW_Est. 095-1 SW </v>
      </c>
      <c r="C13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 V</v>
      </c>
      <c r="D13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19" s="47" t="s">
        <v>2598</v>
      </c>
      <c r="G1319" t="s">
        <v>2599</v>
      </c>
      <c r="H13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20" spans="1:8" ht="15" customHeight="1" x14ac:dyDescent="0.25">
      <c r="A1320" t="str">
        <f>MID(TB_CECO[[#This Row],[CECO_T]],1,5)</f>
        <v>13401</v>
      </c>
      <c r="B1320" t="str">
        <f>MID(TB_CECO[[#This Row],[TRABAJO]],1,SEARCH(",",TB_CECO[[#This Row],[TRABAJO]],1)-1)</f>
        <v xml:space="preserve"> Snv. 095-1-SW_Est. 095-1 SW </v>
      </c>
      <c r="C13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 C</v>
      </c>
      <c r="D13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20" s="47" t="s">
        <v>2600</v>
      </c>
      <c r="G1320" t="s">
        <v>2601</v>
      </c>
      <c r="H13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21" spans="1:8" ht="15" customHeight="1" x14ac:dyDescent="0.25">
      <c r="A1321" t="str">
        <f>MID(TB_CECO[[#This Row],[CECO_T]],1,5)</f>
        <v>13401</v>
      </c>
      <c r="B1321" t="str">
        <f>MID(TB_CECO[[#This Row],[TRABAJO]],1,SEARCH(",",TB_CECO[[#This Row],[TRABAJO]],1)-1)</f>
        <v xml:space="preserve"> Snv. 095-1-SW_Est. 095-1 SW</v>
      </c>
      <c r="C13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SW, INS</v>
      </c>
      <c r="D13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21" s="47" t="s">
        <v>2602</v>
      </c>
      <c r="G1321" t="s">
        <v>2603</v>
      </c>
      <c r="H13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22" spans="1:8" ht="15" customHeight="1" x14ac:dyDescent="0.25">
      <c r="A1322" t="str">
        <f>MID(TB_CECO[[#This Row],[CECO_T]],1,5)</f>
        <v>13401</v>
      </c>
      <c r="B1322" t="str">
        <f>MID(TB_CECO[[#This Row],[TRABAJO]],1,SEARCH(",",TB_CECO[[#This Row],[TRABAJO]],1)-1)</f>
        <v xml:space="preserve"> Snv. 095-1-SW_Est. 095-1 SW </v>
      </c>
      <c r="C13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Snv. 095-1-SW_Est. 095-1 SW , REH</v>
      </c>
      <c r="D13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22" s="47" t="s">
        <v>2604</v>
      </c>
      <c r="G1322" t="s">
        <v>2605</v>
      </c>
      <c r="H13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23" spans="1:8" ht="15" customHeight="1" x14ac:dyDescent="0.25">
      <c r="A1323" t="str">
        <f>MID(TB_CECO[[#This Row],[CECO_T]],1,5)</f>
        <v>13402</v>
      </c>
      <c r="B1323" t="str">
        <f>MID(TB_CECO[[#This Row],[TRABAJO]],1,SEARCH(",",TB_CECO[[#This Row],[TRABAJO]],1)-1)</f>
        <v xml:space="preserve"> SN.039-SW Est. 039 SW </v>
      </c>
      <c r="C13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VOLAD</v>
      </c>
      <c r="D13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23" s="47" t="s">
        <v>2606</v>
      </c>
      <c r="G1323" t="s">
        <v>2607</v>
      </c>
      <c r="H13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24" spans="1:8" ht="15" customHeight="1" x14ac:dyDescent="0.25">
      <c r="A1324" t="str">
        <f>MID(TB_CECO[[#This Row],[CECO_T]],1,5)</f>
        <v>13402</v>
      </c>
      <c r="B1324" t="str">
        <f>MID(TB_CECO[[#This Row],[TRABAJO]],1,SEARCH(",",TB_CECO[[#This Row],[TRABAJO]],1)-1)</f>
        <v xml:space="preserve"> SN.039-SW Est. 039 SW </v>
      </c>
      <c r="C13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CAMIN</v>
      </c>
      <c r="D13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24" s="47" t="s">
        <v>2608</v>
      </c>
      <c r="G1324" t="s">
        <v>2609</v>
      </c>
      <c r="H13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25" spans="1:8" ht="15" customHeight="1" x14ac:dyDescent="0.25">
      <c r="A1325" t="str">
        <f>MID(TB_CECO[[#This Row],[CECO_T]],1,5)</f>
        <v>13402</v>
      </c>
      <c r="B1325" t="str">
        <f>MID(TB_CECO[[#This Row],[TRABAJO]],1,SEARCH(",",TB_CECO[[#This Row],[TRABAJO]],1)-1)</f>
        <v xml:space="preserve"> SN.039-SW Est. 039 SW </v>
      </c>
      <c r="C13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SN.039-SW Est. 039 SW , INST </v>
      </c>
      <c r="D13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25" s="47" t="s">
        <v>2610</v>
      </c>
      <c r="G1325" t="s">
        <v>2611</v>
      </c>
      <c r="H13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26" spans="1:8" ht="15" customHeight="1" x14ac:dyDescent="0.25">
      <c r="A1326" t="str">
        <f>MID(TB_CECO[[#This Row],[CECO_T]],1,5)</f>
        <v>13402</v>
      </c>
      <c r="B1326" t="str">
        <f>MID(TB_CECO[[#This Row],[TRABAJO]],1,SEARCH(",",TB_CECO[[#This Row],[TRABAJO]],1)-1)</f>
        <v>SN.039-SW Est.039 SW</v>
      </c>
      <c r="C13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SN.039-SW Est.039 SW, REHAB DE</v>
      </c>
      <c r="D13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26" s="47" t="s">
        <v>2612</v>
      </c>
      <c r="G1326" t="s">
        <v>2613</v>
      </c>
      <c r="H13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27" spans="1:8" ht="15" customHeight="1" x14ac:dyDescent="0.25">
      <c r="A1327" t="str">
        <f>MID(TB_CECO[[#This Row],[CECO_T]],1,5)</f>
        <v>13412</v>
      </c>
      <c r="B1327" t="str">
        <f>MID(TB_CECO[[#This Row],[TRABAJO]],1,SEARCH(",",TB_CECO[[#This Row],[TRABAJO]],1)-1)</f>
        <v>SNV 590 N CH 616</v>
      </c>
      <c r="C13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616,VOLADURA        </v>
      </c>
      <c r="D13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27" s="47" t="s">
        <v>2614</v>
      </c>
      <c r="G1327" t="s">
        <v>2615</v>
      </c>
      <c r="H13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28" spans="1:8" ht="15" customHeight="1" x14ac:dyDescent="0.25">
      <c r="A1328" t="str">
        <f>MID(TB_CECO[[#This Row],[CECO_T]],1,5)</f>
        <v>13412</v>
      </c>
      <c r="B1328" t="str">
        <f>MID(TB_CECO[[#This Row],[TRABAJO]],1,SEARCH(",",TB_CECO[[#This Row],[TRABAJO]],1)-1)</f>
        <v>SNV 590 N CH 616</v>
      </c>
      <c r="C13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616,CAMINOS         </v>
      </c>
      <c r="D13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28" s="47" t="s">
        <v>2616</v>
      </c>
      <c r="G1328" t="s">
        <v>2617</v>
      </c>
      <c r="H13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29" spans="1:8" ht="15" customHeight="1" x14ac:dyDescent="0.25">
      <c r="A1329" t="str">
        <f>MID(TB_CECO[[#This Row],[CECO_T]],1,5)</f>
        <v>13412</v>
      </c>
      <c r="B1329" t="str">
        <f>MID(TB_CECO[[#This Row],[TRABAJO]],1,SEARCH(",",TB_CECO[[#This Row],[TRABAJO]],1)-1)</f>
        <v>SNV 590 N CH 616</v>
      </c>
      <c r="C13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 CH 616,INST. DE RIELES </v>
      </c>
      <c r="D13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29" s="47" t="s">
        <v>2618</v>
      </c>
      <c r="G1329" t="s">
        <v>2619</v>
      </c>
      <c r="H13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30" spans="1:8" ht="15" customHeight="1" x14ac:dyDescent="0.25">
      <c r="A1330" t="str">
        <f>MID(TB_CECO[[#This Row],[CECO_T]],1,5)</f>
        <v>13412</v>
      </c>
      <c r="B1330" t="str">
        <f>MID(TB_CECO[[#This Row],[TRABAJO]],1,SEARCH(",",TB_CECO[[#This Row],[TRABAJO]],1)-1)</f>
        <v>SNV 590 N CH 616</v>
      </c>
      <c r="C13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590 N CH 616,REHAB DE LABORES</v>
      </c>
      <c r="D13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30" s="47" t="s">
        <v>2620</v>
      </c>
      <c r="G1330" t="s">
        <v>2621</v>
      </c>
      <c r="H13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31" spans="1:8" ht="15" customHeight="1" x14ac:dyDescent="0.25">
      <c r="A1331" t="str">
        <f>MID(TB_CECO[[#This Row],[CECO_T]],1,5)</f>
        <v>13423</v>
      </c>
      <c r="B1331" t="str">
        <f>MID(TB_CECO[[#This Row],[TRABAJO]],1,SEARCH(",",TB_CECO[[#This Row],[TRABAJO]],1)-1)</f>
        <v xml:space="preserve">SNv.616-3-SW_CH.616 </v>
      </c>
      <c r="C13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SNv.616-3-SW_CH.616 ,VOLADURA     </v>
      </c>
      <c r="D13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31" s="47" t="s">
        <v>2622</v>
      </c>
      <c r="G1331" t="s">
        <v>2623</v>
      </c>
      <c r="H13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32" spans="1:8" ht="15" customHeight="1" x14ac:dyDescent="0.25">
      <c r="A1332" t="str">
        <f>MID(TB_CECO[[#This Row],[CECO_T]],1,5)</f>
        <v>13423</v>
      </c>
      <c r="B1332" t="str">
        <f>MID(TB_CECO[[#This Row],[TRABAJO]],1,SEARCH(",",TB_CECO[[#This Row],[TRABAJO]],1)-1)</f>
        <v xml:space="preserve">SNv.616-3-SW_CH.616 </v>
      </c>
      <c r="C13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SNv.616-3-SW_CH.616 ,CAMINOS      </v>
      </c>
      <c r="D13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32" s="47" t="s">
        <v>2624</v>
      </c>
      <c r="G1332" t="s">
        <v>2625</v>
      </c>
      <c r="H13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33" spans="1:8" ht="15" customHeight="1" x14ac:dyDescent="0.25">
      <c r="A1333" t="str">
        <f>MID(TB_CECO[[#This Row],[CECO_T]],1,5)</f>
        <v>13423</v>
      </c>
      <c r="B1333" t="str">
        <f>MID(TB_CECO[[#This Row],[TRABAJO]],1,SEARCH(",",TB_CECO[[#This Row],[TRABAJO]],1)-1)</f>
        <v xml:space="preserve">SNv.616-3-SW_CH.616 </v>
      </c>
      <c r="C13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SNv.616-3-SW_CH.616 ,INST.DE RIELE</v>
      </c>
      <c r="D13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33" s="47" t="s">
        <v>2626</v>
      </c>
      <c r="G1333" t="s">
        <v>2627</v>
      </c>
      <c r="H13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34" spans="1:8" ht="15" customHeight="1" x14ac:dyDescent="0.25">
      <c r="A1334" t="str">
        <f>MID(TB_CECO[[#This Row],[CECO_T]],1,5)</f>
        <v>13423</v>
      </c>
      <c r="B1334" t="str">
        <f>MID(TB_CECO[[#This Row],[TRABAJO]],1,SEARCH(",",TB_CECO[[#This Row],[TRABAJO]],1)-1)</f>
        <v xml:space="preserve">SNv.616-3-SW_CH.616 </v>
      </c>
      <c r="C13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SNv.616-3-SW_CH.616 ,REHAB DE LABO</v>
      </c>
      <c r="D13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34" s="47" t="s">
        <v>2628</v>
      </c>
      <c r="G1334" t="s">
        <v>2629</v>
      </c>
      <c r="H13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35" spans="1:8" ht="15" customHeight="1" x14ac:dyDescent="0.25">
      <c r="A1335" t="str">
        <f>MID(TB_CECO[[#This Row],[CECO_T]],1,5)</f>
        <v>13423</v>
      </c>
      <c r="B1335" t="str">
        <f>MID(TB_CECO[[#This Row],[TRABAJO]],1,SEARCH(",",TB_CECO[[#This Row],[TRABAJO]],1)-1)</f>
        <v xml:space="preserve">SNv.616-3-SW_CH.616 </v>
      </c>
      <c r="C13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SNv.616-3-SW_CH.616 ,CICLO COMPLET</v>
      </c>
      <c r="D13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35" s="47" t="s">
        <v>2630</v>
      </c>
      <c r="G1335" t="s">
        <v>2631</v>
      </c>
      <c r="H13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36" spans="1:8" ht="15" customHeight="1" x14ac:dyDescent="0.25">
      <c r="A1336" t="str">
        <f>MID(TB_CECO[[#This Row],[CECO_T]],1,5)</f>
        <v>13424</v>
      </c>
      <c r="B1336" t="str">
        <f>MID(TB_CECO[[#This Row],[TRABAJO]],1,SEARCH(",",TB_CECO[[#This Row],[TRABAJO]],1)-1)</f>
        <v>SNv.616-3-NE_CH.616</v>
      </c>
      <c r="C13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SNv.616-3-NE_CH.616,VOLADURA      </v>
      </c>
      <c r="D13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36" s="47" t="s">
        <v>2632</v>
      </c>
      <c r="G1336" t="s">
        <v>2633</v>
      </c>
      <c r="H13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37" spans="1:8" ht="15" customHeight="1" x14ac:dyDescent="0.25">
      <c r="A1337" t="str">
        <f>MID(TB_CECO[[#This Row],[CECO_T]],1,5)</f>
        <v>13424</v>
      </c>
      <c r="B1337" t="str">
        <f>MID(TB_CECO[[#This Row],[TRABAJO]],1,SEARCH(",",TB_CECO[[#This Row],[TRABAJO]],1)-1)</f>
        <v>SNv.616-3-NE_CH.616</v>
      </c>
      <c r="C13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SNv.616-3-NE_CH.616,CAMINOS       </v>
      </c>
      <c r="D13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37" s="47" t="s">
        <v>2634</v>
      </c>
      <c r="G1337" t="s">
        <v>2635</v>
      </c>
      <c r="H13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38" spans="1:8" ht="15" customHeight="1" x14ac:dyDescent="0.25">
      <c r="A1338" t="str">
        <f>MID(TB_CECO[[#This Row],[CECO_T]],1,5)</f>
        <v>13424</v>
      </c>
      <c r="B1338" t="str">
        <f>MID(TB_CECO[[#This Row],[TRABAJO]],1,SEARCH(",",TB_CECO[[#This Row],[TRABAJO]],1)-1)</f>
        <v>SNv.616-3-NE_CH.616</v>
      </c>
      <c r="C13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SNv.616-3-NE_CH.616,INST.DE RIELES</v>
      </c>
      <c r="D13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38" s="47" t="s">
        <v>2636</v>
      </c>
      <c r="G1338" t="s">
        <v>2637</v>
      </c>
      <c r="H13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39" spans="1:8" ht="15" customHeight="1" x14ac:dyDescent="0.25">
      <c r="A1339" t="str">
        <f>MID(TB_CECO[[#This Row],[CECO_T]],1,5)</f>
        <v>13424</v>
      </c>
      <c r="B1339" t="str">
        <f>MID(TB_CECO[[#This Row],[TRABAJO]],1,SEARCH(",",TB_CECO[[#This Row],[TRABAJO]],1)-1)</f>
        <v>SNv.616-3-NE_CH.616</v>
      </c>
      <c r="C13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SNv.616-3-NE_CH.616,REHAB DE LABOR</v>
      </c>
      <c r="D13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39" s="47" t="s">
        <v>2638</v>
      </c>
      <c r="G1339" t="s">
        <v>2639</v>
      </c>
      <c r="H13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40" spans="1:8" ht="15" customHeight="1" x14ac:dyDescent="0.25">
      <c r="A1340" t="str">
        <f>MID(TB_CECO[[#This Row],[CECO_T]],1,5)</f>
        <v>13424</v>
      </c>
      <c r="B1340" t="str">
        <f>MID(TB_CECO[[#This Row],[TRABAJO]],1,SEARCH(",",TB_CECO[[#This Row],[TRABAJO]],1)-1)</f>
        <v>SNv.616-3-NE_CH.616</v>
      </c>
      <c r="C13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SNv.616-3-NE_CH.616,CICLO COMPLETO</v>
      </c>
      <c r="D13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40" s="47" t="s">
        <v>2640</v>
      </c>
      <c r="G1340" t="s">
        <v>2641</v>
      </c>
      <c r="H13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41" spans="1:8" ht="15" customHeight="1" x14ac:dyDescent="0.25">
      <c r="A1341" t="str">
        <f>MID(TB_CECO[[#This Row],[CECO_T]],1,5)</f>
        <v>13430</v>
      </c>
      <c r="B1341" t="str">
        <f>MID(TB_CECO[[#This Row],[TRABAJO]],1,SEARCH(",",TB_CECO[[#This Row],[TRABAJO]],1)-1)</f>
        <v>SNV 076 SW  CH 078</v>
      </c>
      <c r="C13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SW  CH 078,VOLADURA       </v>
      </c>
      <c r="D13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41" s="47" t="s">
        <v>2642</v>
      </c>
      <c r="G1341" t="s">
        <v>2643</v>
      </c>
      <c r="H13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42" spans="1:8" ht="15" customHeight="1" x14ac:dyDescent="0.25">
      <c r="A1342" t="str">
        <f>MID(TB_CECO[[#This Row],[CECO_T]],1,5)</f>
        <v>13430</v>
      </c>
      <c r="B1342" t="str">
        <f>MID(TB_CECO[[#This Row],[TRABAJO]],1,SEARCH(",",TB_CECO[[#This Row],[TRABAJO]],1)-1)</f>
        <v>SNV 076 SW  CH 078</v>
      </c>
      <c r="C13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SW  CH 078,CAMINOS        </v>
      </c>
      <c r="D13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42" s="47" t="s">
        <v>2644</v>
      </c>
      <c r="G1342" t="s">
        <v>2645</v>
      </c>
      <c r="H13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43" spans="1:8" ht="15" customHeight="1" x14ac:dyDescent="0.25">
      <c r="A1343" t="str">
        <f>MID(TB_CECO[[#This Row],[CECO_T]],1,5)</f>
        <v>13430</v>
      </c>
      <c r="B1343" t="str">
        <f>MID(TB_CECO[[#This Row],[TRABAJO]],1,SEARCH(",",TB_CECO[[#This Row],[TRABAJO]],1)-1)</f>
        <v>SNV 076 SW  CH 078</v>
      </c>
      <c r="C13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SW  CH 078,INST.DE RIELES </v>
      </c>
      <c r="D13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43" s="47" t="s">
        <v>2646</v>
      </c>
      <c r="G1343" t="s">
        <v>2647</v>
      </c>
      <c r="H13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44" spans="1:8" ht="15" customHeight="1" x14ac:dyDescent="0.25">
      <c r="A1344" t="str">
        <f>MID(TB_CECO[[#This Row],[CECO_T]],1,5)</f>
        <v>13430</v>
      </c>
      <c r="B1344" t="str">
        <f>MID(TB_CECO[[#This Row],[TRABAJO]],1,SEARCH(",",TB_CECO[[#This Row],[TRABAJO]],1)-1)</f>
        <v>SNV 076 SW  CH 078</v>
      </c>
      <c r="C13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076 SW  CH 078,REHAB DE LABORE</v>
      </c>
      <c r="D13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44" s="47" t="s">
        <v>2648</v>
      </c>
      <c r="G1344" t="s">
        <v>2649</v>
      </c>
      <c r="H13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45" spans="1:8" ht="15" customHeight="1" x14ac:dyDescent="0.25">
      <c r="A1345" t="str">
        <f>MID(TB_CECO[[#This Row],[CECO_T]],1,5)</f>
        <v>13430</v>
      </c>
      <c r="B1345" t="str">
        <f>MID(TB_CECO[[#This Row],[TRABAJO]],1,SEARCH(",",TB_CECO[[#This Row],[TRABAJO]],1)-1)</f>
        <v>SNV 076 SW  CH 078</v>
      </c>
      <c r="C13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SW  CH 078,CICLO COMPLETO </v>
      </c>
      <c r="D13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45" s="47" t="s">
        <v>2650</v>
      </c>
      <c r="G1345" t="s">
        <v>2651</v>
      </c>
      <c r="H13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46" spans="1:8" ht="15" customHeight="1" x14ac:dyDescent="0.25">
      <c r="A1346" t="str">
        <f>MID(TB_CECO[[#This Row],[CECO_T]],1,5)</f>
        <v>13431</v>
      </c>
      <c r="B1346" t="str">
        <f>MID(TB_CECO[[#This Row],[TRABAJO]],1,SEARCH(",",TB_CECO[[#This Row],[TRABAJO]],1)-1)</f>
        <v>SNV 076 NE  CH 078</v>
      </c>
      <c r="C13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NE  CH 078,VOLADURA       </v>
      </c>
      <c r="D13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46" s="47" t="s">
        <v>2652</v>
      </c>
      <c r="G1346" t="s">
        <v>2653</v>
      </c>
      <c r="H13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47" spans="1:8" ht="15" customHeight="1" x14ac:dyDescent="0.25">
      <c r="A1347" t="str">
        <f>MID(TB_CECO[[#This Row],[CECO_T]],1,5)</f>
        <v>13431</v>
      </c>
      <c r="B1347" t="str">
        <f>MID(TB_CECO[[#This Row],[TRABAJO]],1,SEARCH(",",TB_CECO[[#This Row],[TRABAJO]],1)-1)</f>
        <v>SNV 076 NE  CH 078</v>
      </c>
      <c r="C13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NE  CH 078,CAMINOS        </v>
      </c>
      <c r="D13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47" s="47" t="s">
        <v>2654</v>
      </c>
      <c r="G1347" t="s">
        <v>2655</v>
      </c>
      <c r="H13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48" spans="1:8" ht="15" customHeight="1" x14ac:dyDescent="0.25">
      <c r="A1348" t="str">
        <f>MID(TB_CECO[[#This Row],[CECO_T]],1,5)</f>
        <v>13431</v>
      </c>
      <c r="B1348" t="str">
        <f>MID(TB_CECO[[#This Row],[TRABAJO]],1,SEARCH(",",TB_CECO[[#This Row],[TRABAJO]],1)-1)</f>
        <v>SNV 076 NE  CH 078</v>
      </c>
      <c r="C13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NE  CH 078,INST.DE RIELES </v>
      </c>
      <c r="D13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48" s="47" t="s">
        <v>2656</v>
      </c>
      <c r="G1348" t="s">
        <v>2657</v>
      </c>
      <c r="H13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49" spans="1:8" ht="15" customHeight="1" x14ac:dyDescent="0.25">
      <c r="A1349" t="str">
        <f>MID(TB_CECO[[#This Row],[CECO_T]],1,5)</f>
        <v>13431</v>
      </c>
      <c r="B1349" t="str">
        <f>MID(TB_CECO[[#This Row],[TRABAJO]],1,SEARCH(",",TB_CECO[[#This Row],[TRABAJO]],1)-1)</f>
        <v>SNV 076 NE  CH 078</v>
      </c>
      <c r="C13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076 NE  CH 078,REHAB DE LABORE</v>
      </c>
      <c r="D13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49" s="47" t="s">
        <v>2658</v>
      </c>
      <c r="G1349" t="s">
        <v>2659</v>
      </c>
      <c r="H13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50" spans="1:8" ht="15" customHeight="1" x14ac:dyDescent="0.25">
      <c r="A1350" t="str">
        <f>MID(TB_CECO[[#This Row],[CECO_T]],1,5)</f>
        <v>13431</v>
      </c>
      <c r="B1350" t="str">
        <f>MID(TB_CECO[[#This Row],[TRABAJO]],1,SEARCH(",",TB_CECO[[#This Row],[TRABAJO]],1)-1)</f>
        <v>SNV 076 NE  CH 078</v>
      </c>
      <c r="C13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076 NE  CH 078,CICLO COMPLETO </v>
      </c>
      <c r="D13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50" s="47" t="s">
        <v>2660</v>
      </c>
      <c r="G1350" t="s">
        <v>2661</v>
      </c>
      <c r="H13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51" spans="1:8" ht="15" customHeight="1" x14ac:dyDescent="0.25">
      <c r="A1351" t="str">
        <f>MID(TB_CECO[[#This Row],[CECO_T]],1,5)</f>
        <v>13512</v>
      </c>
      <c r="B1351" t="str">
        <f>MID(TB_CECO[[#This Row],[TRABAJO]],1,SEARCH(",",TB_CECO[[#This Row],[TRABAJO]],1)-1)</f>
        <v>EST 164 NW CX 128 NE</v>
      </c>
      <c r="C13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164 NW CX 128 NE,VOLADURA    </v>
      </c>
      <c r="D13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51" s="47" t="s">
        <v>2662</v>
      </c>
      <c r="G1351" t="s">
        <v>2663</v>
      </c>
      <c r="H13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52" spans="1:8" ht="15" customHeight="1" x14ac:dyDescent="0.25">
      <c r="A1352" t="str">
        <f>MID(TB_CECO[[#This Row],[CECO_T]],1,5)</f>
        <v>13512</v>
      </c>
      <c r="B1352" t="str">
        <f>MID(TB_CECO[[#This Row],[TRABAJO]],1,SEARCH(",",TB_CECO[[#This Row],[TRABAJO]],1)-1)</f>
        <v>EST 164 NW CX 128 NE</v>
      </c>
      <c r="C13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164 NW CX 128 NE,CAMINOS     </v>
      </c>
      <c r="D13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52" s="47" t="s">
        <v>2664</v>
      </c>
      <c r="G1352" t="s">
        <v>2665</v>
      </c>
      <c r="H13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53" spans="1:8" ht="15" customHeight="1" x14ac:dyDescent="0.25">
      <c r="A1353" t="str">
        <f>MID(TB_CECO[[#This Row],[CECO_T]],1,5)</f>
        <v>13512</v>
      </c>
      <c r="B1353" t="str">
        <f>MID(TB_CECO[[#This Row],[TRABAJO]],1,SEARCH(",",TB_CECO[[#This Row],[TRABAJO]],1)-1)</f>
        <v>EST 164 NW CX 128 NE</v>
      </c>
      <c r="C13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164 NW CX 128 NE,INSTALACION </v>
      </c>
      <c r="D13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53" s="47" t="s">
        <v>2666</v>
      </c>
      <c r="G1353" t="s">
        <v>2667</v>
      </c>
      <c r="H13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54" spans="1:8" ht="15" customHeight="1" x14ac:dyDescent="0.25">
      <c r="A1354" t="str">
        <f>MID(TB_CECO[[#This Row],[CECO_T]],1,5)</f>
        <v>13512</v>
      </c>
      <c r="B1354" t="str">
        <f>MID(TB_CECO[[#This Row],[TRABAJO]],1,SEARCH(",",TB_CECO[[#This Row],[TRABAJO]],1)-1)</f>
        <v>EST 164 NW CX 128 NE</v>
      </c>
      <c r="C13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164 NW CX 128 NE,REHAB DE LAB</v>
      </c>
      <c r="D13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354" s="47" t="s">
        <v>2668</v>
      </c>
      <c r="G1354" t="s">
        <v>2669</v>
      </c>
      <c r="H13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55" spans="1:8" ht="15" customHeight="1" x14ac:dyDescent="0.25">
      <c r="A1355" t="str">
        <f>MID(TB_CECO[[#This Row],[CECO_T]],1,5)</f>
        <v>14101</v>
      </c>
      <c r="B1355" t="str">
        <f>MID(TB_CECO[[#This Row],[TRABAJO]],1,SEARCH(",",TB_CECO[[#This Row],[TRABAJO]],1)-1)</f>
        <v xml:space="preserve"> Cx.128 NE_GL.028 NE </v>
      </c>
      <c r="C13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VOLADURA </v>
      </c>
      <c r="D13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55" s="47" t="s">
        <v>2670</v>
      </c>
      <c r="G1355" t="s">
        <v>2671</v>
      </c>
      <c r="H13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56" spans="1:8" ht="15" customHeight="1" x14ac:dyDescent="0.25">
      <c r="A1356" t="str">
        <f>MID(TB_CECO[[#This Row],[CECO_T]],1,5)</f>
        <v>14101</v>
      </c>
      <c r="B1356" t="str">
        <f>MID(TB_CECO[[#This Row],[TRABAJO]],1,SEARCH(",",TB_CECO[[#This Row],[TRABAJO]],1)-1)</f>
        <v xml:space="preserve"> Cx.128 NE_GL.028 NE </v>
      </c>
      <c r="C13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CAMINOS  </v>
      </c>
      <c r="D13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56" s="47" t="s">
        <v>2672</v>
      </c>
      <c r="G1356" t="s">
        <v>2673</v>
      </c>
      <c r="H13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57" spans="1:8" ht="15" customHeight="1" x14ac:dyDescent="0.25">
      <c r="A1357" t="str">
        <f>MID(TB_CECO[[#This Row],[CECO_T]],1,5)</f>
        <v>14101</v>
      </c>
      <c r="B1357" t="str">
        <f>MID(TB_CECO[[#This Row],[TRABAJO]],1,SEARCH(",",TB_CECO[[#This Row],[TRABAJO]],1)-1)</f>
        <v xml:space="preserve"> Cx.128 NE_GL.028 NE </v>
      </c>
      <c r="C13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INSTAL.RI</v>
      </c>
      <c r="D13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57" s="47" t="s">
        <v>2674</v>
      </c>
      <c r="G1357" t="s">
        <v>2675</v>
      </c>
      <c r="H13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58" spans="1:8" ht="15" customHeight="1" x14ac:dyDescent="0.25">
      <c r="A1358" t="str">
        <f>MID(TB_CECO[[#This Row],[CECO_T]],1,5)</f>
        <v>14101</v>
      </c>
      <c r="B1358" t="str">
        <f>MID(TB_CECO[[#This Row],[TRABAJO]],1,SEARCH(",",TB_CECO[[#This Row],[TRABAJO]],1)-1)</f>
        <v xml:space="preserve"> Cx.128 NE_GL.028 NE </v>
      </c>
      <c r="C13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Cx.128 NE_GL.028 NE , REHABILIT</v>
      </c>
      <c r="D13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58" s="47" t="s">
        <v>2676</v>
      </c>
      <c r="G1358" t="s">
        <v>2677</v>
      </c>
      <c r="H13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59" spans="1:8" ht="15" customHeight="1" x14ac:dyDescent="0.25">
      <c r="A1359" t="str">
        <f>MID(TB_CECO[[#This Row],[CECO_T]],1,5)</f>
        <v>14441</v>
      </c>
      <c r="B1359" t="str">
        <f>MID(TB_CECO[[#This Row],[TRABAJO]],1,SEARCH(",",TB_CECO[[#This Row],[TRABAJO]],1)-1)</f>
        <v>SNV 590 SW (CH 610)</v>
      </c>
      <c r="C13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SW (CH 610),VOLADURA      </v>
      </c>
      <c r="D13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59" s="47" t="s">
        <v>2678</v>
      </c>
      <c r="G1359" t="s">
        <v>2679</v>
      </c>
      <c r="H13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60" spans="1:8" ht="15" customHeight="1" x14ac:dyDescent="0.25">
      <c r="A1360" t="str">
        <f>MID(TB_CECO[[#This Row],[CECO_T]],1,5)</f>
        <v>14441</v>
      </c>
      <c r="B1360" t="str">
        <f>MID(TB_CECO[[#This Row],[TRABAJO]],1,SEARCH(",",TB_CECO[[#This Row],[TRABAJO]],1)-1)</f>
        <v>SNV 590 SW (CH 610)</v>
      </c>
      <c r="C13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SW (CH 610),CAMINOS       </v>
      </c>
      <c r="D13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60" s="47" t="s">
        <v>2680</v>
      </c>
      <c r="G1360" t="s">
        <v>2681</v>
      </c>
      <c r="H13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61" spans="1:8" ht="15" customHeight="1" x14ac:dyDescent="0.25">
      <c r="A1361" t="str">
        <f>MID(TB_CECO[[#This Row],[CECO_T]],1,5)</f>
        <v>14441</v>
      </c>
      <c r="B1361" t="str">
        <f>MID(TB_CECO[[#This Row],[TRABAJO]],1,SEARCH(",",TB_CECO[[#This Row],[TRABAJO]],1)-1)</f>
        <v>SNV 590 SW (CH 610)</v>
      </c>
      <c r="C13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590 SW (CH 610),INST.DE RIELES</v>
      </c>
      <c r="D13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61" s="47" t="s">
        <v>2682</v>
      </c>
      <c r="G1361" t="s">
        <v>2683</v>
      </c>
      <c r="H13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62" spans="1:8" ht="15" customHeight="1" x14ac:dyDescent="0.25">
      <c r="A1362" t="str">
        <f>MID(TB_CECO[[#This Row],[CECO_T]],1,5)</f>
        <v>14441</v>
      </c>
      <c r="B1362" t="str">
        <f>MID(TB_CECO[[#This Row],[TRABAJO]],1,SEARCH(",",TB_CECO[[#This Row],[TRABAJO]],1)-1)</f>
        <v>SNV 590 SW (CH 610)</v>
      </c>
      <c r="C13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590 SW (CH 610),REHAB DE LABOR</v>
      </c>
      <c r="D13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62" s="47" t="s">
        <v>2684</v>
      </c>
      <c r="G1362" t="s">
        <v>2685</v>
      </c>
      <c r="H13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63" spans="1:8" ht="15" customHeight="1" x14ac:dyDescent="0.25">
      <c r="A1363" t="str">
        <f>MID(TB_CECO[[#This Row],[CECO_T]],1,5)</f>
        <v>14441</v>
      </c>
      <c r="B1363" t="str">
        <f>MID(TB_CECO[[#This Row],[TRABAJO]],1,SEARCH(",",TB_CECO[[#This Row],[TRABAJO]],1)-1)</f>
        <v>SNV 590 SW (CH 610)</v>
      </c>
      <c r="C13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590 SW (CH 610),CICLO COMPLETO</v>
      </c>
      <c r="D13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63" s="47" t="s">
        <v>2686</v>
      </c>
      <c r="G1363" t="s">
        <v>2687</v>
      </c>
      <c r="H13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64" spans="1:8" ht="15" customHeight="1" x14ac:dyDescent="0.25">
      <c r="A1364" t="str">
        <f>MID(TB_CECO[[#This Row],[CECO_T]],1,5)</f>
        <v>14501</v>
      </c>
      <c r="B1364" t="str">
        <f>MID(TB_CECO[[#This Row],[TRABAJO]],1,SEARCH(",",TB_CECO[[#This Row],[TRABAJO]],1)-1)</f>
        <v xml:space="preserve"> Est. 140-NW_Cx. 128-NE </v>
      </c>
      <c r="C13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140-NW_Cx. 128-NE , VOLA</v>
      </c>
      <c r="D13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64" s="47" t="s">
        <v>2688</v>
      </c>
      <c r="G1364" t="s">
        <v>2689</v>
      </c>
      <c r="H13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65" spans="1:8" ht="15" customHeight="1" x14ac:dyDescent="0.25">
      <c r="A1365" t="str">
        <f>MID(TB_CECO[[#This Row],[CECO_T]],1,5)</f>
        <v>14501</v>
      </c>
      <c r="B1365" t="str">
        <f>MID(TB_CECO[[#This Row],[TRABAJO]],1,SEARCH(",",TB_CECO[[#This Row],[TRABAJO]],1)-1)</f>
        <v xml:space="preserve"> Est. 140-NW_Cx. 128-NE </v>
      </c>
      <c r="C13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140-NW_Cx. 128-NE , CAMI</v>
      </c>
      <c r="D13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65" s="47" t="s">
        <v>2690</v>
      </c>
      <c r="G1365" t="s">
        <v>2691</v>
      </c>
      <c r="H13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66" spans="1:8" ht="15" customHeight="1" x14ac:dyDescent="0.25">
      <c r="A1366" t="str">
        <f>MID(TB_CECO[[#This Row],[CECO_T]],1,5)</f>
        <v>14501</v>
      </c>
      <c r="B1366" t="str">
        <f>MID(TB_CECO[[#This Row],[TRABAJO]],1,SEARCH(",",TB_CECO[[#This Row],[TRABAJO]],1)-1)</f>
        <v>Est.140-NW_Cx. 128-NE</v>
      </c>
      <c r="C13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Est.140-NW_Cx. 128-NE,INST DE RIE</v>
      </c>
      <c r="D13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66" s="47" t="s">
        <v>2692</v>
      </c>
      <c r="G1366" t="s">
        <v>2693</v>
      </c>
      <c r="H13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67" spans="1:8" ht="15" customHeight="1" x14ac:dyDescent="0.25">
      <c r="A1367" t="str">
        <f>MID(TB_CECO[[#This Row],[CECO_T]],1,5)</f>
        <v>14501</v>
      </c>
      <c r="B1367" t="str">
        <f>MID(TB_CECO[[#This Row],[TRABAJO]],1,SEARCH(",",TB_CECO[[#This Row],[TRABAJO]],1)-1)</f>
        <v>Est.140-NW_Cx.128-NE</v>
      </c>
      <c r="C13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Est.140-NW_Cx.128-NE, REHABILIT </v>
      </c>
      <c r="D13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67" s="47" t="s">
        <v>2694</v>
      </c>
      <c r="G1367" t="s">
        <v>2695</v>
      </c>
      <c r="H13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68" spans="1:8" ht="15" customHeight="1" x14ac:dyDescent="0.25">
      <c r="A1368" t="str">
        <f>MID(TB_CECO[[#This Row],[CECO_T]],1,5)</f>
        <v>14505</v>
      </c>
      <c r="B1368" t="str">
        <f>MID(TB_CECO[[#This Row],[TRABAJO]],1,SEARCH(",",TB_CECO[[#This Row],[TRABAJO]],1)-1)</f>
        <v xml:space="preserve"> Est. 095-1 SW SN. 095 SW </v>
      </c>
      <c r="C13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095-1 SW SN. 095 SW , VO</v>
      </c>
      <c r="D13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68" s="47" t="s">
        <v>2696</v>
      </c>
      <c r="G1368" t="s">
        <v>2697</v>
      </c>
      <c r="H13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69" spans="1:8" ht="15" customHeight="1" x14ac:dyDescent="0.25">
      <c r="A1369" t="str">
        <f>MID(TB_CECO[[#This Row],[CECO_T]],1,5)</f>
        <v>14505</v>
      </c>
      <c r="B1369" t="str">
        <f>MID(TB_CECO[[#This Row],[TRABAJO]],1,SEARCH(",",TB_CECO[[#This Row],[TRABAJO]],1)-1)</f>
        <v xml:space="preserve"> Est. 095-1 SW SN. 095 SW </v>
      </c>
      <c r="C13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095-1 SW SN. 095 SW , CA</v>
      </c>
      <c r="D13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69" s="47" t="s">
        <v>2698</v>
      </c>
      <c r="G1369" t="s">
        <v>2699</v>
      </c>
      <c r="H13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70" spans="1:8" ht="15" customHeight="1" x14ac:dyDescent="0.25">
      <c r="A1370" t="str">
        <f>MID(TB_CECO[[#This Row],[CECO_T]],1,5)</f>
        <v>14505</v>
      </c>
      <c r="B1370" t="str">
        <f>MID(TB_CECO[[#This Row],[TRABAJO]],1,SEARCH(",",TB_CECO[[#This Row],[TRABAJO]],1)-1)</f>
        <v xml:space="preserve"> Est.095-1SW SN.095 SW</v>
      </c>
      <c r="C13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Est.095-1SW SN.095 SW,INST DE</v>
      </c>
      <c r="D13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70" s="47" t="s">
        <v>2700</v>
      </c>
      <c r="G1370" t="s">
        <v>2701</v>
      </c>
      <c r="H13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71" spans="1:8" ht="15" customHeight="1" x14ac:dyDescent="0.25">
      <c r="A1371" t="str">
        <f>MID(TB_CECO[[#This Row],[CECO_T]],1,5)</f>
        <v>14505</v>
      </c>
      <c r="B1371" t="str">
        <f>MID(TB_CECO[[#This Row],[TRABAJO]],1,SEARCH(",",TB_CECO[[#This Row],[TRABAJO]],1)-1)</f>
        <v>Est.095-1 SW SN.095 SW</v>
      </c>
      <c r="C13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Est.095-1 SW SN.095 SW,REHABILIT D</v>
      </c>
      <c r="D13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71" s="47" t="s">
        <v>2702</v>
      </c>
      <c r="G1371" t="s">
        <v>2703</v>
      </c>
      <c r="H13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72" spans="1:8" ht="15" customHeight="1" x14ac:dyDescent="0.25">
      <c r="A1372" t="str">
        <f>MID(TB_CECO[[#This Row],[CECO_T]],1,5)</f>
        <v>14A01</v>
      </c>
      <c r="B1372" t="str">
        <f>MID(TB_CECO[[#This Row],[TRABAJO]],1,SEARCH(",",TB_CECO[[#This Row],[TRABAJO]],1)-1)</f>
        <v xml:space="preserve"> VT. 128-1  Cx. 128 NE </v>
      </c>
      <c r="C13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 128-1  Cx. 128 NE , DESQU</v>
      </c>
      <c r="D13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72" s="47" t="s">
        <v>2704</v>
      </c>
      <c r="G1372" t="s">
        <v>2705</v>
      </c>
      <c r="H13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73" spans="1:8" ht="15" customHeight="1" x14ac:dyDescent="0.25">
      <c r="A1373" t="str">
        <f>MID(TB_CECO[[#This Row],[CECO_T]],1,5)</f>
        <v>14A01</v>
      </c>
      <c r="B1373" t="str">
        <f>MID(TB_CECO[[#This Row],[TRABAJO]],1,SEARCH(",",TB_CECO[[#This Row],[TRABAJO]],1)-1)</f>
        <v xml:space="preserve"> VT. 128-1  Cx. 128 NE </v>
      </c>
      <c r="C13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 128-1  Cx. 128 NE , ENMAD</v>
      </c>
      <c r="D13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73" s="47" t="s">
        <v>2706</v>
      </c>
      <c r="G1373" t="s">
        <v>2707</v>
      </c>
      <c r="H13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74" spans="1:8" ht="15" customHeight="1" x14ac:dyDescent="0.25">
      <c r="A1374" t="str">
        <f>MID(TB_CECO[[#This Row],[CECO_T]],1,5)</f>
        <v>14A01</v>
      </c>
      <c r="B1374" t="str">
        <f>MID(TB_CECO[[#This Row],[TRABAJO]],1,SEARCH(",",TB_CECO[[#This Row],[TRABAJO]],1)-1)</f>
        <v xml:space="preserve"> VT. 128-1  Cx. 128 NE </v>
      </c>
      <c r="C13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 128-1  Cx. 128 NE , LIMPI</v>
      </c>
      <c r="D13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74" s="47" t="s">
        <v>2708</v>
      </c>
      <c r="G1374" t="s">
        <v>2709</v>
      </c>
      <c r="H13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75" spans="1:8" ht="15" customHeight="1" x14ac:dyDescent="0.25">
      <c r="A1375" t="str">
        <f>MID(TB_CECO[[#This Row],[CECO_T]],1,5)</f>
        <v>14A01</v>
      </c>
      <c r="B1375" t="str">
        <f>MID(TB_CECO[[#This Row],[TRABAJO]],1,SEARCH(",",TB_CECO[[#This Row],[TRABAJO]],1)-1)</f>
        <v xml:space="preserve"> VT. 128-1  Cx. 128 NE </v>
      </c>
      <c r="C13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 128-1  Cx. 128 NE , SERVI</v>
      </c>
      <c r="D13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75" s="47" t="s">
        <v>2710</v>
      </c>
      <c r="G1375" t="s">
        <v>2711</v>
      </c>
      <c r="H13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76" spans="1:8" ht="15" customHeight="1" x14ac:dyDescent="0.25">
      <c r="A1376" t="str">
        <f>MID(TB_CECO[[#This Row],[CECO_T]],1,5)</f>
        <v>14A01</v>
      </c>
      <c r="B1376" t="str">
        <f>MID(TB_CECO[[#This Row],[TRABAJO]],1,SEARCH(",",TB_CECO[[#This Row],[TRABAJO]],1)-1)</f>
        <v xml:space="preserve"> VT. 128-1  Cx. 128 NE </v>
      </c>
      <c r="C13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 128-1  Cx. 128 NE , EXTRA</v>
      </c>
      <c r="D13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76" s="47" t="s">
        <v>2712</v>
      </c>
      <c r="G1376" t="s">
        <v>2713</v>
      </c>
      <c r="H13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77" spans="1:8" ht="15" customHeight="1" x14ac:dyDescent="0.25">
      <c r="A1377" t="str">
        <f>MID(TB_CECO[[#This Row],[CECO_T]],1,5)</f>
        <v>14A01</v>
      </c>
      <c r="B1377" t="str">
        <f>MID(TB_CECO[[#This Row],[TRABAJO]],1,SEARCH(",",TB_CECO[[#This Row],[TRABAJO]],1)-1)</f>
        <v xml:space="preserve"> VT. 128-1  Cx. 128 NE </v>
      </c>
      <c r="C13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 128-1  Cx. 128 NE , split</v>
      </c>
      <c r="D13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77" s="47" t="s">
        <v>2714</v>
      </c>
      <c r="G1377" t="s">
        <v>2715</v>
      </c>
      <c r="H13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78" spans="1:8" ht="15" customHeight="1" x14ac:dyDescent="0.25">
      <c r="A1378" t="str">
        <f>MID(TB_CECO[[#This Row],[CECO_T]],1,5)</f>
        <v>14A01</v>
      </c>
      <c r="B1378" t="str">
        <f>MID(TB_CECO[[#This Row],[TRABAJO]],1,SEARCH(",",TB_CECO[[#This Row],[TRABAJO]],1)-1)</f>
        <v xml:space="preserve"> VT. 128-1  Cx. 128 NE </v>
      </c>
      <c r="C13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 128-1  Cx. 128 NE , split</v>
      </c>
      <c r="D13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78" s="47" t="s">
        <v>2716</v>
      </c>
      <c r="G1378" t="s">
        <v>2715</v>
      </c>
      <c r="H13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79" spans="1:8" ht="15" customHeight="1" x14ac:dyDescent="0.25">
      <c r="A1379" t="str">
        <f>MID(TB_CECO[[#This Row],[CECO_T]],1,5)</f>
        <v>14A01</v>
      </c>
      <c r="B1379" t="str">
        <f>MID(TB_CECO[[#This Row],[TRABAJO]],1,SEARCH(",",TB_CECO[[#This Row],[TRABAJO]],1)-1)</f>
        <v>VT.128-1  Cx.128 NE</v>
      </c>
      <c r="C13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VT.128-1  Cx.128 NE,IZAJE Y DESC</v>
      </c>
      <c r="D13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79" s="47" t="s">
        <v>2717</v>
      </c>
      <c r="G1379" t="s">
        <v>2718</v>
      </c>
      <c r="H13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80" spans="1:8" ht="15" customHeight="1" x14ac:dyDescent="0.25">
      <c r="A1380" t="str">
        <f>MID(TB_CECO[[#This Row],[CECO_T]],1,5)</f>
        <v>14A01</v>
      </c>
      <c r="B1380" t="str">
        <f>MID(TB_CECO[[#This Row],[TRABAJO]],1,SEARCH(",",TB_CECO[[#This Row],[TRABAJO]],1)-1)</f>
        <v xml:space="preserve"> VT. 128-1  Cx. 128 NE </v>
      </c>
      <c r="C13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 128-1  Cx. 128 NE , PERFO</v>
      </c>
      <c r="D13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80" s="47" t="s">
        <v>2719</v>
      </c>
      <c r="G1380" t="s">
        <v>2720</v>
      </c>
      <c r="H13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81" spans="1:8" ht="15" customHeight="1" x14ac:dyDescent="0.25">
      <c r="A1381" t="str">
        <f>MID(TB_CECO[[#This Row],[CECO_T]],1,5)</f>
        <v>14A01</v>
      </c>
      <c r="B1381" t="str">
        <f>MID(TB_CECO[[#This Row],[TRABAJO]],1,SEARCH(",",TB_CECO[[#This Row],[TRABAJO]],1)-1)</f>
        <v xml:space="preserve"> VT. 128-1  Cx. 128 NE </v>
      </c>
      <c r="C13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 128-1  Cx. 128 NE , VOLAD</v>
      </c>
      <c r="D13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81" s="47" t="s">
        <v>2721</v>
      </c>
      <c r="G1381" t="s">
        <v>2722</v>
      </c>
      <c r="H13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82" spans="1:8" ht="15" customHeight="1" x14ac:dyDescent="0.25">
      <c r="A1382" t="str">
        <f>MID(TB_CECO[[#This Row],[CECO_T]],1,5)</f>
        <v>14A01</v>
      </c>
      <c r="B1382" t="str">
        <f>MID(TB_CECO[[#This Row],[TRABAJO]],1,SEARCH(",",TB_CECO[[#This Row],[TRABAJO]],1)-1)</f>
        <v xml:space="preserve"> VT. 128-1  Cx. 128 NE </v>
      </c>
      <c r="C13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 128-1  Cx. 128 NE , CAMIN</v>
      </c>
      <c r="D13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82" s="47" t="s">
        <v>2723</v>
      </c>
      <c r="G1382" t="s">
        <v>2724</v>
      </c>
      <c r="H13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83" spans="1:8" ht="15" customHeight="1" x14ac:dyDescent="0.25">
      <c r="A1383" t="str">
        <f>MID(TB_CECO[[#This Row],[CECO_T]],1,5)</f>
        <v>14A01</v>
      </c>
      <c r="B1383" t="str">
        <f>MID(TB_CECO[[#This Row],[TRABAJO]],1,SEARCH(",",TB_CECO[[#This Row],[TRABAJO]],1)-1)</f>
        <v xml:space="preserve"> VT.128-1  Cx.128 NE</v>
      </c>
      <c r="C13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VT.128-1  Cx.128 NE, INSTAL DE R</v>
      </c>
      <c r="D13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83" s="47" t="s">
        <v>2725</v>
      </c>
      <c r="G1383" t="s">
        <v>2726</v>
      </c>
      <c r="H13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84" spans="1:8" ht="15" customHeight="1" x14ac:dyDescent="0.25">
      <c r="A1384" t="str">
        <f>MID(TB_CECO[[#This Row],[CECO_T]],1,5)</f>
        <v>14A01</v>
      </c>
      <c r="B1384" t="str">
        <f>MID(TB_CECO[[#This Row],[TRABAJO]],1,SEARCH(",",TB_CECO[[#This Row],[TRABAJO]],1)-1)</f>
        <v xml:space="preserve"> VT.128-1 Cx.128 NE</v>
      </c>
      <c r="C13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VT.128-1 Cx.128 NE,REHABILIT DE L</v>
      </c>
      <c r="D13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384" s="47" t="s">
        <v>2727</v>
      </c>
      <c r="G1384" t="s">
        <v>2728</v>
      </c>
      <c r="H13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85" spans="1:8" ht="15" customHeight="1" x14ac:dyDescent="0.25">
      <c r="A1385" t="str">
        <f>MID(TB_CECO[[#This Row],[CECO_T]],1,5)</f>
        <v>15310</v>
      </c>
      <c r="B1385" t="str">
        <f>MID(TB_CECO[[#This Row],[TRABAJO]],1,SEARCH(",",TB_CECO[[#This Row],[TRABAJO]],1)-1)</f>
        <v>TJ 616 - 1 NE</v>
      </c>
      <c r="C13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NE,VOLADURA           </v>
      </c>
      <c r="D13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85" s="47" t="s">
        <v>2729</v>
      </c>
      <c r="G1385" t="s">
        <v>2730</v>
      </c>
      <c r="H13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386" spans="1:8" ht="15" customHeight="1" x14ac:dyDescent="0.25">
      <c r="A1386" t="str">
        <f>MID(TB_CECO[[#This Row],[CECO_T]],1,5)</f>
        <v>15310</v>
      </c>
      <c r="B1386" t="str">
        <f>MID(TB_CECO[[#This Row],[TRABAJO]],1,SEARCH(",",TB_CECO[[#This Row],[TRABAJO]],1)-1)</f>
        <v>TJ 616 - 1 NE</v>
      </c>
      <c r="C13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NE,CAMINOS            </v>
      </c>
      <c r="D13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86" s="47" t="s">
        <v>2731</v>
      </c>
      <c r="G1386" t="s">
        <v>2732</v>
      </c>
      <c r="H13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387" spans="1:8" ht="15" customHeight="1" x14ac:dyDescent="0.25">
      <c r="A1387" t="str">
        <f>MID(TB_CECO[[#This Row],[CECO_T]],1,5)</f>
        <v>15310</v>
      </c>
      <c r="B1387" t="str">
        <f>MID(TB_CECO[[#This Row],[TRABAJO]],1,SEARCH(",",TB_CECO[[#This Row],[TRABAJO]],1)-1)</f>
        <v>TJ 616 - 1 NE</v>
      </c>
      <c r="C13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616 - 1 NE,INSTALACION DE RIEL</v>
      </c>
      <c r="D13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87" s="47" t="s">
        <v>2733</v>
      </c>
      <c r="G1387" t="s">
        <v>2734</v>
      </c>
      <c r="H13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388" spans="1:8" ht="15" customHeight="1" x14ac:dyDescent="0.25">
      <c r="A1388" t="str">
        <f>MID(TB_CECO[[#This Row],[CECO_T]],1,5)</f>
        <v>15310</v>
      </c>
      <c r="B1388" t="str">
        <f>MID(TB_CECO[[#This Row],[TRABAJO]],1,SEARCH(",",TB_CECO[[#This Row],[TRABAJO]],1)-1)</f>
        <v>TJ 616 - 1 NE</v>
      </c>
      <c r="C13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616 - 1 NE,REHAB DE LABORES   </v>
      </c>
      <c r="D13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88" s="47" t="s">
        <v>2735</v>
      </c>
      <c r="G1388" t="s">
        <v>2736</v>
      </c>
      <c r="H13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389" spans="1:8" ht="15" customHeight="1" x14ac:dyDescent="0.25">
      <c r="A1389" t="str">
        <f>MID(TB_CECO[[#This Row],[CECO_T]],1,5)</f>
        <v>15311</v>
      </c>
      <c r="B1389" t="str">
        <f>MID(TB_CECO[[#This Row],[TRABAJO]],1,SEARCH(",",TB_CECO[[#This Row],[TRABAJO]],1)-1)</f>
        <v xml:space="preserve"> TJ 610 NE</v>
      </c>
      <c r="C13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VOLADURA             </v>
      </c>
      <c r="D13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89" s="47" t="s">
        <v>2737</v>
      </c>
      <c r="G1389" t="s">
        <v>10978</v>
      </c>
      <c r="H13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90" spans="1:8" ht="15" customHeight="1" x14ac:dyDescent="0.25">
      <c r="A1390" t="str">
        <f>MID(TB_CECO[[#This Row],[CECO_T]],1,5)</f>
        <v>15311</v>
      </c>
      <c r="B1390" t="str">
        <f>MID(TB_CECO[[#This Row],[TRABAJO]],1,SEARCH(",",TB_CECO[[#This Row],[TRABAJO]],1)-1)</f>
        <v xml:space="preserve"> TJ 610 NE</v>
      </c>
      <c r="C13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CAMINOS              </v>
      </c>
      <c r="D13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90" s="47" t="s">
        <v>2738</v>
      </c>
      <c r="G1390" t="s">
        <v>10979</v>
      </c>
      <c r="H13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91" spans="1:8" ht="15" customHeight="1" x14ac:dyDescent="0.25">
      <c r="A1391" t="str">
        <f>MID(TB_CECO[[#This Row],[CECO_T]],1,5)</f>
        <v>15311</v>
      </c>
      <c r="B1391" t="str">
        <f>MID(TB_CECO[[#This Row],[TRABAJO]],1,SEARCH(",",TB_CECO[[#This Row],[TRABAJO]],1)-1)</f>
        <v xml:space="preserve"> TJ 610 NE</v>
      </c>
      <c r="C13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INST.DE RIELES       </v>
      </c>
      <c r="D13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91" s="47" t="s">
        <v>2739</v>
      </c>
      <c r="G1391" t="s">
        <v>10980</v>
      </c>
      <c r="H13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92" spans="1:8" ht="15" customHeight="1" x14ac:dyDescent="0.25">
      <c r="A1392" t="str">
        <f>MID(TB_CECO[[#This Row],[CECO_T]],1,5)</f>
        <v>15311</v>
      </c>
      <c r="B1392" t="str">
        <f>MID(TB_CECO[[#This Row],[TRABAJO]],1,SEARCH(",",TB_CECO[[#This Row],[TRABAJO]],1)-1)</f>
        <v xml:space="preserve"> TJ 610 NE</v>
      </c>
      <c r="C13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REHAB DE LABORES     </v>
      </c>
      <c r="D13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92" s="47" t="s">
        <v>2740</v>
      </c>
      <c r="G1392" t="s">
        <v>10982</v>
      </c>
      <c r="H13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93" spans="1:8" ht="15" customHeight="1" x14ac:dyDescent="0.25">
      <c r="A1393" t="str">
        <f>MID(TB_CECO[[#This Row],[CECO_T]],1,5)</f>
        <v>15311</v>
      </c>
      <c r="B1393" t="str">
        <f>MID(TB_CECO[[#This Row],[TRABAJO]],1,SEARCH(",",TB_CECO[[#This Row],[TRABAJO]],1)-1)</f>
        <v xml:space="preserve"> TJ 610 NE</v>
      </c>
      <c r="C13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610 NE, CICLO COMPLETO       </v>
      </c>
      <c r="D13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93" s="47" t="s">
        <v>2741</v>
      </c>
      <c r="G1393" t="s">
        <v>10981</v>
      </c>
      <c r="H13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394" spans="1:8" ht="15" customHeight="1" x14ac:dyDescent="0.25">
      <c r="A1394" t="str">
        <f>MID(TB_CECO[[#This Row],[CECO_T]],1,5)</f>
        <v>15314</v>
      </c>
      <c r="B1394" t="str">
        <f>MID(TB_CECO[[#This Row],[TRABAJO]],1,SEARCH(",",TB_CECO[[#This Row],[TRABAJO]],1)-1)</f>
        <v>TJ 620 CH 592</v>
      </c>
      <c r="C13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592,VOLADURA            </v>
      </c>
      <c r="D13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94" s="47" t="s">
        <v>2742</v>
      </c>
      <c r="G1394" t="s">
        <v>2743</v>
      </c>
      <c r="H13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395" spans="1:8" ht="15" customHeight="1" x14ac:dyDescent="0.25">
      <c r="A1395" t="str">
        <f>MID(TB_CECO[[#This Row],[CECO_T]],1,5)</f>
        <v>15314</v>
      </c>
      <c r="B1395" t="str">
        <f>MID(TB_CECO[[#This Row],[TRABAJO]],1,SEARCH(",",TB_CECO[[#This Row],[TRABAJO]],1)-1)</f>
        <v>TJ 620 CH 592</v>
      </c>
      <c r="C13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592,CAMINOS             </v>
      </c>
      <c r="D13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95" s="47" t="s">
        <v>2744</v>
      </c>
      <c r="G1395" t="s">
        <v>2745</v>
      </c>
      <c r="H13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396" spans="1:8" ht="15" customHeight="1" x14ac:dyDescent="0.25">
      <c r="A1396" t="str">
        <f>MID(TB_CECO[[#This Row],[CECO_T]],1,5)</f>
        <v>15314</v>
      </c>
      <c r="B1396" t="str">
        <f>MID(TB_CECO[[#This Row],[TRABAJO]],1,SEARCH(",",TB_CECO[[#This Row],[TRABAJO]],1)-1)</f>
        <v>TJ 620 CH 592</v>
      </c>
      <c r="C13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592,INST.DE RIELES      </v>
      </c>
      <c r="D13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96" s="47" t="s">
        <v>2746</v>
      </c>
      <c r="G1396" t="s">
        <v>2747</v>
      </c>
      <c r="H13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397" spans="1:8" ht="15" customHeight="1" x14ac:dyDescent="0.25">
      <c r="A1397" t="str">
        <f>MID(TB_CECO[[#This Row],[CECO_T]],1,5)</f>
        <v>15314</v>
      </c>
      <c r="B1397" t="str">
        <f>MID(TB_CECO[[#This Row],[TRABAJO]],1,SEARCH(",",TB_CECO[[#This Row],[TRABAJO]],1)-1)</f>
        <v>TJ 620 CH 592</v>
      </c>
      <c r="C13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592,REHAB DE LABORES    </v>
      </c>
      <c r="D13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97" s="47" t="s">
        <v>2748</v>
      </c>
      <c r="G1397" t="s">
        <v>2749</v>
      </c>
      <c r="H13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398" spans="1:8" ht="15" customHeight="1" x14ac:dyDescent="0.25">
      <c r="A1398" t="str">
        <f>MID(TB_CECO[[#This Row],[CECO_T]],1,5)</f>
        <v>15314</v>
      </c>
      <c r="B1398" t="str">
        <f>MID(TB_CECO[[#This Row],[TRABAJO]],1,SEARCH(",",TB_CECO[[#This Row],[TRABAJO]],1)-1)</f>
        <v>TJ 620 CH 592</v>
      </c>
      <c r="C13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592,CICLO COMPLETO      </v>
      </c>
      <c r="D13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98" s="47" t="s">
        <v>2750</v>
      </c>
      <c r="G1398" t="s">
        <v>2751</v>
      </c>
      <c r="H13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399" spans="1:8" ht="15" customHeight="1" x14ac:dyDescent="0.25">
      <c r="A1399" t="str">
        <f>MID(TB_CECO[[#This Row],[CECO_T]],1,5)</f>
        <v>15316</v>
      </c>
      <c r="B1399" t="str">
        <f>MID(TB_CECO[[#This Row],[TRABAJO]],1,SEARCH(",",TB_CECO[[#This Row],[TRABAJO]],1)-1)</f>
        <v>TJ 620 CH 610</v>
      </c>
      <c r="C13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610,VOLADURA            </v>
      </c>
      <c r="D13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3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399" s="47" t="s">
        <v>2752</v>
      </c>
      <c r="G1399" t="s">
        <v>2753</v>
      </c>
      <c r="H13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400" spans="1:8" ht="15" customHeight="1" x14ac:dyDescent="0.25">
      <c r="A1400" t="str">
        <f>MID(TB_CECO[[#This Row],[CECO_T]],1,5)</f>
        <v>15316</v>
      </c>
      <c r="B1400" t="str">
        <f>MID(TB_CECO[[#This Row],[TRABAJO]],1,SEARCH(",",TB_CECO[[#This Row],[TRABAJO]],1)-1)</f>
        <v>TJ 620 CH 610</v>
      </c>
      <c r="C14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610,CAMINOS             </v>
      </c>
      <c r="D14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00" s="47" t="s">
        <v>2754</v>
      </c>
      <c r="G1400" t="s">
        <v>2755</v>
      </c>
      <c r="H14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401" spans="1:8" ht="15" customHeight="1" x14ac:dyDescent="0.25">
      <c r="A1401" t="str">
        <f>MID(TB_CECO[[#This Row],[CECO_T]],1,5)</f>
        <v>15316</v>
      </c>
      <c r="B1401" t="str">
        <f>MID(TB_CECO[[#This Row],[TRABAJO]],1,SEARCH(",",TB_CECO[[#This Row],[TRABAJO]],1)-1)</f>
        <v>TJ 620 CH 610</v>
      </c>
      <c r="C14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610,INST.DE RIELES      </v>
      </c>
      <c r="D14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01" s="47" t="s">
        <v>2756</v>
      </c>
      <c r="G1401" t="s">
        <v>2757</v>
      </c>
      <c r="H14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402" spans="1:8" ht="15" customHeight="1" x14ac:dyDescent="0.25">
      <c r="A1402" t="str">
        <f>MID(TB_CECO[[#This Row],[CECO_T]],1,5)</f>
        <v>15316</v>
      </c>
      <c r="B1402" t="str">
        <f>MID(TB_CECO[[#This Row],[TRABAJO]],1,SEARCH(",",TB_CECO[[#This Row],[TRABAJO]],1)-1)</f>
        <v>TJ 620 CH 610</v>
      </c>
      <c r="C14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610,REHAB DE LABORES    </v>
      </c>
      <c r="D14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02" s="47" t="s">
        <v>2758</v>
      </c>
      <c r="G1402" t="s">
        <v>2759</v>
      </c>
      <c r="H14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403" spans="1:8" ht="15" customHeight="1" x14ac:dyDescent="0.25">
      <c r="A1403" t="str">
        <f>MID(TB_CECO[[#This Row],[CECO_T]],1,5)</f>
        <v>15316</v>
      </c>
      <c r="B1403" t="str">
        <f>MID(TB_CECO[[#This Row],[TRABAJO]],1,SEARCH(",",TB_CECO[[#This Row],[TRABAJO]],1)-1)</f>
        <v>TJ 620 CH 610</v>
      </c>
      <c r="C14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620 CH 610,CICLO COMPLETO      </v>
      </c>
      <c r="D14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03" s="47" t="s">
        <v>2760</v>
      </c>
      <c r="G1403" t="s">
        <v>2761</v>
      </c>
      <c r="H14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404" spans="1:8" ht="15" customHeight="1" x14ac:dyDescent="0.25">
      <c r="A1404" t="str">
        <f>MID(TB_CECO[[#This Row],[CECO_T]],1,5)</f>
        <v>15319</v>
      </c>
      <c r="B1404" t="str">
        <f>MID(TB_CECO[[#This Row],[TRABAJO]],1,SEARCH(",",TB_CECO[[#This Row],[TRABAJO]],1)-1)</f>
        <v xml:space="preserve"> TJ 070 CH 105</v>
      </c>
      <c r="C14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VOLADURA         </v>
      </c>
      <c r="D14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04" s="47" t="s">
        <v>2762</v>
      </c>
      <c r="G1404" t="s">
        <v>10983</v>
      </c>
      <c r="H14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05" spans="1:8" ht="15" customHeight="1" x14ac:dyDescent="0.25">
      <c r="A1405" t="str">
        <f>MID(TB_CECO[[#This Row],[CECO_T]],1,5)</f>
        <v>15319</v>
      </c>
      <c r="B1405" t="str">
        <f>MID(TB_CECO[[#This Row],[TRABAJO]],1,SEARCH(",",TB_CECO[[#This Row],[TRABAJO]],1)-1)</f>
        <v xml:space="preserve"> TJ 070 CH 105</v>
      </c>
      <c r="C14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CAMINOS          </v>
      </c>
      <c r="D14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05" s="47" t="s">
        <v>2763</v>
      </c>
      <c r="G1405" t="s">
        <v>10984</v>
      </c>
      <c r="H14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06" spans="1:8" ht="15" customHeight="1" x14ac:dyDescent="0.25">
      <c r="A1406" t="str">
        <f>MID(TB_CECO[[#This Row],[CECO_T]],1,5)</f>
        <v>15319</v>
      </c>
      <c r="B1406" t="str">
        <f>MID(TB_CECO[[#This Row],[TRABAJO]],1,SEARCH(",",TB_CECO[[#This Row],[TRABAJO]],1)-1)</f>
        <v xml:space="preserve"> TJ 070 CH 105</v>
      </c>
      <c r="C14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INST.DE RIELES   </v>
      </c>
      <c r="D14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06" s="47" t="s">
        <v>2764</v>
      </c>
      <c r="G1406" t="s">
        <v>10985</v>
      </c>
      <c r="H14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07" spans="1:8" ht="15" customHeight="1" x14ac:dyDescent="0.25">
      <c r="A1407" t="str">
        <f>MID(TB_CECO[[#This Row],[CECO_T]],1,5)</f>
        <v>15319</v>
      </c>
      <c r="B1407" t="str">
        <f>MID(TB_CECO[[#This Row],[TRABAJO]],1,SEARCH(",",TB_CECO[[#This Row],[TRABAJO]],1)-1)</f>
        <v xml:space="preserve"> TJ 070 CH 105</v>
      </c>
      <c r="C14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REHAB DE LABORES </v>
      </c>
      <c r="D14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07" s="47" t="s">
        <v>2765</v>
      </c>
      <c r="G1407" t="s">
        <v>10986</v>
      </c>
      <c r="H14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08" spans="1:8" ht="15" customHeight="1" x14ac:dyDescent="0.25">
      <c r="A1408" t="str">
        <f>MID(TB_CECO[[#This Row],[CECO_T]],1,5)</f>
        <v>15319</v>
      </c>
      <c r="B1408" t="str">
        <f>MID(TB_CECO[[#This Row],[TRABAJO]],1,SEARCH(",",TB_CECO[[#This Row],[TRABAJO]],1)-1)</f>
        <v xml:space="preserve"> TJ 070 CH 105</v>
      </c>
      <c r="C14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070 CH 105, CICLO COMPLETO   </v>
      </c>
      <c r="D14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08" s="47" t="s">
        <v>2766</v>
      </c>
      <c r="G1408" t="s">
        <v>10987</v>
      </c>
      <c r="H14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09" spans="1:8" ht="15" customHeight="1" x14ac:dyDescent="0.25">
      <c r="A1409" t="str">
        <f>MID(TB_CECO[[#This Row],[CECO_T]],1,5)</f>
        <v>15323</v>
      </c>
      <c r="B1409" t="str">
        <f>MID(TB_CECO[[#This Row],[TRABAJO]],1,SEARCH(",",TB_CECO[[#This Row],[TRABAJO]],1)-1)</f>
        <v>TJ 580-SW (CH 580)</v>
      </c>
      <c r="C14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580-SW (CH 580),VOLADURA       </v>
      </c>
      <c r="D14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09" s="47" t="s">
        <v>2767</v>
      </c>
      <c r="G1409" t="s">
        <v>2768</v>
      </c>
      <c r="H14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410" spans="1:8" ht="15" customHeight="1" x14ac:dyDescent="0.25">
      <c r="A1410" t="str">
        <f>MID(TB_CECO[[#This Row],[CECO_T]],1,5)</f>
        <v>15323</v>
      </c>
      <c r="B1410" t="str">
        <f>MID(TB_CECO[[#This Row],[TRABAJO]],1,SEARCH(",",TB_CECO[[#This Row],[TRABAJO]],1)-1)</f>
        <v>TJ 580-SW (CH 580)</v>
      </c>
      <c r="C14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580-SW (CH 580),CAMINOS        </v>
      </c>
      <c r="D14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10" s="47" t="s">
        <v>2769</v>
      </c>
      <c r="G1410" t="s">
        <v>2770</v>
      </c>
      <c r="H14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411" spans="1:8" ht="15" customHeight="1" x14ac:dyDescent="0.25">
      <c r="A1411" t="str">
        <f>MID(TB_CECO[[#This Row],[CECO_T]],1,5)</f>
        <v>15323</v>
      </c>
      <c r="B1411" t="str">
        <f>MID(TB_CECO[[#This Row],[TRABAJO]],1,SEARCH(",",TB_CECO[[#This Row],[TRABAJO]],1)-1)</f>
        <v>TJ 580-SW (CH 580)</v>
      </c>
      <c r="C14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580-SW (CH 580),INST.DE RIELES </v>
      </c>
      <c r="D14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11" s="47" t="s">
        <v>2771</v>
      </c>
      <c r="G1411" t="s">
        <v>2772</v>
      </c>
      <c r="H14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412" spans="1:8" ht="15" customHeight="1" x14ac:dyDescent="0.25">
      <c r="A1412" t="str">
        <f>MID(TB_CECO[[#This Row],[CECO_T]],1,5)</f>
        <v>15323</v>
      </c>
      <c r="B1412" t="str">
        <f>MID(TB_CECO[[#This Row],[TRABAJO]],1,SEARCH(",",TB_CECO[[#This Row],[TRABAJO]],1)-1)</f>
        <v>TJ 580-SW (CH 580)</v>
      </c>
      <c r="C14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580-SW (CH 580),REHAB DE LABORE</v>
      </c>
      <c r="D14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12" s="47" t="s">
        <v>2773</v>
      </c>
      <c r="G1412" t="s">
        <v>2774</v>
      </c>
      <c r="H14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413" spans="1:8" ht="15" customHeight="1" x14ac:dyDescent="0.25">
      <c r="A1413" t="str">
        <f>MID(TB_CECO[[#This Row],[CECO_T]],1,5)</f>
        <v>15323</v>
      </c>
      <c r="B1413" t="str">
        <f>MID(TB_CECO[[#This Row],[TRABAJO]],1,SEARCH(",",TB_CECO[[#This Row],[TRABAJO]],1)-1)</f>
        <v>TJ 580-SW (CH 580)</v>
      </c>
      <c r="C14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580-SW (CH 580),CICLO COMPLETO </v>
      </c>
      <c r="D14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13" s="47" t="s">
        <v>2775</v>
      </c>
      <c r="G1413" t="s">
        <v>2776</v>
      </c>
      <c r="H14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414" spans="1:8" ht="15" customHeight="1" x14ac:dyDescent="0.25">
      <c r="A1414" t="str">
        <f>MID(TB_CECO[[#This Row],[CECO_T]],1,5)</f>
        <v>16L01</v>
      </c>
      <c r="B1414" t="str">
        <f>MID(TB_CECO[[#This Row],[TRABAJO]],1,SEARCH(",",TB_CECO[[#This Row],[TRABAJO]],1)-1)</f>
        <v xml:space="preserve"> LAB ANT </v>
      </c>
      <c r="C14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LAB ANT , ENMADERADO         </v>
      </c>
      <c r="D14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14" s="47" t="s">
        <v>2777</v>
      </c>
      <c r="G1414" t="s">
        <v>2778</v>
      </c>
      <c r="H14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15" spans="1:8" ht="15" customHeight="1" x14ac:dyDescent="0.25">
      <c r="A1415" t="str">
        <f>MID(TB_CECO[[#This Row],[CECO_T]],1,5)</f>
        <v>1A819</v>
      </c>
      <c r="B1415" t="str">
        <f>MID(TB_CECO[[#This Row],[TRABAJO]],1,SEARCH(",",TB_CECO[[#This Row],[TRABAJO]],1)-1)</f>
        <v>Cam 19 (Cx 011 SE)</v>
      </c>
      <c r="C14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19 (Cx 011 SE),LIMPIEZA</v>
      </c>
      <c r="D14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15" s="47" t="s">
        <v>2779</v>
      </c>
      <c r="G1415" t="s">
        <v>2780</v>
      </c>
      <c r="H14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16" spans="1:8" ht="15" customHeight="1" x14ac:dyDescent="0.25">
      <c r="A1416" t="str">
        <f>MID(TB_CECO[[#This Row],[CECO_T]],1,5)</f>
        <v>1A819</v>
      </c>
      <c r="B1416" t="str">
        <f>MID(TB_CECO[[#This Row],[TRABAJO]],1,SEARCH(",",TB_CECO[[#This Row],[TRABAJO]],1)-1)</f>
        <v>Cam 19 (Cx 011 SE)</v>
      </c>
      <c r="C14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19 (Cx 011 SE),SERVICIO</v>
      </c>
      <c r="D14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16" s="47" t="s">
        <v>2781</v>
      </c>
      <c r="G1416" t="s">
        <v>2782</v>
      </c>
      <c r="H14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17" spans="1:8" ht="15" customHeight="1" x14ac:dyDescent="0.25">
      <c r="A1417" t="str">
        <f>MID(TB_CECO[[#This Row],[CECO_T]],1,5)</f>
        <v>1A819</v>
      </c>
      <c r="B1417" t="str">
        <f>MID(TB_CECO[[#This Row],[TRABAJO]],1,SEARCH(",",TB_CECO[[#This Row],[TRABAJO]],1)-1)</f>
        <v>Cam 19 (Cx 011 SE)</v>
      </c>
      <c r="C14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19 (Cx 011 SE),PERFORACION</v>
      </c>
      <c r="D14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17" s="47" t="s">
        <v>2783</v>
      </c>
      <c r="G1417" t="s">
        <v>2784</v>
      </c>
      <c r="H14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18" spans="1:8" ht="15" customHeight="1" x14ac:dyDescent="0.25">
      <c r="A1418" t="str">
        <f>MID(TB_CECO[[#This Row],[CECO_T]],1,5)</f>
        <v>1A819</v>
      </c>
      <c r="B1418" t="str">
        <f>MID(TB_CECO[[#This Row],[TRABAJO]],1,SEARCH(",",TB_CECO[[#This Row],[TRABAJO]],1)-1)</f>
        <v>Cam 19 (Cx 011 SE)</v>
      </c>
      <c r="C14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19 (Cx 011 SE),SOSTENIMIENTO</v>
      </c>
      <c r="D14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18" s="47" t="s">
        <v>2785</v>
      </c>
      <c r="G1418" t="s">
        <v>2786</v>
      </c>
      <c r="H14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19" spans="1:8" ht="15" customHeight="1" x14ac:dyDescent="0.25">
      <c r="A1419" t="str">
        <f>MID(TB_CECO[[#This Row],[CECO_T]],1,5)</f>
        <v>1A819</v>
      </c>
      <c r="B1419" t="str">
        <f>MID(TB_CECO[[#This Row],[TRABAJO]],1,SEARCH(",",TB_CECO[[#This Row],[TRABAJO]],1)-1)</f>
        <v>Cam 19 (Cx 011 SE)</v>
      </c>
      <c r="C14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19 (Cx 011 SE),VOLADURA</v>
      </c>
      <c r="D14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19" s="47" t="s">
        <v>2787</v>
      </c>
      <c r="G1419" t="s">
        <v>2788</v>
      </c>
      <c r="H14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20" spans="1:8" ht="15" customHeight="1" x14ac:dyDescent="0.25">
      <c r="A1420" t="str">
        <f>MID(TB_CECO[[#This Row],[CECO_T]],1,5)</f>
        <v>1AR01</v>
      </c>
      <c r="B1420" t="str">
        <f>MID(TB_CECO[[#This Row],[TRABAJO]],1,SEARCH(",",TB_CECO[[#This Row],[TRABAJO]],1)-1)</f>
        <v>Cam 111 NE (Gal 028 NE)</v>
      </c>
      <c r="C14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111 NE (Gal 028 NE),LIMPIEZA</v>
      </c>
      <c r="D14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20" s="47" t="s">
        <v>2789</v>
      </c>
      <c r="G1420" t="s">
        <v>2790</v>
      </c>
      <c r="H14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21" spans="1:8" ht="15" customHeight="1" x14ac:dyDescent="0.25">
      <c r="A1421" t="str">
        <f>MID(TB_CECO[[#This Row],[CECO_T]],1,5)</f>
        <v>1AR01</v>
      </c>
      <c r="B1421" t="str">
        <f>MID(TB_CECO[[#This Row],[TRABAJO]],1,SEARCH(",",TB_CECO[[#This Row],[TRABAJO]],1)-1)</f>
        <v>Cam 111 NE (Gal 028 NE)</v>
      </c>
      <c r="C14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111 NE (Gal 028 NE),SERVICIO</v>
      </c>
      <c r="D14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21" s="47" t="s">
        <v>2791</v>
      </c>
      <c r="G1421" t="s">
        <v>2792</v>
      </c>
      <c r="H14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22" spans="1:8" ht="15" customHeight="1" x14ac:dyDescent="0.25">
      <c r="A1422" t="str">
        <f>MID(TB_CECO[[#This Row],[CECO_T]],1,5)</f>
        <v>1AR01</v>
      </c>
      <c r="B1422" t="str">
        <f>MID(TB_CECO[[#This Row],[TRABAJO]],1,SEARCH(",",TB_CECO[[#This Row],[TRABAJO]],1)-1)</f>
        <v>Cam 111 NE (Gal 028 NE)</v>
      </c>
      <c r="C14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111 NE (Gal 028 NE),PERFORACION</v>
      </c>
      <c r="D14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22" s="47" t="s">
        <v>2793</v>
      </c>
      <c r="G1422" t="s">
        <v>2794</v>
      </c>
      <c r="H14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23" spans="1:8" ht="15" customHeight="1" x14ac:dyDescent="0.25">
      <c r="A1423" t="str">
        <f>MID(TB_CECO[[#This Row],[CECO_T]],1,5)</f>
        <v>1AR01</v>
      </c>
      <c r="B1423" t="str">
        <f>MID(TB_CECO[[#This Row],[TRABAJO]],1,SEARCH(",",TB_CECO[[#This Row],[TRABAJO]],1)-1)</f>
        <v>Cam 111 NE (Gal 028 NE)</v>
      </c>
      <c r="C14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111 NE (Gal 028 NE),SOSTENIMIENTO</v>
      </c>
      <c r="D14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23" s="47" t="s">
        <v>2795</v>
      </c>
      <c r="G1423" t="s">
        <v>2796</v>
      </c>
      <c r="H14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24" spans="1:8" ht="15" customHeight="1" x14ac:dyDescent="0.25">
      <c r="A1424" t="str">
        <f>MID(TB_CECO[[#This Row],[CECO_T]],1,5)</f>
        <v>1AR01</v>
      </c>
      <c r="B1424" t="str">
        <f>MID(TB_CECO[[#This Row],[TRABAJO]],1,SEARCH(",",TB_CECO[[#This Row],[TRABAJO]],1)-1)</f>
        <v>Cam 111 NE (Gal 028 NE)</v>
      </c>
      <c r="C14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111 NE (Gal 028 NE),VOLADURA</v>
      </c>
      <c r="D14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24" s="47" t="s">
        <v>2797</v>
      </c>
      <c r="G1424" t="s">
        <v>2798</v>
      </c>
      <c r="H14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25" spans="1:8" ht="15" customHeight="1" x14ac:dyDescent="0.25">
      <c r="A1425" t="str">
        <f>MID(TB_CECO[[#This Row],[CECO_T]],1,5)</f>
        <v>1B132</v>
      </c>
      <c r="B1425" t="str">
        <f>MID(TB_CECO[[#This Row],[TRABAJO]],1,SEARCH(",",TB_CECO[[#This Row],[TRABAJO]],1)-1)</f>
        <v>Cx 558 NE (Cx 990 NE)</v>
      </c>
      <c r="C14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558 NE (Cx 990 NE),LIMPIEZA</v>
      </c>
      <c r="D14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4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25" s="47" t="s">
        <v>2799</v>
      </c>
      <c r="G1425" t="s">
        <v>2800</v>
      </c>
      <c r="H14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26" spans="1:8" ht="15" customHeight="1" x14ac:dyDescent="0.25">
      <c r="A1426" t="str">
        <f>MID(TB_CECO[[#This Row],[CECO_T]],1,5)</f>
        <v>1B132</v>
      </c>
      <c r="B1426" t="str">
        <f>MID(TB_CECO[[#This Row],[TRABAJO]],1,SEARCH(",",TB_CECO[[#This Row],[TRABAJO]],1)-1)</f>
        <v>Cx 558 NE (Cx 990 NE)</v>
      </c>
      <c r="C14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558 NE (Cx 990 NE),SERVICIO</v>
      </c>
      <c r="D14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4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26" s="47" t="s">
        <v>2801</v>
      </c>
      <c r="G1426" t="s">
        <v>2802</v>
      </c>
      <c r="H14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27" spans="1:8" ht="15" customHeight="1" x14ac:dyDescent="0.25">
      <c r="A1427" t="str">
        <f>MID(TB_CECO[[#This Row],[CECO_T]],1,5)</f>
        <v>1B132</v>
      </c>
      <c r="B1427" t="str">
        <f>MID(TB_CECO[[#This Row],[TRABAJO]],1,SEARCH(",",TB_CECO[[#This Row],[TRABAJO]],1)-1)</f>
        <v>Cx 558 NE (Cx 990 NE)</v>
      </c>
      <c r="C14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558 NE (Cx 990 NE),PERFORACION</v>
      </c>
      <c r="D14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4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27" s="47" t="s">
        <v>2803</v>
      </c>
      <c r="G1427" t="s">
        <v>2804</v>
      </c>
      <c r="H14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28" spans="1:8" ht="15" customHeight="1" x14ac:dyDescent="0.25">
      <c r="A1428" t="str">
        <f>MID(TB_CECO[[#This Row],[CECO_T]],1,5)</f>
        <v>1B132</v>
      </c>
      <c r="B1428" t="str">
        <f>MID(TB_CECO[[#This Row],[TRABAJO]],1,SEARCH(",",TB_CECO[[#This Row],[TRABAJO]],1)-1)</f>
        <v>Cx 558 NE (Cx 990 NE)</v>
      </c>
      <c r="C14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558 NE (Cx 990 NE),SOSTENIMIENTO</v>
      </c>
      <c r="D14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4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28" s="47" t="s">
        <v>2805</v>
      </c>
      <c r="G1428" t="s">
        <v>2806</v>
      </c>
      <c r="H14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29" spans="1:8" ht="15" customHeight="1" x14ac:dyDescent="0.25">
      <c r="A1429" t="str">
        <f>MID(TB_CECO[[#This Row],[CECO_T]],1,5)</f>
        <v>1B132</v>
      </c>
      <c r="B1429" t="str">
        <f>MID(TB_CECO[[#This Row],[TRABAJO]],1,SEARCH(",",TB_CECO[[#This Row],[TRABAJO]],1)-1)</f>
        <v>Cx 558 NE (Cx 990 NE)</v>
      </c>
      <c r="C14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558 NE (Cx 990 NE),VOLADURA</v>
      </c>
      <c r="D14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4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29" s="47" t="s">
        <v>2807</v>
      </c>
      <c r="G1429" t="s">
        <v>2808</v>
      </c>
      <c r="H14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30" spans="1:8" ht="15" customHeight="1" x14ac:dyDescent="0.25">
      <c r="A1430" t="str">
        <f>MID(TB_CECO[[#This Row],[CECO_T]],1,5)</f>
        <v>1B206</v>
      </c>
      <c r="B1430" t="str">
        <f>MID(TB_CECO[[#This Row],[TRABAJO]],1,SEARCH(",",TB_CECO[[#This Row],[TRABAJO]],1)-1)</f>
        <v>COR 990</v>
      </c>
      <c r="C14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COR 990,SUMINISTROS</v>
      </c>
      <c r="D14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30" s="47" t="s">
        <v>2809</v>
      </c>
      <c r="G1430" t="s">
        <v>2810</v>
      </c>
      <c r="H14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31" spans="1:8" ht="15" customHeight="1" x14ac:dyDescent="0.25">
      <c r="A1431" t="str">
        <f>MID(TB_CECO[[#This Row],[CECO_T]],1,5)</f>
        <v>1B206</v>
      </c>
      <c r="B1431" t="str">
        <f>MID(TB_CECO[[#This Row],[TRABAJO]],1,SEARCH(",",TB_CECO[[#This Row],[TRABAJO]],1)-1)</f>
        <v>COR 990</v>
      </c>
      <c r="C14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COR 990,SOSTENIMIENTO</v>
      </c>
      <c r="D14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31" s="47" t="s">
        <v>2811</v>
      </c>
      <c r="G1431" t="s">
        <v>2812</v>
      </c>
      <c r="H14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32" spans="1:8" ht="15" customHeight="1" x14ac:dyDescent="0.25">
      <c r="A1432" t="str">
        <f>MID(TB_CECO[[#This Row],[CECO_T]],1,5)</f>
        <v>1B206</v>
      </c>
      <c r="B1432" t="str">
        <f>MID(TB_CECO[[#This Row],[TRABAJO]],1,SEARCH(",",TB_CECO[[#This Row],[TRABAJO]],1)-1)</f>
        <v>COR 990</v>
      </c>
      <c r="C14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COR 990,SERVICIO</v>
      </c>
      <c r="D14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32" s="47" t="s">
        <v>2813</v>
      </c>
      <c r="G1432" t="s">
        <v>2814</v>
      </c>
      <c r="H14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33" spans="1:8" ht="15" customHeight="1" x14ac:dyDescent="0.25">
      <c r="A1433" t="str">
        <f>MID(TB_CECO[[#This Row],[CECO_T]],1,5)</f>
        <v>1B206</v>
      </c>
      <c r="B1433" t="str">
        <f>MID(TB_CECO[[#This Row],[TRABAJO]],1,SEARCH(",",TB_CECO[[#This Row],[TRABAJO]],1)-1)</f>
        <v>COR 990</v>
      </c>
      <c r="C14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COR 990,REHABILITACION</v>
      </c>
      <c r="D14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33" s="47" t="s">
        <v>2815</v>
      </c>
      <c r="G1433" t="s">
        <v>2816</v>
      </c>
      <c r="H14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34" spans="1:8" ht="15" customHeight="1" x14ac:dyDescent="0.25">
      <c r="A1434" t="str">
        <f>MID(TB_CECO[[#This Row],[CECO_T]],1,5)</f>
        <v>1B820</v>
      </c>
      <c r="B1434" t="str">
        <f>MID(TB_CECO[[#This Row],[TRABAJO]],1,SEARCH(",",TB_CECO[[#This Row],[TRABAJO]],1)-1)</f>
        <v>Cam 18 (Cx 558 NE)</v>
      </c>
      <c r="C14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18 (Cx 558 NE),LIMPIEZA</v>
      </c>
      <c r="D14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4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34" s="47" t="s">
        <v>2817</v>
      </c>
      <c r="G1434" t="s">
        <v>2818</v>
      </c>
      <c r="H14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35" spans="1:8" ht="15" customHeight="1" x14ac:dyDescent="0.25">
      <c r="A1435" t="str">
        <f>MID(TB_CECO[[#This Row],[CECO_T]],1,5)</f>
        <v>1B820</v>
      </c>
      <c r="B1435" t="str">
        <f>MID(TB_CECO[[#This Row],[TRABAJO]],1,SEARCH(",",TB_CECO[[#This Row],[TRABAJO]],1)-1)</f>
        <v>Cam 18 (Cx 558 NE)</v>
      </c>
      <c r="C14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18 (Cx 558 NE),SERVICIO</v>
      </c>
      <c r="D14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4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35" s="47" t="s">
        <v>2819</v>
      </c>
      <c r="G1435" t="s">
        <v>2820</v>
      </c>
      <c r="H14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36" spans="1:8" ht="15" customHeight="1" x14ac:dyDescent="0.25">
      <c r="A1436" t="str">
        <f>MID(TB_CECO[[#This Row],[CECO_T]],1,5)</f>
        <v>1B820</v>
      </c>
      <c r="B1436" t="str">
        <f>MID(TB_CECO[[#This Row],[TRABAJO]],1,SEARCH(",",TB_CECO[[#This Row],[TRABAJO]],1)-1)</f>
        <v>Cam 18 (Cx 558 NE)</v>
      </c>
      <c r="C14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18 (Cx 558 NE),PERFORACION</v>
      </c>
      <c r="D14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4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36" s="47" t="s">
        <v>2821</v>
      </c>
      <c r="G1436" t="s">
        <v>2822</v>
      </c>
      <c r="H14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37" spans="1:8" ht="15" customHeight="1" x14ac:dyDescent="0.25">
      <c r="A1437" t="str">
        <f>MID(TB_CECO[[#This Row],[CECO_T]],1,5)</f>
        <v>1B820</v>
      </c>
      <c r="B1437" t="str">
        <f>MID(TB_CECO[[#This Row],[TRABAJO]],1,SEARCH(",",TB_CECO[[#This Row],[TRABAJO]],1)-1)</f>
        <v>Cam 18 (Cx 558 NE)</v>
      </c>
      <c r="C14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18 (Cx 558 NE),SOSTENIMIENTO</v>
      </c>
      <c r="D14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4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37" s="47" t="s">
        <v>2823</v>
      </c>
      <c r="G1437" t="s">
        <v>2824</v>
      </c>
      <c r="H14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38" spans="1:8" ht="15" customHeight="1" x14ac:dyDescent="0.25">
      <c r="A1438" t="str">
        <f>MID(TB_CECO[[#This Row],[CECO_T]],1,5)</f>
        <v>1B820</v>
      </c>
      <c r="B1438" t="str">
        <f>MID(TB_CECO[[#This Row],[TRABAJO]],1,SEARCH(",",TB_CECO[[#This Row],[TRABAJO]],1)-1)</f>
        <v>Cam 18 (Cx 558 NE)</v>
      </c>
      <c r="C14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18 (Cx 558 NE),VOLADURA</v>
      </c>
      <c r="D14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4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38" s="47" t="s">
        <v>2825</v>
      </c>
      <c r="G1438" t="s">
        <v>2826</v>
      </c>
      <c r="H14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39" spans="1:8" ht="15" customHeight="1" x14ac:dyDescent="0.25">
      <c r="A1439" t="str">
        <f>MID(TB_CECO[[#This Row],[CECO_T]],1,5)</f>
        <v>1C127</v>
      </c>
      <c r="B1439" t="str">
        <f>MID(TB_CECO[[#This Row],[TRABAJO]],1,SEARCH(",",TB_CECO[[#This Row],[TRABAJO]],1)-1)</f>
        <v>Cx 712 SW</v>
      </c>
      <c r="C14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712 SW,SUMINISTROS</v>
      </c>
      <c r="D14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39" s="47" t="s">
        <v>2827</v>
      </c>
      <c r="G1439" t="s">
        <v>2828</v>
      </c>
      <c r="H14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40" spans="1:8" ht="15" customHeight="1" x14ac:dyDescent="0.25">
      <c r="A1440" t="str">
        <f>MID(TB_CECO[[#This Row],[CECO_T]],1,5)</f>
        <v>1C127</v>
      </c>
      <c r="B1440" t="str">
        <f>MID(TB_CECO[[#This Row],[TRABAJO]],1,SEARCH(",",TB_CECO[[#This Row],[TRABAJO]],1)-1)</f>
        <v>Cx 712 SW</v>
      </c>
      <c r="C14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712 SW,SOSTENIMIENTO</v>
      </c>
      <c r="D14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40" s="47" t="s">
        <v>2829</v>
      </c>
      <c r="G1440" t="s">
        <v>2830</v>
      </c>
      <c r="H14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41" spans="1:8" ht="15" customHeight="1" x14ac:dyDescent="0.25">
      <c r="A1441" t="str">
        <f>MID(TB_CECO[[#This Row],[CECO_T]],1,5)</f>
        <v>1C127</v>
      </c>
      <c r="B1441" t="str">
        <f>MID(TB_CECO[[#This Row],[TRABAJO]],1,SEARCH(",",TB_CECO[[#This Row],[TRABAJO]],1)-1)</f>
        <v>Cx 712 SW</v>
      </c>
      <c r="C14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712 SW,SERVICIO</v>
      </c>
      <c r="D14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41" s="47" t="s">
        <v>2831</v>
      </c>
      <c r="G1441" t="s">
        <v>2832</v>
      </c>
      <c r="H14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42" spans="1:8" ht="15" customHeight="1" x14ac:dyDescent="0.25">
      <c r="A1442" t="str">
        <f>MID(TB_CECO[[#This Row],[CECO_T]],1,5)</f>
        <v>1C127</v>
      </c>
      <c r="B1442" t="str">
        <f>MID(TB_CECO[[#This Row],[TRABAJO]],1,SEARCH(",",TB_CECO[[#This Row],[TRABAJO]],1)-1)</f>
        <v>Cx 712 SW</v>
      </c>
      <c r="C14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712 SW,REHABILITACION</v>
      </c>
      <c r="D14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42" s="47" t="s">
        <v>2833</v>
      </c>
      <c r="G1442" t="s">
        <v>2834</v>
      </c>
      <c r="H14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43" spans="1:8" ht="15" customHeight="1" x14ac:dyDescent="0.25">
      <c r="A1443" t="str">
        <f>MID(TB_CECO[[#This Row],[CECO_T]],1,5)</f>
        <v>1C578</v>
      </c>
      <c r="B1443" t="str">
        <f>MID(TB_CECO[[#This Row],[TRABAJO]],1,SEARCH(",",TB_CECO[[#This Row],[TRABAJO]],1)-1)</f>
        <v>Snv 864 NE (TJ 862 NE)</v>
      </c>
      <c r="C14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864 NE (TJ 862 NE),SUMINISTROS</v>
      </c>
      <c r="D14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43" s="47" t="s">
        <v>2835</v>
      </c>
      <c r="G1443" t="s">
        <v>2836</v>
      </c>
      <c r="H14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44" spans="1:8" ht="15" customHeight="1" x14ac:dyDescent="0.25">
      <c r="A1444" t="str">
        <f>MID(TB_CECO[[#This Row],[CECO_T]],1,5)</f>
        <v>1C578</v>
      </c>
      <c r="B1444" t="str">
        <f>MID(TB_CECO[[#This Row],[TRABAJO]],1,SEARCH(",",TB_CECO[[#This Row],[TRABAJO]],1)-1)</f>
        <v>Snv 864 NE (TJ 862 NE)</v>
      </c>
      <c r="C14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864 NE (TJ 862 NE),SOSTENIMIENTO</v>
      </c>
      <c r="D14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44" s="47" t="s">
        <v>2837</v>
      </c>
      <c r="G1444" t="s">
        <v>2838</v>
      </c>
      <c r="H14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45" spans="1:8" ht="15" customHeight="1" x14ac:dyDescent="0.25">
      <c r="A1445" t="str">
        <f>MID(TB_CECO[[#This Row],[CECO_T]],1,5)</f>
        <v>1C578</v>
      </c>
      <c r="B1445" t="str">
        <f>MID(TB_CECO[[#This Row],[TRABAJO]],1,SEARCH(",",TB_CECO[[#This Row],[TRABAJO]],1)-1)</f>
        <v>Snv 864 NE (TJ 862 NE)</v>
      </c>
      <c r="C14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864 NE (TJ 862 NE),SERVICIO</v>
      </c>
      <c r="D14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45" s="47" t="s">
        <v>2839</v>
      </c>
      <c r="G1445" t="s">
        <v>2840</v>
      </c>
      <c r="H14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46" spans="1:8" ht="15" customHeight="1" x14ac:dyDescent="0.25">
      <c r="A1446" t="str">
        <f>MID(TB_CECO[[#This Row],[CECO_T]],1,5)</f>
        <v>1C578</v>
      </c>
      <c r="B1446" t="str">
        <f>MID(TB_CECO[[#This Row],[TRABAJO]],1,SEARCH(",",TB_CECO[[#This Row],[TRABAJO]],1)-1)</f>
        <v>Snv 864 NE (TJ 862 NE)</v>
      </c>
      <c r="C14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864 NE (TJ 862 NE),REHABILITACION</v>
      </c>
      <c r="D14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46" s="47" t="s">
        <v>2841</v>
      </c>
      <c r="G1446" t="s">
        <v>2842</v>
      </c>
      <c r="H14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47" spans="1:8" ht="15" customHeight="1" x14ac:dyDescent="0.25">
      <c r="A1447" t="str">
        <f>MID(TB_CECO[[#This Row],[CECO_T]],1,5)</f>
        <v>1C808</v>
      </c>
      <c r="B1447" t="str">
        <f>MID(TB_CECO[[#This Row],[TRABAJO]],1,SEARCH(",",TB_CECO[[#This Row],[TRABAJO]],1)-1)</f>
        <v>CAM 11</v>
      </c>
      <c r="C14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11,SUMINISTROS</v>
      </c>
      <c r="D14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47" s="47" t="s">
        <v>2843</v>
      </c>
      <c r="G1447" t="s">
        <v>2844</v>
      </c>
      <c r="H14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48" spans="1:8" ht="15" customHeight="1" x14ac:dyDescent="0.25">
      <c r="A1448" t="str">
        <f>MID(TB_CECO[[#This Row],[CECO_T]],1,5)</f>
        <v>1C808</v>
      </c>
      <c r="B1448" t="str">
        <f>MID(TB_CECO[[#This Row],[TRABAJO]],1,SEARCH(",",TB_CECO[[#This Row],[TRABAJO]],1)-1)</f>
        <v>CAM 11</v>
      </c>
      <c r="C14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11,SOSTENIMIENTO</v>
      </c>
      <c r="D14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48" s="47" t="s">
        <v>2845</v>
      </c>
      <c r="G1448" t="s">
        <v>2846</v>
      </c>
      <c r="H14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49" spans="1:8" ht="15" customHeight="1" x14ac:dyDescent="0.25">
      <c r="A1449" t="str">
        <f>MID(TB_CECO[[#This Row],[CECO_T]],1,5)</f>
        <v>1C808</v>
      </c>
      <c r="B1449" t="str">
        <f>MID(TB_CECO[[#This Row],[TRABAJO]],1,SEARCH(",",TB_CECO[[#This Row],[TRABAJO]],1)-1)</f>
        <v>CAM 11</v>
      </c>
      <c r="C14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11,SERVICIO</v>
      </c>
      <c r="D14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49" s="47" t="s">
        <v>2847</v>
      </c>
      <c r="G1449" t="s">
        <v>2848</v>
      </c>
      <c r="H14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50" spans="1:8" ht="15" customHeight="1" x14ac:dyDescent="0.25">
      <c r="A1450" t="str">
        <f>MID(TB_CECO[[#This Row],[CECO_T]],1,5)</f>
        <v>1C808</v>
      </c>
      <c r="B1450" t="str">
        <f>MID(TB_CECO[[#This Row],[TRABAJO]],1,SEARCH(",",TB_CECO[[#This Row],[TRABAJO]],1)-1)</f>
        <v>CAM 11</v>
      </c>
      <c r="C14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11,REHABILITACION</v>
      </c>
      <c r="D14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50" s="47" t="s">
        <v>2849</v>
      </c>
      <c r="G1450" t="s">
        <v>2850</v>
      </c>
      <c r="H14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51" spans="1:8" ht="15" customHeight="1" x14ac:dyDescent="0.25">
      <c r="A1451" t="str">
        <f>MID(TB_CECO[[#This Row],[CECO_T]],1,5)</f>
        <v>1D134</v>
      </c>
      <c r="B1451" t="str">
        <f>MID(TB_CECO[[#This Row],[TRABAJO]],1,SEARCH(",",TB_CECO[[#This Row],[TRABAJO]],1)-1)</f>
        <v>Cx 924 NE (Cx 128 NE)</v>
      </c>
      <c r="C14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924 NE (Cx 128 NE),LIMPIEZA</v>
      </c>
      <c r="D14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51" s="47" t="s">
        <v>2851</v>
      </c>
      <c r="G1451" t="s">
        <v>2852</v>
      </c>
      <c r="H14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52" spans="1:8" ht="15" customHeight="1" x14ac:dyDescent="0.25">
      <c r="A1452" t="str">
        <f>MID(TB_CECO[[#This Row],[CECO_T]],1,5)</f>
        <v>1D134</v>
      </c>
      <c r="B1452" t="str">
        <f>MID(TB_CECO[[#This Row],[TRABAJO]],1,SEARCH(",",TB_CECO[[#This Row],[TRABAJO]],1)-1)</f>
        <v>Cx 924 NE (Cx 128 NE)</v>
      </c>
      <c r="C14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924 NE (Cx 128 NE),SERVICIO</v>
      </c>
      <c r="D14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52" s="47" t="s">
        <v>2853</v>
      </c>
      <c r="G1452" t="s">
        <v>2854</v>
      </c>
      <c r="H14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53" spans="1:8" ht="15" customHeight="1" x14ac:dyDescent="0.25">
      <c r="A1453" t="str">
        <f>MID(TB_CECO[[#This Row],[CECO_T]],1,5)</f>
        <v>1D134</v>
      </c>
      <c r="B1453" t="str">
        <f>MID(TB_CECO[[#This Row],[TRABAJO]],1,SEARCH(",",TB_CECO[[#This Row],[TRABAJO]],1)-1)</f>
        <v>Cx 924 NE (Cx 128 NE)</v>
      </c>
      <c r="C14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924 NE (Cx 128 NE),PERFORACION</v>
      </c>
      <c r="D14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53" s="47" t="s">
        <v>2855</v>
      </c>
      <c r="G1453" t="s">
        <v>2856</v>
      </c>
      <c r="H14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54" spans="1:8" ht="15" customHeight="1" x14ac:dyDescent="0.25">
      <c r="A1454" t="str">
        <f>MID(TB_CECO[[#This Row],[CECO_T]],1,5)</f>
        <v>1D134</v>
      </c>
      <c r="B1454" t="str">
        <f>MID(TB_CECO[[#This Row],[TRABAJO]],1,SEARCH(",",TB_CECO[[#This Row],[TRABAJO]],1)-1)</f>
        <v>Cx 924 NE (Cx 128 NE)</v>
      </c>
      <c r="C14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924 NE (Cx 128 NE),SOSTENIMIENTO</v>
      </c>
      <c r="D14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54" s="47" t="s">
        <v>2857</v>
      </c>
      <c r="G1454" t="s">
        <v>2858</v>
      </c>
      <c r="H14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55" spans="1:8" ht="15" customHeight="1" x14ac:dyDescent="0.25">
      <c r="A1455" t="str">
        <f>MID(TB_CECO[[#This Row],[CECO_T]],1,5)</f>
        <v>1D134</v>
      </c>
      <c r="B1455" t="str">
        <f>MID(TB_CECO[[#This Row],[TRABAJO]],1,SEARCH(",",TB_CECO[[#This Row],[TRABAJO]],1)-1)</f>
        <v>Cx 924 NE (Cx 128 NE)</v>
      </c>
      <c r="C14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924 NE (Cx 128 NE),VOLADURA</v>
      </c>
      <c r="D14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55" s="47" t="s">
        <v>2859</v>
      </c>
      <c r="G1455" t="s">
        <v>2860</v>
      </c>
      <c r="H14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56" spans="1:8" ht="15" customHeight="1" x14ac:dyDescent="0.25">
      <c r="A1456" t="str">
        <f>MID(TB_CECO[[#This Row],[CECO_T]],1,5)</f>
        <v>1D336</v>
      </c>
      <c r="B1456" t="str">
        <f>MID(TB_CECO[[#This Row],[TRABAJO]],1,SEARCH(",",TB_CECO[[#This Row],[TRABAJO]],1)-1)</f>
        <v>CH 994 (CX 010  SW)</v>
      </c>
      <c r="C14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994 (CX 010  SW),SUMINISTROS</v>
      </c>
      <c r="D14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56" s="47" t="s">
        <v>2861</v>
      </c>
      <c r="G1456" t="s">
        <v>2862</v>
      </c>
      <c r="H14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57" spans="1:8" ht="15" customHeight="1" x14ac:dyDescent="0.25">
      <c r="A1457" t="str">
        <f>MID(TB_CECO[[#This Row],[CECO_T]],1,5)</f>
        <v>1D336</v>
      </c>
      <c r="B1457" t="str">
        <f>MID(TB_CECO[[#This Row],[TRABAJO]],1,SEARCH(",",TB_CECO[[#This Row],[TRABAJO]],1)-1)</f>
        <v>CH 994 (CX 010  SW)</v>
      </c>
      <c r="C14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994 (CX 010  SW),SOSTENIMIENTO</v>
      </c>
      <c r="D14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57" s="47" t="s">
        <v>2863</v>
      </c>
      <c r="G1457" t="s">
        <v>2864</v>
      </c>
      <c r="H14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58" spans="1:8" ht="15" customHeight="1" x14ac:dyDescent="0.25">
      <c r="A1458" t="str">
        <f>MID(TB_CECO[[#This Row],[CECO_T]],1,5)</f>
        <v>1D336</v>
      </c>
      <c r="B1458" t="str">
        <f>MID(TB_CECO[[#This Row],[TRABAJO]],1,SEARCH(",",TB_CECO[[#This Row],[TRABAJO]],1)-1)</f>
        <v>CH 994 (CX 010  SW)</v>
      </c>
      <c r="C14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994 (CX 010  SW),SERVICIO</v>
      </c>
      <c r="D14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58" s="47" t="s">
        <v>2865</v>
      </c>
      <c r="G1458" t="s">
        <v>2866</v>
      </c>
      <c r="H14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59" spans="1:8" ht="15" customHeight="1" x14ac:dyDescent="0.25">
      <c r="A1459" t="str">
        <f>MID(TB_CECO[[#This Row],[CECO_T]],1,5)</f>
        <v>1D336</v>
      </c>
      <c r="B1459" t="str">
        <f>MID(TB_CECO[[#This Row],[TRABAJO]],1,SEARCH(",",TB_CECO[[#This Row],[TRABAJO]],1)-1)</f>
        <v>CH 994 (CX 010  SW)</v>
      </c>
      <c r="C14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994 (CX 010  SW),REHABILITACION</v>
      </c>
      <c r="D14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4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459" s="47" t="s">
        <v>2867</v>
      </c>
      <c r="G1459" t="s">
        <v>2868</v>
      </c>
      <c r="H14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60" spans="1:8" ht="15" customHeight="1" x14ac:dyDescent="0.25">
      <c r="A1460" t="str">
        <f>MID(TB_CECO[[#This Row],[CECO_T]],1,5)</f>
        <v>1D53L</v>
      </c>
      <c r="B1460" t="str">
        <f>MID(TB_CECO[[#This Row],[TRABAJO]],1,SEARCH(",",TB_CECO[[#This Row],[TRABAJO]],1)-1)</f>
        <v>Snv 069 NE (Est 069 SE)</v>
      </c>
      <c r="C14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NE (Est 069 SE),LIMPIEZA</v>
      </c>
      <c r="D14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60" s="47" t="s">
        <v>2869</v>
      </c>
      <c r="G1460" t="s">
        <v>2870</v>
      </c>
      <c r="H14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61" spans="1:8" ht="15" customHeight="1" x14ac:dyDescent="0.25">
      <c r="A1461" t="str">
        <f>MID(TB_CECO[[#This Row],[CECO_T]],1,5)</f>
        <v>1D53L</v>
      </c>
      <c r="B1461" t="str">
        <f>MID(TB_CECO[[#This Row],[TRABAJO]],1,SEARCH(",",TB_CECO[[#This Row],[TRABAJO]],1)-1)</f>
        <v>Snv 069 NE (Est 069 SE)</v>
      </c>
      <c r="C14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NE (Est 069 SE),SERVICIO</v>
      </c>
      <c r="D14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61" s="47" t="s">
        <v>2871</v>
      </c>
      <c r="G1461" t="s">
        <v>2872</v>
      </c>
      <c r="H14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62" spans="1:8" ht="15" customHeight="1" x14ac:dyDescent="0.25">
      <c r="A1462" t="str">
        <f>MID(TB_CECO[[#This Row],[CECO_T]],1,5)</f>
        <v>1D53L</v>
      </c>
      <c r="B1462" t="str">
        <f>MID(TB_CECO[[#This Row],[TRABAJO]],1,SEARCH(",",TB_CECO[[#This Row],[TRABAJO]],1)-1)</f>
        <v>Snv 069 NE (Est 069 SE)</v>
      </c>
      <c r="C14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NE (Est 069 SE),PERFORACION</v>
      </c>
      <c r="D14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62" s="47" t="s">
        <v>2873</v>
      </c>
      <c r="G1462" t="s">
        <v>2874</v>
      </c>
      <c r="H14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63" spans="1:8" ht="15" customHeight="1" x14ac:dyDescent="0.25">
      <c r="A1463" t="str">
        <f>MID(TB_CECO[[#This Row],[CECO_T]],1,5)</f>
        <v>1D53L</v>
      </c>
      <c r="B1463" t="str">
        <f>MID(TB_CECO[[#This Row],[TRABAJO]],1,SEARCH(",",TB_CECO[[#This Row],[TRABAJO]],1)-1)</f>
        <v>Snv 069 NE (Est 069 SE)</v>
      </c>
      <c r="C14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NE (Est 069 SE),SOSTENIMIENTO</v>
      </c>
      <c r="D14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63" s="47" t="s">
        <v>2875</v>
      </c>
      <c r="G1463" t="s">
        <v>2876</v>
      </c>
      <c r="H14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64" spans="1:8" ht="15" customHeight="1" x14ac:dyDescent="0.25">
      <c r="A1464" t="str">
        <f>MID(TB_CECO[[#This Row],[CECO_T]],1,5)</f>
        <v>1D53L</v>
      </c>
      <c r="B1464" t="str">
        <f>MID(TB_CECO[[#This Row],[TRABAJO]],1,SEARCH(",",TB_CECO[[#This Row],[TRABAJO]],1)-1)</f>
        <v>Snv 069 NE (Est 069 SE)</v>
      </c>
      <c r="C14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NE (Est 069 SE),VOLADURA</v>
      </c>
      <c r="D14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64" s="47" t="s">
        <v>2877</v>
      </c>
      <c r="G1464" t="s">
        <v>2878</v>
      </c>
      <c r="H14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65" spans="1:8" ht="15" customHeight="1" x14ac:dyDescent="0.25">
      <c r="A1465" t="str">
        <f>MID(TB_CECO[[#This Row],[CECO_T]],1,5)</f>
        <v>1D54C</v>
      </c>
      <c r="B1465" t="str">
        <f>MID(TB_CECO[[#This Row],[TRABAJO]],1,SEARCH(",",TB_CECO[[#This Row],[TRABAJO]],1)-1)</f>
        <v>Snv 909 SW (Est 905 SE)</v>
      </c>
      <c r="C14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909 SW (Est 905 SE),LIMPIEZA</v>
      </c>
      <c r="D14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65" s="47" t="s">
        <v>2879</v>
      </c>
      <c r="G1465" t="s">
        <v>2880</v>
      </c>
      <c r="H14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66" spans="1:8" ht="15" customHeight="1" x14ac:dyDescent="0.25">
      <c r="A1466" t="str">
        <f>MID(TB_CECO[[#This Row],[CECO_T]],1,5)</f>
        <v>1D54C</v>
      </c>
      <c r="B1466" t="str">
        <f>MID(TB_CECO[[#This Row],[TRABAJO]],1,SEARCH(",",TB_CECO[[#This Row],[TRABAJO]],1)-1)</f>
        <v>Snv 909 SW (Est 905 SE)</v>
      </c>
      <c r="C14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909 SW (Est 905 SE),SERVICIO</v>
      </c>
      <c r="D14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66" s="47" t="s">
        <v>2881</v>
      </c>
      <c r="G1466" t="s">
        <v>2882</v>
      </c>
      <c r="H14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67" spans="1:8" ht="15" customHeight="1" x14ac:dyDescent="0.25">
      <c r="A1467" t="str">
        <f>MID(TB_CECO[[#This Row],[CECO_T]],1,5)</f>
        <v>1D54C</v>
      </c>
      <c r="B1467" t="str">
        <f>MID(TB_CECO[[#This Row],[TRABAJO]],1,SEARCH(",",TB_CECO[[#This Row],[TRABAJO]],1)-1)</f>
        <v>Snv 909 SW (Est 905 SE)</v>
      </c>
      <c r="C14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909 SW (Est 905 SE),PERFORACION</v>
      </c>
      <c r="D14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67" s="47" t="s">
        <v>2883</v>
      </c>
      <c r="G1467" t="s">
        <v>2884</v>
      </c>
      <c r="H14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68" spans="1:8" ht="15" customHeight="1" x14ac:dyDescent="0.25">
      <c r="A1468" t="str">
        <f>MID(TB_CECO[[#This Row],[CECO_T]],1,5)</f>
        <v>1D54C</v>
      </c>
      <c r="B1468" t="str">
        <f>MID(TB_CECO[[#This Row],[TRABAJO]],1,SEARCH(",",TB_CECO[[#This Row],[TRABAJO]],1)-1)</f>
        <v>Snv 909 SW (Est 905 SE)</v>
      </c>
      <c r="C14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909 SW (Est 905 SE),SOSTENIMIENTO</v>
      </c>
      <c r="D14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68" s="47" t="s">
        <v>2885</v>
      </c>
      <c r="G1468" t="s">
        <v>2886</v>
      </c>
      <c r="H14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69" spans="1:8" ht="15" customHeight="1" x14ac:dyDescent="0.25">
      <c r="A1469" t="str">
        <f>MID(TB_CECO[[#This Row],[CECO_T]],1,5)</f>
        <v>1D54C</v>
      </c>
      <c r="B1469" t="str">
        <f>MID(TB_CECO[[#This Row],[TRABAJO]],1,SEARCH(",",TB_CECO[[#This Row],[TRABAJO]],1)-1)</f>
        <v>Snv 909 SW (Est 905 SE)</v>
      </c>
      <c r="C14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909 SW (Est 905 SE),VOLADURA</v>
      </c>
      <c r="D14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69" s="47" t="s">
        <v>2887</v>
      </c>
      <c r="G1469" t="s">
        <v>2888</v>
      </c>
      <c r="H14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70" spans="1:8" ht="15" customHeight="1" x14ac:dyDescent="0.25">
      <c r="A1470" t="str">
        <f>MID(TB_CECO[[#This Row],[CECO_T]],1,5)</f>
        <v>1D54G</v>
      </c>
      <c r="B1470" t="str">
        <f>MID(TB_CECO[[#This Row],[TRABAJO]],1,SEARCH(",",TB_CECO[[#This Row],[TRABAJO]],1)-1)</f>
        <v>Snv 090 SW (Ch 936)</v>
      </c>
      <c r="C14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SW (Ch 936),LIMPIEZA</v>
      </c>
      <c r="D14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70" s="47" t="s">
        <v>2889</v>
      </c>
      <c r="G1470" t="s">
        <v>2890</v>
      </c>
      <c r="H14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71" spans="1:8" ht="15" customHeight="1" x14ac:dyDescent="0.25">
      <c r="A1471" t="str">
        <f>MID(TB_CECO[[#This Row],[CECO_T]],1,5)</f>
        <v>1D54G</v>
      </c>
      <c r="B1471" t="str">
        <f>MID(TB_CECO[[#This Row],[TRABAJO]],1,SEARCH(",",TB_CECO[[#This Row],[TRABAJO]],1)-1)</f>
        <v>Snv 090 SW (Ch 936)</v>
      </c>
      <c r="C14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SW (Ch 936),SERVICIO</v>
      </c>
      <c r="D14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71" s="47" t="s">
        <v>2891</v>
      </c>
      <c r="G1471" t="s">
        <v>2892</v>
      </c>
      <c r="H14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72" spans="1:8" ht="15" customHeight="1" x14ac:dyDescent="0.25">
      <c r="A1472" t="str">
        <f>MID(TB_CECO[[#This Row],[CECO_T]],1,5)</f>
        <v>1D54G</v>
      </c>
      <c r="B1472" t="str">
        <f>MID(TB_CECO[[#This Row],[TRABAJO]],1,SEARCH(",",TB_CECO[[#This Row],[TRABAJO]],1)-1)</f>
        <v>Snv 090 SW (Ch 936)</v>
      </c>
      <c r="C14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SW (Ch 936),PERFORACION</v>
      </c>
      <c r="D14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72" s="47" t="s">
        <v>2893</v>
      </c>
      <c r="G1472" t="s">
        <v>2894</v>
      </c>
      <c r="H14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73" spans="1:8" ht="15" customHeight="1" x14ac:dyDescent="0.25">
      <c r="A1473" t="str">
        <f>MID(TB_CECO[[#This Row],[CECO_T]],1,5)</f>
        <v>1D54G</v>
      </c>
      <c r="B1473" t="str">
        <f>MID(TB_CECO[[#This Row],[TRABAJO]],1,SEARCH(",",TB_CECO[[#This Row],[TRABAJO]],1)-1)</f>
        <v>Snv 090 SW (Ch 936)</v>
      </c>
      <c r="C14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SW (Ch 936),SOSTENIMIENTO</v>
      </c>
      <c r="D14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73" s="47" t="s">
        <v>2895</v>
      </c>
      <c r="G1473" t="s">
        <v>2896</v>
      </c>
      <c r="H14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74" spans="1:8" ht="15" customHeight="1" x14ac:dyDescent="0.25">
      <c r="A1474" t="str">
        <f>MID(TB_CECO[[#This Row],[CECO_T]],1,5)</f>
        <v>1D54G</v>
      </c>
      <c r="B1474" t="str">
        <f>MID(TB_CECO[[#This Row],[TRABAJO]],1,SEARCH(",",TB_CECO[[#This Row],[TRABAJO]],1)-1)</f>
        <v>Snv 090 SW (Ch 936)</v>
      </c>
      <c r="C14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SW (Ch 936),VOLADURA</v>
      </c>
      <c r="D14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74" s="47" t="s">
        <v>2897</v>
      </c>
      <c r="G1474" t="s">
        <v>2898</v>
      </c>
      <c r="H14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75" spans="1:8" ht="15" customHeight="1" x14ac:dyDescent="0.25">
      <c r="A1475" t="str">
        <f>MID(TB_CECO[[#This Row],[CECO_T]],1,5)</f>
        <v>1D54H</v>
      </c>
      <c r="B1475" t="str">
        <f>MID(TB_CECO[[#This Row],[TRABAJO]],1,SEARCH(",",TB_CECO[[#This Row],[TRABAJO]],1)-1)</f>
        <v>Snv 090 NE (Ch 936)</v>
      </c>
      <c r="C14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NE (Ch 936),LIMPIEZA</v>
      </c>
      <c r="D14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75" s="47" t="s">
        <v>2899</v>
      </c>
      <c r="G1475" t="s">
        <v>2900</v>
      </c>
      <c r="H14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76" spans="1:8" ht="15" customHeight="1" x14ac:dyDescent="0.25">
      <c r="A1476" t="str">
        <f>MID(TB_CECO[[#This Row],[CECO_T]],1,5)</f>
        <v>1D54H</v>
      </c>
      <c r="B1476" t="str">
        <f>MID(TB_CECO[[#This Row],[TRABAJO]],1,SEARCH(",",TB_CECO[[#This Row],[TRABAJO]],1)-1)</f>
        <v>Snv 090 NE (Ch 936)</v>
      </c>
      <c r="C14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NE (Ch 936),SERVICIO</v>
      </c>
      <c r="D14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76" s="47" t="s">
        <v>2901</v>
      </c>
      <c r="G1476" t="s">
        <v>2902</v>
      </c>
      <c r="H14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77" spans="1:8" ht="15" customHeight="1" x14ac:dyDescent="0.25">
      <c r="A1477" t="str">
        <f>MID(TB_CECO[[#This Row],[CECO_T]],1,5)</f>
        <v>1D54H</v>
      </c>
      <c r="B1477" t="str">
        <f>MID(TB_CECO[[#This Row],[TRABAJO]],1,SEARCH(",",TB_CECO[[#This Row],[TRABAJO]],1)-1)</f>
        <v>Snv 090 NE (Ch 936)</v>
      </c>
      <c r="C14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NE (Ch 936),PERFORACION</v>
      </c>
      <c r="D14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77" s="47" t="s">
        <v>2903</v>
      </c>
      <c r="G1477" t="s">
        <v>2904</v>
      </c>
      <c r="H14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78" spans="1:8" ht="15" customHeight="1" x14ac:dyDescent="0.25">
      <c r="A1478" t="str">
        <f>MID(TB_CECO[[#This Row],[CECO_T]],1,5)</f>
        <v>1D54H</v>
      </c>
      <c r="B1478" t="str">
        <f>MID(TB_CECO[[#This Row],[TRABAJO]],1,SEARCH(",",TB_CECO[[#This Row],[TRABAJO]],1)-1)</f>
        <v>Snv 090 NE (Ch 936)</v>
      </c>
      <c r="C14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NE (Ch 936),SOSTENIMIENTO</v>
      </c>
      <c r="D14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78" s="47" t="s">
        <v>2905</v>
      </c>
      <c r="G1478" t="s">
        <v>2906</v>
      </c>
      <c r="H14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79" spans="1:8" ht="15" customHeight="1" x14ac:dyDescent="0.25">
      <c r="A1479" t="str">
        <f>MID(TB_CECO[[#This Row],[CECO_T]],1,5)</f>
        <v>1D54H</v>
      </c>
      <c r="B1479" t="str">
        <f>MID(TB_CECO[[#This Row],[TRABAJO]],1,SEARCH(",",TB_CECO[[#This Row],[TRABAJO]],1)-1)</f>
        <v>Snv 090 NE (Ch 936)</v>
      </c>
      <c r="C14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NE (Ch 936),VOLADURA</v>
      </c>
      <c r="D14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79" s="47" t="s">
        <v>2907</v>
      </c>
      <c r="G1479" t="s">
        <v>2908</v>
      </c>
      <c r="H14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80" spans="1:8" ht="15" customHeight="1" x14ac:dyDescent="0.25">
      <c r="A1480" t="str">
        <f>MID(TB_CECO[[#This Row],[CECO_T]],1,5)</f>
        <v>1D56E</v>
      </c>
      <c r="B1480" t="str">
        <f>MID(TB_CECO[[#This Row],[TRABAJO]],1,SEARCH(",",TB_CECO[[#This Row],[TRABAJO]],1)-1)</f>
        <v xml:space="preserve">Snv 929 SW (Bp 940 NW)
</v>
      </c>
      <c r="C14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929 SW (Bp 940 NW)
,LIMPIEZA</v>
      </c>
      <c r="D14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80" s="47" t="s">
        <v>2909</v>
      </c>
      <c r="G1480" t="s">
        <v>2910</v>
      </c>
      <c r="H14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81" spans="1:8" ht="15" customHeight="1" x14ac:dyDescent="0.25">
      <c r="A1481" t="str">
        <f>MID(TB_CECO[[#This Row],[CECO_T]],1,5)</f>
        <v>1D56E</v>
      </c>
      <c r="B1481" t="str">
        <f>MID(TB_CECO[[#This Row],[TRABAJO]],1,SEARCH(",",TB_CECO[[#This Row],[TRABAJO]],1)-1)</f>
        <v xml:space="preserve">Snv 929 SW (Bp 940 NW)
</v>
      </c>
      <c r="C14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929 SW (Bp 940 NW)
,SERVICIO</v>
      </c>
      <c r="D14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81" s="47" t="s">
        <v>2911</v>
      </c>
      <c r="G1481" t="s">
        <v>2912</v>
      </c>
      <c r="H14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82" spans="1:8" ht="15" customHeight="1" x14ac:dyDescent="0.25">
      <c r="A1482" t="str">
        <f>MID(TB_CECO[[#This Row],[CECO_T]],1,5)</f>
        <v>1D56E</v>
      </c>
      <c r="B1482" t="str">
        <f>MID(TB_CECO[[#This Row],[TRABAJO]],1,SEARCH(",",TB_CECO[[#This Row],[TRABAJO]],1)-1)</f>
        <v xml:space="preserve">Snv 929 SW (Bp 940 NW)
</v>
      </c>
      <c r="C14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929 SW (Bp 940 NW)
,PERFORACION</v>
      </c>
      <c r="D14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82" s="47" t="s">
        <v>2913</v>
      </c>
      <c r="G1482" t="s">
        <v>2914</v>
      </c>
      <c r="H14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83" spans="1:8" ht="15" customHeight="1" x14ac:dyDescent="0.25">
      <c r="A1483" t="str">
        <f>MID(TB_CECO[[#This Row],[CECO_T]],1,5)</f>
        <v>1D56E</v>
      </c>
      <c r="B1483" t="str">
        <f>MID(TB_CECO[[#This Row],[TRABAJO]],1,SEARCH(",",TB_CECO[[#This Row],[TRABAJO]],1)-1)</f>
        <v xml:space="preserve">Snv 929 SW (Bp 940 NW)
</v>
      </c>
      <c r="C14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929 SW (Bp 940 NW)
,SOSTENIMIENTO</v>
      </c>
      <c r="D14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83" s="47" t="s">
        <v>2915</v>
      </c>
      <c r="G1483" t="s">
        <v>2916</v>
      </c>
      <c r="H14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84" spans="1:8" ht="15" customHeight="1" x14ac:dyDescent="0.25">
      <c r="A1484" t="str">
        <f>MID(TB_CECO[[#This Row],[CECO_T]],1,5)</f>
        <v>1D56E</v>
      </c>
      <c r="B1484" t="str">
        <f>MID(TB_CECO[[#This Row],[TRABAJO]],1,SEARCH(",",TB_CECO[[#This Row],[TRABAJO]],1)-1)</f>
        <v xml:space="preserve">Snv 929 SW (Bp 940 NW)
</v>
      </c>
      <c r="C14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929 SW (Bp 940 NW)
,VOLADURA</v>
      </c>
      <c r="D14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84" s="47" t="s">
        <v>2917</v>
      </c>
      <c r="G1484" t="s">
        <v>2918</v>
      </c>
      <c r="H14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85" spans="1:8" ht="15" customHeight="1" x14ac:dyDescent="0.25">
      <c r="A1485" t="str">
        <f>MID(TB_CECO[[#This Row],[CECO_T]],1,5)</f>
        <v>1D668</v>
      </c>
      <c r="B1485" t="str">
        <f>MID(TB_CECO[[#This Row],[TRABAJO]],1,SEARCH(",",TB_CECO[[#This Row],[TRABAJO]],1)-1)</f>
        <v>Est 905 SE (Snv 069 NE)</v>
      </c>
      <c r="C14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905 SE (Snv 069 NE),LIMPIEZA</v>
      </c>
      <c r="D14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85" s="47" t="s">
        <v>2919</v>
      </c>
      <c r="G1485" t="s">
        <v>2920</v>
      </c>
      <c r="H14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86" spans="1:8" ht="15" customHeight="1" x14ac:dyDescent="0.25">
      <c r="A1486" t="str">
        <f>MID(TB_CECO[[#This Row],[CECO_T]],1,5)</f>
        <v>1D668</v>
      </c>
      <c r="B1486" t="str">
        <f>MID(TB_CECO[[#This Row],[TRABAJO]],1,SEARCH(",",TB_CECO[[#This Row],[TRABAJO]],1)-1)</f>
        <v>Est 905 SE (Snv 069 NE)</v>
      </c>
      <c r="C14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905 SE (Snv 069 NE),SERVICIO</v>
      </c>
      <c r="D14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86" s="47" t="s">
        <v>2921</v>
      </c>
      <c r="G1486" t="s">
        <v>2922</v>
      </c>
      <c r="H14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87" spans="1:8" ht="15" customHeight="1" x14ac:dyDescent="0.25">
      <c r="A1487" t="str">
        <f>MID(TB_CECO[[#This Row],[CECO_T]],1,5)</f>
        <v>1D668</v>
      </c>
      <c r="B1487" t="str">
        <f>MID(TB_CECO[[#This Row],[TRABAJO]],1,SEARCH(",",TB_CECO[[#This Row],[TRABAJO]],1)-1)</f>
        <v>Est 905 SE (Snv 069 NE)</v>
      </c>
      <c r="C14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905 SE (Snv 069 NE),PERFORACION</v>
      </c>
      <c r="D14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87" s="47" t="s">
        <v>2923</v>
      </c>
      <c r="G1487" t="s">
        <v>2924</v>
      </c>
      <c r="H14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88" spans="1:8" ht="15" customHeight="1" x14ac:dyDescent="0.25">
      <c r="A1488" t="str">
        <f>MID(TB_CECO[[#This Row],[CECO_T]],1,5)</f>
        <v>1D668</v>
      </c>
      <c r="B1488" t="str">
        <f>MID(TB_CECO[[#This Row],[TRABAJO]],1,SEARCH(",",TB_CECO[[#This Row],[TRABAJO]],1)-1)</f>
        <v>Est 905 SE (Snv 069 NE)</v>
      </c>
      <c r="C14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905 SE (Snv 069 NE),SOSTENIMIENTO</v>
      </c>
      <c r="D14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88" s="47" t="s">
        <v>2925</v>
      </c>
      <c r="G1488" t="s">
        <v>2926</v>
      </c>
      <c r="H14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89" spans="1:8" ht="15" customHeight="1" x14ac:dyDescent="0.25">
      <c r="A1489" t="str">
        <f>MID(TB_CECO[[#This Row],[CECO_T]],1,5)</f>
        <v>1D668</v>
      </c>
      <c r="B1489" t="str">
        <f>MID(TB_CECO[[#This Row],[TRABAJO]],1,SEARCH(",",TB_CECO[[#This Row],[TRABAJO]],1)-1)</f>
        <v>Est 905 SE (Snv 069 NE)</v>
      </c>
      <c r="C14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905 SE (Snv 069 NE),VOLADURA</v>
      </c>
      <c r="D14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89" s="47" t="s">
        <v>2927</v>
      </c>
      <c r="G1489" t="s">
        <v>2928</v>
      </c>
      <c r="H14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90" spans="1:8" ht="15" customHeight="1" x14ac:dyDescent="0.25">
      <c r="A1490" t="str">
        <f>MID(TB_CECO[[#This Row],[CECO_T]],1,5)</f>
        <v>1D669</v>
      </c>
      <c r="B1490" t="str">
        <f>MID(TB_CECO[[#This Row],[TRABAJO]],1,SEARCH(",",TB_CECO[[#This Row],[TRABAJO]],1)-1)</f>
        <v>Est 912 SE (Snv 069 NE)</v>
      </c>
      <c r="C14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912 SE (Snv 069 NE),LIMPIEZA</v>
      </c>
      <c r="D14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90" s="47" t="s">
        <v>2929</v>
      </c>
      <c r="G1490" t="s">
        <v>2930</v>
      </c>
      <c r="H14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91" spans="1:8" ht="15" customHeight="1" x14ac:dyDescent="0.25">
      <c r="A1491" t="str">
        <f>MID(TB_CECO[[#This Row],[CECO_T]],1,5)</f>
        <v>1D669</v>
      </c>
      <c r="B1491" t="str">
        <f>MID(TB_CECO[[#This Row],[TRABAJO]],1,SEARCH(",",TB_CECO[[#This Row],[TRABAJO]],1)-1)</f>
        <v>Est 912 SE (Snv 069 NE)</v>
      </c>
      <c r="C14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912 SE (Snv 069 NE),SERVICIO</v>
      </c>
      <c r="D14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91" s="47" t="s">
        <v>2931</v>
      </c>
      <c r="G1491" t="s">
        <v>2932</v>
      </c>
      <c r="H14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92" spans="1:8" ht="15" customHeight="1" x14ac:dyDescent="0.25">
      <c r="A1492" t="str">
        <f>MID(TB_CECO[[#This Row],[CECO_T]],1,5)</f>
        <v>1D669</v>
      </c>
      <c r="B1492" t="str">
        <f>MID(TB_CECO[[#This Row],[TRABAJO]],1,SEARCH(",",TB_CECO[[#This Row],[TRABAJO]],1)-1)</f>
        <v>Est 912 SE (Snv 069 NE)</v>
      </c>
      <c r="C14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912 SE (Snv 069 NE),PERFORACION</v>
      </c>
      <c r="D14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92" s="47" t="s">
        <v>2933</v>
      </c>
      <c r="G1492" t="s">
        <v>2934</v>
      </c>
      <c r="H14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93" spans="1:8" ht="15" customHeight="1" x14ac:dyDescent="0.25">
      <c r="A1493" t="str">
        <f>MID(TB_CECO[[#This Row],[CECO_T]],1,5)</f>
        <v>1D669</v>
      </c>
      <c r="B1493" t="str">
        <f>MID(TB_CECO[[#This Row],[TRABAJO]],1,SEARCH(",",TB_CECO[[#This Row],[TRABAJO]],1)-1)</f>
        <v>Est 912 SE (Snv 069 NE)</v>
      </c>
      <c r="C14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912 SE (Snv 069 NE),SOSTENIMIENTO</v>
      </c>
      <c r="D14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93" s="47" t="s">
        <v>2935</v>
      </c>
      <c r="G1493" t="s">
        <v>2936</v>
      </c>
      <c r="H14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94" spans="1:8" ht="15" customHeight="1" x14ac:dyDescent="0.25">
      <c r="A1494" t="str">
        <f>MID(TB_CECO[[#This Row],[CECO_T]],1,5)</f>
        <v>1D669</v>
      </c>
      <c r="B1494" t="str">
        <f>MID(TB_CECO[[#This Row],[TRABAJO]],1,SEARCH(",",TB_CECO[[#This Row],[TRABAJO]],1)-1)</f>
        <v>Est 912 SE (Snv 069 NE)</v>
      </c>
      <c r="C14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912 SE (Snv 069 NE),VOLADURA</v>
      </c>
      <c r="D14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94" s="47" t="s">
        <v>2937</v>
      </c>
      <c r="G1494" t="s">
        <v>2938</v>
      </c>
      <c r="H14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95" spans="1:8" ht="15" customHeight="1" x14ac:dyDescent="0.25">
      <c r="A1495" t="str">
        <f>MID(TB_CECO[[#This Row],[CECO_T]],1,5)</f>
        <v>1D685</v>
      </c>
      <c r="B1495" t="str">
        <f>MID(TB_CECO[[#This Row],[TRABAJO]],1,SEARCH(",",TB_CECO[[#This Row],[TRABAJO]],1)-1)</f>
        <v>Est 927 SE (Inc 822 NE)</v>
      </c>
      <c r="C14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927 SE (Inc 822 NE),LIMPIEZA</v>
      </c>
      <c r="D14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95" s="47" t="s">
        <v>2939</v>
      </c>
      <c r="G1495" t="s">
        <v>2940</v>
      </c>
      <c r="H14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96" spans="1:8" ht="15" customHeight="1" x14ac:dyDescent="0.25">
      <c r="A1496" t="str">
        <f>MID(TB_CECO[[#This Row],[CECO_T]],1,5)</f>
        <v>1D685</v>
      </c>
      <c r="B1496" t="str">
        <f>MID(TB_CECO[[#This Row],[TRABAJO]],1,SEARCH(",",TB_CECO[[#This Row],[TRABAJO]],1)-1)</f>
        <v>Est 927 SE (Inc 822 NE)</v>
      </c>
      <c r="C14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927 SE (Inc 822 NE),SERVICIO</v>
      </c>
      <c r="D14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96" s="47" t="s">
        <v>2941</v>
      </c>
      <c r="G1496" t="s">
        <v>2942</v>
      </c>
      <c r="H14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97" spans="1:8" ht="15" customHeight="1" x14ac:dyDescent="0.25">
      <c r="A1497" t="str">
        <f>MID(TB_CECO[[#This Row],[CECO_T]],1,5)</f>
        <v>1D685</v>
      </c>
      <c r="B1497" t="str">
        <f>MID(TB_CECO[[#This Row],[TRABAJO]],1,SEARCH(",",TB_CECO[[#This Row],[TRABAJO]],1)-1)</f>
        <v>Est 927 SE (Inc 822 NE)</v>
      </c>
      <c r="C14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927 SE (Inc 822 NE),PERFORACION</v>
      </c>
      <c r="D14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97" s="47" t="s">
        <v>2943</v>
      </c>
      <c r="G1497" t="s">
        <v>2944</v>
      </c>
      <c r="H14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98" spans="1:8" ht="15" customHeight="1" x14ac:dyDescent="0.25">
      <c r="A1498" t="str">
        <f>MID(TB_CECO[[#This Row],[CECO_T]],1,5)</f>
        <v>1D685</v>
      </c>
      <c r="B1498" t="str">
        <f>MID(TB_CECO[[#This Row],[TRABAJO]],1,SEARCH(",",TB_CECO[[#This Row],[TRABAJO]],1)-1)</f>
        <v>Est 927 SE (Inc 822 NE)</v>
      </c>
      <c r="C14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927 SE (Inc 822 NE),SOSTENIMIENTO</v>
      </c>
      <c r="D14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98" s="47" t="s">
        <v>2945</v>
      </c>
      <c r="G1498" t="s">
        <v>2946</v>
      </c>
      <c r="H14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499" spans="1:8" ht="15" customHeight="1" x14ac:dyDescent="0.25">
      <c r="A1499" t="str">
        <f>MID(TB_CECO[[#This Row],[CECO_T]],1,5)</f>
        <v>1D685</v>
      </c>
      <c r="B1499" t="str">
        <f>MID(TB_CECO[[#This Row],[TRABAJO]],1,SEARCH(",",TB_CECO[[#This Row],[TRABAJO]],1)-1)</f>
        <v>Est 927 SE (Inc 822 NE)</v>
      </c>
      <c r="C14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927 SE (Inc 822 NE),VOLADURA</v>
      </c>
      <c r="D14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4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499" s="47" t="s">
        <v>2947</v>
      </c>
      <c r="G1499" t="s">
        <v>2948</v>
      </c>
      <c r="H14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00" spans="1:8" ht="15" customHeight="1" x14ac:dyDescent="0.25">
      <c r="A1500" t="str">
        <f>MID(TB_CECO[[#This Row],[CECO_T]],1,5)</f>
        <v>1D689</v>
      </c>
      <c r="B1500" t="str">
        <f>MID(TB_CECO[[#This Row],[TRABAJO]],1,SEARCH(",",TB_CECO[[#This Row],[TRABAJO]],1)-1)</f>
        <v>Est 943 SE (Inc 822 NE)</v>
      </c>
      <c r="C15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943 SE (Inc 822 NE),LIMPIEZA</v>
      </c>
      <c r="D15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00" s="47" t="s">
        <v>2949</v>
      </c>
      <c r="G1500" t="s">
        <v>2950</v>
      </c>
      <c r="H15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01" spans="1:8" ht="15" customHeight="1" x14ac:dyDescent="0.25">
      <c r="A1501" t="str">
        <f>MID(TB_CECO[[#This Row],[CECO_T]],1,5)</f>
        <v>1D689</v>
      </c>
      <c r="B1501" t="str">
        <f>MID(TB_CECO[[#This Row],[TRABAJO]],1,SEARCH(",",TB_CECO[[#This Row],[TRABAJO]],1)-1)</f>
        <v>Est 943 SE (Inc 822 NE)</v>
      </c>
      <c r="C15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943 SE (Inc 822 NE),SERVICIO</v>
      </c>
      <c r="D15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01" s="47" t="s">
        <v>2951</v>
      </c>
      <c r="G1501" t="s">
        <v>2952</v>
      </c>
      <c r="H15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02" spans="1:8" ht="15" customHeight="1" x14ac:dyDescent="0.25">
      <c r="A1502" t="str">
        <f>MID(TB_CECO[[#This Row],[CECO_T]],1,5)</f>
        <v>1D689</v>
      </c>
      <c r="B1502" t="str">
        <f>MID(TB_CECO[[#This Row],[TRABAJO]],1,SEARCH(",",TB_CECO[[#This Row],[TRABAJO]],1)-1)</f>
        <v>Est 943 SE (Inc 822 NE)</v>
      </c>
      <c r="C15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943 SE (Inc 822 NE),PERFORACION</v>
      </c>
      <c r="D15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02" s="47" t="s">
        <v>2953</v>
      </c>
      <c r="G1502" t="s">
        <v>2954</v>
      </c>
      <c r="H15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03" spans="1:8" ht="15" customHeight="1" x14ac:dyDescent="0.25">
      <c r="A1503" t="str">
        <f>MID(TB_CECO[[#This Row],[CECO_T]],1,5)</f>
        <v>1D689</v>
      </c>
      <c r="B1503" t="str">
        <f>MID(TB_CECO[[#This Row],[TRABAJO]],1,SEARCH(",",TB_CECO[[#This Row],[TRABAJO]],1)-1)</f>
        <v>Est 943 SE (Inc 822 NE)</v>
      </c>
      <c r="C15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943 SE (Inc 822 NE),SOSTENIMIENTO</v>
      </c>
      <c r="D15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03" s="47" t="s">
        <v>2955</v>
      </c>
      <c r="G1503" t="s">
        <v>2956</v>
      </c>
      <c r="H15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04" spans="1:8" ht="15" customHeight="1" x14ac:dyDescent="0.25">
      <c r="A1504" t="str">
        <f>MID(TB_CECO[[#This Row],[CECO_T]],1,5)</f>
        <v>1D689</v>
      </c>
      <c r="B1504" t="str">
        <f>MID(TB_CECO[[#This Row],[TRABAJO]],1,SEARCH(",",TB_CECO[[#This Row],[TRABAJO]],1)-1)</f>
        <v>Est 943 SE (Inc 822 NE)</v>
      </c>
      <c r="C15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943 SE (Inc 822 NE),VOLADURA</v>
      </c>
      <c r="D15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04" s="47" t="s">
        <v>2957</v>
      </c>
      <c r="G1504" t="s">
        <v>2958</v>
      </c>
      <c r="H15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05" spans="1:8" ht="15" customHeight="1" x14ac:dyDescent="0.25">
      <c r="A1505" t="str">
        <f>MID(TB_CECO[[#This Row],[CECO_T]],1,5)</f>
        <v>1D690</v>
      </c>
      <c r="B1505" t="str">
        <f>MID(TB_CECO[[#This Row],[TRABAJO]],1,SEARCH(",",TB_CECO[[#This Row],[TRABAJO]],1)-1)</f>
        <v>Est 945 SE (Inc 822 NE)</v>
      </c>
      <c r="C15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945 SE (Inc 822 NE),LIMPIEZA</v>
      </c>
      <c r="D15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05" s="47" t="s">
        <v>2959</v>
      </c>
      <c r="G1505" t="s">
        <v>2960</v>
      </c>
      <c r="H15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06" spans="1:8" ht="15" customHeight="1" x14ac:dyDescent="0.25">
      <c r="A1506" t="str">
        <f>MID(TB_CECO[[#This Row],[CECO_T]],1,5)</f>
        <v>1D690</v>
      </c>
      <c r="B1506" t="str">
        <f>MID(TB_CECO[[#This Row],[TRABAJO]],1,SEARCH(",",TB_CECO[[#This Row],[TRABAJO]],1)-1)</f>
        <v>Est 945 SE (Inc 822 NE)</v>
      </c>
      <c r="C15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945 SE (Inc 822 NE),SERVICIO</v>
      </c>
      <c r="D15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06" s="47" t="s">
        <v>2961</v>
      </c>
      <c r="G1506" t="s">
        <v>2962</v>
      </c>
      <c r="H15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07" spans="1:8" ht="15" customHeight="1" x14ac:dyDescent="0.25">
      <c r="A1507" t="str">
        <f>MID(TB_CECO[[#This Row],[CECO_T]],1,5)</f>
        <v>1D690</v>
      </c>
      <c r="B1507" t="str">
        <f>MID(TB_CECO[[#This Row],[TRABAJO]],1,SEARCH(",",TB_CECO[[#This Row],[TRABAJO]],1)-1)</f>
        <v>Est 945 SE (Inc 822 NE)</v>
      </c>
      <c r="C15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945 SE (Inc 822 NE),PERFORACION</v>
      </c>
      <c r="D15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07" s="47" t="s">
        <v>2963</v>
      </c>
      <c r="G1507" t="s">
        <v>2964</v>
      </c>
      <c r="H15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08" spans="1:8" ht="15" customHeight="1" x14ac:dyDescent="0.25">
      <c r="A1508" t="str">
        <f>MID(TB_CECO[[#This Row],[CECO_T]],1,5)</f>
        <v>1D690</v>
      </c>
      <c r="B1508" t="str">
        <f>MID(TB_CECO[[#This Row],[TRABAJO]],1,SEARCH(",",TB_CECO[[#This Row],[TRABAJO]],1)-1)</f>
        <v>Est 945 SE (Inc 822 NE)</v>
      </c>
      <c r="C15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945 SE (Inc 822 NE),SOSTENIMIENTO</v>
      </c>
      <c r="D15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08" s="47" t="s">
        <v>2965</v>
      </c>
      <c r="G1508" t="s">
        <v>2966</v>
      </c>
      <c r="H15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09" spans="1:8" ht="15" customHeight="1" x14ac:dyDescent="0.25">
      <c r="A1509" t="str">
        <f>MID(TB_CECO[[#This Row],[CECO_T]],1,5)</f>
        <v>1D690</v>
      </c>
      <c r="B1509" t="str">
        <f>MID(TB_CECO[[#This Row],[TRABAJO]],1,SEARCH(",",TB_CECO[[#This Row],[TRABAJO]],1)-1)</f>
        <v>Est 945 SE (Inc 822 NE)</v>
      </c>
      <c r="C15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945 SE (Inc 822 NE),VOLADURA</v>
      </c>
      <c r="D15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09" s="47" t="s">
        <v>2967</v>
      </c>
      <c r="G1509" t="s">
        <v>2968</v>
      </c>
      <c r="H15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10" spans="1:8" ht="15" customHeight="1" x14ac:dyDescent="0.25">
      <c r="A1510" t="str">
        <f>MID(TB_CECO[[#This Row],[CECO_T]],1,5)</f>
        <v>1D822</v>
      </c>
      <c r="B1510" t="str">
        <f>MID(TB_CECO[[#This Row],[TRABAJO]],1,SEARCH(",",TB_CECO[[#This Row],[TRABAJO]],1)-1)</f>
        <v>Cam 20 (Cx 924 NE)</v>
      </c>
      <c r="C15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20 (Cx 924 NE),LIMPIEZA</v>
      </c>
      <c r="D15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10" s="47" t="s">
        <v>2969</v>
      </c>
      <c r="G1510" t="s">
        <v>2970</v>
      </c>
      <c r="H15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11" spans="1:8" ht="15" customHeight="1" x14ac:dyDescent="0.25">
      <c r="A1511" t="str">
        <f>MID(TB_CECO[[#This Row],[CECO_T]],1,5)</f>
        <v>1D822</v>
      </c>
      <c r="B1511" t="str">
        <f>MID(TB_CECO[[#This Row],[TRABAJO]],1,SEARCH(",",TB_CECO[[#This Row],[TRABAJO]],1)-1)</f>
        <v>Cam 20 (Cx 924 NE)</v>
      </c>
      <c r="C15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20 (Cx 924 NE),SERVICIO</v>
      </c>
      <c r="D15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11" s="47" t="s">
        <v>2971</v>
      </c>
      <c r="G1511" t="s">
        <v>2972</v>
      </c>
      <c r="H15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12" spans="1:8" ht="15" customHeight="1" x14ac:dyDescent="0.25">
      <c r="A1512" t="str">
        <f>MID(TB_CECO[[#This Row],[CECO_T]],1,5)</f>
        <v>1D822</v>
      </c>
      <c r="B1512" t="str">
        <f>MID(TB_CECO[[#This Row],[TRABAJO]],1,SEARCH(",",TB_CECO[[#This Row],[TRABAJO]],1)-1)</f>
        <v>Cam 20 (Cx 924 NE)</v>
      </c>
      <c r="C15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20 (Cx 924 NE),PERFORACION</v>
      </c>
      <c r="D15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12" s="47" t="s">
        <v>2973</v>
      </c>
      <c r="G1512" t="s">
        <v>2974</v>
      </c>
      <c r="H15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13" spans="1:8" ht="15" customHeight="1" x14ac:dyDescent="0.25">
      <c r="A1513" t="str">
        <f>MID(TB_CECO[[#This Row],[CECO_T]],1,5)</f>
        <v>1D822</v>
      </c>
      <c r="B1513" t="str">
        <f>MID(TB_CECO[[#This Row],[TRABAJO]],1,SEARCH(",",TB_CECO[[#This Row],[TRABAJO]],1)-1)</f>
        <v>Cam 20 (Cx 924 NE)</v>
      </c>
      <c r="C15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20 (Cx 924 NE),SOSTENIMIENTO</v>
      </c>
      <c r="D15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13" s="47" t="s">
        <v>2975</v>
      </c>
      <c r="G1513" t="s">
        <v>2976</v>
      </c>
      <c r="H15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14" spans="1:8" ht="15" customHeight="1" x14ac:dyDescent="0.25">
      <c r="A1514" t="str">
        <f>MID(TB_CECO[[#This Row],[CECO_T]],1,5)</f>
        <v>1D822</v>
      </c>
      <c r="B1514" t="str">
        <f>MID(TB_CECO[[#This Row],[TRABAJO]],1,SEARCH(",",TB_CECO[[#This Row],[TRABAJO]],1)-1)</f>
        <v>Cam 20 (Cx 924 NE)</v>
      </c>
      <c r="C15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20 (Cx 924 NE),VOLADURA</v>
      </c>
      <c r="D15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14" s="47" t="s">
        <v>2977</v>
      </c>
      <c r="G1514" t="s">
        <v>2978</v>
      </c>
      <c r="H15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15" spans="1:8" ht="15" customHeight="1" x14ac:dyDescent="0.25">
      <c r="A1515" t="str">
        <f>MID(TB_CECO[[#This Row],[CECO_T]],1,5)</f>
        <v>1DD05</v>
      </c>
      <c r="B1515" t="str">
        <f>MID(TB_CECO[[#This Row],[TRABAJO]],1,SEARCH(",",TB_CECO[[#This Row],[TRABAJO]],1)-1)</f>
        <v>Inc 822 NE (Est 912 SE)</v>
      </c>
      <c r="C15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822 NE (Est 912 SE),LIMPIEZA</v>
      </c>
      <c r="D15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15" s="47" t="s">
        <v>2979</v>
      </c>
      <c r="G1515" t="s">
        <v>2980</v>
      </c>
      <c r="H15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16" spans="1:8" ht="15" customHeight="1" x14ac:dyDescent="0.25">
      <c r="A1516" t="str">
        <f>MID(TB_CECO[[#This Row],[CECO_T]],1,5)</f>
        <v>1DD05</v>
      </c>
      <c r="B1516" t="str">
        <f>MID(TB_CECO[[#This Row],[TRABAJO]],1,SEARCH(",",TB_CECO[[#This Row],[TRABAJO]],1)-1)</f>
        <v>Inc 822 NE (Est 912 SE)</v>
      </c>
      <c r="C15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822 NE (Est 912 SE),SERVICIO</v>
      </c>
      <c r="D15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16" s="47" t="s">
        <v>2981</v>
      </c>
      <c r="G1516" t="s">
        <v>2982</v>
      </c>
      <c r="H15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17" spans="1:8" ht="15" customHeight="1" x14ac:dyDescent="0.25">
      <c r="A1517" t="str">
        <f>MID(TB_CECO[[#This Row],[CECO_T]],1,5)</f>
        <v>1DD05</v>
      </c>
      <c r="B1517" t="str">
        <f>MID(TB_CECO[[#This Row],[TRABAJO]],1,SEARCH(",",TB_CECO[[#This Row],[TRABAJO]],1)-1)</f>
        <v>Inc 822 NE (Est 912 SE)</v>
      </c>
      <c r="C15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822 NE (Est 912 SE),PERFORACION</v>
      </c>
      <c r="D15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17" s="47" t="s">
        <v>2983</v>
      </c>
      <c r="G1517" t="s">
        <v>2984</v>
      </c>
      <c r="H15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18" spans="1:8" ht="15" customHeight="1" x14ac:dyDescent="0.25">
      <c r="A1518" t="str">
        <f>MID(TB_CECO[[#This Row],[CECO_T]],1,5)</f>
        <v>1DD05</v>
      </c>
      <c r="B1518" t="str">
        <f>MID(TB_CECO[[#This Row],[TRABAJO]],1,SEARCH(",",TB_CECO[[#This Row],[TRABAJO]],1)-1)</f>
        <v>Inc 822 NE (Est 912 SE)</v>
      </c>
      <c r="C15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822 NE (Est 912 SE),SOSTENIMIENTO</v>
      </c>
      <c r="D15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18" s="47" t="s">
        <v>2985</v>
      </c>
      <c r="G1518" t="s">
        <v>2986</v>
      </c>
      <c r="H15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19" spans="1:8" ht="15" customHeight="1" x14ac:dyDescent="0.25">
      <c r="A1519" t="str">
        <f>MID(TB_CECO[[#This Row],[CECO_T]],1,5)</f>
        <v>1DD05</v>
      </c>
      <c r="B1519" t="str">
        <f>MID(TB_CECO[[#This Row],[TRABAJO]],1,SEARCH(",",TB_CECO[[#This Row],[TRABAJO]],1)-1)</f>
        <v>Inc 822 NE (Est 912 SE)</v>
      </c>
      <c r="C15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822 NE (Est 912 SE),VOLADURA</v>
      </c>
      <c r="D15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5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19" s="47" t="s">
        <v>2987</v>
      </c>
      <c r="G1519" t="s">
        <v>2988</v>
      </c>
      <c r="H15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20" spans="1:8" ht="15" customHeight="1" x14ac:dyDescent="0.25">
      <c r="A1520" t="str">
        <f>MID(TB_CECO[[#This Row],[CECO_T]],1,5)</f>
        <v>1E31O</v>
      </c>
      <c r="B1520" t="str">
        <f>MID(TB_CECO[[#This Row],[TRABAJO]],1,SEARCH(",",TB_CECO[[#This Row],[TRABAJO]],1)-1)</f>
        <v>Ch 835 (Snv 042 SW)</v>
      </c>
      <c r="C15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042 SW),LIMPIEZA</v>
      </c>
      <c r="D15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20" s="47" t="s">
        <v>2989</v>
      </c>
      <c r="G1520" t="s">
        <v>2990</v>
      </c>
      <c r="H15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21" spans="1:8" ht="15" customHeight="1" x14ac:dyDescent="0.25">
      <c r="A1521" t="str">
        <f>MID(TB_CECO[[#This Row],[CECO_T]],1,5)</f>
        <v>1E31O</v>
      </c>
      <c r="B1521" t="str">
        <f>MID(TB_CECO[[#This Row],[TRABAJO]],1,SEARCH(",",TB_CECO[[#This Row],[TRABAJO]],1)-1)</f>
        <v>Ch 835 (Snv 042 SW)</v>
      </c>
      <c r="C15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042 SW),SERVICIO</v>
      </c>
      <c r="D15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21" s="47" t="s">
        <v>2991</v>
      </c>
      <c r="G1521" t="s">
        <v>2992</v>
      </c>
      <c r="H15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22" spans="1:8" ht="15" customHeight="1" x14ac:dyDescent="0.25">
      <c r="A1522" t="str">
        <f>MID(TB_CECO[[#This Row],[CECO_T]],1,5)</f>
        <v>1E31O</v>
      </c>
      <c r="B1522" t="str">
        <f>MID(TB_CECO[[#This Row],[TRABAJO]],1,SEARCH(",",TB_CECO[[#This Row],[TRABAJO]],1)-1)</f>
        <v>Ch 835 (Snv 042 SW)</v>
      </c>
      <c r="C15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042 SW),PERFORACION</v>
      </c>
      <c r="D15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22" s="47" t="s">
        <v>2993</v>
      </c>
      <c r="G1522" t="s">
        <v>2994</v>
      </c>
      <c r="H15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23" spans="1:8" ht="15" customHeight="1" x14ac:dyDescent="0.25">
      <c r="A1523" t="str">
        <f>MID(TB_CECO[[#This Row],[CECO_T]],1,5)</f>
        <v>1E31O</v>
      </c>
      <c r="B1523" t="str">
        <f>MID(TB_CECO[[#This Row],[TRABAJO]],1,SEARCH(",",TB_CECO[[#This Row],[TRABAJO]],1)-1)</f>
        <v>Ch 835 (Snv 042 SW)</v>
      </c>
      <c r="C15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042 SW),SOSTENIMIENTO</v>
      </c>
      <c r="D15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23" s="47" t="s">
        <v>2995</v>
      </c>
      <c r="G1523" t="s">
        <v>2996</v>
      </c>
      <c r="H15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24" spans="1:8" ht="15" customHeight="1" x14ac:dyDescent="0.25">
      <c r="A1524" t="str">
        <f>MID(TB_CECO[[#This Row],[CECO_T]],1,5)</f>
        <v>1E31O</v>
      </c>
      <c r="B1524" t="str">
        <f>MID(TB_CECO[[#This Row],[TRABAJO]],1,SEARCH(",",TB_CECO[[#This Row],[TRABAJO]],1)-1)</f>
        <v>Ch 835 (Snv 042 SW)</v>
      </c>
      <c r="C15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042 SW),VOLADURA</v>
      </c>
      <c r="D15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24" s="47" t="s">
        <v>2997</v>
      </c>
      <c r="G1524" t="s">
        <v>2998</v>
      </c>
      <c r="H15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25" spans="1:8" ht="15" customHeight="1" x14ac:dyDescent="0.25">
      <c r="A1525" t="str">
        <f>MID(TB_CECO[[#This Row],[CECO_T]],1,5)</f>
        <v>1E31T</v>
      </c>
      <c r="B1525" t="str">
        <f>MID(TB_CECO[[#This Row],[TRABAJO]],1,SEARCH(",",TB_CECO[[#This Row],[TRABAJO]],1)-1)</f>
        <v>Ch  091 (Snv 010 NE)</v>
      </c>
      <c r="C15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 091 (Snv 010 NE),LIMPIEZA</v>
      </c>
      <c r="D15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25" s="47" t="s">
        <v>2999</v>
      </c>
      <c r="G1525" t="s">
        <v>3000</v>
      </c>
      <c r="H15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26" spans="1:8" ht="15" customHeight="1" x14ac:dyDescent="0.25">
      <c r="A1526" t="str">
        <f>MID(TB_CECO[[#This Row],[CECO_T]],1,5)</f>
        <v>1E31T</v>
      </c>
      <c r="B1526" t="str">
        <f>MID(TB_CECO[[#This Row],[TRABAJO]],1,SEARCH(",",TB_CECO[[#This Row],[TRABAJO]],1)-1)</f>
        <v>Ch  091 (Snv 010 NE)</v>
      </c>
      <c r="C15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 091 (Snv 010 NE),SERVICIO</v>
      </c>
      <c r="D15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26" s="47" t="s">
        <v>3001</v>
      </c>
      <c r="G1526" t="s">
        <v>3002</v>
      </c>
      <c r="H15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27" spans="1:8" ht="15" customHeight="1" x14ac:dyDescent="0.25">
      <c r="A1527" t="str">
        <f>MID(TB_CECO[[#This Row],[CECO_T]],1,5)</f>
        <v>1E31T</v>
      </c>
      <c r="B1527" t="str">
        <f>MID(TB_CECO[[#This Row],[TRABAJO]],1,SEARCH(",",TB_CECO[[#This Row],[TRABAJO]],1)-1)</f>
        <v>Ch  091 (Snv 010 NE)</v>
      </c>
      <c r="C15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 091 (Snv 010 NE),PERFORACION</v>
      </c>
      <c r="D15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27" s="47" t="s">
        <v>3003</v>
      </c>
      <c r="G1527" t="s">
        <v>3004</v>
      </c>
      <c r="H15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28" spans="1:8" ht="15" customHeight="1" x14ac:dyDescent="0.25">
      <c r="A1528" t="str">
        <f>MID(TB_CECO[[#This Row],[CECO_T]],1,5)</f>
        <v>1E31T</v>
      </c>
      <c r="B1528" t="str">
        <f>MID(TB_CECO[[#This Row],[TRABAJO]],1,SEARCH(",",TB_CECO[[#This Row],[TRABAJO]],1)-1)</f>
        <v>Ch  091 (Snv 010 NE)</v>
      </c>
      <c r="C15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 091 (Snv 010 NE),SOSTENIMIENTO</v>
      </c>
      <c r="D15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28" s="47" t="s">
        <v>3005</v>
      </c>
      <c r="G1528" t="s">
        <v>3006</v>
      </c>
      <c r="H15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29" spans="1:8" ht="15" customHeight="1" x14ac:dyDescent="0.25">
      <c r="A1529" t="str">
        <f>MID(TB_CECO[[#This Row],[CECO_T]],1,5)</f>
        <v>1E31T</v>
      </c>
      <c r="B1529" t="str">
        <f>MID(TB_CECO[[#This Row],[TRABAJO]],1,SEARCH(",",TB_CECO[[#This Row],[TRABAJO]],1)-1)</f>
        <v>Ch  091 (Snv 010 NE)</v>
      </c>
      <c r="C15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 091 (Snv 010 NE),VOLADURA</v>
      </c>
      <c r="D15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29" s="47" t="s">
        <v>3007</v>
      </c>
      <c r="G1529" t="s">
        <v>3008</v>
      </c>
      <c r="H15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30" spans="1:8" ht="15" customHeight="1" x14ac:dyDescent="0.25">
      <c r="A1530" t="str">
        <f>MID(TB_CECO[[#This Row],[CECO_T]],1,5)</f>
        <v>1E504</v>
      </c>
      <c r="B1530" t="str">
        <f>MID(TB_CECO[[#This Row],[TRABAJO]],1,SEARCH(",",TB_CECO[[#This Row],[TRABAJO]],1)-1)</f>
        <v>SNV 083 SW (SNV 103 SW)</v>
      </c>
      <c r="C15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083 SW (SNV 103 SW),SUMINISTROS </v>
      </c>
      <c r="D15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30" s="47" t="s">
        <v>3009</v>
      </c>
      <c r="G1530" t="s">
        <v>3010</v>
      </c>
      <c r="H15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31" spans="1:8" ht="15" customHeight="1" x14ac:dyDescent="0.25">
      <c r="A1531" t="str">
        <f>MID(TB_CECO[[#This Row],[CECO_T]],1,5)</f>
        <v>1E504</v>
      </c>
      <c r="B1531" t="str">
        <f>MID(TB_CECO[[#This Row],[TRABAJO]],1,SEARCH(",",TB_CECO[[#This Row],[TRABAJO]],1)-1)</f>
        <v>SNV 083 SW (SNV 103 SW)</v>
      </c>
      <c r="C15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083 SW (SNV 103 SW),SOSTENIMIENT</v>
      </c>
      <c r="D15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31" s="47" t="s">
        <v>3011</v>
      </c>
      <c r="G1531" t="s">
        <v>3012</v>
      </c>
      <c r="H15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32" spans="1:8" ht="15" customHeight="1" x14ac:dyDescent="0.25">
      <c r="A1532" t="str">
        <f>MID(TB_CECO[[#This Row],[CECO_T]],1,5)</f>
        <v>1E504</v>
      </c>
      <c r="B1532" t="str">
        <f>MID(TB_CECO[[#This Row],[TRABAJO]],1,SEARCH(",",TB_CECO[[#This Row],[TRABAJO]],1)-1)</f>
        <v>SNV 083 SW (SNV 103 SW)</v>
      </c>
      <c r="C15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083 SW (SNV 103 SW),SERVICIO    </v>
      </c>
      <c r="D15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32" s="47" t="s">
        <v>3013</v>
      </c>
      <c r="G1532" t="s">
        <v>3014</v>
      </c>
      <c r="H15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33" spans="1:8" ht="15" customHeight="1" x14ac:dyDescent="0.25">
      <c r="A1533" t="str">
        <f>MID(TB_CECO[[#This Row],[CECO_T]],1,5)</f>
        <v>1E504</v>
      </c>
      <c r="B1533" t="str">
        <f>MID(TB_CECO[[#This Row],[TRABAJO]],1,SEARCH(",",TB_CECO[[#This Row],[TRABAJO]],1)-1)</f>
        <v>SNV 083 SW (SNV 103 SW)</v>
      </c>
      <c r="C15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083 SW (SNV 103 SW),REHABILITACI</v>
      </c>
      <c r="D15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33" s="47" t="s">
        <v>3015</v>
      </c>
      <c r="G1533" t="s">
        <v>3016</v>
      </c>
      <c r="H15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34" spans="1:8" ht="15" customHeight="1" x14ac:dyDescent="0.25">
      <c r="A1534" t="str">
        <f>MID(TB_CECO[[#This Row],[CECO_T]],1,5)</f>
        <v>1E505</v>
      </c>
      <c r="B1534" t="str">
        <f>MID(TB_CECO[[#This Row],[TRABAJO]],1,SEARCH(",",TB_CECO[[#This Row],[TRABAJO]],1)-1)</f>
        <v>SNV 163 SW (CH 107)</v>
      </c>
      <c r="C15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163 SW (CH 107),SUMINISTROS     </v>
      </c>
      <c r="D15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34" s="47" t="s">
        <v>3017</v>
      </c>
      <c r="G1534" t="s">
        <v>3018</v>
      </c>
      <c r="H15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35" spans="1:8" ht="15" customHeight="1" x14ac:dyDescent="0.25">
      <c r="A1535" t="str">
        <f>MID(TB_CECO[[#This Row],[CECO_T]],1,5)</f>
        <v>1E505</v>
      </c>
      <c r="B1535" t="str">
        <f>MID(TB_CECO[[#This Row],[TRABAJO]],1,SEARCH(",",TB_CECO[[#This Row],[TRABAJO]],1)-1)</f>
        <v>SNV 163 SW (CH 107)</v>
      </c>
      <c r="C15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163 SW (CH 107),SOSTENIMIENTO   </v>
      </c>
      <c r="D15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35" s="47" t="s">
        <v>3019</v>
      </c>
      <c r="G1535" t="s">
        <v>3020</v>
      </c>
      <c r="H15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36" spans="1:8" ht="15" customHeight="1" x14ac:dyDescent="0.25">
      <c r="A1536" t="str">
        <f>MID(TB_CECO[[#This Row],[CECO_T]],1,5)</f>
        <v>1E505</v>
      </c>
      <c r="B1536" t="str">
        <f>MID(TB_CECO[[#This Row],[TRABAJO]],1,SEARCH(",",TB_CECO[[#This Row],[TRABAJO]],1)-1)</f>
        <v>SNV 163 SW (CH 107)</v>
      </c>
      <c r="C15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163 SW (CH 107),SERVICIO        </v>
      </c>
      <c r="D15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36" s="47" t="s">
        <v>3021</v>
      </c>
      <c r="G1536" t="s">
        <v>3022</v>
      </c>
      <c r="H15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37" spans="1:8" ht="15" customHeight="1" x14ac:dyDescent="0.25">
      <c r="A1537" t="str">
        <f>MID(TB_CECO[[#This Row],[CECO_T]],1,5)</f>
        <v>1E505</v>
      </c>
      <c r="B1537" t="str">
        <f>MID(TB_CECO[[#This Row],[TRABAJO]],1,SEARCH(",",TB_CECO[[#This Row],[TRABAJO]],1)-1)</f>
        <v>SNV 163 SW (CH 107)</v>
      </c>
      <c r="C15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163 SW (CH 107),REHABILITACION  </v>
      </c>
      <c r="D15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37" s="47" t="s">
        <v>3023</v>
      </c>
      <c r="G1537" t="s">
        <v>3024</v>
      </c>
      <c r="H15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38" spans="1:8" ht="15" customHeight="1" x14ac:dyDescent="0.25">
      <c r="A1538" t="str">
        <f>MID(TB_CECO[[#This Row],[CECO_T]],1,5)</f>
        <v>1E506</v>
      </c>
      <c r="B1538" t="str">
        <f>MID(TB_CECO[[#This Row],[TRABAJO]],1,SEARCH(",",TB_CECO[[#This Row],[TRABAJO]],1)-1)</f>
        <v>SNV 163 NE (CH 107)</v>
      </c>
      <c r="C15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163 NE (CH 107),SUMINISTROS     </v>
      </c>
      <c r="D15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38" s="47" t="s">
        <v>3025</v>
      </c>
      <c r="G1538" t="s">
        <v>3026</v>
      </c>
      <c r="H15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39" spans="1:8" ht="15" customHeight="1" x14ac:dyDescent="0.25">
      <c r="A1539" t="str">
        <f>MID(TB_CECO[[#This Row],[CECO_T]],1,5)</f>
        <v>1E506</v>
      </c>
      <c r="B1539" t="str">
        <f>MID(TB_CECO[[#This Row],[TRABAJO]],1,SEARCH(",",TB_CECO[[#This Row],[TRABAJO]],1)-1)</f>
        <v>SNV 163 NE (CH 107)</v>
      </c>
      <c r="C15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163 NE (CH 107),SOSTENIMIENTO   </v>
      </c>
      <c r="D15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39" s="47" t="s">
        <v>3027</v>
      </c>
      <c r="G1539" t="s">
        <v>3028</v>
      </c>
      <c r="H15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40" spans="1:8" ht="15" customHeight="1" x14ac:dyDescent="0.25">
      <c r="A1540" t="str">
        <f>MID(TB_CECO[[#This Row],[CECO_T]],1,5)</f>
        <v>1E506</v>
      </c>
      <c r="B1540" t="str">
        <f>MID(TB_CECO[[#This Row],[TRABAJO]],1,SEARCH(",",TB_CECO[[#This Row],[TRABAJO]],1)-1)</f>
        <v>SNV 163 NE (CH 107)</v>
      </c>
      <c r="C15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163 NE (CH 107),SERVICIO        </v>
      </c>
      <c r="D15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40" s="47" t="s">
        <v>3029</v>
      </c>
      <c r="G1540" t="s">
        <v>3030</v>
      </c>
      <c r="H15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41" spans="1:8" ht="15" customHeight="1" x14ac:dyDescent="0.25">
      <c r="A1541" t="str">
        <f>MID(TB_CECO[[#This Row],[CECO_T]],1,5)</f>
        <v>1E506</v>
      </c>
      <c r="B1541" t="str">
        <f>MID(TB_CECO[[#This Row],[TRABAJO]],1,SEARCH(",",TB_CECO[[#This Row],[TRABAJO]],1)-1)</f>
        <v>SNV 163 NE (CH 107)</v>
      </c>
      <c r="C15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163 NE (CH 107),REHABILITACION  </v>
      </c>
      <c r="D15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41" s="47" t="s">
        <v>3031</v>
      </c>
      <c r="G1541" t="s">
        <v>3032</v>
      </c>
      <c r="H15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42" spans="1:8" ht="15" customHeight="1" x14ac:dyDescent="0.25">
      <c r="A1542" t="str">
        <f>MID(TB_CECO[[#This Row],[CECO_T]],1,5)</f>
        <v>1E527</v>
      </c>
      <c r="B1542" t="str">
        <f>MID(TB_CECO[[#This Row],[TRABAJO]],1,SEARCH(",",TB_CECO[[#This Row],[TRABAJO]],1)-1)</f>
        <v>Snv 158 SW (Ch 044)</v>
      </c>
      <c r="C15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158 SW (Ch 044),SUMINISTROS</v>
      </c>
      <c r="D15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42" s="47" t="s">
        <v>3033</v>
      </c>
      <c r="G1542" t="s">
        <v>3034</v>
      </c>
      <c r="H15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43" spans="1:8" ht="15" customHeight="1" x14ac:dyDescent="0.25">
      <c r="A1543" t="str">
        <f>MID(TB_CECO[[#This Row],[CECO_T]],1,5)</f>
        <v>1E527</v>
      </c>
      <c r="B1543" t="str">
        <f>MID(TB_CECO[[#This Row],[TRABAJO]],1,SEARCH(",",TB_CECO[[#This Row],[TRABAJO]],1)-1)</f>
        <v>Snv 158 SW (Ch 044)</v>
      </c>
      <c r="C15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158 SW (Ch 044),SOSTENIMIENTO</v>
      </c>
      <c r="D15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43" s="47" t="s">
        <v>3035</v>
      </c>
      <c r="G1543" t="s">
        <v>3036</v>
      </c>
      <c r="H15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44" spans="1:8" ht="15" customHeight="1" x14ac:dyDescent="0.25">
      <c r="A1544" t="str">
        <f>MID(TB_CECO[[#This Row],[CECO_T]],1,5)</f>
        <v>1E527</v>
      </c>
      <c r="B1544" t="str">
        <f>MID(TB_CECO[[#This Row],[TRABAJO]],1,SEARCH(",",TB_CECO[[#This Row],[TRABAJO]],1)-1)</f>
        <v>Snv 158 SW (Ch 044)</v>
      </c>
      <c r="C15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158 SW (Ch 044),SERVICIO</v>
      </c>
      <c r="D15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44" s="47" t="s">
        <v>3037</v>
      </c>
      <c r="G1544" t="s">
        <v>3038</v>
      </c>
      <c r="H15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45" spans="1:8" ht="15" customHeight="1" x14ac:dyDescent="0.25">
      <c r="A1545" t="str">
        <f>MID(TB_CECO[[#This Row],[CECO_T]],1,5)</f>
        <v>1E527</v>
      </c>
      <c r="B1545" t="str">
        <f>MID(TB_CECO[[#This Row],[TRABAJO]],1,SEARCH(",",TB_CECO[[#This Row],[TRABAJO]],1)-1)</f>
        <v>Snv 158 SW (Ch 044)</v>
      </c>
      <c r="C15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158 SW (Ch 044),REHABILITACION</v>
      </c>
      <c r="D15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45" s="47" t="s">
        <v>3039</v>
      </c>
      <c r="G1545" t="s">
        <v>3040</v>
      </c>
      <c r="H15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46" spans="1:8" ht="15" customHeight="1" x14ac:dyDescent="0.25">
      <c r="A1546" t="str">
        <f>MID(TB_CECO[[#This Row],[CECO_T]],1,5)</f>
        <v>1E547</v>
      </c>
      <c r="B1546" t="str">
        <f>MID(TB_CECO[[#This Row],[TRABAJO]],1,SEARCH(",",TB_CECO[[#This Row],[TRABAJO]],1)-1)</f>
        <v>Snv 043 SE (Snv 129 SE)</v>
      </c>
      <c r="C15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043 SE (Snv 129 SE),SUMINISTROS</v>
      </c>
      <c r="D15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46" s="47" t="s">
        <v>3041</v>
      </c>
      <c r="G1546" t="s">
        <v>3042</v>
      </c>
      <c r="H15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47" spans="1:8" ht="15" customHeight="1" x14ac:dyDescent="0.25">
      <c r="A1547" t="str">
        <f>MID(TB_CECO[[#This Row],[CECO_T]],1,5)</f>
        <v>1E547</v>
      </c>
      <c r="B1547" t="str">
        <f>MID(TB_CECO[[#This Row],[TRABAJO]],1,SEARCH(",",TB_CECO[[#This Row],[TRABAJO]],1)-1)</f>
        <v>Snv 043 SE (Snv 129 SE)</v>
      </c>
      <c r="C15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043 SE (Snv 129 SE),SOSTENIMIENTO</v>
      </c>
      <c r="D15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47" s="47" t="s">
        <v>3043</v>
      </c>
      <c r="G1547" t="s">
        <v>3044</v>
      </c>
      <c r="H15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48" spans="1:8" ht="15" customHeight="1" x14ac:dyDescent="0.25">
      <c r="A1548" t="str">
        <f>MID(TB_CECO[[#This Row],[CECO_T]],1,5)</f>
        <v>1E547</v>
      </c>
      <c r="B1548" t="str">
        <f>MID(TB_CECO[[#This Row],[TRABAJO]],1,SEARCH(",",TB_CECO[[#This Row],[TRABAJO]],1)-1)</f>
        <v>Snv 043 SE (Snv 129 SE)</v>
      </c>
      <c r="C15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043 SE (Snv 129 SE),SERVICIO</v>
      </c>
      <c r="D15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48" s="47" t="s">
        <v>3045</v>
      </c>
      <c r="G1548" t="s">
        <v>3046</v>
      </c>
      <c r="H15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49" spans="1:8" ht="15" customHeight="1" x14ac:dyDescent="0.25">
      <c r="A1549" t="str">
        <f>MID(TB_CECO[[#This Row],[CECO_T]],1,5)</f>
        <v>1E547</v>
      </c>
      <c r="B1549" t="str">
        <f>MID(TB_CECO[[#This Row],[TRABAJO]],1,SEARCH(",",TB_CECO[[#This Row],[TRABAJO]],1)-1)</f>
        <v>Snv 043 SE (Snv 129 SE)</v>
      </c>
      <c r="C15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043 SE (Snv 129 SE),REHABILITACION</v>
      </c>
      <c r="D15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49" s="47" t="s">
        <v>3047</v>
      </c>
      <c r="G1549" t="s">
        <v>3048</v>
      </c>
      <c r="H15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50" spans="1:8" ht="15" customHeight="1" x14ac:dyDescent="0.25">
      <c r="A1550" t="str">
        <f>MID(TB_CECO[[#This Row],[CECO_T]],1,5)</f>
        <v>1E55P</v>
      </c>
      <c r="B1550" t="str">
        <f>MID(TB_CECO[[#This Row],[TRABAJO]],1,SEARCH(",",TB_CECO[[#This Row],[TRABAJO]],1)-1)</f>
        <v>Snv 829 SW (Est 830 SW)</v>
      </c>
      <c r="C15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829 SW (Est 830 SW),LIMPIEZA</v>
      </c>
      <c r="D15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50" s="47" t="s">
        <v>3049</v>
      </c>
      <c r="G1550" t="s">
        <v>3050</v>
      </c>
      <c r="H15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51" spans="1:8" ht="15" customHeight="1" x14ac:dyDescent="0.25">
      <c r="A1551" t="str">
        <f>MID(TB_CECO[[#This Row],[CECO_T]],1,5)</f>
        <v>1E55P</v>
      </c>
      <c r="B1551" t="str">
        <f>MID(TB_CECO[[#This Row],[TRABAJO]],1,SEARCH(",",TB_CECO[[#This Row],[TRABAJO]],1)-1)</f>
        <v>Snv 829 SW (Est 830 SW)</v>
      </c>
      <c r="C15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829 SW (Est 830 SW),SERVICIO</v>
      </c>
      <c r="D15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51" s="47" t="s">
        <v>3051</v>
      </c>
      <c r="G1551" t="s">
        <v>3052</v>
      </c>
      <c r="H15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52" spans="1:8" ht="15" customHeight="1" x14ac:dyDescent="0.25">
      <c r="A1552" t="str">
        <f>MID(TB_CECO[[#This Row],[CECO_T]],1,5)</f>
        <v>1E55P</v>
      </c>
      <c r="B1552" t="str">
        <f>MID(TB_CECO[[#This Row],[TRABAJO]],1,SEARCH(",",TB_CECO[[#This Row],[TRABAJO]],1)-1)</f>
        <v>Snv 829 SW (Est 830 SW)</v>
      </c>
      <c r="C15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829 SW (Est 830 SW),PERFORACION</v>
      </c>
      <c r="D15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52" s="47" t="s">
        <v>3053</v>
      </c>
      <c r="G1552" t="s">
        <v>3054</v>
      </c>
      <c r="H15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53" spans="1:8" ht="15" customHeight="1" x14ac:dyDescent="0.25">
      <c r="A1553" t="str">
        <f>MID(TB_CECO[[#This Row],[CECO_T]],1,5)</f>
        <v>1E55P</v>
      </c>
      <c r="B1553" t="str">
        <f>MID(TB_CECO[[#This Row],[TRABAJO]],1,SEARCH(",",TB_CECO[[#This Row],[TRABAJO]],1)-1)</f>
        <v>Snv 829 SW (Est 830 SW)</v>
      </c>
      <c r="C15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829 SW (Est 830 SW),SOSTENIMIENTO</v>
      </c>
      <c r="D15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53" s="47" t="s">
        <v>3055</v>
      </c>
      <c r="G1553" t="s">
        <v>3056</v>
      </c>
      <c r="H15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54" spans="1:8" ht="15" customHeight="1" x14ac:dyDescent="0.25">
      <c r="A1554" t="str">
        <f>MID(TB_CECO[[#This Row],[CECO_T]],1,5)</f>
        <v>1E55P</v>
      </c>
      <c r="B1554" t="str">
        <f>MID(TB_CECO[[#This Row],[TRABAJO]],1,SEARCH(",",TB_CECO[[#This Row],[TRABAJO]],1)-1)</f>
        <v>Snv 829 SW (Est 830 SW)</v>
      </c>
      <c r="C15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829 SW (Est 830 SW),VOLADURA</v>
      </c>
      <c r="D15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54" s="47" t="s">
        <v>3057</v>
      </c>
      <c r="G1554" t="s">
        <v>3058</v>
      </c>
      <c r="H15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55" spans="1:8" ht="15" customHeight="1" x14ac:dyDescent="0.25">
      <c r="A1555" t="str">
        <f>MID(TB_CECO[[#This Row],[CECO_T]],1,5)</f>
        <v>1E55S</v>
      </c>
      <c r="B1555" t="str">
        <f>MID(TB_CECO[[#This Row],[TRABAJO]],1,SEARCH(",",TB_CECO[[#This Row],[TRABAJO]],1)-1)</f>
        <v>Snv 088 NE (Tj 077 NE)</v>
      </c>
      <c r="C15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NE (Tj 077 NE),LIMPIEZA</v>
      </c>
      <c r="D15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55" s="47" t="s">
        <v>3059</v>
      </c>
      <c r="G1555" t="s">
        <v>3060</v>
      </c>
      <c r="H15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56" spans="1:8" ht="15" customHeight="1" x14ac:dyDescent="0.25">
      <c r="A1556" t="str">
        <f>MID(TB_CECO[[#This Row],[CECO_T]],1,5)</f>
        <v>1E55S</v>
      </c>
      <c r="B1556" t="str">
        <f>MID(TB_CECO[[#This Row],[TRABAJO]],1,SEARCH(",",TB_CECO[[#This Row],[TRABAJO]],1)-1)</f>
        <v>Snv 088 NE (Tj 077 NE)</v>
      </c>
      <c r="C15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NE (Tj 077 NE),SERVICIO</v>
      </c>
      <c r="D15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56" s="47" t="s">
        <v>3061</v>
      </c>
      <c r="G1556" t="s">
        <v>3062</v>
      </c>
      <c r="H15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57" spans="1:8" ht="15" customHeight="1" x14ac:dyDescent="0.25">
      <c r="A1557" t="str">
        <f>MID(TB_CECO[[#This Row],[CECO_T]],1,5)</f>
        <v>1E55S</v>
      </c>
      <c r="B1557" t="str">
        <f>MID(TB_CECO[[#This Row],[TRABAJO]],1,SEARCH(",",TB_CECO[[#This Row],[TRABAJO]],1)-1)</f>
        <v>Snv 088 NE (Tj 077 NE)</v>
      </c>
      <c r="C15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NE (Tj 077 NE),PERFORACION</v>
      </c>
      <c r="D15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57" s="47" t="s">
        <v>3063</v>
      </c>
      <c r="G1557" t="s">
        <v>3064</v>
      </c>
      <c r="H15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58" spans="1:8" ht="15" customHeight="1" x14ac:dyDescent="0.25">
      <c r="A1558" t="str">
        <f>MID(TB_CECO[[#This Row],[CECO_T]],1,5)</f>
        <v>1E55S</v>
      </c>
      <c r="B1558" t="str">
        <f>MID(TB_CECO[[#This Row],[TRABAJO]],1,SEARCH(",",TB_CECO[[#This Row],[TRABAJO]],1)-1)</f>
        <v>Snv 088 NE (Tj 077 NE)</v>
      </c>
      <c r="C15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NE (Tj 077 NE),SOSTENIMIENTO</v>
      </c>
      <c r="D15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58" s="47" t="s">
        <v>3065</v>
      </c>
      <c r="G1558" t="s">
        <v>3066</v>
      </c>
      <c r="H15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59" spans="1:8" ht="15" customHeight="1" x14ac:dyDescent="0.25">
      <c r="A1559" t="str">
        <f>MID(TB_CECO[[#This Row],[CECO_T]],1,5)</f>
        <v>1E55S</v>
      </c>
      <c r="B1559" t="str">
        <f>MID(TB_CECO[[#This Row],[TRABAJO]],1,SEARCH(",",TB_CECO[[#This Row],[TRABAJO]],1)-1)</f>
        <v>Snv 088 NE (Tj 077 NE)</v>
      </c>
      <c r="C15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NE (Tj 077 NE),VOLADURA</v>
      </c>
      <c r="D15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59" s="47" t="s">
        <v>3067</v>
      </c>
      <c r="G1559" t="s">
        <v>3068</v>
      </c>
      <c r="H15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60" spans="1:8" ht="15" customHeight="1" x14ac:dyDescent="0.25">
      <c r="A1560" t="str">
        <f>MID(TB_CECO[[#This Row],[CECO_T]],1,5)</f>
        <v>1E55T</v>
      </c>
      <c r="B1560" t="str">
        <f>MID(TB_CECO[[#This Row],[TRABAJO]],1,SEARCH(",",TB_CECO[[#This Row],[TRABAJO]],1)-1)</f>
        <v>Snv 860 SW (Snv 020 NE)</v>
      </c>
      <c r="C15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860 SW (Snv 020 NE),LIMPIEZA</v>
      </c>
      <c r="D15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60" s="47" t="s">
        <v>3069</v>
      </c>
      <c r="G1560" t="s">
        <v>3070</v>
      </c>
      <c r="H15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61" spans="1:8" ht="15" customHeight="1" x14ac:dyDescent="0.25">
      <c r="A1561" t="str">
        <f>MID(TB_CECO[[#This Row],[CECO_T]],1,5)</f>
        <v>1E55T</v>
      </c>
      <c r="B1561" t="str">
        <f>MID(TB_CECO[[#This Row],[TRABAJO]],1,SEARCH(",",TB_CECO[[#This Row],[TRABAJO]],1)-1)</f>
        <v>Snv 860 SW (Snv 020 NE)</v>
      </c>
      <c r="C15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860 SW (Snv 020 NE),SERVICIO</v>
      </c>
      <c r="D15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61" s="47" t="s">
        <v>3071</v>
      </c>
      <c r="G1561" t="s">
        <v>3072</v>
      </c>
      <c r="H15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62" spans="1:8" ht="15" customHeight="1" x14ac:dyDescent="0.25">
      <c r="A1562" t="str">
        <f>MID(TB_CECO[[#This Row],[CECO_T]],1,5)</f>
        <v>1E55T</v>
      </c>
      <c r="B1562" t="str">
        <f>MID(TB_CECO[[#This Row],[TRABAJO]],1,SEARCH(",",TB_CECO[[#This Row],[TRABAJO]],1)-1)</f>
        <v>Snv 860 SW (Snv 020 NE)</v>
      </c>
      <c r="C15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860 SW (Snv 020 NE),PERFORACION</v>
      </c>
      <c r="D15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62" s="47" t="s">
        <v>3073</v>
      </c>
      <c r="G1562" t="s">
        <v>3074</v>
      </c>
      <c r="H15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63" spans="1:8" ht="15" customHeight="1" x14ac:dyDescent="0.25">
      <c r="A1563" t="str">
        <f>MID(TB_CECO[[#This Row],[CECO_T]],1,5)</f>
        <v>1E55T</v>
      </c>
      <c r="B1563" t="str">
        <f>MID(TB_CECO[[#This Row],[TRABAJO]],1,SEARCH(",",TB_CECO[[#This Row],[TRABAJO]],1)-1)</f>
        <v>Snv 860 SW (Snv 020 NE)</v>
      </c>
      <c r="C15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860 SW (Snv 020 NE),SOSTENIMIENTO</v>
      </c>
      <c r="D15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63" s="47" t="s">
        <v>3075</v>
      </c>
      <c r="G1563" t="s">
        <v>3076</v>
      </c>
      <c r="H15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64" spans="1:8" ht="15" customHeight="1" x14ac:dyDescent="0.25">
      <c r="A1564" t="str">
        <f>MID(TB_CECO[[#This Row],[CECO_T]],1,5)</f>
        <v>1E55T</v>
      </c>
      <c r="B1564" t="str">
        <f>MID(TB_CECO[[#This Row],[TRABAJO]],1,SEARCH(",",TB_CECO[[#This Row],[TRABAJO]],1)-1)</f>
        <v>Snv 860 SW (Snv 020 NE)</v>
      </c>
      <c r="C15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860 SW (Snv 020 NE),VOLADURA</v>
      </c>
      <c r="D15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64" s="47" t="s">
        <v>3077</v>
      </c>
      <c r="G1564" t="s">
        <v>3078</v>
      </c>
      <c r="H15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65" spans="1:8" ht="15" customHeight="1" x14ac:dyDescent="0.25">
      <c r="A1565" t="str">
        <f>MID(TB_CECO[[#This Row],[CECO_T]],1,5)</f>
        <v>1E56C</v>
      </c>
      <c r="B1565" t="str">
        <f>MID(TB_CECO[[#This Row],[TRABAJO]],1,SEARCH(",",TB_CECO[[#This Row],[TRABAJO]],1)-1)</f>
        <v>Snv  015 SW (Ch 835)</v>
      </c>
      <c r="C15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  015 SW (Ch 835),LIMPIEZA</v>
      </c>
      <c r="D15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65" s="47" t="s">
        <v>3079</v>
      </c>
      <c r="G1565" t="s">
        <v>3080</v>
      </c>
      <c r="H15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66" spans="1:8" ht="15" customHeight="1" x14ac:dyDescent="0.25">
      <c r="A1566" t="str">
        <f>MID(TB_CECO[[#This Row],[CECO_T]],1,5)</f>
        <v>1E56C</v>
      </c>
      <c r="B1566" t="str">
        <f>MID(TB_CECO[[#This Row],[TRABAJO]],1,SEARCH(",",TB_CECO[[#This Row],[TRABAJO]],1)-1)</f>
        <v>Snv  015 SW (Ch 835)</v>
      </c>
      <c r="C15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  015 SW (Ch 835),SERVICIO</v>
      </c>
      <c r="D15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66" s="47" t="s">
        <v>3081</v>
      </c>
      <c r="G1566" t="s">
        <v>3082</v>
      </c>
      <c r="H15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67" spans="1:8" ht="15" customHeight="1" x14ac:dyDescent="0.25">
      <c r="A1567" t="str">
        <f>MID(TB_CECO[[#This Row],[CECO_T]],1,5)</f>
        <v>1E56C</v>
      </c>
      <c r="B1567" t="str">
        <f>MID(TB_CECO[[#This Row],[TRABAJO]],1,SEARCH(",",TB_CECO[[#This Row],[TRABAJO]],1)-1)</f>
        <v>Snv  015 SW (Ch 835)</v>
      </c>
      <c r="C15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  015 SW (Ch 835),PERFORACION</v>
      </c>
      <c r="D15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67" s="47" t="s">
        <v>3083</v>
      </c>
      <c r="G1567" t="s">
        <v>3084</v>
      </c>
      <c r="H15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68" spans="1:8" ht="15" customHeight="1" x14ac:dyDescent="0.25">
      <c r="A1568" t="str">
        <f>MID(TB_CECO[[#This Row],[CECO_T]],1,5)</f>
        <v>1E56C</v>
      </c>
      <c r="B1568" t="str">
        <f>MID(TB_CECO[[#This Row],[TRABAJO]],1,SEARCH(",",TB_CECO[[#This Row],[TRABAJO]],1)-1)</f>
        <v>Snv  015 SW (Ch 835)</v>
      </c>
      <c r="C15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  015 SW (Ch 835),SOSTENIMIENTO</v>
      </c>
      <c r="D15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68" s="47" t="s">
        <v>3085</v>
      </c>
      <c r="G1568" t="s">
        <v>3086</v>
      </c>
      <c r="H15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69" spans="1:8" ht="15" customHeight="1" x14ac:dyDescent="0.25">
      <c r="A1569" t="str">
        <f>MID(TB_CECO[[#This Row],[CECO_T]],1,5)</f>
        <v>1E56C</v>
      </c>
      <c r="B1569" t="str">
        <f>MID(TB_CECO[[#This Row],[TRABAJO]],1,SEARCH(",",TB_CECO[[#This Row],[TRABAJO]],1)-1)</f>
        <v>Snv  015 SW (Ch 835)</v>
      </c>
      <c r="C15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  015 SW (Ch 835),VOLADURA</v>
      </c>
      <c r="D15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69" s="47" t="s">
        <v>3087</v>
      </c>
      <c r="G1569" t="s">
        <v>3088</v>
      </c>
      <c r="H15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70" spans="1:8" ht="15" customHeight="1" x14ac:dyDescent="0.25">
      <c r="A1570" t="str">
        <f>MID(TB_CECO[[#This Row],[CECO_T]],1,5)</f>
        <v>1E56D</v>
      </c>
      <c r="B1570" t="str">
        <f>MID(TB_CECO[[#This Row],[TRABAJO]],1,SEARCH(",",TB_CECO[[#This Row],[TRABAJO]],1)-1)</f>
        <v>Snv 834 SW (Tj 829 SW)</v>
      </c>
      <c r="C15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834 SW (Tj 829 SW),LIMPIEZA</v>
      </c>
      <c r="D15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70" s="47" t="s">
        <v>3089</v>
      </c>
      <c r="G1570" t="s">
        <v>3090</v>
      </c>
      <c r="H15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71" spans="1:8" ht="15" customHeight="1" x14ac:dyDescent="0.25">
      <c r="A1571" t="str">
        <f>MID(TB_CECO[[#This Row],[CECO_T]],1,5)</f>
        <v>1E56D</v>
      </c>
      <c r="B1571" t="str">
        <f>MID(TB_CECO[[#This Row],[TRABAJO]],1,SEARCH(",",TB_CECO[[#This Row],[TRABAJO]],1)-1)</f>
        <v>Snv 834 SW (Tj 829 SW)</v>
      </c>
      <c r="C15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834 SW (Tj 829 SW),SERVICIO</v>
      </c>
      <c r="D15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71" s="47" t="s">
        <v>3091</v>
      </c>
      <c r="G1571" t="s">
        <v>3092</v>
      </c>
      <c r="H15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72" spans="1:8" ht="15" customHeight="1" x14ac:dyDescent="0.25">
      <c r="A1572" t="str">
        <f>MID(TB_CECO[[#This Row],[CECO_T]],1,5)</f>
        <v>1E56D</v>
      </c>
      <c r="B1572" t="str">
        <f>MID(TB_CECO[[#This Row],[TRABAJO]],1,SEARCH(",",TB_CECO[[#This Row],[TRABAJO]],1)-1)</f>
        <v>Snv 834 SW (Tj 829 SW)</v>
      </c>
      <c r="C15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834 SW (Tj 829 SW),PERFORACION</v>
      </c>
      <c r="D15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72" s="47" t="s">
        <v>3093</v>
      </c>
      <c r="G1572" t="s">
        <v>3094</v>
      </c>
      <c r="H15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73" spans="1:8" ht="15" customHeight="1" x14ac:dyDescent="0.25">
      <c r="A1573" t="str">
        <f>MID(TB_CECO[[#This Row],[CECO_T]],1,5)</f>
        <v>1E56D</v>
      </c>
      <c r="B1573" t="str">
        <f>MID(TB_CECO[[#This Row],[TRABAJO]],1,SEARCH(",",TB_CECO[[#This Row],[TRABAJO]],1)-1)</f>
        <v>Snv 834 SW (Tj 829 SW)</v>
      </c>
      <c r="C15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834 SW (Tj 829 SW),SOSTENIMIENTO</v>
      </c>
      <c r="D15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73" s="47" t="s">
        <v>3095</v>
      </c>
      <c r="G1573" t="s">
        <v>3096</v>
      </c>
      <c r="H15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74" spans="1:8" ht="15" customHeight="1" x14ac:dyDescent="0.25">
      <c r="A1574" t="str">
        <f>MID(TB_CECO[[#This Row],[CECO_T]],1,5)</f>
        <v>1E56D</v>
      </c>
      <c r="B1574" t="str">
        <f>MID(TB_CECO[[#This Row],[TRABAJO]],1,SEARCH(",",TB_CECO[[#This Row],[TRABAJO]],1)-1)</f>
        <v>Snv 834 SW (Tj 829 SW)</v>
      </c>
      <c r="C15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834 SW (Tj 829 SW),VOLADURA</v>
      </c>
      <c r="D15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74" s="47" t="s">
        <v>3097</v>
      </c>
      <c r="G1574" t="s">
        <v>3098</v>
      </c>
      <c r="H15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75" spans="1:8" ht="15" customHeight="1" x14ac:dyDescent="0.25">
      <c r="A1575" t="str">
        <f>MID(TB_CECO[[#This Row],[CECO_T]],1,5)</f>
        <v>1E631</v>
      </c>
      <c r="B1575" t="str">
        <f>MID(TB_CECO[[#This Row],[TRABAJO]],1,SEARCH(",",TB_CECO[[#This Row],[TRABAJO]],1)-1)</f>
        <v>EST 085 SE (SNV 090 NE)</v>
      </c>
      <c r="C15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085 SE (SNV 090 NE),SUMINISTROS</v>
      </c>
      <c r="D15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75" s="47" t="s">
        <v>3099</v>
      </c>
      <c r="G1575" t="s">
        <v>3100</v>
      </c>
      <c r="H15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76" spans="1:8" ht="15" customHeight="1" x14ac:dyDescent="0.25">
      <c r="A1576" t="str">
        <f>MID(TB_CECO[[#This Row],[CECO_T]],1,5)</f>
        <v>1E631</v>
      </c>
      <c r="B1576" t="str">
        <f>MID(TB_CECO[[#This Row],[TRABAJO]],1,SEARCH(",",TB_CECO[[#This Row],[TRABAJO]],1)-1)</f>
        <v>EST 085 SE (SNV 090 NE)</v>
      </c>
      <c r="C15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085 SE (SNV 090 NE),SOSTENIMIENTO</v>
      </c>
      <c r="D15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76" s="47" t="s">
        <v>3101</v>
      </c>
      <c r="G1576" t="s">
        <v>3102</v>
      </c>
      <c r="H15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77" spans="1:8" ht="15" customHeight="1" x14ac:dyDescent="0.25">
      <c r="A1577" t="str">
        <f>MID(TB_CECO[[#This Row],[CECO_T]],1,5)</f>
        <v>1E631</v>
      </c>
      <c r="B1577" t="str">
        <f>MID(TB_CECO[[#This Row],[TRABAJO]],1,SEARCH(",",TB_CECO[[#This Row],[TRABAJO]],1)-1)</f>
        <v>EST 085 SE (SNV 090 NE)</v>
      </c>
      <c r="C15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085 SE (SNV 090 NE),SERVICIO</v>
      </c>
      <c r="D15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77" s="47" t="s">
        <v>3103</v>
      </c>
      <c r="G1577" t="s">
        <v>3104</v>
      </c>
      <c r="H15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78" spans="1:8" ht="15" customHeight="1" x14ac:dyDescent="0.25">
      <c r="A1578" t="str">
        <f>MID(TB_CECO[[#This Row],[CECO_T]],1,5)</f>
        <v>1E631</v>
      </c>
      <c r="B1578" t="str">
        <f>MID(TB_CECO[[#This Row],[TRABAJO]],1,SEARCH(",",TB_CECO[[#This Row],[TRABAJO]],1)-1)</f>
        <v>EST 085 SE (SNV 090 NE)</v>
      </c>
      <c r="C15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085 SE (SNV 090 NE),REHABILITACION</v>
      </c>
      <c r="D15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78" s="47" t="s">
        <v>3105</v>
      </c>
      <c r="G1578" t="s">
        <v>3106</v>
      </c>
      <c r="H15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79" spans="1:8" ht="15" customHeight="1" x14ac:dyDescent="0.25">
      <c r="A1579" t="str">
        <f>MID(TB_CECO[[#This Row],[CECO_T]],1,5)</f>
        <v>1E634</v>
      </c>
      <c r="B1579" t="str">
        <f>MID(TB_CECO[[#This Row],[TRABAJO]],1,SEARCH(",",TB_CECO[[#This Row],[TRABAJO]],1)-1)</f>
        <v>EST 108 SE (SNV 090 NE)</v>
      </c>
      <c r="C15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108 SE (SNV 090 NE),SUMINISTROS</v>
      </c>
      <c r="D15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79" s="47" t="s">
        <v>3107</v>
      </c>
      <c r="G1579" t="s">
        <v>3108</v>
      </c>
      <c r="H15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80" spans="1:8" ht="15" customHeight="1" x14ac:dyDescent="0.25">
      <c r="A1580" t="str">
        <f>MID(TB_CECO[[#This Row],[CECO_T]],1,5)</f>
        <v>1E634</v>
      </c>
      <c r="B1580" t="str">
        <f>MID(TB_CECO[[#This Row],[TRABAJO]],1,SEARCH(",",TB_CECO[[#This Row],[TRABAJO]],1)-1)</f>
        <v>EST 108 SE (SNV 090 NE)</v>
      </c>
      <c r="C15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108 SE (SNV 090 NE),SOSTENIMIENTO</v>
      </c>
      <c r="D15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80" s="47" t="s">
        <v>3109</v>
      </c>
      <c r="G1580" t="s">
        <v>3110</v>
      </c>
      <c r="H15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81" spans="1:8" ht="15" customHeight="1" x14ac:dyDescent="0.25">
      <c r="A1581" t="str">
        <f>MID(TB_CECO[[#This Row],[CECO_T]],1,5)</f>
        <v>1E634</v>
      </c>
      <c r="B1581" t="str">
        <f>MID(TB_CECO[[#This Row],[TRABAJO]],1,SEARCH(",",TB_CECO[[#This Row],[TRABAJO]],1)-1)</f>
        <v>EST 108 SE (SNV 090 NE)</v>
      </c>
      <c r="C15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108 SE (SNV 090 NE),SERVICIO</v>
      </c>
      <c r="D15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81" s="47" t="s">
        <v>3111</v>
      </c>
      <c r="G1581" t="s">
        <v>3112</v>
      </c>
      <c r="H15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82" spans="1:8" ht="15" customHeight="1" x14ac:dyDescent="0.25">
      <c r="A1582" t="str">
        <f>MID(TB_CECO[[#This Row],[CECO_T]],1,5)</f>
        <v>1E634</v>
      </c>
      <c r="B1582" t="str">
        <f>MID(TB_CECO[[#This Row],[TRABAJO]],1,SEARCH(",",TB_CECO[[#This Row],[TRABAJO]],1)-1)</f>
        <v>EST 108 SE (SNV 090 NE)</v>
      </c>
      <c r="C15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108 SE (SNV 090 NE),REHABILITACION</v>
      </c>
      <c r="D15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82" s="47" t="s">
        <v>3113</v>
      </c>
      <c r="G1582" t="s">
        <v>3114</v>
      </c>
      <c r="H15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83" spans="1:8" ht="15" customHeight="1" x14ac:dyDescent="0.25">
      <c r="A1583" t="str">
        <f>MID(TB_CECO[[#This Row],[CECO_T]],1,5)</f>
        <v>1E636</v>
      </c>
      <c r="B1583" t="str">
        <f>MID(TB_CECO[[#This Row],[TRABAJO]],1,SEARCH(",",TB_CECO[[#This Row],[TRABAJO]],1)-1)</f>
        <v>Est 080 SE (Snv 092 SW)</v>
      </c>
      <c r="C15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080 SE (Snv 092 SW),SUMINISTROS</v>
      </c>
      <c r="D15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83" s="47" t="s">
        <v>3115</v>
      </c>
      <c r="G1583" t="s">
        <v>3116</v>
      </c>
      <c r="H15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84" spans="1:8" ht="15" customHeight="1" x14ac:dyDescent="0.25">
      <c r="A1584" t="str">
        <f>MID(TB_CECO[[#This Row],[CECO_T]],1,5)</f>
        <v>1E636</v>
      </c>
      <c r="B1584" t="str">
        <f>MID(TB_CECO[[#This Row],[TRABAJO]],1,SEARCH(",",TB_CECO[[#This Row],[TRABAJO]],1)-1)</f>
        <v>Est 080 SE (Snv 092 SW)</v>
      </c>
      <c r="C15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080 SE (Snv 092 SW),SOSTENIMIENTO</v>
      </c>
      <c r="D15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84" s="47" t="s">
        <v>3117</v>
      </c>
      <c r="G1584" t="s">
        <v>3118</v>
      </c>
      <c r="H15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85" spans="1:8" ht="15" customHeight="1" x14ac:dyDescent="0.25">
      <c r="A1585" t="str">
        <f>MID(TB_CECO[[#This Row],[CECO_T]],1,5)</f>
        <v>1E636</v>
      </c>
      <c r="B1585" t="str">
        <f>MID(TB_CECO[[#This Row],[TRABAJO]],1,SEARCH(",",TB_CECO[[#This Row],[TRABAJO]],1)-1)</f>
        <v>Est 080 SE (Snv 092 SW)</v>
      </c>
      <c r="C15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080 SE (Snv 092 SW),SERVICIO</v>
      </c>
      <c r="D15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85" s="47" t="s">
        <v>3119</v>
      </c>
      <c r="G1585" t="s">
        <v>3120</v>
      </c>
      <c r="H15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86" spans="1:8" ht="15" customHeight="1" x14ac:dyDescent="0.25">
      <c r="A1586" t="str">
        <f>MID(TB_CECO[[#This Row],[CECO_T]],1,5)</f>
        <v>1E636</v>
      </c>
      <c r="B1586" t="str">
        <f>MID(TB_CECO[[#This Row],[TRABAJO]],1,SEARCH(",",TB_CECO[[#This Row],[TRABAJO]],1)-1)</f>
        <v>Est 080 SE (Snv 092 SW)</v>
      </c>
      <c r="C15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080 SE (Snv 092 SW),REHABILITACION</v>
      </c>
      <c r="D15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86" s="47" t="s">
        <v>3121</v>
      </c>
      <c r="G1586" t="s">
        <v>3122</v>
      </c>
      <c r="H15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87" spans="1:8" ht="15" customHeight="1" x14ac:dyDescent="0.25">
      <c r="A1587" t="str">
        <f>MID(TB_CECO[[#This Row],[CECO_T]],1,5)</f>
        <v>1E637</v>
      </c>
      <c r="B1587" t="str">
        <f>MID(TB_CECO[[#This Row],[TRABAJO]],1,SEARCH(",",TB_CECO[[#This Row],[TRABAJO]],1)-1)</f>
        <v>Est 109 NE (Est 108 SE)</v>
      </c>
      <c r="C15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109 NE (Est 108 SE),SUMINISTROS</v>
      </c>
      <c r="D15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87" s="47" t="s">
        <v>3123</v>
      </c>
      <c r="G1587" t="s">
        <v>3124</v>
      </c>
      <c r="H15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88" spans="1:8" ht="15" customHeight="1" x14ac:dyDescent="0.25">
      <c r="A1588" t="str">
        <f>MID(TB_CECO[[#This Row],[CECO_T]],1,5)</f>
        <v>1E637</v>
      </c>
      <c r="B1588" t="str">
        <f>MID(TB_CECO[[#This Row],[TRABAJO]],1,SEARCH(",",TB_CECO[[#This Row],[TRABAJO]],1)-1)</f>
        <v>Est 109 NE (Est 108 SE)</v>
      </c>
      <c r="C15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109 NE (Est 108 SE),SOSTENIMIENTO</v>
      </c>
      <c r="D15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88" s="47" t="s">
        <v>3125</v>
      </c>
      <c r="G1588" t="s">
        <v>3126</v>
      </c>
      <c r="H15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89" spans="1:8" ht="15" customHeight="1" x14ac:dyDescent="0.25">
      <c r="A1589" t="str">
        <f>MID(TB_CECO[[#This Row],[CECO_T]],1,5)</f>
        <v>1E637</v>
      </c>
      <c r="B1589" t="str">
        <f>MID(TB_CECO[[#This Row],[TRABAJO]],1,SEARCH(",",TB_CECO[[#This Row],[TRABAJO]],1)-1)</f>
        <v>Est 109 NE (Est 108 SE)</v>
      </c>
      <c r="C15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109 NE (Est 108 SE),SERVICIO</v>
      </c>
      <c r="D15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89" s="47" t="s">
        <v>3127</v>
      </c>
      <c r="G1589" t="s">
        <v>3128</v>
      </c>
      <c r="H15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90" spans="1:8" ht="15" customHeight="1" x14ac:dyDescent="0.25">
      <c r="A1590" t="str">
        <f>MID(TB_CECO[[#This Row],[CECO_T]],1,5)</f>
        <v>1E637</v>
      </c>
      <c r="B1590" t="str">
        <f>MID(TB_CECO[[#This Row],[TRABAJO]],1,SEARCH(",",TB_CECO[[#This Row],[TRABAJO]],1)-1)</f>
        <v>Est 109 NE (Est 108 SE)</v>
      </c>
      <c r="C15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109 NE (Est 108 SE),REHABILITACION</v>
      </c>
      <c r="D15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90" s="47" t="s">
        <v>3129</v>
      </c>
      <c r="G1590" t="s">
        <v>3130</v>
      </c>
      <c r="H15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91" spans="1:8" ht="15" customHeight="1" x14ac:dyDescent="0.25">
      <c r="A1591" t="str">
        <f>MID(TB_CECO[[#This Row],[CECO_T]],1,5)</f>
        <v>1E639</v>
      </c>
      <c r="B1591" t="str">
        <f>MID(TB_CECO[[#This Row],[TRABAJO]],1,SEARCH(",",TB_CECO[[#This Row],[TRABAJO]],1)-1)</f>
        <v>Est 115 S (Tj 117 NE)</v>
      </c>
      <c r="C15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115 S (Tj 117 NE),SUMINISTROS</v>
      </c>
      <c r="D15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91" s="47" t="s">
        <v>3131</v>
      </c>
      <c r="G1591" t="s">
        <v>3132</v>
      </c>
      <c r="H15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92" spans="1:8" ht="15" customHeight="1" x14ac:dyDescent="0.25">
      <c r="A1592" t="str">
        <f>MID(TB_CECO[[#This Row],[CECO_T]],1,5)</f>
        <v>1E639</v>
      </c>
      <c r="B1592" t="str">
        <f>MID(TB_CECO[[#This Row],[TRABAJO]],1,SEARCH(",",TB_CECO[[#This Row],[TRABAJO]],1)-1)</f>
        <v>Est 115 S (Tj 117 NE)</v>
      </c>
      <c r="C15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115 S (Tj 117 NE),SOSTENIMIENTO</v>
      </c>
      <c r="D15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92" s="47" t="s">
        <v>3133</v>
      </c>
      <c r="G1592" t="s">
        <v>3134</v>
      </c>
      <c r="H15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93" spans="1:8" ht="15" customHeight="1" x14ac:dyDescent="0.25">
      <c r="A1593" t="str">
        <f>MID(TB_CECO[[#This Row],[CECO_T]],1,5)</f>
        <v>1E639</v>
      </c>
      <c r="B1593" t="str">
        <f>MID(TB_CECO[[#This Row],[TRABAJO]],1,SEARCH(",",TB_CECO[[#This Row],[TRABAJO]],1)-1)</f>
        <v>Est 115 S (Tj 117 NE)</v>
      </c>
      <c r="C15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115 S (Tj 117 NE),SERVICIO</v>
      </c>
      <c r="D15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93" s="47" t="s">
        <v>3135</v>
      </c>
      <c r="G1593" t="s">
        <v>3136</v>
      </c>
      <c r="H15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94" spans="1:8" ht="15" customHeight="1" x14ac:dyDescent="0.25">
      <c r="A1594" t="str">
        <f>MID(TB_CECO[[#This Row],[CECO_T]],1,5)</f>
        <v>1E639</v>
      </c>
      <c r="B1594" t="str">
        <f>MID(TB_CECO[[#This Row],[TRABAJO]],1,SEARCH(",",TB_CECO[[#This Row],[TRABAJO]],1)-1)</f>
        <v>Est 115 S (Tj 117 NE)</v>
      </c>
      <c r="C15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115 S (Tj 117 NE),REHABILITACION</v>
      </c>
      <c r="D15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5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594" s="47" t="s">
        <v>3137</v>
      </c>
      <c r="G1594" t="s">
        <v>3138</v>
      </c>
      <c r="H15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95" spans="1:8" ht="15" customHeight="1" x14ac:dyDescent="0.25">
      <c r="A1595" t="str">
        <f>MID(TB_CECO[[#This Row],[CECO_T]],1,5)</f>
        <v>1E682</v>
      </c>
      <c r="B1595" t="str">
        <f>MID(TB_CECO[[#This Row],[TRABAJO]],1,SEARCH(",",TB_CECO[[#This Row],[TRABAJO]],1)-1)</f>
        <v>Est 810 SW (Snv 868 SW)</v>
      </c>
      <c r="C15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810 SW (Snv 868 SW),LIMPIEZA</v>
      </c>
      <c r="D15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95" s="47" t="s">
        <v>3139</v>
      </c>
      <c r="G1595" t="s">
        <v>3140</v>
      </c>
      <c r="H15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96" spans="1:8" ht="15" customHeight="1" x14ac:dyDescent="0.25">
      <c r="A1596" t="str">
        <f>MID(TB_CECO[[#This Row],[CECO_T]],1,5)</f>
        <v>1E682</v>
      </c>
      <c r="B1596" t="str">
        <f>MID(TB_CECO[[#This Row],[TRABAJO]],1,SEARCH(",",TB_CECO[[#This Row],[TRABAJO]],1)-1)</f>
        <v>Est 810 SW (Snv 868 SW)</v>
      </c>
      <c r="C15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810 SW (Snv 868 SW),SERVICIO</v>
      </c>
      <c r="D15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96" s="47" t="s">
        <v>3141</v>
      </c>
      <c r="G1596" t="s">
        <v>3142</v>
      </c>
      <c r="H15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97" spans="1:8" ht="15" customHeight="1" x14ac:dyDescent="0.25">
      <c r="A1597" t="str">
        <f>MID(TB_CECO[[#This Row],[CECO_T]],1,5)</f>
        <v>1E682</v>
      </c>
      <c r="B1597" t="str">
        <f>MID(TB_CECO[[#This Row],[TRABAJO]],1,SEARCH(",",TB_CECO[[#This Row],[TRABAJO]],1)-1)</f>
        <v>Est 810 SW (Snv 868 SW)</v>
      </c>
      <c r="C15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810 SW (Snv 868 SW),PERFORACION</v>
      </c>
      <c r="D15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97" s="47" t="s">
        <v>3143</v>
      </c>
      <c r="G1597" t="s">
        <v>3144</v>
      </c>
      <c r="H15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98" spans="1:8" ht="15" customHeight="1" x14ac:dyDescent="0.25">
      <c r="A1598" t="str">
        <f>MID(TB_CECO[[#This Row],[CECO_T]],1,5)</f>
        <v>1E682</v>
      </c>
      <c r="B1598" t="str">
        <f>MID(TB_CECO[[#This Row],[TRABAJO]],1,SEARCH(",",TB_CECO[[#This Row],[TRABAJO]],1)-1)</f>
        <v>Est 810 SW (Snv 868 SW)</v>
      </c>
      <c r="C15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810 SW (Snv 868 SW),SOSTENIMIENTO</v>
      </c>
      <c r="D15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98" s="47" t="s">
        <v>3145</v>
      </c>
      <c r="G1598" t="s">
        <v>3146</v>
      </c>
      <c r="H15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599" spans="1:8" ht="15" customHeight="1" x14ac:dyDescent="0.25">
      <c r="A1599" t="str">
        <f>MID(TB_CECO[[#This Row],[CECO_T]],1,5)</f>
        <v>1E682</v>
      </c>
      <c r="B1599" t="str">
        <f>MID(TB_CECO[[#This Row],[TRABAJO]],1,SEARCH(",",TB_CECO[[#This Row],[TRABAJO]],1)-1)</f>
        <v>Est 810 SW (Snv 868 SW)</v>
      </c>
      <c r="C15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810 SW (Snv 868 SW),VOLADURA</v>
      </c>
      <c r="D15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5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599" s="47" t="s">
        <v>3147</v>
      </c>
      <c r="G1599" t="s">
        <v>3148</v>
      </c>
      <c r="H15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00" spans="1:8" ht="15" customHeight="1" x14ac:dyDescent="0.25">
      <c r="A1600" t="str">
        <f>MID(TB_CECO[[#This Row],[CECO_T]],1,5)</f>
        <v>1E683</v>
      </c>
      <c r="B1600" t="str">
        <f>MID(TB_CECO[[#This Row],[TRABAJO]],1,SEARCH(",",TB_CECO[[#This Row],[TRABAJO]],1)-1)</f>
        <v>Est 831 SW (Snv 842 SW)</v>
      </c>
      <c r="C16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831 SW (Snv 842 SW),LIMPIEZA</v>
      </c>
      <c r="D16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00" s="47" t="s">
        <v>3149</v>
      </c>
      <c r="G1600" t="s">
        <v>3150</v>
      </c>
      <c r="H16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01" spans="1:8" ht="15" customHeight="1" x14ac:dyDescent="0.25">
      <c r="A1601" t="str">
        <f>MID(TB_CECO[[#This Row],[CECO_T]],1,5)</f>
        <v>1E683</v>
      </c>
      <c r="B1601" t="str">
        <f>MID(TB_CECO[[#This Row],[TRABAJO]],1,SEARCH(",",TB_CECO[[#This Row],[TRABAJO]],1)-1)</f>
        <v>Est 831 SW (Snv 842 SW)</v>
      </c>
      <c r="C16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831 SW (Snv 842 SW),SERVICIO</v>
      </c>
      <c r="D16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01" s="47" t="s">
        <v>3151</v>
      </c>
      <c r="G1601" t="s">
        <v>3152</v>
      </c>
      <c r="H16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02" spans="1:8" ht="15" customHeight="1" x14ac:dyDescent="0.25">
      <c r="A1602" t="str">
        <f>MID(TB_CECO[[#This Row],[CECO_T]],1,5)</f>
        <v>1E683</v>
      </c>
      <c r="B1602" t="str">
        <f>MID(TB_CECO[[#This Row],[TRABAJO]],1,SEARCH(",",TB_CECO[[#This Row],[TRABAJO]],1)-1)</f>
        <v>Est 831 SW (Snv 842 SW)</v>
      </c>
      <c r="C16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831 SW (Snv 842 SW),PERFORACION</v>
      </c>
      <c r="D16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02" s="47" t="s">
        <v>3153</v>
      </c>
      <c r="G1602" t="s">
        <v>3154</v>
      </c>
      <c r="H16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03" spans="1:8" ht="15" customHeight="1" x14ac:dyDescent="0.25">
      <c r="A1603" t="str">
        <f>MID(TB_CECO[[#This Row],[CECO_T]],1,5)</f>
        <v>1E683</v>
      </c>
      <c r="B1603" t="str">
        <f>MID(TB_CECO[[#This Row],[TRABAJO]],1,SEARCH(",",TB_CECO[[#This Row],[TRABAJO]],1)-1)</f>
        <v>Est 831 SW (Snv 842 SW)</v>
      </c>
      <c r="C16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831 SW (Snv 842 SW),SOSTENIMIENTO</v>
      </c>
      <c r="D16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03" s="47" t="s">
        <v>3155</v>
      </c>
      <c r="G1603" t="s">
        <v>3156</v>
      </c>
      <c r="H16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04" spans="1:8" ht="15" customHeight="1" x14ac:dyDescent="0.25">
      <c r="A1604" t="str">
        <f>MID(TB_CECO[[#This Row],[CECO_T]],1,5)</f>
        <v>1E683</v>
      </c>
      <c r="B1604" t="str">
        <f>MID(TB_CECO[[#This Row],[TRABAJO]],1,SEARCH(",",TB_CECO[[#This Row],[TRABAJO]],1)-1)</f>
        <v>Est 831 SW (Snv 842 SW)</v>
      </c>
      <c r="C16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831 SW (Snv 842 SW),VOLADURA</v>
      </c>
      <c r="D16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04" s="47" t="s">
        <v>3157</v>
      </c>
      <c r="G1604" t="s">
        <v>3158</v>
      </c>
      <c r="H16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05" spans="1:8" ht="15" customHeight="1" x14ac:dyDescent="0.25">
      <c r="A1605" t="str">
        <f>MID(TB_CECO[[#This Row],[CECO_T]],1,5)</f>
        <v>1E684</v>
      </c>
      <c r="B1605" t="str">
        <f>MID(TB_CECO[[#This Row],[TRABAJO]],1,SEARCH(",",TB_CECO[[#This Row],[TRABAJO]],1)-1)</f>
        <v>Est 850 NW (Snv 010 NE)</v>
      </c>
      <c r="C16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850 NW (Snv 010 NE),LIMPIEZA</v>
      </c>
      <c r="D16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05" s="47" t="s">
        <v>3159</v>
      </c>
      <c r="G1605" t="s">
        <v>3160</v>
      </c>
      <c r="H16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06" spans="1:8" ht="15" customHeight="1" x14ac:dyDescent="0.25">
      <c r="A1606" t="str">
        <f>MID(TB_CECO[[#This Row],[CECO_T]],1,5)</f>
        <v>1E684</v>
      </c>
      <c r="B1606" t="str">
        <f>MID(TB_CECO[[#This Row],[TRABAJO]],1,SEARCH(",",TB_CECO[[#This Row],[TRABAJO]],1)-1)</f>
        <v>Est 850 NW (Snv 010 NE)</v>
      </c>
      <c r="C16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850 NW (Snv 010 NE),SERVICIO</v>
      </c>
      <c r="D16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06" s="47" t="s">
        <v>3161</v>
      </c>
      <c r="G1606" t="s">
        <v>3162</v>
      </c>
      <c r="H16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07" spans="1:8" ht="15" customHeight="1" x14ac:dyDescent="0.25">
      <c r="A1607" t="str">
        <f>MID(TB_CECO[[#This Row],[CECO_T]],1,5)</f>
        <v>1E684</v>
      </c>
      <c r="B1607" t="str">
        <f>MID(TB_CECO[[#This Row],[TRABAJO]],1,SEARCH(",",TB_CECO[[#This Row],[TRABAJO]],1)-1)</f>
        <v>Est 850 NW (Snv 010 NE)</v>
      </c>
      <c r="C16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850 NW (Snv 010 NE),PERFORACION</v>
      </c>
      <c r="D16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07" s="47" t="s">
        <v>3163</v>
      </c>
      <c r="G1607" t="s">
        <v>3164</v>
      </c>
      <c r="H16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08" spans="1:8" ht="15" customHeight="1" x14ac:dyDescent="0.25">
      <c r="A1608" t="str">
        <f>MID(TB_CECO[[#This Row],[CECO_T]],1,5)</f>
        <v>1E684</v>
      </c>
      <c r="B1608" t="str">
        <f>MID(TB_CECO[[#This Row],[TRABAJO]],1,SEARCH(",",TB_CECO[[#This Row],[TRABAJO]],1)-1)</f>
        <v>Est 850 NW (Snv 010 NE)</v>
      </c>
      <c r="C16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850 NW (Snv 010 NE),SOSTENIMIENTO</v>
      </c>
      <c r="D16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08" s="47" t="s">
        <v>3165</v>
      </c>
      <c r="G1608" t="s">
        <v>3166</v>
      </c>
      <c r="H16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09" spans="1:8" ht="15" customHeight="1" x14ac:dyDescent="0.25">
      <c r="A1609" t="str">
        <f>MID(TB_CECO[[#This Row],[CECO_T]],1,5)</f>
        <v>1E684</v>
      </c>
      <c r="B1609" t="str">
        <f>MID(TB_CECO[[#This Row],[TRABAJO]],1,SEARCH(",",TB_CECO[[#This Row],[TRABAJO]],1)-1)</f>
        <v>Est 850 NW (Snv 010 NE)</v>
      </c>
      <c r="C16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850 NW (Snv 010 NE),VOLADURA</v>
      </c>
      <c r="D16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09" s="47" t="s">
        <v>3167</v>
      </c>
      <c r="G1609" t="s">
        <v>3168</v>
      </c>
      <c r="H16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10" spans="1:8" ht="15" customHeight="1" x14ac:dyDescent="0.25">
      <c r="A1610" t="str">
        <f>MID(TB_CECO[[#This Row],[CECO_T]],1,5)</f>
        <v>1E686</v>
      </c>
      <c r="B1610" t="str">
        <f>MID(TB_CECO[[#This Row],[TRABAJO]],1,SEARCH(",",TB_CECO[[#This Row],[TRABAJO]],1)-1)</f>
        <v>Est 830 SW (Snv 842 SW)</v>
      </c>
      <c r="C16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830 SW (Snv 842 SW),LIMPIEZA</v>
      </c>
      <c r="D16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10" s="47" t="s">
        <v>3169</v>
      </c>
      <c r="G1610" t="s">
        <v>3170</v>
      </c>
      <c r="H16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11" spans="1:8" ht="15" customHeight="1" x14ac:dyDescent="0.25">
      <c r="A1611" t="str">
        <f>MID(TB_CECO[[#This Row],[CECO_T]],1,5)</f>
        <v>1E686</v>
      </c>
      <c r="B1611" t="str">
        <f>MID(TB_CECO[[#This Row],[TRABAJO]],1,SEARCH(",",TB_CECO[[#This Row],[TRABAJO]],1)-1)</f>
        <v>Est 830 SW (Snv 842 SW)</v>
      </c>
      <c r="C16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830 SW (Snv 842 SW),SERVICIO</v>
      </c>
      <c r="D16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11" s="47" t="s">
        <v>3171</v>
      </c>
      <c r="G1611" t="s">
        <v>3172</v>
      </c>
      <c r="H16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12" spans="1:8" ht="15" customHeight="1" x14ac:dyDescent="0.25">
      <c r="A1612" t="str">
        <f>MID(TB_CECO[[#This Row],[CECO_T]],1,5)</f>
        <v>1E686</v>
      </c>
      <c r="B1612" t="str">
        <f>MID(TB_CECO[[#This Row],[TRABAJO]],1,SEARCH(",",TB_CECO[[#This Row],[TRABAJO]],1)-1)</f>
        <v>Est 830 SW (Snv 842 SW)</v>
      </c>
      <c r="C16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830 SW (Snv 842 SW),PERFORACION</v>
      </c>
      <c r="D16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12" s="47" t="s">
        <v>3173</v>
      </c>
      <c r="G1612" t="s">
        <v>3174</v>
      </c>
      <c r="H16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13" spans="1:8" ht="15" customHeight="1" x14ac:dyDescent="0.25">
      <c r="A1613" t="str">
        <f>MID(TB_CECO[[#This Row],[CECO_T]],1,5)</f>
        <v>1E686</v>
      </c>
      <c r="B1613" t="str">
        <f>MID(TB_CECO[[#This Row],[TRABAJO]],1,SEARCH(",",TB_CECO[[#This Row],[TRABAJO]],1)-1)</f>
        <v>Est 830 SW (Snv 842 SW)</v>
      </c>
      <c r="C16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830 SW (Snv 842 SW),SOSTENIMIENTO</v>
      </c>
      <c r="D16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13" s="47" t="s">
        <v>3175</v>
      </c>
      <c r="G1613" t="s">
        <v>3176</v>
      </c>
      <c r="H16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14" spans="1:8" ht="15" customHeight="1" x14ac:dyDescent="0.25">
      <c r="A1614" t="str">
        <f>MID(TB_CECO[[#This Row],[CECO_T]],1,5)</f>
        <v>1E686</v>
      </c>
      <c r="B1614" t="str">
        <f>MID(TB_CECO[[#This Row],[TRABAJO]],1,SEARCH(",",TB_CECO[[#This Row],[TRABAJO]],1)-1)</f>
        <v>Est 830 SW (Snv 842 SW)</v>
      </c>
      <c r="C16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830 SW (Snv 842 SW),VOLADURA</v>
      </c>
      <c r="D16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14" s="47" t="s">
        <v>3177</v>
      </c>
      <c r="G1614" t="s">
        <v>3178</v>
      </c>
      <c r="H16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15" spans="1:8" ht="15" customHeight="1" x14ac:dyDescent="0.25">
      <c r="A1615" t="str">
        <f>MID(TB_CECO[[#This Row],[CECO_T]],1,5)</f>
        <v>1E687</v>
      </c>
      <c r="B1615" t="str">
        <f>MID(TB_CECO[[#This Row],[TRABAJO]],1,SEARCH(",",TB_CECO[[#This Row],[TRABAJO]],1)-1)</f>
        <v>Est 820 NW (Tj 036 SW)</v>
      </c>
      <c r="C16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(Tj 036 SW),LIMPIEZA</v>
      </c>
      <c r="D16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15" s="47" t="s">
        <v>3179</v>
      </c>
      <c r="G1615" t="s">
        <v>3180</v>
      </c>
      <c r="H16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16" spans="1:8" ht="15" customHeight="1" x14ac:dyDescent="0.25">
      <c r="A1616" t="str">
        <f>MID(TB_CECO[[#This Row],[CECO_T]],1,5)</f>
        <v>1E687</v>
      </c>
      <c r="B1616" t="str">
        <f>MID(TB_CECO[[#This Row],[TRABAJO]],1,SEARCH(",",TB_CECO[[#This Row],[TRABAJO]],1)-1)</f>
        <v>Est 820 NW (Tj 036 SW)</v>
      </c>
      <c r="C16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(Tj 036 SW),SERVICIO</v>
      </c>
      <c r="D16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16" s="47" t="s">
        <v>3181</v>
      </c>
      <c r="G1616" t="s">
        <v>3182</v>
      </c>
      <c r="H16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17" spans="1:8" ht="15" customHeight="1" x14ac:dyDescent="0.25">
      <c r="A1617" t="str">
        <f>MID(TB_CECO[[#This Row],[CECO_T]],1,5)</f>
        <v>1E687</v>
      </c>
      <c r="B1617" t="str">
        <f>MID(TB_CECO[[#This Row],[TRABAJO]],1,SEARCH(",",TB_CECO[[#This Row],[TRABAJO]],1)-1)</f>
        <v>Est 820 NW (Tj 036 SW)</v>
      </c>
      <c r="C16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(Tj 036 SW),PERFORACION</v>
      </c>
      <c r="D16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17" s="47" t="s">
        <v>3183</v>
      </c>
      <c r="G1617" t="s">
        <v>3184</v>
      </c>
      <c r="H16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18" spans="1:8" ht="15" customHeight="1" x14ac:dyDescent="0.25">
      <c r="A1618" t="str">
        <f>MID(TB_CECO[[#This Row],[CECO_T]],1,5)</f>
        <v>1E687</v>
      </c>
      <c r="B1618" t="str">
        <f>MID(TB_CECO[[#This Row],[TRABAJO]],1,SEARCH(",",TB_CECO[[#This Row],[TRABAJO]],1)-1)</f>
        <v>Est 820 NW (Tj 036 SW)</v>
      </c>
      <c r="C16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(Tj 036 SW),SOSTENIMIENTO</v>
      </c>
      <c r="D16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18" s="47" t="s">
        <v>3185</v>
      </c>
      <c r="G1618" t="s">
        <v>3186</v>
      </c>
      <c r="H16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19" spans="1:8" ht="15" customHeight="1" x14ac:dyDescent="0.25">
      <c r="A1619" t="str">
        <f>MID(TB_CECO[[#This Row],[CECO_T]],1,5)</f>
        <v>1E687</v>
      </c>
      <c r="B1619" t="str">
        <f>MID(TB_CECO[[#This Row],[TRABAJO]],1,SEARCH(",",TB_CECO[[#This Row],[TRABAJO]],1)-1)</f>
        <v>Est 820 NW (Tj 036 SW)</v>
      </c>
      <c r="C16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(Tj 036 SW),VOLADURA</v>
      </c>
      <c r="D16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19" s="47" t="s">
        <v>3187</v>
      </c>
      <c r="G1619" t="s">
        <v>3188</v>
      </c>
      <c r="H16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20" spans="1:8" ht="15" customHeight="1" x14ac:dyDescent="0.25">
      <c r="A1620" t="str">
        <f>MID(TB_CECO[[#This Row],[CECO_T]],1,5)</f>
        <v>1E688</v>
      </c>
      <c r="B1620" t="str">
        <f>MID(TB_CECO[[#This Row],[TRABAJO]],1,SEARCH(",",TB_CECO[[#This Row],[TRABAJO]],1)-1)</f>
        <v>Est 820 NW (Ch 044)</v>
      </c>
      <c r="C16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(Ch 044),LIMPIEZA</v>
      </c>
      <c r="D16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20" s="47" t="s">
        <v>3189</v>
      </c>
      <c r="G1620" t="s">
        <v>3190</v>
      </c>
      <c r="H16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21" spans="1:8" ht="15" customHeight="1" x14ac:dyDescent="0.25">
      <c r="A1621" t="str">
        <f>MID(TB_CECO[[#This Row],[CECO_T]],1,5)</f>
        <v>1E688</v>
      </c>
      <c r="B1621" t="str">
        <f>MID(TB_CECO[[#This Row],[TRABAJO]],1,SEARCH(",",TB_CECO[[#This Row],[TRABAJO]],1)-1)</f>
        <v>Est 820 NW (Ch 044)</v>
      </c>
      <c r="C16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(Ch 044),SERVICIO</v>
      </c>
      <c r="D16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21" s="47" t="s">
        <v>3191</v>
      </c>
      <c r="G1621" t="s">
        <v>3192</v>
      </c>
      <c r="H16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22" spans="1:8" ht="15" customHeight="1" x14ac:dyDescent="0.25">
      <c r="A1622" t="str">
        <f>MID(TB_CECO[[#This Row],[CECO_T]],1,5)</f>
        <v>1E688</v>
      </c>
      <c r="B1622" t="str">
        <f>MID(TB_CECO[[#This Row],[TRABAJO]],1,SEARCH(",",TB_CECO[[#This Row],[TRABAJO]],1)-1)</f>
        <v>Est 820 NW (Ch 044)</v>
      </c>
      <c r="C16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(Ch 044),PERFORACION</v>
      </c>
      <c r="D16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22" s="47" t="s">
        <v>3193</v>
      </c>
      <c r="G1622" t="s">
        <v>3194</v>
      </c>
      <c r="H16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23" spans="1:8" ht="15" customHeight="1" x14ac:dyDescent="0.25">
      <c r="A1623" t="str">
        <f>MID(TB_CECO[[#This Row],[CECO_T]],1,5)</f>
        <v>1E688</v>
      </c>
      <c r="B1623" t="str">
        <f>MID(TB_CECO[[#This Row],[TRABAJO]],1,SEARCH(",",TB_CECO[[#This Row],[TRABAJO]],1)-1)</f>
        <v>Est 820 NW (Ch 044)</v>
      </c>
      <c r="C16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(Ch 044),SOSTENIMIENTO</v>
      </c>
      <c r="D16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23" s="47" t="s">
        <v>3195</v>
      </c>
      <c r="G1623" t="s">
        <v>3196</v>
      </c>
      <c r="H16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24" spans="1:8" ht="15" customHeight="1" x14ac:dyDescent="0.25">
      <c r="A1624" t="str">
        <f>MID(TB_CECO[[#This Row],[CECO_T]],1,5)</f>
        <v>1E688</v>
      </c>
      <c r="B1624" t="str">
        <f>MID(TB_CECO[[#This Row],[TRABAJO]],1,SEARCH(",",TB_CECO[[#This Row],[TRABAJO]],1)-1)</f>
        <v>Est 820 NW (Ch 044)</v>
      </c>
      <c r="C16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(Ch 044),VOLADURA</v>
      </c>
      <c r="D16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16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24" s="47" t="s">
        <v>3197</v>
      </c>
      <c r="G1624" t="s">
        <v>3198</v>
      </c>
      <c r="H16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25" spans="1:8" ht="15" customHeight="1" x14ac:dyDescent="0.25">
      <c r="A1625" t="str">
        <f>MID(TB_CECO[[#This Row],[CECO_T]],1,5)</f>
        <v>1E812</v>
      </c>
      <c r="B1625" t="str">
        <f>MID(TB_CECO[[#This Row],[TRABAJO]],1,SEARCH(",",TB_CECO[[#This Row],[TRABAJO]],1)-1)</f>
        <v>Cam 073 SE  (Snv 092 SW)</v>
      </c>
      <c r="C16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073 SE  (Snv 092 SW),SUMINISTROS</v>
      </c>
      <c r="D16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25" s="47" t="s">
        <v>3199</v>
      </c>
      <c r="G1625" t="s">
        <v>3200</v>
      </c>
      <c r="H16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26" spans="1:8" ht="15" customHeight="1" x14ac:dyDescent="0.25">
      <c r="A1626" t="str">
        <f>MID(TB_CECO[[#This Row],[CECO_T]],1,5)</f>
        <v>1E812</v>
      </c>
      <c r="B1626" t="str">
        <f>MID(TB_CECO[[#This Row],[TRABAJO]],1,SEARCH(",",TB_CECO[[#This Row],[TRABAJO]],1)-1)</f>
        <v>Cam 073 SE  (Snv 092 SW)</v>
      </c>
      <c r="C16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073 SE  (Snv 092 SW),SOSTENIMIENTO</v>
      </c>
      <c r="D16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26" s="47" t="s">
        <v>3201</v>
      </c>
      <c r="G1626" t="s">
        <v>3202</v>
      </c>
      <c r="H16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27" spans="1:8" ht="15" customHeight="1" x14ac:dyDescent="0.25">
      <c r="A1627" t="str">
        <f>MID(TB_CECO[[#This Row],[CECO_T]],1,5)</f>
        <v>1E812</v>
      </c>
      <c r="B1627" t="str">
        <f>MID(TB_CECO[[#This Row],[TRABAJO]],1,SEARCH(",",TB_CECO[[#This Row],[TRABAJO]],1)-1)</f>
        <v>Cam 073 SE  (Snv 092 SW)</v>
      </c>
      <c r="C16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073 SE  (Snv 092 SW),SERVICIO</v>
      </c>
      <c r="D16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27" s="47" t="s">
        <v>3203</v>
      </c>
      <c r="G1627" t="s">
        <v>3204</v>
      </c>
      <c r="H16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28" spans="1:8" ht="15" customHeight="1" x14ac:dyDescent="0.25">
      <c r="A1628" t="str">
        <f>MID(TB_CECO[[#This Row],[CECO_T]],1,5)</f>
        <v>1E812</v>
      </c>
      <c r="B1628" t="str">
        <f>MID(TB_CECO[[#This Row],[TRABAJO]],1,SEARCH(",",TB_CECO[[#This Row],[TRABAJO]],1)-1)</f>
        <v>Cam 073 SE  (Snv 092 SW)</v>
      </c>
      <c r="C16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073 SE  (Snv 092 SW),REHABILITACION</v>
      </c>
      <c r="D16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28" s="47" t="s">
        <v>3205</v>
      </c>
      <c r="G1628" t="s">
        <v>3206</v>
      </c>
      <c r="H16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29" spans="1:8" ht="15" customHeight="1" x14ac:dyDescent="0.25">
      <c r="A1629" t="str">
        <f>MID(TB_CECO[[#This Row],[CECO_T]],1,5)</f>
        <v>1F813</v>
      </c>
      <c r="B1629" t="str">
        <f>MID(TB_CECO[[#This Row],[TRABAJO]],1,SEARCH(",",TB_CECO[[#This Row],[TRABAJO]],1)-1)</f>
        <v>Cam 10 (Gal 127 NE)</v>
      </c>
      <c r="C16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10 (Gal 127 NE),SUMINISTROS</v>
      </c>
      <c r="D16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29" s="47" t="s">
        <v>3207</v>
      </c>
      <c r="G1629" t="s">
        <v>3208</v>
      </c>
      <c r="H16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30" spans="1:8" ht="15" customHeight="1" x14ac:dyDescent="0.25">
      <c r="A1630" t="str">
        <f>MID(TB_CECO[[#This Row],[CECO_T]],1,5)</f>
        <v>1F813</v>
      </c>
      <c r="B1630" t="str">
        <f>MID(TB_CECO[[#This Row],[TRABAJO]],1,SEARCH(",",TB_CECO[[#This Row],[TRABAJO]],1)-1)</f>
        <v>Cam 10 (Gal 127 NE)</v>
      </c>
      <c r="C16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10 (Gal 127 NE),SOSTENIMIENTO</v>
      </c>
      <c r="D16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30" s="47" t="s">
        <v>3209</v>
      </c>
      <c r="G1630" t="s">
        <v>3210</v>
      </c>
      <c r="H16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31" spans="1:8" ht="15" customHeight="1" x14ac:dyDescent="0.25">
      <c r="A1631" t="str">
        <f>MID(TB_CECO[[#This Row],[CECO_T]],1,5)</f>
        <v>1F813</v>
      </c>
      <c r="B1631" t="str">
        <f>MID(TB_CECO[[#This Row],[TRABAJO]],1,SEARCH(",",TB_CECO[[#This Row],[TRABAJO]],1)-1)</f>
        <v>Cam 10 (Gal 127 NE)</v>
      </c>
      <c r="C16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10 (Gal 127 NE),SERVICIO</v>
      </c>
      <c r="D16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31" s="47" t="s">
        <v>3211</v>
      </c>
      <c r="G1631" t="s">
        <v>3212</v>
      </c>
      <c r="H16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32" spans="1:8" ht="15" customHeight="1" x14ac:dyDescent="0.25">
      <c r="A1632" t="str">
        <f>MID(TB_CECO[[#This Row],[CECO_T]],1,5)</f>
        <v>1F813</v>
      </c>
      <c r="B1632" t="str">
        <f>MID(TB_CECO[[#This Row],[TRABAJO]],1,SEARCH(",",TB_CECO[[#This Row],[TRABAJO]],1)-1)</f>
        <v>Cam 10 (Gal 127 NE)</v>
      </c>
      <c r="C16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10 (Gal 127 NE),REHABILITACION</v>
      </c>
      <c r="D16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32" s="47" t="s">
        <v>3213</v>
      </c>
      <c r="G1632" t="s">
        <v>3214</v>
      </c>
      <c r="H16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33" spans="1:8" ht="15" customHeight="1" x14ac:dyDescent="0.25">
      <c r="A1633" t="str">
        <f>MID(TB_CECO[[#This Row],[CECO_T]],1,5)</f>
        <v>1F816</v>
      </c>
      <c r="B1633" t="str">
        <f>MID(TB_CECO[[#This Row],[TRABAJO]],1,SEARCH(",",TB_CECO[[#This Row],[TRABAJO]],1)-1)</f>
        <v>Cam 15 (Snv 3850 SW)</v>
      </c>
      <c r="C16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15 (Snv 3850 SW),SUMINISTROS</v>
      </c>
      <c r="D16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33" s="47" t="s">
        <v>3215</v>
      </c>
      <c r="G1633" t="s">
        <v>3216</v>
      </c>
      <c r="H16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34" spans="1:8" ht="15" customHeight="1" x14ac:dyDescent="0.25">
      <c r="A1634" t="str">
        <f>MID(TB_CECO[[#This Row],[CECO_T]],1,5)</f>
        <v>1F816</v>
      </c>
      <c r="B1634" t="str">
        <f>MID(TB_CECO[[#This Row],[TRABAJO]],1,SEARCH(",",TB_CECO[[#This Row],[TRABAJO]],1)-1)</f>
        <v>Cam 15 (Snv 3850 SW)</v>
      </c>
      <c r="C16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15 (Snv 3850 SW),SOSTENIMIENTO</v>
      </c>
      <c r="D16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34" s="47" t="s">
        <v>3217</v>
      </c>
      <c r="G1634" t="s">
        <v>3218</v>
      </c>
      <c r="H16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35" spans="1:8" ht="15" customHeight="1" x14ac:dyDescent="0.25">
      <c r="A1635" t="str">
        <f>MID(TB_CECO[[#This Row],[CECO_T]],1,5)</f>
        <v>1F816</v>
      </c>
      <c r="B1635" t="str">
        <f>MID(TB_CECO[[#This Row],[TRABAJO]],1,SEARCH(",",TB_CECO[[#This Row],[TRABAJO]],1)-1)</f>
        <v>Cam 15 (Snv 3850 SW)</v>
      </c>
      <c r="C16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15 (Snv 3850 SW),SERVICIO</v>
      </c>
      <c r="D16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35" s="47" t="s">
        <v>3219</v>
      </c>
      <c r="G1635" t="s">
        <v>3220</v>
      </c>
      <c r="H16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36" spans="1:8" ht="15" customHeight="1" x14ac:dyDescent="0.25">
      <c r="A1636" t="str">
        <f>MID(TB_CECO[[#This Row],[CECO_T]],1,5)</f>
        <v>1F816</v>
      </c>
      <c r="B1636" t="str">
        <f>MID(TB_CECO[[#This Row],[TRABAJO]],1,SEARCH(",",TB_CECO[[#This Row],[TRABAJO]],1)-1)</f>
        <v>Cam 15 (Snv 3850 SW)</v>
      </c>
      <c r="C16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15 (Snv 3850 SW),REHABILITACION</v>
      </c>
      <c r="D16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36" s="47" t="s">
        <v>3221</v>
      </c>
      <c r="G1636" t="s">
        <v>3222</v>
      </c>
      <c r="H16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37" spans="1:8" ht="15" customHeight="1" x14ac:dyDescent="0.25">
      <c r="A1637" t="str">
        <f>MID(TB_CECO[[#This Row],[CECO_T]],1,5)</f>
        <v>1F817</v>
      </c>
      <c r="B1637" t="str">
        <f>MID(TB_CECO[[#This Row],[TRABAJO]],1,SEARCH(",",TB_CECO[[#This Row],[TRABAJO]],1)-1)</f>
        <v>Cam 16 (Cx 171 NW)</v>
      </c>
      <c r="C16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16 (Cx 171 NW),SUMINISTROS</v>
      </c>
      <c r="D16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37" s="47" t="s">
        <v>3223</v>
      </c>
      <c r="G1637" t="s">
        <v>3224</v>
      </c>
      <c r="H16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38" spans="1:8" ht="15" customHeight="1" x14ac:dyDescent="0.25">
      <c r="A1638" t="str">
        <f>MID(TB_CECO[[#This Row],[CECO_T]],1,5)</f>
        <v>1F817</v>
      </c>
      <c r="B1638" t="str">
        <f>MID(TB_CECO[[#This Row],[TRABAJO]],1,SEARCH(",",TB_CECO[[#This Row],[TRABAJO]],1)-1)</f>
        <v>Cam 16 (Cx 171 NW)</v>
      </c>
      <c r="C16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16 (Cx 171 NW),SOSTENIMIENTO</v>
      </c>
      <c r="D16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38" s="47" t="s">
        <v>3225</v>
      </c>
      <c r="G1638" t="s">
        <v>3226</v>
      </c>
      <c r="H16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39" spans="1:8" ht="15" customHeight="1" x14ac:dyDescent="0.25">
      <c r="A1639" t="str">
        <f>MID(TB_CECO[[#This Row],[CECO_T]],1,5)</f>
        <v>1F817</v>
      </c>
      <c r="B1639" t="str">
        <f>MID(TB_CECO[[#This Row],[TRABAJO]],1,SEARCH(",",TB_CECO[[#This Row],[TRABAJO]],1)-1)</f>
        <v>Cam 16 (Cx 171 NW)</v>
      </c>
      <c r="C16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16 (Cx 171 NW),SERVICIO</v>
      </c>
      <c r="D16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39" s="47" t="s">
        <v>3227</v>
      </c>
      <c r="G1639" t="s">
        <v>3228</v>
      </c>
      <c r="H16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40" spans="1:8" ht="15" customHeight="1" x14ac:dyDescent="0.25">
      <c r="A1640" t="str">
        <f>MID(TB_CECO[[#This Row],[CECO_T]],1,5)</f>
        <v>1F817</v>
      </c>
      <c r="B1640" t="str">
        <f>MID(TB_CECO[[#This Row],[TRABAJO]],1,SEARCH(",",TB_CECO[[#This Row],[TRABAJO]],1)-1)</f>
        <v>Cam 16 (Cx 171 NW)</v>
      </c>
      <c r="C16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16 (Cx 171 NW),REHABILITACION</v>
      </c>
      <c r="D16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40" s="47" t="s">
        <v>3229</v>
      </c>
      <c r="G1640" t="s">
        <v>3230</v>
      </c>
      <c r="H16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41" spans="1:8" ht="15" customHeight="1" x14ac:dyDescent="0.25">
      <c r="A1641" t="str">
        <f>MID(TB_CECO[[#This Row],[CECO_T]],1,5)</f>
        <v>1G31N</v>
      </c>
      <c r="B1641" t="str">
        <f>MID(TB_CECO[[#This Row],[TRABAJO]],1,SEARCH(",",TB_CECO[[#This Row],[TRABAJO]],1)-1)</f>
        <v>Ch 907 (Snv 898 NE)</v>
      </c>
      <c r="C16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898 NE),LIMPIEZA</v>
      </c>
      <c r="D16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41" s="47" t="s">
        <v>3231</v>
      </c>
      <c r="G1641" t="s">
        <v>3232</v>
      </c>
      <c r="H16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42" spans="1:8" ht="15" customHeight="1" x14ac:dyDescent="0.25">
      <c r="A1642" t="str">
        <f>MID(TB_CECO[[#This Row],[CECO_T]],1,5)</f>
        <v>1G31N</v>
      </c>
      <c r="B1642" t="str">
        <f>MID(TB_CECO[[#This Row],[TRABAJO]],1,SEARCH(",",TB_CECO[[#This Row],[TRABAJO]],1)-1)</f>
        <v>Ch 907 (Snv 898 NE)</v>
      </c>
      <c r="C16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898 NE),SERVICIO</v>
      </c>
      <c r="D16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42" s="47" t="s">
        <v>3233</v>
      </c>
      <c r="G1642" t="s">
        <v>3234</v>
      </c>
      <c r="H16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43" spans="1:8" ht="15" customHeight="1" x14ac:dyDescent="0.25">
      <c r="A1643" t="str">
        <f>MID(TB_CECO[[#This Row],[CECO_T]],1,5)</f>
        <v>1G31N</v>
      </c>
      <c r="B1643" t="str">
        <f>MID(TB_CECO[[#This Row],[TRABAJO]],1,SEARCH(",",TB_CECO[[#This Row],[TRABAJO]],1)-1)</f>
        <v>Ch 907 (Snv 898 NE)</v>
      </c>
      <c r="C16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898 NE),PERFORACION</v>
      </c>
      <c r="D16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43" s="47" t="s">
        <v>3235</v>
      </c>
      <c r="G1643" t="s">
        <v>3236</v>
      </c>
      <c r="H16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44" spans="1:8" ht="15" customHeight="1" x14ac:dyDescent="0.25">
      <c r="A1644" t="str">
        <f>MID(TB_CECO[[#This Row],[CECO_T]],1,5)</f>
        <v>1G31N</v>
      </c>
      <c r="B1644" t="str">
        <f>MID(TB_CECO[[#This Row],[TRABAJO]],1,SEARCH(",",TB_CECO[[#This Row],[TRABAJO]],1)-1)</f>
        <v>Ch 907 (Snv 898 NE)</v>
      </c>
      <c r="C16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898 NE),SOSTENIMIENTO</v>
      </c>
      <c r="D16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44" s="47" t="s">
        <v>3237</v>
      </c>
      <c r="G1644" t="s">
        <v>3238</v>
      </c>
      <c r="H16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45" spans="1:8" ht="15" customHeight="1" x14ac:dyDescent="0.25">
      <c r="A1645" t="str">
        <f>MID(TB_CECO[[#This Row],[CECO_T]],1,5)</f>
        <v>1G31N</v>
      </c>
      <c r="B1645" t="str">
        <f>MID(TB_CECO[[#This Row],[TRABAJO]],1,SEARCH(",",TB_CECO[[#This Row],[TRABAJO]],1)-1)</f>
        <v>Ch 907 (Snv 898 NE)</v>
      </c>
      <c r="C16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898 NE),VOLADURA</v>
      </c>
      <c r="D16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45" s="47" t="s">
        <v>3239</v>
      </c>
      <c r="G1645" t="s">
        <v>3240</v>
      </c>
      <c r="H16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46" spans="1:8" ht="15" customHeight="1" x14ac:dyDescent="0.25">
      <c r="A1646" t="str">
        <f>MID(TB_CECO[[#This Row],[CECO_T]],1,5)</f>
        <v>1G362</v>
      </c>
      <c r="B1646" t="str">
        <f>MID(TB_CECO[[#This Row],[TRABAJO]],1,SEARCH(",",TB_CECO[[#This Row],[TRABAJO]],1)-1)</f>
        <v>Ch 159 (Tj 152 NE)</v>
      </c>
      <c r="C16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159 (Tj 152 NE),SUMINISTROS</v>
      </c>
      <c r="D16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46" s="47" t="s">
        <v>3241</v>
      </c>
      <c r="G1646" t="s">
        <v>3242</v>
      </c>
      <c r="H16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47" spans="1:8" ht="15" customHeight="1" x14ac:dyDescent="0.25">
      <c r="A1647" t="str">
        <f>MID(TB_CECO[[#This Row],[CECO_T]],1,5)</f>
        <v>1G362</v>
      </c>
      <c r="B1647" t="str">
        <f>MID(TB_CECO[[#This Row],[TRABAJO]],1,SEARCH(",",TB_CECO[[#This Row],[TRABAJO]],1)-1)</f>
        <v>Ch 159 (Tj 152 NE)</v>
      </c>
      <c r="C16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159 (Tj 152 NE),SOSTENIMIENTO</v>
      </c>
      <c r="D16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47" s="47" t="s">
        <v>3243</v>
      </c>
      <c r="G1647" t="s">
        <v>3244</v>
      </c>
      <c r="H16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48" spans="1:8" ht="15" customHeight="1" x14ac:dyDescent="0.25">
      <c r="A1648" t="str">
        <f>MID(TB_CECO[[#This Row],[CECO_T]],1,5)</f>
        <v>1G362</v>
      </c>
      <c r="B1648" t="str">
        <f>MID(TB_CECO[[#This Row],[TRABAJO]],1,SEARCH(",",TB_CECO[[#This Row],[TRABAJO]],1)-1)</f>
        <v>Ch 159 (Tj 152 NE)</v>
      </c>
      <c r="C16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159 (Tj 152 NE),SERVICIO</v>
      </c>
      <c r="D16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48" s="47" t="s">
        <v>3245</v>
      </c>
      <c r="G1648" t="s">
        <v>3246</v>
      </c>
      <c r="H16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49" spans="1:8" ht="15" customHeight="1" x14ac:dyDescent="0.25">
      <c r="A1649" t="str">
        <f>MID(TB_CECO[[#This Row],[CECO_T]],1,5)</f>
        <v>1G362</v>
      </c>
      <c r="B1649" t="str">
        <f>MID(TB_CECO[[#This Row],[TRABAJO]],1,SEARCH(",",TB_CECO[[#This Row],[TRABAJO]],1)-1)</f>
        <v>Ch 159 (Tj 152 NE)</v>
      </c>
      <c r="C16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159 (Tj 152 NE),REHABILITACION</v>
      </c>
      <c r="D16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49" s="47" t="s">
        <v>3247</v>
      </c>
      <c r="G1649" t="s">
        <v>3248</v>
      </c>
      <c r="H16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50" spans="1:8" ht="15" customHeight="1" x14ac:dyDescent="0.25">
      <c r="A1650" t="str">
        <f>MID(TB_CECO[[#This Row],[CECO_T]],1,5)</f>
        <v>1G396</v>
      </c>
      <c r="B1650" t="str">
        <f>MID(TB_CECO[[#This Row],[TRABAJO]],1,SEARCH(",",TB_CECO[[#This Row],[TRABAJO]],1)-1)</f>
        <v>Ch 907 (Snv 878 NE)</v>
      </c>
      <c r="C16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878 NE),LIMPIEZA</v>
      </c>
      <c r="D16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50" s="47" t="s">
        <v>3249</v>
      </c>
      <c r="G1650" t="s">
        <v>3250</v>
      </c>
      <c r="H16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51" spans="1:8" ht="15" customHeight="1" x14ac:dyDescent="0.25">
      <c r="A1651" t="str">
        <f>MID(TB_CECO[[#This Row],[CECO_T]],1,5)</f>
        <v>1G396</v>
      </c>
      <c r="B1651" t="str">
        <f>MID(TB_CECO[[#This Row],[TRABAJO]],1,SEARCH(",",TB_CECO[[#This Row],[TRABAJO]],1)-1)</f>
        <v>Ch 907 (Snv 878 NE)</v>
      </c>
      <c r="C16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878 NE),SERVICIO</v>
      </c>
      <c r="D16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51" s="47" t="s">
        <v>3251</v>
      </c>
      <c r="G1651" t="s">
        <v>3252</v>
      </c>
      <c r="H16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52" spans="1:8" ht="15" customHeight="1" x14ac:dyDescent="0.25">
      <c r="A1652" t="str">
        <f>MID(TB_CECO[[#This Row],[CECO_T]],1,5)</f>
        <v>1G396</v>
      </c>
      <c r="B1652" t="str">
        <f>MID(TB_CECO[[#This Row],[TRABAJO]],1,SEARCH(",",TB_CECO[[#This Row],[TRABAJO]],1)-1)</f>
        <v>Ch 907 (Snv 878 NE)</v>
      </c>
      <c r="C16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878 NE),PERFORACION</v>
      </c>
      <c r="D16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52" s="47" t="s">
        <v>3253</v>
      </c>
      <c r="G1652" t="s">
        <v>3254</v>
      </c>
      <c r="H16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53" spans="1:8" ht="15" customHeight="1" x14ac:dyDescent="0.25">
      <c r="A1653" t="str">
        <f>MID(TB_CECO[[#This Row],[CECO_T]],1,5)</f>
        <v>1G396</v>
      </c>
      <c r="B1653" t="str">
        <f>MID(TB_CECO[[#This Row],[TRABAJO]],1,SEARCH(",",TB_CECO[[#This Row],[TRABAJO]],1)-1)</f>
        <v>Ch 907 (Snv 878 NE)</v>
      </c>
      <c r="C16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878 NE),SOSTENIMIENTO</v>
      </c>
      <c r="D16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53" s="47" t="s">
        <v>3255</v>
      </c>
      <c r="G1653" t="s">
        <v>3256</v>
      </c>
      <c r="H16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54" spans="1:8" ht="15" customHeight="1" x14ac:dyDescent="0.25">
      <c r="A1654" t="str">
        <f>MID(TB_CECO[[#This Row],[CECO_T]],1,5)</f>
        <v>1G396</v>
      </c>
      <c r="B1654" t="str">
        <f>MID(TB_CECO[[#This Row],[TRABAJO]],1,SEARCH(",",TB_CECO[[#This Row],[TRABAJO]],1)-1)</f>
        <v>Ch 907 (Snv 878 NE)</v>
      </c>
      <c r="C16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878 NE),VOLADURA</v>
      </c>
      <c r="D16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54" s="47" t="s">
        <v>3257</v>
      </c>
      <c r="G1654" t="s">
        <v>3258</v>
      </c>
      <c r="H16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55" spans="1:8" ht="15" customHeight="1" x14ac:dyDescent="0.25">
      <c r="A1655" t="str">
        <f>MID(TB_CECO[[#This Row],[CECO_T]],1,5)</f>
        <v>1G413</v>
      </c>
      <c r="B1655" t="str">
        <f>MID(TB_CECO[[#This Row],[TRABAJO]],1,SEARCH(",",TB_CECO[[#This Row],[TRABAJO]],1)-1)</f>
        <v>Pq 907 (Snv 019 NE)</v>
      </c>
      <c r="C16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907 (Snv 019 NE),LIMPIEZA</v>
      </c>
      <c r="D16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55" s="47" t="s">
        <v>3259</v>
      </c>
      <c r="G1655" t="s">
        <v>3260</v>
      </c>
      <c r="H16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56" spans="1:8" ht="15" customHeight="1" x14ac:dyDescent="0.25">
      <c r="A1656" t="str">
        <f>MID(TB_CECO[[#This Row],[CECO_T]],1,5)</f>
        <v>1G413</v>
      </c>
      <c r="B1656" t="str">
        <f>MID(TB_CECO[[#This Row],[TRABAJO]],1,SEARCH(",",TB_CECO[[#This Row],[TRABAJO]],1)-1)</f>
        <v>Pq 907 (Snv 019 NE)</v>
      </c>
      <c r="C16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907 (Snv 019 NE),SERVICIO</v>
      </c>
      <c r="D16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56" s="47" t="s">
        <v>3261</v>
      </c>
      <c r="G1656" t="s">
        <v>3262</v>
      </c>
      <c r="H16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57" spans="1:8" ht="15" customHeight="1" x14ac:dyDescent="0.25">
      <c r="A1657" t="str">
        <f>MID(TB_CECO[[#This Row],[CECO_T]],1,5)</f>
        <v>1G413</v>
      </c>
      <c r="B1657" t="str">
        <f>MID(TB_CECO[[#This Row],[TRABAJO]],1,SEARCH(",",TB_CECO[[#This Row],[TRABAJO]],1)-1)</f>
        <v>Pq 907 (Snv 019 NE)</v>
      </c>
      <c r="C16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907 (Snv 019 NE),PERFORACION</v>
      </c>
      <c r="D16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57" s="47" t="s">
        <v>3263</v>
      </c>
      <c r="G1657" t="s">
        <v>3264</v>
      </c>
      <c r="H16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58" spans="1:8" ht="15" customHeight="1" x14ac:dyDescent="0.25">
      <c r="A1658" t="str">
        <f>MID(TB_CECO[[#This Row],[CECO_T]],1,5)</f>
        <v>1G413</v>
      </c>
      <c r="B1658" t="str">
        <f>MID(TB_CECO[[#This Row],[TRABAJO]],1,SEARCH(",",TB_CECO[[#This Row],[TRABAJO]],1)-1)</f>
        <v>Pq 907 (Snv 019 NE)</v>
      </c>
      <c r="C16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907 (Snv 019 NE),SOSTENIMIENTO</v>
      </c>
      <c r="D16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58" s="47" t="s">
        <v>3265</v>
      </c>
      <c r="G1658" t="s">
        <v>3266</v>
      </c>
      <c r="H16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59" spans="1:8" ht="15" customHeight="1" x14ac:dyDescent="0.25">
      <c r="A1659" t="str">
        <f>MID(TB_CECO[[#This Row],[CECO_T]],1,5)</f>
        <v>1G413</v>
      </c>
      <c r="B1659" t="str">
        <f>MID(TB_CECO[[#This Row],[TRABAJO]],1,SEARCH(",",TB_CECO[[#This Row],[TRABAJO]],1)-1)</f>
        <v>Pq 907 (Snv 019 NE)</v>
      </c>
      <c r="C16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907 (Snv 019 NE),VOLADURA</v>
      </c>
      <c r="D16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59" s="47" t="s">
        <v>3267</v>
      </c>
      <c r="G1659" t="s">
        <v>3268</v>
      </c>
      <c r="H16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60" spans="1:8" ht="15" customHeight="1" x14ac:dyDescent="0.25">
      <c r="A1660" t="str">
        <f>MID(TB_CECO[[#This Row],[CECO_T]],1,5)</f>
        <v>1G56B</v>
      </c>
      <c r="B1660" t="str">
        <f>MID(TB_CECO[[#This Row],[TRABAJO]],1,SEARCH(",",TB_CECO[[#This Row],[TRABAJO]],1)-1)</f>
        <v>Snv  025 NE (Tj 019 NE)</v>
      </c>
      <c r="C16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  025 NE (Tj 019 NE),LIMPIEZA</v>
      </c>
      <c r="D16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60" s="47" t="s">
        <v>3269</v>
      </c>
      <c r="G1660" t="s">
        <v>3270</v>
      </c>
      <c r="H16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61" spans="1:8" ht="15" customHeight="1" x14ac:dyDescent="0.25">
      <c r="A1661" t="str">
        <f>MID(TB_CECO[[#This Row],[CECO_T]],1,5)</f>
        <v>1G56B</v>
      </c>
      <c r="B1661" t="str">
        <f>MID(TB_CECO[[#This Row],[TRABAJO]],1,SEARCH(",",TB_CECO[[#This Row],[TRABAJO]],1)-1)</f>
        <v>Snv  025 NE (Tj 019 NE)</v>
      </c>
      <c r="C16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  025 NE (Tj 019 NE),SERVICIO</v>
      </c>
      <c r="D16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61" s="47" t="s">
        <v>3271</v>
      </c>
      <c r="G1661" t="s">
        <v>3272</v>
      </c>
      <c r="H16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62" spans="1:8" ht="15" customHeight="1" x14ac:dyDescent="0.25">
      <c r="A1662" t="str">
        <f>MID(TB_CECO[[#This Row],[CECO_T]],1,5)</f>
        <v>1G56B</v>
      </c>
      <c r="B1662" t="str">
        <f>MID(TB_CECO[[#This Row],[TRABAJO]],1,SEARCH(",",TB_CECO[[#This Row],[TRABAJO]],1)-1)</f>
        <v>Snv  025 NE (Tj 019 NE)</v>
      </c>
      <c r="C16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  025 NE (Tj 019 NE),PERFORACION</v>
      </c>
      <c r="D16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62" s="47" t="s">
        <v>3273</v>
      </c>
      <c r="G1662" t="s">
        <v>3274</v>
      </c>
      <c r="H16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63" spans="1:8" ht="15" customHeight="1" x14ac:dyDescent="0.25">
      <c r="A1663" t="str">
        <f>MID(TB_CECO[[#This Row],[CECO_T]],1,5)</f>
        <v>1G56B</v>
      </c>
      <c r="B1663" t="str">
        <f>MID(TB_CECO[[#This Row],[TRABAJO]],1,SEARCH(",",TB_CECO[[#This Row],[TRABAJO]],1)-1)</f>
        <v>Snv  025 NE (Tj 019 NE)</v>
      </c>
      <c r="C16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  025 NE (Tj 019 NE),SOSTENIMIENTO</v>
      </c>
      <c r="D16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63" s="47" t="s">
        <v>3275</v>
      </c>
      <c r="G1663" t="s">
        <v>3276</v>
      </c>
      <c r="H16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64" spans="1:8" ht="15" customHeight="1" x14ac:dyDescent="0.25">
      <c r="A1664" t="str">
        <f>MID(TB_CECO[[#This Row],[CECO_T]],1,5)</f>
        <v>1G56B</v>
      </c>
      <c r="B1664" t="str">
        <f>MID(TB_CECO[[#This Row],[TRABAJO]],1,SEARCH(",",TB_CECO[[#This Row],[TRABAJO]],1)-1)</f>
        <v>Snv  025 NE (Tj 019 NE)</v>
      </c>
      <c r="C16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  025 NE (Tj 019 NE),VOLADURA</v>
      </c>
      <c r="D16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16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64" s="47" t="s">
        <v>3277</v>
      </c>
      <c r="G1664" t="s">
        <v>3278</v>
      </c>
      <c r="H16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65" spans="1:8" ht="15" customHeight="1" x14ac:dyDescent="0.25">
      <c r="A1665" t="str">
        <f>MID(TB_CECO[[#This Row],[CECO_T]],1,5)</f>
        <v>1G580</v>
      </c>
      <c r="B1665" t="str">
        <f>MID(TB_CECO[[#This Row],[TRABAJO]],1,SEARCH(",",TB_CECO[[#This Row],[TRABAJO]],1)-1)</f>
        <v>Snv 104 SE (Snv 070 NE)</v>
      </c>
      <c r="C16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104 SE (Snv 070 NE),SUMINISTROS</v>
      </c>
      <c r="D16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65" s="47" t="s">
        <v>3279</v>
      </c>
      <c r="G1665" t="s">
        <v>3280</v>
      </c>
      <c r="H16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66" spans="1:8" ht="15" customHeight="1" x14ac:dyDescent="0.25">
      <c r="A1666" t="str">
        <f>MID(TB_CECO[[#This Row],[CECO_T]],1,5)</f>
        <v>1G580</v>
      </c>
      <c r="B1666" t="str">
        <f>MID(TB_CECO[[#This Row],[TRABAJO]],1,SEARCH(",",TB_CECO[[#This Row],[TRABAJO]],1)-1)</f>
        <v>Snv 104 SE (Snv 070 NE)</v>
      </c>
      <c r="C16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104 SE (Snv 070 NE),SOSTENIMIENTO</v>
      </c>
      <c r="D16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66" s="47" t="s">
        <v>3281</v>
      </c>
      <c r="G1666" t="s">
        <v>3282</v>
      </c>
      <c r="H16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67" spans="1:8" ht="15" customHeight="1" x14ac:dyDescent="0.25">
      <c r="A1667" t="str">
        <f>MID(TB_CECO[[#This Row],[CECO_T]],1,5)</f>
        <v>1G580</v>
      </c>
      <c r="B1667" t="str">
        <f>MID(TB_CECO[[#This Row],[TRABAJO]],1,SEARCH(",",TB_CECO[[#This Row],[TRABAJO]],1)-1)</f>
        <v>Snv 104 SE (Snv 070 NE)</v>
      </c>
      <c r="C16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104 SE (Snv 070 NE),SERVICIO</v>
      </c>
      <c r="D16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67" s="47" t="s">
        <v>3283</v>
      </c>
      <c r="G1667" t="s">
        <v>3284</v>
      </c>
      <c r="H16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68" spans="1:8" ht="15" customHeight="1" x14ac:dyDescent="0.25">
      <c r="A1668" t="str">
        <f>MID(TB_CECO[[#This Row],[CECO_T]],1,5)</f>
        <v>1G580</v>
      </c>
      <c r="B1668" t="str">
        <f>MID(TB_CECO[[#This Row],[TRABAJO]],1,SEARCH(",",TB_CECO[[#This Row],[TRABAJO]],1)-1)</f>
        <v>Snv 104 SE (Snv 070 NE)</v>
      </c>
      <c r="C16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104 SE (Snv 070 NE),REHABILITACION</v>
      </c>
      <c r="D16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68" s="47" t="s">
        <v>3285</v>
      </c>
      <c r="G1668" t="s">
        <v>3286</v>
      </c>
      <c r="H16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69" spans="1:8" ht="15" customHeight="1" x14ac:dyDescent="0.25">
      <c r="A1669" t="str">
        <f>MID(TB_CECO[[#This Row],[CECO_T]],1,5)</f>
        <v>1G585</v>
      </c>
      <c r="B1669" t="str">
        <f>MID(TB_CECO[[#This Row],[TRABAJO]],1,SEARCH(",",TB_CECO[[#This Row],[TRABAJO]],1)-1)</f>
        <v>Snv 162 NE (Tj 152 NE)</v>
      </c>
      <c r="C16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162 NE (Tj 152 NE),SUMINISTROS</v>
      </c>
      <c r="D16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69" s="47" t="s">
        <v>3287</v>
      </c>
      <c r="G1669" t="s">
        <v>3288</v>
      </c>
      <c r="H16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70" spans="1:8" ht="15" customHeight="1" x14ac:dyDescent="0.25">
      <c r="A1670" t="str">
        <f>MID(TB_CECO[[#This Row],[CECO_T]],1,5)</f>
        <v>1G585</v>
      </c>
      <c r="B1670" t="str">
        <f>MID(TB_CECO[[#This Row],[TRABAJO]],1,SEARCH(",",TB_CECO[[#This Row],[TRABAJO]],1)-1)</f>
        <v>Snv 162 NE (Tj 152 NE)</v>
      </c>
      <c r="C16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162 NE (Tj 152 NE),SOSTENIMIENTO</v>
      </c>
      <c r="D16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70" s="47" t="s">
        <v>3289</v>
      </c>
      <c r="G1670" t="s">
        <v>3290</v>
      </c>
      <c r="H16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71" spans="1:8" ht="15" customHeight="1" x14ac:dyDescent="0.25">
      <c r="A1671" t="str">
        <f>MID(TB_CECO[[#This Row],[CECO_T]],1,5)</f>
        <v>1G585</v>
      </c>
      <c r="B1671" t="str">
        <f>MID(TB_CECO[[#This Row],[TRABAJO]],1,SEARCH(",",TB_CECO[[#This Row],[TRABAJO]],1)-1)</f>
        <v>Snv 162 NE (Tj 152 NE)</v>
      </c>
      <c r="C16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162 NE (Tj 152 NE),SERVICIO</v>
      </c>
      <c r="D16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71" s="47" t="s">
        <v>3291</v>
      </c>
      <c r="G1671" t="s">
        <v>3292</v>
      </c>
      <c r="H16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72" spans="1:8" ht="15" customHeight="1" x14ac:dyDescent="0.25">
      <c r="A1672" t="str">
        <f>MID(TB_CECO[[#This Row],[CECO_T]],1,5)</f>
        <v>1G585</v>
      </c>
      <c r="B1672" t="str">
        <f>MID(TB_CECO[[#This Row],[TRABAJO]],1,SEARCH(",",TB_CECO[[#This Row],[TRABAJO]],1)-1)</f>
        <v>Snv 162 NE (Tj 152 NE)</v>
      </c>
      <c r="C16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162 NE (Tj 152 NE),REHABILITACION</v>
      </c>
      <c r="D16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6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72" s="47" t="s">
        <v>3293</v>
      </c>
      <c r="G1672" t="s">
        <v>3294</v>
      </c>
      <c r="H16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73" spans="1:8" ht="15" customHeight="1" x14ac:dyDescent="0.25">
      <c r="A1673" t="str">
        <f>MID(TB_CECO[[#This Row],[CECO_T]],1,5)</f>
        <v>1H112</v>
      </c>
      <c r="B1673" t="str">
        <f>MID(TB_CECO[[#This Row],[TRABAJO]],1,SEARCH(",",TB_CECO[[#This Row],[TRABAJO]],1)-1)</f>
        <v>CX 010 SW (GAL 170 SW)</v>
      </c>
      <c r="C16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010 SW (GAL 170 SW),SUMINISTROS</v>
      </c>
      <c r="D16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73" s="47" t="s">
        <v>3295</v>
      </c>
      <c r="G1673" t="s">
        <v>3296</v>
      </c>
      <c r="H16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74" spans="1:8" ht="15" customHeight="1" x14ac:dyDescent="0.25">
      <c r="A1674" t="str">
        <f>MID(TB_CECO[[#This Row],[CECO_T]],1,5)</f>
        <v>1H112</v>
      </c>
      <c r="B1674" t="str">
        <f>MID(TB_CECO[[#This Row],[TRABAJO]],1,SEARCH(",",TB_CECO[[#This Row],[TRABAJO]],1)-1)</f>
        <v>CX 010 SW (GAL 170 SW)</v>
      </c>
      <c r="C16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010 SW (GAL 170 SW),SOSTENIMIENTO</v>
      </c>
      <c r="D16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74" s="47" t="s">
        <v>3297</v>
      </c>
      <c r="G1674" t="s">
        <v>3298</v>
      </c>
      <c r="H16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75" spans="1:8" ht="15" customHeight="1" x14ac:dyDescent="0.25">
      <c r="A1675" t="str">
        <f>MID(TB_CECO[[#This Row],[CECO_T]],1,5)</f>
        <v>1H112</v>
      </c>
      <c r="B1675" t="str">
        <f>MID(TB_CECO[[#This Row],[TRABAJO]],1,SEARCH(",",TB_CECO[[#This Row],[TRABAJO]],1)-1)</f>
        <v>CX 010 SW (GAL 170 SW)</v>
      </c>
      <c r="C16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010 SW (GAL 170 SW),SERVICIO</v>
      </c>
      <c r="D16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75" s="47" t="s">
        <v>3299</v>
      </c>
      <c r="G1675" t="s">
        <v>3300</v>
      </c>
      <c r="H16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76" spans="1:8" ht="15" customHeight="1" x14ac:dyDescent="0.25">
      <c r="A1676" t="str">
        <f>MID(TB_CECO[[#This Row],[CECO_T]],1,5)</f>
        <v>1H112</v>
      </c>
      <c r="B1676" t="str">
        <f>MID(TB_CECO[[#This Row],[TRABAJO]],1,SEARCH(",",TB_CECO[[#This Row],[TRABAJO]],1)-1)</f>
        <v>CX 010 SW (GAL 170 SW)</v>
      </c>
      <c r="C16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010 SW (GAL 170 SW),REHABILITACION</v>
      </c>
      <c r="D16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76" s="47" t="s">
        <v>3301</v>
      </c>
      <c r="G1676" t="s">
        <v>3302</v>
      </c>
      <c r="H16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77" spans="1:8" ht="15" customHeight="1" x14ac:dyDescent="0.25">
      <c r="A1677" t="str">
        <f>MID(TB_CECO[[#This Row],[CECO_T]],1,5)</f>
        <v>1H112</v>
      </c>
      <c r="B1677" t="str">
        <f>MID(TB_CECO[[#This Row],[TRABAJO]],1,SEARCH(",",TB_CECO[[#This Row],[TRABAJO]],1)-1)</f>
        <v>CX 010 SW (GAL 170 SW)</v>
      </c>
      <c r="C16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010 SW (GAL 170 SW),REFUGIO</v>
      </c>
      <c r="D16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77" s="47" t="s">
        <v>3303</v>
      </c>
      <c r="G1677" t="s">
        <v>3304</v>
      </c>
      <c r="H16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78" spans="1:8" ht="15" customHeight="1" x14ac:dyDescent="0.25">
      <c r="A1678" t="str">
        <f>MID(TB_CECO[[#This Row],[CECO_T]],1,5)</f>
        <v>1H128</v>
      </c>
      <c r="B1678" t="str">
        <f>MID(TB_CECO[[#This Row],[TRABAJO]],1,SEARCH(",",TB_CECO[[#This Row],[TRABAJO]],1)-1)</f>
        <v>Cx 712 SW (Gal 980 SW)</v>
      </c>
      <c r="C16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712 SW (Gal 980 SW),LIMPIEZA</v>
      </c>
      <c r="D16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78" s="47" t="s">
        <v>3305</v>
      </c>
      <c r="G1678" t="s">
        <v>3306</v>
      </c>
      <c r="H16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79" spans="1:8" ht="15" customHeight="1" x14ac:dyDescent="0.25">
      <c r="A1679" t="str">
        <f>MID(TB_CECO[[#This Row],[CECO_T]],1,5)</f>
        <v>1H128</v>
      </c>
      <c r="B1679" t="str">
        <f>MID(TB_CECO[[#This Row],[TRABAJO]],1,SEARCH(",",TB_CECO[[#This Row],[TRABAJO]],1)-1)</f>
        <v>Cx 712 SW (Gal 980 SW)</v>
      </c>
      <c r="C16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712 SW (Gal 980 SW),SERVICIO</v>
      </c>
      <c r="D16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79" s="47" t="s">
        <v>3307</v>
      </c>
      <c r="G1679" t="s">
        <v>3308</v>
      </c>
      <c r="H16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80" spans="1:8" ht="15" customHeight="1" x14ac:dyDescent="0.25">
      <c r="A1680" t="str">
        <f>MID(TB_CECO[[#This Row],[CECO_T]],1,5)</f>
        <v>1H128</v>
      </c>
      <c r="B1680" t="str">
        <f>MID(TB_CECO[[#This Row],[TRABAJO]],1,SEARCH(",",TB_CECO[[#This Row],[TRABAJO]],1)-1)</f>
        <v>Cx 712 SW (Gal 980 SW)</v>
      </c>
      <c r="C16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712 SW (Gal 980 SW),PERFORACION</v>
      </c>
      <c r="D16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80" s="47" t="s">
        <v>3309</v>
      </c>
      <c r="G1680" t="s">
        <v>3310</v>
      </c>
      <c r="H16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81" spans="1:8" ht="15" customHeight="1" x14ac:dyDescent="0.25">
      <c r="A1681" t="str">
        <f>MID(TB_CECO[[#This Row],[CECO_T]],1,5)</f>
        <v>1H128</v>
      </c>
      <c r="B1681" t="str">
        <f>MID(TB_CECO[[#This Row],[TRABAJO]],1,SEARCH(",",TB_CECO[[#This Row],[TRABAJO]],1)-1)</f>
        <v>Cx 712 SW (Gal 980 SW)</v>
      </c>
      <c r="C16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712 SW (Gal 980 SW),SOSTENIMIENTO</v>
      </c>
      <c r="D16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81" s="47" t="s">
        <v>3311</v>
      </c>
      <c r="G1681" t="s">
        <v>3312</v>
      </c>
      <c r="H16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82" spans="1:8" ht="15" customHeight="1" x14ac:dyDescent="0.25">
      <c r="A1682" t="str">
        <f>MID(TB_CECO[[#This Row],[CECO_T]],1,5)</f>
        <v>1H128</v>
      </c>
      <c r="B1682" t="str">
        <f>MID(TB_CECO[[#This Row],[TRABAJO]],1,SEARCH(",",TB_CECO[[#This Row],[TRABAJO]],1)-1)</f>
        <v>Cx 712 SW (Gal 980 SW)</v>
      </c>
      <c r="C16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712 SW (Gal 980 SW),VOLADURA</v>
      </c>
      <c r="D16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82" s="47" t="s">
        <v>3313</v>
      </c>
      <c r="G1682" t="s">
        <v>3314</v>
      </c>
      <c r="H16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83" spans="1:8" ht="15" customHeight="1" x14ac:dyDescent="0.25">
      <c r="A1683" t="str">
        <f>MID(TB_CECO[[#This Row],[CECO_T]],1,5)</f>
        <v>1H131</v>
      </c>
      <c r="B1683" t="str">
        <f>MID(TB_CECO[[#This Row],[TRABAJO]],1,SEARCH(",",TB_CECO[[#This Row],[TRABAJO]],1)-1)</f>
        <v>Cx 683 NW (Gal 980 SW)</v>
      </c>
      <c r="C16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683 NW (Gal 980 SW),LIMPIEZA</v>
      </c>
      <c r="D16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83" s="47" t="s">
        <v>3315</v>
      </c>
      <c r="G1683" t="s">
        <v>3316</v>
      </c>
      <c r="H16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84" spans="1:8" ht="15" customHeight="1" x14ac:dyDescent="0.25">
      <c r="A1684" t="str">
        <f>MID(TB_CECO[[#This Row],[CECO_T]],1,5)</f>
        <v>1H131</v>
      </c>
      <c r="B1684" t="str">
        <f>MID(TB_CECO[[#This Row],[TRABAJO]],1,SEARCH(",",TB_CECO[[#This Row],[TRABAJO]],1)-1)</f>
        <v>Cx 683 NW (Gal 980 SW)</v>
      </c>
      <c r="C16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683 NW (Gal 980 SW),SERVICIO</v>
      </c>
      <c r="D16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84" s="47" t="s">
        <v>3317</v>
      </c>
      <c r="G1684" t="s">
        <v>3318</v>
      </c>
      <c r="H16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85" spans="1:8" ht="15" customHeight="1" x14ac:dyDescent="0.25">
      <c r="A1685" t="str">
        <f>MID(TB_CECO[[#This Row],[CECO_T]],1,5)</f>
        <v>1H131</v>
      </c>
      <c r="B1685" t="str">
        <f>MID(TB_CECO[[#This Row],[TRABAJO]],1,SEARCH(",",TB_CECO[[#This Row],[TRABAJO]],1)-1)</f>
        <v>Cx 683 NW (Gal 980 SW)</v>
      </c>
      <c r="C16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683 NW (Gal 980 SW),PERFORACION</v>
      </c>
      <c r="D16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85" s="47" t="s">
        <v>3319</v>
      </c>
      <c r="G1685" t="s">
        <v>3320</v>
      </c>
      <c r="H16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86" spans="1:8" ht="15" customHeight="1" x14ac:dyDescent="0.25">
      <c r="A1686" t="str">
        <f>MID(TB_CECO[[#This Row],[CECO_T]],1,5)</f>
        <v>1H131</v>
      </c>
      <c r="B1686" t="str">
        <f>MID(TB_CECO[[#This Row],[TRABAJO]],1,SEARCH(",",TB_CECO[[#This Row],[TRABAJO]],1)-1)</f>
        <v>Cx 683 NW (Gal 980 SW)</v>
      </c>
      <c r="C16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683 NW (Gal 980 SW),SOSTENIMIENTO</v>
      </c>
      <c r="D16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86" s="47" t="s">
        <v>3321</v>
      </c>
      <c r="G1686" t="s">
        <v>3322</v>
      </c>
      <c r="H16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87" spans="1:8" ht="15" customHeight="1" x14ac:dyDescent="0.25">
      <c r="A1687" t="str">
        <f>MID(TB_CECO[[#This Row],[CECO_T]],1,5)</f>
        <v>1H131</v>
      </c>
      <c r="B1687" t="str">
        <f>MID(TB_CECO[[#This Row],[TRABAJO]],1,SEARCH(",",TB_CECO[[#This Row],[TRABAJO]],1)-1)</f>
        <v>Cx 683 NW (Gal 980 SW)</v>
      </c>
      <c r="C16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683 NW (Gal 980 SW),VOLADURA</v>
      </c>
      <c r="D16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87" s="47" t="s">
        <v>3323</v>
      </c>
      <c r="G1687" t="s">
        <v>3324</v>
      </c>
      <c r="H16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88" spans="1:8" ht="15" customHeight="1" x14ac:dyDescent="0.25">
      <c r="A1688" t="str">
        <f>MID(TB_CECO[[#This Row],[CECO_T]],1,5)</f>
        <v>1H214</v>
      </c>
      <c r="B1688" t="str">
        <f>MID(TB_CECO[[#This Row],[TRABAJO]],1,SEARCH(",",TB_CECO[[#This Row],[TRABAJO]],1)-1)</f>
        <v>Gal 648 SW (Cx 712 SW)</v>
      </c>
      <c r="C16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648 SW (Cx 712 SW),LIMPIEZA</v>
      </c>
      <c r="D16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88" s="47" t="s">
        <v>3325</v>
      </c>
      <c r="G1688" t="s">
        <v>3326</v>
      </c>
      <c r="H16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89" spans="1:8" ht="15" customHeight="1" x14ac:dyDescent="0.25">
      <c r="A1689" t="str">
        <f>MID(TB_CECO[[#This Row],[CECO_T]],1,5)</f>
        <v>1H214</v>
      </c>
      <c r="B1689" t="str">
        <f>MID(TB_CECO[[#This Row],[TRABAJO]],1,SEARCH(",",TB_CECO[[#This Row],[TRABAJO]],1)-1)</f>
        <v>Gal 648 SW (Cx 712 SW)</v>
      </c>
      <c r="C16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648 SW (Cx 712 SW),SERVICIO</v>
      </c>
      <c r="D16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89" s="47" t="s">
        <v>3327</v>
      </c>
      <c r="G1689" t="s">
        <v>3328</v>
      </c>
      <c r="H16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90" spans="1:8" ht="15" customHeight="1" x14ac:dyDescent="0.25">
      <c r="A1690" t="str">
        <f>MID(TB_CECO[[#This Row],[CECO_T]],1,5)</f>
        <v>1H214</v>
      </c>
      <c r="B1690" t="str">
        <f>MID(TB_CECO[[#This Row],[TRABAJO]],1,SEARCH(",",TB_CECO[[#This Row],[TRABAJO]],1)-1)</f>
        <v>Gal 648 SW (Cx 712 SW)</v>
      </c>
      <c r="C16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648 SW (Cx 712 SW),PERFORACION</v>
      </c>
      <c r="D16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90" s="47" t="s">
        <v>3329</v>
      </c>
      <c r="G1690" t="s">
        <v>3330</v>
      </c>
      <c r="H16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91" spans="1:8" ht="15" customHeight="1" x14ac:dyDescent="0.25">
      <c r="A1691" t="str">
        <f>MID(TB_CECO[[#This Row],[CECO_T]],1,5)</f>
        <v>1H214</v>
      </c>
      <c r="B1691" t="str">
        <f>MID(TB_CECO[[#This Row],[TRABAJO]],1,SEARCH(",",TB_CECO[[#This Row],[TRABAJO]],1)-1)</f>
        <v>Gal 648 SW (Cx 712 SW)</v>
      </c>
      <c r="C16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648 SW (Cx 712 SW),SOSTENIMIENTO</v>
      </c>
      <c r="D16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91" s="47" t="s">
        <v>3331</v>
      </c>
      <c r="G1691" t="s">
        <v>3332</v>
      </c>
      <c r="H16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92" spans="1:8" ht="15" customHeight="1" x14ac:dyDescent="0.25">
      <c r="A1692" t="str">
        <f>MID(TB_CECO[[#This Row],[CECO_T]],1,5)</f>
        <v>1H214</v>
      </c>
      <c r="B1692" t="str">
        <f>MID(TB_CECO[[#This Row],[TRABAJO]],1,SEARCH(",",TB_CECO[[#This Row],[TRABAJO]],1)-1)</f>
        <v>Gal 648 SW (Cx 712 SW)</v>
      </c>
      <c r="C16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648 SW (Cx 712 SW),VOLADURA</v>
      </c>
      <c r="D16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92" s="47" t="s">
        <v>3333</v>
      </c>
      <c r="G1692" t="s">
        <v>3334</v>
      </c>
      <c r="H16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93" spans="1:8" ht="15" customHeight="1" x14ac:dyDescent="0.25">
      <c r="A1693" t="str">
        <f>MID(TB_CECO[[#This Row],[CECO_T]],1,5)</f>
        <v>1H215</v>
      </c>
      <c r="B1693" t="str">
        <f>MID(TB_CECO[[#This Row],[TRABAJO]],1,SEARCH(",",TB_CECO[[#This Row],[TRABAJO]],1)-1)</f>
        <v>Gal 648 NE (Cx 712 SW)</v>
      </c>
      <c r="C16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648 NE (Cx 712 SW),LIMPIEZA</v>
      </c>
      <c r="D16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93" s="47" t="s">
        <v>3335</v>
      </c>
      <c r="G1693" t="s">
        <v>3336</v>
      </c>
      <c r="H16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94" spans="1:8" ht="15" customHeight="1" x14ac:dyDescent="0.25">
      <c r="A1694" t="str">
        <f>MID(TB_CECO[[#This Row],[CECO_T]],1,5)</f>
        <v>1H215</v>
      </c>
      <c r="B1694" t="str">
        <f>MID(TB_CECO[[#This Row],[TRABAJO]],1,SEARCH(",",TB_CECO[[#This Row],[TRABAJO]],1)-1)</f>
        <v>Gal 648 NE (Cx 712 SW)</v>
      </c>
      <c r="C16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648 NE (Cx 712 SW),SERVICIO</v>
      </c>
      <c r="D16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94" s="47" t="s">
        <v>3337</v>
      </c>
      <c r="G1694" t="s">
        <v>3338</v>
      </c>
      <c r="H16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95" spans="1:8" ht="15" customHeight="1" x14ac:dyDescent="0.25">
      <c r="A1695" t="str">
        <f>MID(TB_CECO[[#This Row],[CECO_T]],1,5)</f>
        <v>1H215</v>
      </c>
      <c r="B1695" t="str">
        <f>MID(TB_CECO[[#This Row],[TRABAJO]],1,SEARCH(",",TB_CECO[[#This Row],[TRABAJO]],1)-1)</f>
        <v>Gal 648 NE (Cx 712 SW)</v>
      </c>
      <c r="C16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648 NE (Cx 712 SW),PERFORACION</v>
      </c>
      <c r="D16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95" s="47" t="s">
        <v>3339</v>
      </c>
      <c r="G1695" t="s">
        <v>3340</v>
      </c>
      <c r="H16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96" spans="1:8" ht="15" customHeight="1" x14ac:dyDescent="0.25">
      <c r="A1696" t="str">
        <f>MID(TB_CECO[[#This Row],[CECO_T]],1,5)</f>
        <v>1H215</v>
      </c>
      <c r="B1696" t="str">
        <f>MID(TB_CECO[[#This Row],[TRABAJO]],1,SEARCH(",",TB_CECO[[#This Row],[TRABAJO]],1)-1)</f>
        <v>Gal 648 NE (Cx 712 SW)</v>
      </c>
      <c r="C16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648 NE (Cx 712 SW),SOSTENIMIENTO</v>
      </c>
      <c r="D16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96" s="47" t="s">
        <v>3341</v>
      </c>
      <c r="G1696" t="s">
        <v>3342</v>
      </c>
      <c r="H16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97" spans="1:8" ht="15" customHeight="1" x14ac:dyDescent="0.25">
      <c r="A1697" t="str">
        <f>MID(TB_CECO[[#This Row],[CECO_T]],1,5)</f>
        <v>1H215</v>
      </c>
      <c r="B1697" t="str">
        <f>MID(TB_CECO[[#This Row],[TRABAJO]],1,SEARCH(",",TB_CECO[[#This Row],[TRABAJO]],1)-1)</f>
        <v>Gal 648 NE (Cx 712 SW)</v>
      </c>
      <c r="C16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648 NE (Cx 712 SW),VOLADURA</v>
      </c>
      <c r="D16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16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697" s="47" t="s">
        <v>3343</v>
      </c>
      <c r="G1697" t="s">
        <v>3344</v>
      </c>
      <c r="H16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98" spans="1:8" ht="15" customHeight="1" x14ac:dyDescent="0.25">
      <c r="A1698" t="str">
        <f>MID(TB_CECO[[#This Row],[CECO_T]],1,5)</f>
        <v>1J113</v>
      </c>
      <c r="B1698" t="str">
        <f>MID(TB_CECO[[#This Row],[TRABAJO]],1,SEARCH(",",TB_CECO[[#This Row],[TRABAJO]],1)-1)</f>
        <v>CX 941 NW (GAL 980 SW)</v>
      </c>
      <c r="C16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941 NW (GAL 980 SW),SUMINISTROS</v>
      </c>
      <c r="D16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98" s="47" t="s">
        <v>3345</v>
      </c>
      <c r="G1698" t="s">
        <v>3346</v>
      </c>
      <c r="H16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699" spans="1:8" ht="15" customHeight="1" x14ac:dyDescent="0.25">
      <c r="A1699" t="str">
        <f>MID(TB_CECO[[#This Row],[CECO_T]],1,5)</f>
        <v>1J113</v>
      </c>
      <c r="B1699" t="str">
        <f>MID(TB_CECO[[#This Row],[TRABAJO]],1,SEARCH(",",TB_CECO[[#This Row],[TRABAJO]],1)-1)</f>
        <v>CX 941 NW (GAL 980 SW)</v>
      </c>
      <c r="C16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941 NW (GAL 980 SW),SOSTENIMIENTO</v>
      </c>
      <c r="D16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6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699" s="47" t="s">
        <v>3347</v>
      </c>
      <c r="G1699" t="s">
        <v>3348</v>
      </c>
      <c r="H16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00" spans="1:8" ht="15" customHeight="1" x14ac:dyDescent="0.25">
      <c r="A1700" t="str">
        <f>MID(TB_CECO[[#This Row],[CECO_T]],1,5)</f>
        <v>1J113</v>
      </c>
      <c r="B1700" t="str">
        <f>MID(TB_CECO[[#This Row],[TRABAJO]],1,SEARCH(",",TB_CECO[[#This Row],[TRABAJO]],1)-1)</f>
        <v>CX 941 NW (GAL 980 SW)</v>
      </c>
      <c r="C17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941 NW (GAL 980 SW),SERVICIO</v>
      </c>
      <c r="D17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00" s="47" t="s">
        <v>3349</v>
      </c>
      <c r="G1700" t="s">
        <v>3350</v>
      </c>
      <c r="H17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01" spans="1:8" ht="15" customHeight="1" x14ac:dyDescent="0.25">
      <c r="A1701" t="str">
        <f>MID(TB_CECO[[#This Row],[CECO_T]],1,5)</f>
        <v>1J113</v>
      </c>
      <c r="B1701" t="str">
        <f>MID(TB_CECO[[#This Row],[TRABAJO]],1,SEARCH(",",TB_CECO[[#This Row],[TRABAJO]],1)-1)</f>
        <v>CX 941 NW (GAL 980 SW)</v>
      </c>
      <c r="C17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941 NW (GAL 980 SW),REHABILITACION</v>
      </c>
      <c r="D17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01" s="47" t="s">
        <v>3351</v>
      </c>
      <c r="G1701" t="s">
        <v>3352</v>
      </c>
      <c r="H17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02" spans="1:8" ht="15" customHeight="1" x14ac:dyDescent="0.25">
      <c r="A1702" t="str">
        <f>MID(TB_CECO[[#This Row],[CECO_T]],1,5)</f>
        <v>1J348</v>
      </c>
      <c r="B1702" t="str">
        <f>MID(TB_CECO[[#This Row],[TRABAJO]],1,SEARCH(",",TB_CECO[[#This Row],[TRABAJO]],1)-1)</f>
        <v>Ch 981 (Tj 800)</v>
      </c>
      <c r="C17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981 (Tj 800),SUMINISTROS</v>
      </c>
      <c r="D17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02" s="47" t="s">
        <v>3353</v>
      </c>
      <c r="G1702" t="s">
        <v>3354</v>
      </c>
      <c r="H17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03" spans="1:8" ht="15" customHeight="1" x14ac:dyDescent="0.25">
      <c r="A1703" t="str">
        <f>MID(TB_CECO[[#This Row],[CECO_T]],1,5)</f>
        <v>1J348</v>
      </c>
      <c r="B1703" t="str">
        <f>MID(TB_CECO[[#This Row],[TRABAJO]],1,SEARCH(",",TB_CECO[[#This Row],[TRABAJO]],1)-1)</f>
        <v>Ch 981 (Tj 800)</v>
      </c>
      <c r="C17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981 (Tj 800),SOSTENIMIENTO</v>
      </c>
      <c r="D17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03" s="47" t="s">
        <v>3355</v>
      </c>
      <c r="G1703" t="s">
        <v>3356</v>
      </c>
      <c r="H17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04" spans="1:8" ht="15" customHeight="1" x14ac:dyDescent="0.25">
      <c r="A1704" t="str">
        <f>MID(TB_CECO[[#This Row],[CECO_T]],1,5)</f>
        <v>1J348</v>
      </c>
      <c r="B1704" t="str">
        <f>MID(TB_CECO[[#This Row],[TRABAJO]],1,SEARCH(",",TB_CECO[[#This Row],[TRABAJO]],1)-1)</f>
        <v>Ch 981 (Tj 800)</v>
      </c>
      <c r="C17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981 (Tj 800),SERVICIO</v>
      </c>
      <c r="D17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04" s="47" t="s">
        <v>3357</v>
      </c>
      <c r="G1704" t="s">
        <v>3358</v>
      </c>
      <c r="H17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05" spans="1:8" ht="15" customHeight="1" x14ac:dyDescent="0.25">
      <c r="A1705" t="str">
        <f>MID(TB_CECO[[#This Row],[CECO_T]],1,5)</f>
        <v>1J348</v>
      </c>
      <c r="B1705" t="str">
        <f>MID(TB_CECO[[#This Row],[TRABAJO]],1,SEARCH(",",TB_CECO[[#This Row],[TRABAJO]],1)-1)</f>
        <v>Ch 981 (Tj 800)</v>
      </c>
      <c r="C17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981 (Tj 800),REHABILITACION</v>
      </c>
      <c r="D17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05" s="47" t="s">
        <v>3359</v>
      </c>
      <c r="G1705" t="s">
        <v>3360</v>
      </c>
      <c r="H17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06" spans="1:8" ht="15" customHeight="1" x14ac:dyDescent="0.25">
      <c r="A1706" t="str">
        <f>MID(TB_CECO[[#This Row],[CECO_T]],1,5)</f>
        <v>1J348</v>
      </c>
      <c r="B1706" t="str">
        <f>MID(TB_CECO[[#This Row],[TRABAJO]],1,SEARCH(",",TB_CECO[[#This Row],[TRABAJO]],1)-1)</f>
        <v>Ch 981 (Tj 800)</v>
      </c>
      <c r="C17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981 (Tj 800),TOLVA</v>
      </c>
      <c r="D17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06" s="47" t="s">
        <v>3361</v>
      </c>
      <c r="G1706" t="s">
        <v>3362</v>
      </c>
      <c r="H17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07" spans="1:8" ht="15" customHeight="1" x14ac:dyDescent="0.25">
      <c r="A1707" t="str">
        <f>MID(TB_CECO[[#This Row],[CECO_T]],1,5)</f>
        <v>1J527</v>
      </c>
      <c r="B1707" t="str">
        <f>MID(TB_CECO[[#This Row],[TRABAJO]],1,SEARCH(",",TB_CECO[[#This Row],[TRABAJO]],1)-1)</f>
        <v>SNV 994 SW (CH 994)</v>
      </c>
      <c r="C17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994 SW (CH 994),SUMINISTROS</v>
      </c>
      <c r="D17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07" s="47" t="s">
        <v>3363</v>
      </c>
      <c r="G1707" t="s">
        <v>3364</v>
      </c>
      <c r="H17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08" spans="1:8" ht="15" customHeight="1" x14ac:dyDescent="0.25">
      <c r="A1708" t="str">
        <f>MID(TB_CECO[[#This Row],[CECO_T]],1,5)</f>
        <v>1J527</v>
      </c>
      <c r="B1708" t="str">
        <f>MID(TB_CECO[[#This Row],[TRABAJO]],1,SEARCH(",",TB_CECO[[#This Row],[TRABAJO]],1)-1)</f>
        <v>SNV 994 SW (CH 994)</v>
      </c>
      <c r="C17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994 SW (CH 994),SOSTENIMIENTO</v>
      </c>
      <c r="D17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08" s="47" t="s">
        <v>3365</v>
      </c>
      <c r="G1708" t="s">
        <v>3366</v>
      </c>
      <c r="H17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09" spans="1:8" ht="15" customHeight="1" x14ac:dyDescent="0.25">
      <c r="A1709" t="str">
        <f>MID(TB_CECO[[#This Row],[CECO_T]],1,5)</f>
        <v>1J527</v>
      </c>
      <c r="B1709" t="str">
        <f>MID(TB_CECO[[#This Row],[TRABAJO]],1,SEARCH(",",TB_CECO[[#This Row],[TRABAJO]],1)-1)</f>
        <v>SNV 994 SW (CH 994)</v>
      </c>
      <c r="C17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994 SW (CH 994),SERVICIO</v>
      </c>
      <c r="D17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09" s="47" t="s">
        <v>3367</v>
      </c>
      <c r="G1709" t="s">
        <v>3368</v>
      </c>
      <c r="H17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10" spans="1:8" ht="15" customHeight="1" x14ac:dyDescent="0.25">
      <c r="A1710" t="str">
        <f>MID(TB_CECO[[#This Row],[CECO_T]],1,5)</f>
        <v>1J527</v>
      </c>
      <c r="B1710" t="str">
        <f>MID(TB_CECO[[#This Row],[TRABAJO]],1,SEARCH(",",TB_CECO[[#This Row],[TRABAJO]],1)-1)</f>
        <v>SNV 994 SW (CH 994)</v>
      </c>
      <c r="C17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994 SW (CH 994),REHABILITACION</v>
      </c>
      <c r="D17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10" s="47" t="s">
        <v>3369</v>
      </c>
      <c r="G1710" t="s">
        <v>3370</v>
      </c>
      <c r="H17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11" spans="1:8" ht="15" customHeight="1" x14ac:dyDescent="0.25">
      <c r="A1711" t="str">
        <f>MID(TB_CECO[[#This Row],[CECO_T]],1,5)</f>
        <v>1J528</v>
      </c>
      <c r="B1711" t="str">
        <f>MID(TB_CECO[[#This Row],[TRABAJO]],1,SEARCH(",",TB_CECO[[#This Row],[TRABAJO]],1)-1)</f>
        <v>SNV 994 NE (CH 994)</v>
      </c>
      <c r="C17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994 NE (CH 994),SUMINISTROS</v>
      </c>
      <c r="D17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11" s="47" t="s">
        <v>3371</v>
      </c>
      <c r="G1711" t="s">
        <v>3372</v>
      </c>
      <c r="H17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12" spans="1:8" ht="15" customHeight="1" x14ac:dyDescent="0.25">
      <c r="A1712" t="str">
        <f>MID(TB_CECO[[#This Row],[CECO_T]],1,5)</f>
        <v>1J528</v>
      </c>
      <c r="B1712" t="str">
        <f>MID(TB_CECO[[#This Row],[TRABAJO]],1,SEARCH(",",TB_CECO[[#This Row],[TRABAJO]],1)-1)</f>
        <v>SNV 994 NE (CH 994)</v>
      </c>
      <c r="C17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994 NE (CH 994),SOSTENIMIENTO</v>
      </c>
      <c r="D17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12" s="47" t="s">
        <v>3373</v>
      </c>
      <c r="G1712" t="s">
        <v>3374</v>
      </c>
      <c r="H17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13" spans="1:8" ht="15" customHeight="1" x14ac:dyDescent="0.25">
      <c r="A1713" t="str">
        <f>MID(TB_CECO[[#This Row],[CECO_T]],1,5)</f>
        <v>1J528</v>
      </c>
      <c r="B1713" t="str">
        <f>MID(TB_CECO[[#This Row],[TRABAJO]],1,SEARCH(",",TB_CECO[[#This Row],[TRABAJO]],1)-1)</f>
        <v>SNV 994 NE (CH 994)</v>
      </c>
      <c r="C17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994 NE (CH 994),SERVICIO</v>
      </c>
      <c r="D17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13" s="47" t="s">
        <v>3375</v>
      </c>
      <c r="G1713" t="s">
        <v>3376</v>
      </c>
      <c r="H17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14" spans="1:8" ht="15" customHeight="1" x14ac:dyDescent="0.25">
      <c r="A1714" t="str">
        <f>MID(TB_CECO[[#This Row],[CECO_T]],1,5)</f>
        <v>1J528</v>
      </c>
      <c r="B1714" t="str">
        <f>MID(TB_CECO[[#This Row],[TRABAJO]],1,SEARCH(",",TB_CECO[[#This Row],[TRABAJO]],1)-1)</f>
        <v>SNV 994 NE (CH 994)</v>
      </c>
      <c r="C17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994 NE (CH 994),REHABILITACION</v>
      </c>
      <c r="D17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14" s="47" t="s">
        <v>3377</v>
      </c>
      <c r="G1714" t="s">
        <v>3378</v>
      </c>
      <c r="H17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15" spans="1:8" ht="15" customHeight="1" x14ac:dyDescent="0.25">
      <c r="A1715" t="str">
        <f>MID(TB_CECO[[#This Row],[CECO_T]],1,5)</f>
        <v>1J810</v>
      </c>
      <c r="B1715" t="str">
        <f>MID(TB_CECO[[#This Row],[TRABAJO]],1,SEARCH(",",TB_CECO[[#This Row],[TRABAJO]],1)-1)</f>
        <v>CAM 08</v>
      </c>
      <c r="C17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08,SUMINISTROS</v>
      </c>
      <c r="D17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15" s="47" t="s">
        <v>3379</v>
      </c>
      <c r="G1715" t="s">
        <v>3380</v>
      </c>
      <c r="H17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16" spans="1:8" ht="15" customHeight="1" x14ac:dyDescent="0.25">
      <c r="A1716" t="str">
        <f>MID(TB_CECO[[#This Row],[CECO_T]],1,5)</f>
        <v>1J810</v>
      </c>
      <c r="B1716" t="str">
        <f>MID(TB_CECO[[#This Row],[TRABAJO]],1,SEARCH(",",TB_CECO[[#This Row],[TRABAJO]],1)-1)</f>
        <v>CAM 08</v>
      </c>
      <c r="C17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08,SOSTENIMIENTO</v>
      </c>
      <c r="D17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16" s="47" t="s">
        <v>3381</v>
      </c>
      <c r="G1716" t="s">
        <v>3382</v>
      </c>
      <c r="H17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17" spans="1:8" ht="15" customHeight="1" x14ac:dyDescent="0.25">
      <c r="A1717" t="str">
        <f>MID(TB_CECO[[#This Row],[CECO_T]],1,5)</f>
        <v>1J810</v>
      </c>
      <c r="B1717" t="str">
        <f>MID(TB_CECO[[#This Row],[TRABAJO]],1,SEARCH(",",TB_CECO[[#This Row],[TRABAJO]],1)-1)</f>
        <v>CAM 08</v>
      </c>
      <c r="C17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08,SERVICIO</v>
      </c>
      <c r="D17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17" s="47" t="s">
        <v>3383</v>
      </c>
      <c r="G1717" t="s">
        <v>3384</v>
      </c>
      <c r="H17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18" spans="1:8" ht="15" customHeight="1" x14ac:dyDescent="0.25">
      <c r="A1718" t="str">
        <f>MID(TB_CECO[[#This Row],[CECO_T]],1,5)</f>
        <v>1J810</v>
      </c>
      <c r="B1718" t="str">
        <f>MID(TB_CECO[[#This Row],[TRABAJO]],1,SEARCH(",",TB_CECO[[#This Row],[TRABAJO]],1)-1)</f>
        <v>CAM 08</v>
      </c>
      <c r="C17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08,REHABILITACION</v>
      </c>
      <c r="D17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18" s="47" t="s">
        <v>3385</v>
      </c>
      <c r="G1718" t="s">
        <v>3386</v>
      </c>
      <c r="H17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19" spans="1:8" ht="15" customHeight="1" x14ac:dyDescent="0.25">
      <c r="A1719" t="str">
        <f>MID(TB_CECO[[#This Row],[CECO_T]],1,5)</f>
        <v>1L121</v>
      </c>
      <c r="B1719" t="str">
        <f>MID(TB_CECO[[#This Row],[TRABAJO]],1,SEARCH(",",TB_CECO[[#This Row],[TRABAJO]],1)-1)</f>
        <v>Cx 219 SE (Cx 199 NE)</v>
      </c>
      <c r="C17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219 SE (Cx 199 NE),SUMINISTROS</v>
      </c>
      <c r="D17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19" s="47" t="s">
        <v>3387</v>
      </c>
      <c r="G1719" t="s">
        <v>3388</v>
      </c>
      <c r="H17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20" spans="1:8" ht="15" customHeight="1" x14ac:dyDescent="0.25">
      <c r="A1720" t="str">
        <f>MID(TB_CECO[[#This Row],[CECO_T]],1,5)</f>
        <v>1L121</v>
      </c>
      <c r="B1720" t="str">
        <f>MID(TB_CECO[[#This Row],[TRABAJO]],1,SEARCH(",",TB_CECO[[#This Row],[TRABAJO]],1)-1)</f>
        <v>Cx 219 SE (Cx 199 NE)</v>
      </c>
      <c r="C17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219 SE (Cx 199 NE),SOSTENIMIENTO</v>
      </c>
      <c r="D17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20" s="47" t="s">
        <v>3389</v>
      </c>
      <c r="G1720" t="s">
        <v>3390</v>
      </c>
      <c r="H17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21" spans="1:8" ht="15" customHeight="1" x14ac:dyDescent="0.25">
      <c r="A1721" t="str">
        <f>MID(TB_CECO[[#This Row],[CECO_T]],1,5)</f>
        <v>1L121</v>
      </c>
      <c r="B1721" t="str">
        <f>MID(TB_CECO[[#This Row],[TRABAJO]],1,SEARCH(",",TB_CECO[[#This Row],[TRABAJO]],1)-1)</f>
        <v>Cx 219 SE (Cx 199 NE)</v>
      </c>
      <c r="C17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219 SE (Cx 199 NE),SERVICIO</v>
      </c>
      <c r="D17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21" s="47" t="s">
        <v>3391</v>
      </c>
      <c r="G1721" t="s">
        <v>3392</v>
      </c>
      <c r="H17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22" spans="1:8" ht="15" customHeight="1" x14ac:dyDescent="0.25">
      <c r="A1722" t="str">
        <f>MID(TB_CECO[[#This Row],[CECO_T]],1,5)</f>
        <v>1L121</v>
      </c>
      <c r="B1722" t="str">
        <f>MID(TB_CECO[[#This Row],[TRABAJO]],1,SEARCH(",",TB_CECO[[#This Row],[TRABAJO]],1)-1)</f>
        <v>Cx 219 SE (Cx 199 NE)</v>
      </c>
      <c r="C17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219 SE (Cx 199 NE),REHABILITACION</v>
      </c>
      <c r="D17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22" s="47" t="s">
        <v>3393</v>
      </c>
      <c r="G1722" t="s">
        <v>3394</v>
      </c>
      <c r="H17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23" spans="1:8" ht="15" customHeight="1" x14ac:dyDescent="0.25">
      <c r="A1723" t="str">
        <f>MID(TB_CECO[[#This Row],[CECO_T]],1,5)</f>
        <v>1L121</v>
      </c>
      <c r="B1723" t="str">
        <f>MID(TB_CECO[[#This Row],[TRABAJO]],1,SEARCH(",",TB_CECO[[#This Row],[TRABAJO]],1)-1)</f>
        <v>Cx 219 SE (Cx 199 NE)</v>
      </c>
      <c r="C17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219 SE (Cx 199 NE),REFUGIO</v>
      </c>
      <c r="D17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23" s="47" t="s">
        <v>3395</v>
      </c>
      <c r="G1723" t="s">
        <v>3396</v>
      </c>
      <c r="H17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24" spans="1:8" ht="15" customHeight="1" x14ac:dyDescent="0.25">
      <c r="A1724" t="str">
        <f>MID(TB_CECO[[#This Row],[CECO_T]],1,5)</f>
        <v>1L133</v>
      </c>
      <c r="B1724" t="str">
        <f>MID(TB_CECO[[#This Row],[TRABAJO]],1,SEARCH(",",TB_CECO[[#This Row],[TRABAJO]],1)-1)</f>
        <v>Cx 082 SE (Cx 199 NE)</v>
      </c>
      <c r="C17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082 SE (Cx 199 NE),LIMPIEZA</v>
      </c>
      <c r="D17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24" s="47" t="s">
        <v>3397</v>
      </c>
      <c r="G1724" t="s">
        <v>3398</v>
      </c>
      <c r="H17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25" spans="1:8" ht="15" customHeight="1" x14ac:dyDescent="0.25">
      <c r="A1725" t="str">
        <f>MID(TB_CECO[[#This Row],[CECO_T]],1,5)</f>
        <v>1L133</v>
      </c>
      <c r="B1725" t="str">
        <f>MID(TB_CECO[[#This Row],[TRABAJO]],1,SEARCH(",",TB_CECO[[#This Row],[TRABAJO]],1)-1)</f>
        <v>Cx 082 SE (Cx 199 NE)</v>
      </c>
      <c r="C17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082 SE (Cx 199 NE),SERVICIO</v>
      </c>
      <c r="D17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25" s="47" t="s">
        <v>3399</v>
      </c>
      <c r="G1725" t="s">
        <v>3400</v>
      </c>
      <c r="H17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26" spans="1:8" ht="15" customHeight="1" x14ac:dyDescent="0.25">
      <c r="A1726" t="str">
        <f>MID(TB_CECO[[#This Row],[CECO_T]],1,5)</f>
        <v>1L133</v>
      </c>
      <c r="B1726" t="str">
        <f>MID(TB_CECO[[#This Row],[TRABAJO]],1,SEARCH(",",TB_CECO[[#This Row],[TRABAJO]],1)-1)</f>
        <v>Cx 082 SE (Cx 199 NE)</v>
      </c>
      <c r="C17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082 SE (Cx 199 NE),PERFORACION</v>
      </c>
      <c r="D17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26" s="47" t="s">
        <v>3401</v>
      </c>
      <c r="G1726" t="s">
        <v>3402</v>
      </c>
      <c r="H17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27" spans="1:8" ht="15" customHeight="1" x14ac:dyDescent="0.25">
      <c r="A1727" t="str">
        <f>MID(TB_CECO[[#This Row],[CECO_T]],1,5)</f>
        <v>1L133</v>
      </c>
      <c r="B1727" t="str">
        <f>MID(TB_CECO[[#This Row],[TRABAJO]],1,SEARCH(",",TB_CECO[[#This Row],[TRABAJO]],1)-1)</f>
        <v>Cx 082 SE (Cx 199 NE)</v>
      </c>
      <c r="C17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082 SE (Cx 199 NE),SOSTENIMIENTO</v>
      </c>
      <c r="D17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27" s="47" t="s">
        <v>3403</v>
      </c>
      <c r="G1727" t="s">
        <v>3404</v>
      </c>
      <c r="H17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28" spans="1:8" ht="15" customHeight="1" x14ac:dyDescent="0.25">
      <c r="A1728" t="str">
        <f>MID(TB_CECO[[#This Row],[CECO_T]],1,5)</f>
        <v>1L133</v>
      </c>
      <c r="B1728" t="str">
        <f>MID(TB_CECO[[#This Row],[TRABAJO]],1,SEARCH(",",TB_CECO[[#This Row],[TRABAJO]],1)-1)</f>
        <v>Cx 082 SE (Cx 199 NE)</v>
      </c>
      <c r="C17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082 SE (Cx 199 NE),VOLADURA</v>
      </c>
      <c r="D17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28" s="47" t="s">
        <v>3405</v>
      </c>
      <c r="G1728" t="s">
        <v>3406</v>
      </c>
      <c r="H17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29" spans="1:8" ht="15" customHeight="1" x14ac:dyDescent="0.25">
      <c r="A1729" t="str">
        <f>MID(TB_CECO[[#This Row],[CECO_T]],1,5)</f>
        <v>1L392</v>
      </c>
      <c r="B1729" t="str">
        <f>MID(TB_CECO[[#This Row],[TRABAJO]],1,SEARCH(",",TB_CECO[[#This Row],[TRABAJO]],1)-1)</f>
        <v>Ch 921 (Snv 145 NE)</v>
      </c>
      <c r="C17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921 (Snv 145 NE),LIMPIEZA</v>
      </c>
      <c r="D17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29" s="47" t="s">
        <v>3407</v>
      </c>
      <c r="G1729" t="s">
        <v>3408</v>
      </c>
      <c r="H17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30" spans="1:8" ht="15" customHeight="1" x14ac:dyDescent="0.25">
      <c r="A1730" t="str">
        <f>MID(TB_CECO[[#This Row],[CECO_T]],1,5)</f>
        <v>1L392</v>
      </c>
      <c r="B1730" t="str">
        <f>MID(TB_CECO[[#This Row],[TRABAJO]],1,SEARCH(",",TB_CECO[[#This Row],[TRABAJO]],1)-1)</f>
        <v>Ch 921 (Snv 145 NE)</v>
      </c>
      <c r="C17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921 (Snv 145 NE),SERVICIO</v>
      </c>
      <c r="D17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30" s="47" t="s">
        <v>3409</v>
      </c>
      <c r="G1730" t="s">
        <v>3410</v>
      </c>
      <c r="H17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31" spans="1:8" ht="15" customHeight="1" x14ac:dyDescent="0.25">
      <c r="A1731" t="str">
        <f>MID(TB_CECO[[#This Row],[CECO_T]],1,5)</f>
        <v>1L392</v>
      </c>
      <c r="B1731" t="str">
        <f>MID(TB_CECO[[#This Row],[TRABAJO]],1,SEARCH(",",TB_CECO[[#This Row],[TRABAJO]],1)-1)</f>
        <v>Ch 921 (Snv 145 NE)</v>
      </c>
      <c r="C17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921 (Snv 145 NE),PERFORACION</v>
      </c>
      <c r="D17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31" s="47" t="s">
        <v>3411</v>
      </c>
      <c r="G1731" t="s">
        <v>3412</v>
      </c>
      <c r="H17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32" spans="1:8" ht="15" customHeight="1" x14ac:dyDescent="0.25">
      <c r="A1732" t="str">
        <f>MID(TB_CECO[[#This Row],[CECO_T]],1,5)</f>
        <v>1L392</v>
      </c>
      <c r="B1732" t="str">
        <f>MID(TB_CECO[[#This Row],[TRABAJO]],1,SEARCH(",",TB_CECO[[#This Row],[TRABAJO]],1)-1)</f>
        <v>Ch 921 (Snv 145 NE)</v>
      </c>
      <c r="C17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921 (Snv 145 NE),SOSTENIMIENTO</v>
      </c>
      <c r="D17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32" s="47" t="s">
        <v>3413</v>
      </c>
      <c r="G1732" t="s">
        <v>3414</v>
      </c>
      <c r="H17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33" spans="1:8" ht="15" customHeight="1" x14ac:dyDescent="0.25">
      <c r="A1733" t="str">
        <f>MID(TB_CECO[[#This Row],[CECO_T]],1,5)</f>
        <v>1L392</v>
      </c>
      <c r="B1733" t="str">
        <f>MID(TB_CECO[[#This Row],[TRABAJO]],1,SEARCH(",",TB_CECO[[#This Row],[TRABAJO]],1)-1)</f>
        <v>Ch 921 (Snv 145 NE)</v>
      </c>
      <c r="C17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921 (Snv 145 NE),VOLADURA</v>
      </c>
      <c r="D17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33" s="47" t="s">
        <v>3415</v>
      </c>
      <c r="G1733" t="s">
        <v>3416</v>
      </c>
      <c r="H17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34" spans="1:8" ht="15" customHeight="1" x14ac:dyDescent="0.25">
      <c r="A1734" t="str">
        <f>MID(TB_CECO[[#This Row],[CECO_T]],1,5)</f>
        <v>1L592</v>
      </c>
      <c r="B1734" t="str">
        <f>MID(TB_CECO[[#This Row],[TRABAJO]],1,SEARCH(",",TB_CECO[[#This Row],[TRABAJO]],1)-1)</f>
        <v>Snv 251 NE (Cx 199 NE)</v>
      </c>
      <c r="C17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251 NE (Cx 199 NE),SUMINISTROS</v>
      </c>
      <c r="D17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34" s="47" t="s">
        <v>3417</v>
      </c>
      <c r="G1734" t="s">
        <v>3418</v>
      </c>
      <c r="H17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35" spans="1:8" ht="15" customHeight="1" x14ac:dyDescent="0.25">
      <c r="A1735" t="str">
        <f>MID(TB_CECO[[#This Row],[CECO_T]],1,5)</f>
        <v>1L592</v>
      </c>
      <c r="B1735" t="str">
        <f>MID(TB_CECO[[#This Row],[TRABAJO]],1,SEARCH(",",TB_CECO[[#This Row],[TRABAJO]],1)-1)</f>
        <v>Snv 251 NE (Cx 199 NE)</v>
      </c>
      <c r="C17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251 NE (Cx 199 NE),SOSTENIMIENTO</v>
      </c>
      <c r="D17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35" s="47" t="s">
        <v>3419</v>
      </c>
      <c r="G1735" t="s">
        <v>3420</v>
      </c>
      <c r="H17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36" spans="1:8" ht="15" customHeight="1" x14ac:dyDescent="0.25">
      <c r="A1736" t="str">
        <f>MID(TB_CECO[[#This Row],[CECO_T]],1,5)</f>
        <v>1L592</v>
      </c>
      <c r="B1736" t="str">
        <f>MID(TB_CECO[[#This Row],[TRABAJO]],1,SEARCH(",",TB_CECO[[#This Row],[TRABAJO]],1)-1)</f>
        <v>Snv 251 NE (Cx 199 NE)</v>
      </c>
      <c r="C17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251 NE (Cx 199 NE),SERVICIO</v>
      </c>
      <c r="D17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36" s="47" t="s">
        <v>3421</v>
      </c>
      <c r="G1736" t="s">
        <v>3422</v>
      </c>
      <c r="H17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37" spans="1:8" ht="15" customHeight="1" x14ac:dyDescent="0.25">
      <c r="A1737" t="str">
        <f>MID(TB_CECO[[#This Row],[CECO_T]],1,5)</f>
        <v>1L592</v>
      </c>
      <c r="B1737" t="str">
        <f>MID(TB_CECO[[#This Row],[TRABAJO]],1,SEARCH(",",TB_CECO[[#This Row],[TRABAJO]],1)-1)</f>
        <v>Snv 251 NE (Cx 199 NE)</v>
      </c>
      <c r="C17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251 NE (Cx 199 NE),REHABILITACION</v>
      </c>
      <c r="D17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37" s="47" t="s">
        <v>3423</v>
      </c>
      <c r="G1737" t="s">
        <v>3424</v>
      </c>
      <c r="H17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38" spans="1:8" ht="15" customHeight="1" x14ac:dyDescent="0.25">
      <c r="A1738" t="str">
        <f>MID(TB_CECO[[#This Row],[CECO_T]],1,5)</f>
        <v>1L593</v>
      </c>
      <c r="B1738" t="str">
        <f>MID(TB_CECO[[#This Row],[TRABAJO]],1,SEARCH(",",TB_CECO[[#This Row],[TRABAJO]],1)-1)</f>
        <v>Snv 251 SW (Cx 199 NE)</v>
      </c>
      <c r="C17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251 SW (Cx 199 NE),SUMINISTROS</v>
      </c>
      <c r="D17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38" s="47" t="s">
        <v>3425</v>
      </c>
      <c r="G1738" t="s">
        <v>3426</v>
      </c>
      <c r="H17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39" spans="1:8" ht="15" customHeight="1" x14ac:dyDescent="0.25">
      <c r="A1739" t="str">
        <f>MID(TB_CECO[[#This Row],[CECO_T]],1,5)</f>
        <v>1L593</v>
      </c>
      <c r="B1739" t="str">
        <f>MID(TB_CECO[[#This Row],[TRABAJO]],1,SEARCH(",",TB_CECO[[#This Row],[TRABAJO]],1)-1)</f>
        <v>Snv 251 SW (Cx 199 NE)</v>
      </c>
      <c r="C17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251 SW (Cx 199 NE),SOSTENIMIENTO</v>
      </c>
      <c r="D17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39" s="47" t="s">
        <v>3427</v>
      </c>
      <c r="G1739" t="s">
        <v>3428</v>
      </c>
      <c r="H17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40" spans="1:8" ht="15" customHeight="1" x14ac:dyDescent="0.25">
      <c r="A1740" t="str">
        <f>MID(TB_CECO[[#This Row],[CECO_T]],1,5)</f>
        <v>1L593</v>
      </c>
      <c r="B1740" t="str">
        <f>MID(TB_CECO[[#This Row],[TRABAJO]],1,SEARCH(",",TB_CECO[[#This Row],[TRABAJO]],1)-1)</f>
        <v>Snv 251 SW (Cx 199 NE)</v>
      </c>
      <c r="C17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251 SW (Cx 199 NE),SERVICIO</v>
      </c>
      <c r="D17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40" s="47" t="s">
        <v>3429</v>
      </c>
      <c r="G1740" t="s">
        <v>3430</v>
      </c>
      <c r="H17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41" spans="1:8" ht="15" customHeight="1" x14ac:dyDescent="0.25">
      <c r="A1741" t="str">
        <f>MID(TB_CECO[[#This Row],[CECO_T]],1,5)</f>
        <v>1L593</v>
      </c>
      <c r="B1741" t="str">
        <f>MID(TB_CECO[[#This Row],[TRABAJO]],1,SEARCH(",",TB_CECO[[#This Row],[TRABAJO]],1)-1)</f>
        <v>Snv 251 SW (Cx 199 NE)</v>
      </c>
      <c r="C17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251 SW (Cx 199 NE),REHABILITACION</v>
      </c>
      <c r="D17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41" s="47" t="s">
        <v>3431</v>
      </c>
      <c r="G1741" t="s">
        <v>3432</v>
      </c>
      <c r="H17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42" spans="1:8" ht="15" customHeight="1" x14ac:dyDescent="0.25">
      <c r="A1742" t="str">
        <f>MID(TB_CECO[[#This Row],[CECO_T]],1,5)</f>
        <v>1L664</v>
      </c>
      <c r="B1742" t="str">
        <f>MID(TB_CECO[[#This Row],[TRABAJO]],1,SEARCH(",",TB_CECO[[#This Row],[TRABAJO]],1)-1)</f>
        <v>Est 022 NW (Nv 8)</v>
      </c>
      <c r="C17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022 NW (Nv 8),LIMPIEZA</v>
      </c>
      <c r="D17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42" s="47" t="s">
        <v>3433</v>
      </c>
      <c r="G1742" t="s">
        <v>3434</v>
      </c>
      <c r="H17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43" spans="1:8" ht="15" customHeight="1" x14ac:dyDescent="0.25">
      <c r="A1743" t="str">
        <f>MID(TB_CECO[[#This Row],[CECO_T]],1,5)</f>
        <v>1L664</v>
      </c>
      <c r="B1743" t="str">
        <f>MID(TB_CECO[[#This Row],[TRABAJO]],1,SEARCH(",",TB_CECO[[#This Row],[TRABAJO]],1)-1)</f>
        <v>Est 022 NW (Nv 8)</v>
      </c>
      <c r="C17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022 NW (Nv 8),SERVICIO</v>
      </c>
      <c r="D17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43" s="47" t="s">
        <v>3435</v>
      </c>
      <c r="G1743" t="s">
        <v>3436</v>
      </c>
      <c r="H17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44" spans="1:8" ht="15" customHeight="1" x14ac:dyDescent="0.25">
      <c r="A1744" t="str">
        <f>MID(TB_CECO[[#This Row],[CECO_T]],1,5)</f>
        <v>1L664</v>
      </c>
      <c r="B1744" t="str">
        <f>MID(TB_CECO[[#This Row],[TRABAJO]],1,SEARCH(",",TB_CECO[[#This Row],[TRABAJO]],1)-1)</f>
        <v>Est 022 NW (Nv 8)</v>
      </c>
      <c r="C17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022 NW (Nv 8),PERFORACION</v>
      </c>
      <c r="D17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44" s="47" t="s">
        <v>3437</v>
      </c>
      <c r="G1744" t="s">
        <v>3438</v>
      </c>
      <c r="H17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45" spans="1:8" ht="15" customHeight="1" x14ac:dyDescent="0.25">
      <c r="A1745" t="str">
        <f>MID(TB_CECO[[#This Row],[CECO_T]],1,5)</f>
        <v>1L664</v>
      </c>
      <c r="B1745" t="str">
        <f>MID(TB_CECO[[#This Row],[TRABAJO]],1,SEARCH(",",TB_CECO[[#This Row],[TRABAJO]],1)-1)</f>
        <v>Est 022 NW (Nv 8)</v>
      </c>
      <c r="C17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022 NW (Nv 8),SOSTENIMIENTO</v>
      </c>
      <c r="D17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45" s="47" t="s">
        <v>3439</v>
      </c>
      <c r="G1745" t="s">
        <v>3440</v>
      </c>
      <c r="H17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46" spans="1:8" ht="15" customHeight="1" x14ac:dyDescent="0.25">
      <c r="A1746" t="str">
        <f>MID(TB_CECO[[#This Row],[CECO_T]],1,5)</f>
        <v>1L664</v>
      </c>
      <c r="B1746" t="str">
        <f>MID(TB_CECO[[#This Row],[TRABAJO]],1,SEARCH(",",TB_CECO[[#This Row],[TRABAJO]],1)-1)</f>
        <v>Est 022 NW (Nv 8)</v>
      </c>
      <c r="C17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022 NW (Nv 8),VOLADURA</v>
      </c>
      <c r="D17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46" s="47" t="s">
        <v>3441</v>
      </c>
      <c r="G1746" t="s">
        <v>3442</v>
      </c>
      <c r="H17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47" spans="1:8" ht="15" customHeight="1" x14ac:dyDescent="0.25">
      <c r="A1747" t="str">
        <f>MID(TB_CECO[[#This Row],[CECO_T]],1,5)</f>
        <v>1L71O</v>
      </c>
      <c r="B1747" t="str">
        <f>MID(TB_CECO[[#This Row],[TRABAJO]],1,SEARCH(",",TB_CECO[[#This Row],[TRABAJO]],1)-1)</f>
        <v>Tj 004 SW (Snv 002 SW)</v>
      </c>
      <c r="C17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SW),LIMPIEZA</v>
      </c>
      <c r="D17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47" s="47" t="s">
        <v>3443</v>
      </c>
      <c r="G1747" t="s">
        <v>3444</v>
      </c>
      <c r="H17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748" spans="1:8" ht="15" customHeight="1" x14ac:dyDescent="0.25">
      <c r="A1748" t="str">
        <f>MID(TB_CECO[[#This Row],[CECO_T]],1,5)</f>
        <v>1L71O</v>
      </c>
      <c r="B1748" t="str">
        <f>MID(TB_CECO[[#This Row],[TRABAJO]],1,SEARCH(",",TB_CECO[[#This Row],[TRABAJO]],1)-1)</f>
        <v>Tj 004 SW (Snv 002 SW)</v>
      </c>
      <c r="C17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SW),SERVICIO</v>
      </c>
      <c r="D17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48" s="47" t="s">
        <v>3445</v>
      </c>
      <c r="G1748" t="s">
        <v>3446</v>
      </c>
      <c r="H17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749" spans="1:8" ht="15" customHeight="1" x14ac:dyDescent="0.25">
      <c r="A1749" t="str">
        <f>MID(TB_CECO[[#This Row],[CECO_T]],1,5)</f>
        <v>1L71O</v>
      </c>
      <c r="B1749" t="str">
        <f>MID(TB_CECO[[#This Row],[TRABAJO]],1,SEARCH(",",TB_CECO[[#This Row],[TRABAJO]],1)-1)</f>
        <v>Tj 004 SW (Snv 002 SW)</v>
      </c>
      <c r="C17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SW),PERFORACION</v>
      </c>
      <c r="D17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49" s="47" t="s">
        <v>3447</v>
      </c>
      <c r="G1749" t="s">
        <v>3448</v>
      </c>
      <c r="H17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750" spans="1:8" ht="15" customHeight="1" x14ac:dyDescent="0.25">
      <c r="A1750" t="str">
        <f>MID(TB_CECO[[#This Row],[CECO_T]],1,5)</f>
        <v>1L71O</v>
      </c>
      <c r="B1750" t="str">
        <f>MID(TB_CECO[[#This Row],[TRABAJO]],1,SEARCH(",",TB_CECO[[#This Row],[TRABAJO]],1)-1)</f>
        <v>Tj 004 SW (Snv 002 SW)</v>
      </c>
      <c r="C17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SW),RELLENO</v>
      </c>
      <c r="D17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50" s="47" t="s">
        <v>3449</v>
      </c>
      <c r="G1750" t="s">
        <v>3450</v>
      </c>
      <c r="H17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751" spans="1:8" ht="15" customHeight="1" x14ac:dyDescent="0.25">
      <c r="A1751" t="str">
        <f>MID(TB_CECO[[#This Row],[CECO_T]],1,5)</f>
        <v>1L71O</v>
      </c>
      <c r="B1751" t="str">
        <f>MID(TB_CECO[[#This Row],[TRABAJO]],1,SEARCH(",",TB_CECO[[#This Row],[TRABAJO]],1)-1)</f>
        <v>Tj 004 SW (Snv 002 SW)</v>
      </c>
      <c r="C17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SW),SOSTENIMIENTO</v>
      </c>
      <c r="D17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51" s="47" t="s">
        <v>3451</v>
      </c>
      <c r="G1751" t="s">
        <v>3452</v>
      </c>
      <c r="H17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752" spans="1:8" ht="15" customHeight="1" x14ac:dyDescent="0.25">
      <c r="A1752" t="str">
        <f>MID(TB_CECO[[#This Row],[CECO_T]],1,5)</f>
        <v>1L71O</v>
      </c>
      <c r="B1752" t="str">
        <f>MID(TB_CECO[[#This Row],[TRABAJO]],1,SEARCH(",",TB_CECO[[#This Row],[TRABAJO]],1)-1)</f>
        <v>Tj 004 SW (Snv 002 SW)</v>
      </c>
      <c r="C17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SW),VOLADURA</v>
      </c>
      <c r="D17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52" s="47" t="s">
        <v>3453</v>
      </c>
      <c r="G1752" t="s">
        <v>3454</v>
      </c>
      <c r="H17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753" spans="1:8" ht="15" customHeight="1" x14ac:dyDescent="0.25">
      <c r="A1753" t="str">
        <f>MID(TB_CECO[[#This Row],[CECO_T]],1,5)</f>
        <v>1L815</v>
      </c>
      <c r="B1753" t="str">
        <f>MID(TB_CECO[[#This Row],[TRABAJO]],1,SEARCH(",",TB_CECO[[#This Row],[TRABAJO]],1)-1)</f>
        <v>Cam 14 (Cx 225 SE)</v>
      </c>
      <c r="C17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14 (Cx 225 SE),SUMINISTROS</v>
      </c>
      <c r="D17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53" s="47" t="s">
        <v>3455</v>
      </c>
      <c r="G1753" t="s">
        <v>3456</v>
      </c>
      <c r="H17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54" spans="1:8" ht="15" customHeight="1" x14ac:dyDescent="0.25">
      <c r="A1754" t="str">
        <f>MID(TB_CECO[[#This Row],[CECO_T]],1,5)</f>
        <v>1L815</v>
      </c>
      <c r="B1754" t="str">
        <f>MID(TB_CECO[[#This Row],[TRABAJO]],1,SEARCH(",",TB_CECO[[#This Row],[TRABAJO]],1)-1)</f>
        <v>Cam 14 (Cx 225 SE)</v>
      </c>
      <c r="C17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14 (Cx 225 SE),SOSTENIMIENTO</v>
      </c>
      <c r="D17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54" s="47" t="s">
        <v>3457</v>
      </c>
      <c r="G1754" t="s">
        <v>3458</v>
      </c>
      <c r="H17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55" spans="1:8" ht="15" customHeight="1" x14ac:dyDescent="0.25">
      <c r="A1755" t="str">
        <f>MID(TB_CECO[[#This Row],[CECO_T]],1,5)</f>
        <v>1L815</v>
      </c>
      <c r="B1755" t="str">
        <f>MID(TB_CECO[[#This Row],[TRABAJO]],1,SEARCH(",",TB_CECO[[#This Row],[TRABAJO]],1)-1)</f>
        <v>Cam 14 (Cx 225 SE)</v>
      </c>
      <c r="C17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14 (Cx 225 SE),SERVICIO</v>
      </c>
      <c r="D17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55" s="47" t="s">
        <v>3459</v>
      </c>
      <c r="G1755" t="s">
        <v>3460</v>
      </c>
      <c r="H17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56" spans="1:8" ht="15" customHeight="1" x14ac:dyDescent="0.25">
      <c r="A1756" t="str">
        <f>MID(TB_CECO[[#This Row],[CECO_T]],1,5)</f>
        <v>1L815</v>
      </c>
      <c r="B1756" t="str">
        <f>MID(TB_CECO[[#This Row],[TRABAJO]],1,SEARCH(",",TB_CECO[[#This Row],[TRABAJO]],1)-1)</f>
        <v>Cam 14 (Cx 225 SE)</v>
      </c>
      <c r="C17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14 (Cx 225 SE),REHABILITACION</v>
      </c>
      <c r="D17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56" s="47" t="s">
        <v>3461</v>
      </c>
      <c r="G1756" t="s">
        <v>3462</v>
      </c>
      <c r="H17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57" spans="1:8" ht="15" customHeight="1" x14ac:dyDescent="0.25">
      <c r="A1757" t="str">
        <f>MID(TB_CECO[[#This Row],[CECO_T]],1,5)</f>
        <v>1L821</v>
      </c>
      <c r="B1757" t="str">
        <f>MID(TB_CECO[[#This Row],[TRABAJO]],1,SEARCH(",",TB_CECO[[#This Row],[TRABAJO]],1)-1)</f>
        <v>Cam 21 (Cx 082 SE)</v>
      </c>
      <c r="C17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21 (Cx 082 SE),LIMPIEZA</v>
      </c>
      <c r="D17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57" s="47" t="s">
        <v>3463</v>
      </c>
      <c r="G1757" t="s">
        <v>3464</v>
      </c>
      <c r="H17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58" spans="1:8" ht="15" customHeight="1" x14ac:dyDescent="0.25">
      <c r="A1758" t="str">
        <f>MID(TB_CECO[[#This Row],[CECO_T]],1,5)</f>
        <v>1L821</v>
      </c>
      <c r="B1758" t="str">
        <f>MID(TB_CECO[[#This Row],[TRABAJO]],1,SEARCH(",",TB_CECO[[#This Row],[TRABAJO]],1)-1)</f>
        <v>Cam 21 (Cx 082 SE)</v>
      </c>
      <c r="C17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21 (Cx 082 SE),SERVICIO</v>
      </c>
      <c r="D17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58" s="47" t="s">
        <v>3465</v>
      </c>
      <c r="G1758" t="s">
        <v>3466</v>
      </c>
      <c r="H17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59" spans="1:8" ht="15" customHeight="1" x14ac:dyDescent="0.25">
      <c r="A1759" t="str">
        <f>MID(TB_CECO[[#This Row],[CECO_T]],1,5)</f>
        <v>1L821</v>
      </c>
      <c r="B1759" t="str">
        <f>MID(TB_CECO[[#This Row],[TRABAJO]],1,SEARCH(",",TB_CECO[[#This Row],[TRABAJO]],1)-1)</f>
        <v>Cam 21 (Cx 082 SE)</v>
      </c>
      <c r="C17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21 (Cx 082 SE),PERFORACION</v>
      </c>
      <c r="D17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59" s="47" t="s">
        <v>3467</v>
      </c>
      <c r="G1759" t="s">
        <v>3468</v>
      </c>
      <c r="H17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60" spans="1:8" ht="15" customHeight="1" x14ac:dyDescent="0.25">
      <c r="A1760" t="str">
        <f>MID(TB_CECO[[#This Row],[CECO_T]],1,5)</f>
        <v>1L821</v>
      </c>
      <c r="B1760" t="str">
        <f>MID(TB_CECO[[#This Row],[TRABAJO]],1,SEARCH(",",TB_CECO[[#This Row],[TRABAJO]],1)-1)</f>
        <v>Cam 21 (Cx 082 SE)</v>
      </c>
      <c r="C17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21 (Cx 082 SE),SOSTENIMIENTO</v>
      </c>
      <c r="D17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60" s="47" t="s">
        <v>3469</v>
      </c>
      <c r="G1760" t="s">
        <v>3470</v>
      </c>
      <c r="H17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61" spans="1:8" ht="15" customHeight="1" x14ac:dyDescent="0.25">
      <c r="A1761" t="str">
        <f>MID(TB_CECO[[#This Row],[CECO_T]],1,5)</f>
        <v>1L821</v>
      </c>
      <c r="B1761" t="str">
        <f>MID(TB_CECO[[#This Row],[TRABAJO]],1,SEARCH(",",TB_CECO[[#This Row],[TRABAJO]],1)-1)</f>
        <v>Cam 21 (Cx 082 SE)</v>
      </c>
      <c r="C17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21 (Cx 082 SE),VOLADURA</v>
      </c>
      <c r="D17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17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61" s="47" t="s">
        <v>3471</v>
      </c>
      <c r="G1761" t="s">
        <v>3472</v>
      </c>
      <c r="H17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62" spans="1:8" ht="15" customHeight="1" x14ac:dyDescent="0.25">
      <c r="A1762" t="str">
        <f>MID(TB_CECO[[#This Row],[CECO_T]],1,5)</f>
        <v>21411</v>
      </c>
      <c r="B1762" t="str">
        <f>MID(TB_CECO[[#This Row],[TRABAJO]],1,SEARCH(",",TB_CECO[[#This Row],[TRABAJO]],1)-1)</f>
        <v>SNv. 612 SE CH 626</v>
      </c>
      <c r="C17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626,VOLADURA           </v>
      </c>
      <c r="D17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62" s="47" t="s">
        <v>3473</v>
      </c>
      <c r="G1762" t="s">
        <v>3474</v>
      </c>
      <c r="H17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63" spans="1:8" ht="15" customHeight="1" x14ac:dyDescent="0.25">
      <c r="A1763" t="str">
        <f>MID(TB_CECO[[#This Row],[CECO_T]],1,5)</f>
        <v>21411</v>
      </c>
      <c r="B1763" t="str">
        <f>MID(TB_CECO[[#This Row],[TRABAJO]],1,SEARCH(",",TB_CECO[[#This Row],[TRABAJO]],1)-1)</f>
        <v>SNv. 612 SE CH 626</v>
      </c>
      <c r="C17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626,CAMINOS            </v>
      </c>
      <c r="D17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63" s="47" t="s">
        <v>3475</v>
      </c>
      <c r="G1763" t="s">
        <v>3476</v>
      </c>
      <c r="H17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64" spans="1:8" ht="15" customHeight="1" x14ac:dyDescent="0.25">
      <c r="A1764" t="str">
        <f>MID(TB_CECO[[#This Row],[CECO_T]],1,5)</f>
        <v>21411</v>
      </c>
      <c r="B1764" t="str">
        <f>MID(TB_CECO[[#This Row],[TRABAJO]],1,SEARCH(",",TB_CECO[[#This Row],[TRABAJO]],1)-1)</f>
        <v>SNv. 612 SE CH 626</v>
      </c>
      <c r="C17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626,INST DE RIELES     </v>
      </c>
      <c r="D17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64" s="47" t="s">
        <v>3477</v>
      </c>
      <c r="G1764" t="s">
        <v>3478</v>
      </c>
      <c r="H17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65" spans="1:8" ht="15" customHeight="1" x14ac:dyDescent="0.25">
      <c r="A1765" t="str">
        <f>MID(TB_CECO[[#This Row],[CECO_T]],1,5)</f>
        <v>21411</v>
      </c>
      <c r="B1765" t="str">
        <f>MID(TB_CECO[[#This Row],[TRABAJO]],1,SEARCH(",",TB_CECO[[#This Row],[TRABAJO]],1)-1)</f>
        <v>SNv. 612 SE CH 626</v>
      </c>
      <c r="C17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612 SE CH 626,REHAB DE LABORES   </v>
      </c>
      <c r="D17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65" s="47" t="s">
        <v>3479</v>
      </c>
      <c r="G1765" t="s">
        <v>3480</v>
      </c>
      <c r="H17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66" spans="1:8" ht="15" customHeight="1" x14ac:dyDescent="0.25">
      <c r="A1766" t="str">
        <f>MID(TB_CECO[[#This Row],[CECO_T]],1,5)</f>
        <v>21415</v>
      </c>
      <c r="B1766" t="str">
        <f>MID(TB_CECO[[#This Row],[TRABAJO]],1,SEARCH(",",TB_CECO[[#This Row],[TRABAJO]],1)-1)</f>
        <v xml:space="preserve">SNv. 613 NW  SNv. 617 NW </v>
      </c>
      <c r="C17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 SNv. 617 NW ,VOLADURA    </v>
      </c>
      <c r="D17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66" s="47" t="s">
        <v>3481</v>
      </c>
      <c r="G1766" t="s">
        <v>3482</v>
      </c>
      <c r="H17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67" spans="1:8" ht="15" customHeight="1" x14ac:dyDescent="0.25">
      <c r="A1767" t="str">
        <f>MID(TB_CECO[[#This Row],[CECO_T]],1,5)</f>
        <v>21415</v>
      </c>
      <c r="B1767" t="str">
        <f>MID(TB_CECO[[#This Row],[TRABAJO]],1,SEARCH(",",TB_CECO[[#This Row],[TRABAJO]],1)-1)</f>
        <v xml:space="preserve">SNv. 613 NW  SNv. 617 NW </v>
      </c>
      <c r="C17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 SNv. 617 NW ,CAMINOS     </v>
      </c>
      <c r="D17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67" s="47" t="s">
        <v>3483</v>
      </c>
      <c r="G1767" t="s">
        <v>3484</v>
      </c>
      <c r="H17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68" spans="1:8" ht="15" customHeight="1" x14ac:dyDescent="0.25">
      <c r="A1768" t="str">
        <f>MID(TB_CECO[[#This Row],[CECO_T]],1,5)</f>
        <v>21415</v>
      </c>
      <c r="B1768" t="str">
        <f>MID(TB_CECO[[#This Row],[TRABAJO]],1,SEARCH(",",TB_CECO[[#This Row],[TRABAJO]],1)-1)</f>
        <v xml:space="preserve">SNv. 613 NW  SNv. 617 NW </v>
      </c>
      <c r="C17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 613 NW  SNv. 617 NW ,INST.de riel</v>
      </c>
      <c r="D17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68" s="47" t="s">
        <v>3485</v>
      </c>
      <c r="G1768" t="s">
        <v>3486</v>
      </c>
      <c r="H17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69" spans="1:8" ht="15" customHeight="1" x14ac:dyDescent="0.25">
      <c r="A1769" t="str">
        <f>MID(TB_CECO[[#This Row],[CECO_T]],1,5)</f>
        <v>21415</v>
      </c>
      <c r="B1769" t="str">
        <f>MID(TB_CECO[[#This Row],[TRABAJO]],1,SEARCH(",",TB_CECO[[#This Row],[TRABAJO]],1)-1)</f>
        <v xml:space="preserve">SNv. 613 NW  SNv. 617 NW </v>
      </c>
      <c r="C17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SNv. 613 NW  SNv. 617 NW ,REHAB DE LAB</v>
      </c>
      <c r="D17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69" s="47" t="s">
        <v>3487</v>
      </c>
      <c r="G1769" t="s">
        <v>3488</v>
      </c>
      <c r="H17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70" spans="1:8" ht="15" customHeight="1" x14ac:dyDescent="0.25">
      <c r="A1770" t="str">
        <f>MID(TB_CECO[[#This Row],[CECO_T]],1,5)</f>
        <v>21517</v>
      </c>
      <c r="B1770" t="str">
        <f>MID(TB_CECO[[#This Row],[TRABAJO]],1,SEARCH(",",TB_CECO[[#This Row],[TRABAJO]],1)-1)</f>
        <v>Est 568 SE SNV 585-9 SE</v>
      </c>
      <c r="C17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568 SE SNV 585-9 SE,VOLADURA      </v>
      </c>
      <c r="D17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70" s="47" t="s">
        <v>3489</v>
      </c>
      <c r="G1770" t="s">
        <v>3490</v>
      </c>
      <c r="H17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71" spans="1:8" ht="15" customHeight="1" x14ac:dyDescent="0.25">
      <c r="A1771" t="str">
        <f>MID(TB_CECO[[#This Row],[CECO_T]],1,5)</f>
        <v>21517</v>
      </c>
      <c r="B1771" t="str">
        <f>MID(TB_CECO[[#This Row],[TRABAJO]],1,SEARCH(",",TB_CECO[[#This Row],[TRABAJO]],1)-1)</f>
        <v>Est 568 SE SNV 585-9 SE</v>
      </c>
      <c r="C17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568 SE SNV 585-9 SE,CAMINOS       </v>
      </c>
      <c r="D17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71" s="47" t="s">
        <v>3491</v>
      </c>
      <c r="G1771" t="s">
        <v>3492</v>
      </c>
      <c r="H17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72" spans="1:8" ht="15" customHeight="1" x14ac:dyDescent="0.25">
      <c r="A1772" t="str">
        <f>MID(TB_CECO[[#This Row],[CECO_T]],1,5)</f>
        <v>21517</v>
      </c>
      <c r="B1772" t="str">
        <f>MID(TB_CECO[[#This Row],[TRABAJO]],1,SEARCH(",",TB_CECO[[#This Row],[TRABAJO]],1)-1)</f>
        <v>Est 568 SE SNV 585-9 SE</v>
      </c>
      <c r="C17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568 SE SNV 585-9 SE,INST.DE RIELES</v>
      </c>
      <c r="D17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72" s="47" t="s">
        <v>3493</v>
      </c>
      <c r="G1772" t="s">
        <v>3494</v>
      </c>
      <c r="H17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73" spans="1:8" ht="15" customHeight="1" x14ac:dyDescent="0.25">
      <c r="A1773" t="str">
        <f>MID(TB_CECO[[#This Row],[CECO_T]],1,5)</f>
        <v>21517</v>
      </c>
      <c r="B1773" t="str">
        <f>MID(TB_CECO[[#This Row],[TRABAJO]],1,SEARCH(",",TB_CECO[[#This Row],[TRABAJO]],1)-1)</f>
        <v>Est 568 SE SNV 585-9 SE</v>
      </c>
      <c r="C17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568 SE SNV 585-9 SE,REHAB DE LABOR</v>
      </c>
      <c r="D17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73" s="47" t="s">
        <v>3495</v>
      </c>
      <c r="G1773" t="s">
        <v>3496</v>
      </c>
      <c r="H17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74" spans="1:8" ht="15" customHeight="1" x14ac:dyDescent="0.25">
      <c r="A1774" t="str">
        <f>MID(TB_CECO[[#This Row],[CECO_T]],1,5)</f>
        <v>21517</v>
      </c>
      <c r="B1774" t="str">
        <f>MID(TB_CECO[[#This Row],[TRABAJO]],1,SEARCH(",",TB_CECO[[#This Row],[TRABAJO]],1)-1)</f>
        <v>Est 568 SE SNV 585-9 SE</v>
      </c>
      <c r="C17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568 SE SNV 585-9 SE,CICLO COMPLETO</v>
      </c>
      <c r="D17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74" s="47" t="s">
        <v>3497</v>
      </c>
      <c r="G1774" t="s">
        <v>3498</v>
      </c>
      <c r="H17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75" spans="1:8" ht="15" customHeight="1" x14ac:dyDescent="0.25">
      <c r="A1775" t="str">
        <f>MID(TB_CECO[[#This Row],[CECO_T]],1,5)</f>
        <v>21518</v>
      </c>
      <c r="B1775" t="str">
        <f>MID(TB_CECO[[#This Row],[TRABAJO]],1,SEARCH(",",TB_CECO[[#This Row],[TRABAJO]],1)-1)</f>
        <v>Est 585 -2 SE SNv 585-9 SE</v>
      </c>
      <c r="C17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585 -2 SE SNv 585-9 SE,VOLADURA   </v>
      </c>
      <c r="D17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75" s="47" t="s">
        <v>3499</v>
      </c>
      <c r="G1775" t="s">
        <v>3500</v>
      </c>
      <c r="H17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76" spans="1:8" ht="15" customHeight="1" x14ac:dyDescent="0.25">
      <c r="A1776" t="str">
        <f>MID(TB_CECO[[#This Row],[CECO_T]],1,5)</f>
        <v>21518</v>
      </c>
      <c r="B1776" t="str">
        <f>MID(TB_CECO[[#This Row],[TRABAJO]],1,SEARCH(",",TB_CECO[[#This Row],[TRABAJO]],1)-1)</f>
        <v>Est 585 -2 SE SNv 585-9 SE</v>
      </c>
      <c r="C17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585 -2 SE SNv 585-9 SE,CAMINOS    </v>
      </c>
      <c r="D17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76" s="47" t="s">
        <v>3501</v>
      </c>
      <c r="G1776" t="s">
        <v>3502</v>
      </c>
      <c r="H17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77" spans="1:8" ht="15" customHeight="1" x14ac:dyDescent="0.25">
      <c r="A1777" t="str">
        <f>MID(TB_CECO[[#This Row],[CECO_T]],1,5)</f>
        <v>21518</v>
      </c>
      <c r="B1777" t="str">
        <f>MID(TB_CECO[[#This Row],[TRABAJO]],1,SEARCH(",",TB_CECO[[#This Row],[TRABAJO]],1)-1)</f>
        <v>Est 585 -2 SE SNv 585-9 SE</v>
      </c>
      <c r="C17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585 -2 SE SNv 585-9 SE,INST.DE RIE</v>
      </c>
      <c r="D17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77" s="47" t="s">
        <v>3503</v>
      </c>
      <c r="G1777" t="s">
        <v>3504</v>
      </c>
      <c r="H17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78" spans="1:8" ht="15" customHeight="1" x14ac:dyDescent="0.25">
      <c r="A1778" t="str">
        <f>MID(TB_CECO[[#This Row],[CECO_T]],1,5)</f>
        <v>21518</v>
      </c>
      <c r="B1778" t="str">
        <f>MID(TB_CECO[[#This Row],[TRABAJO]],1,SEARCH(",",TB_CECO[[#This Row],[TRABAJO]],1)-1)</f>
        <v>Est 585 -2 SE SNv 585-9 SE</v>
      </c>
      <c r="C17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585 -2 SE SNv 585-9 SE,REHAB DE LA</v>
      </c>
      <c r="D17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78" s="47" t="s">
        <v>3505</v>
      </c>
      <c r="G1778" t="s">
        <v>3506</v>
      </c>
      <c r="H17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79" spans="1:8" ht="15" customHeight="1" x14ac:dyDescent="0.25">
      <c r="A1779" t="str">
        <f>MID(TB_CECO[[#This Row],[CECO_T]],1,5)</f>
        <v>21518</v>
      </c>
      <c r="B1779" t="str">
        <f>MID(TB_CECO[[#This Row],[TRABAJO]],1,SEARCH(",",TB_CECO[[#This Row],[TRABAJO]],1)-1)</f>
        <v>Est 585 -2 SE SNv 585-9 SE</v>
      </c>
      <c r="C17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585 -2 SE SNv 585-9 SE,CICLO COMPL</v>
      </c>
      <c r="D17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79" s="47" t="s">
        <v>3507</v>
      </c>
      <c r="G1779" t="s">
        <v>3508</v>
      </c>
      <c r="H17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80" spans="1:8" ht="15" customHeight="1" x14ac:dyDescent="0.25">
      <c r="A1780" t="str">
        <f>MID(TB_CECO[[#This Row],[CECO_T]],1,5)</f>
        <v>21B05</v>
      </c>
      <c r="B1780" t="str">
        <f>MID(TB_CECO[[#This Row],[TRABAJO]],1,SEARCH(",",TB_CECO[[#This Row],[TRABAJO]],1)-1)</f>
        <v>CAM 613 SNV 613</v>
      </c>
      <c r="C17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613,DESQUINCHE            </v>
      </c>
      <c r="D17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80" s="47" t="s">
        <v>3509</v>
      </c>
      <c r="G1780" t="s">
        <v>3510</v>
      </c>
      <c r="H17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81" spans="1:8" ht="15" customHeight="1" x14ac:dyDescent="0.25">
      <c r="A1781" t="str">
        <f>MID(TB_CECO[[#This Row],[CECO_T]],1,5)</f>
        <v>21B05</v>
      </c>
      <c r="B1781" t="str">
        <f>MID(TB_CECO[[#This Row],[TRABAJO]],1,SEARCH(",",TB_CECO[[#This Row],[TRABAJO]],1)-1)</f>
        <v>CAM 613 SNV 613</v>
      </c>
      <c r="C17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613,ENMADERADO            </v>
      </c>
      <c r="D17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81" s="47" t="s">
        <v>3511</v>
      </c>
      <c r="G1781" t="s">
        <v>3512</v>
      </c>
      <c r="H17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82" spans="1:8" ht="15" customHeight="1" x14ac:dyDescent="0.25">
      <c r="A1782" t="str">
        <f>MID(TB_CECO[[#This Row],[CECO_T]],1,5)</f>
        <v>21B05</v>
      </c>
      <c r="B1782" t="str">
        <f>MID(TB_CECO[[#This Row],[TRABAJO]],1,SEARCH(",",TB_CECO[[#This Row],[TRABAJO]],1)-1)</f>
        <v>CAM 613 SNV 613</v>
      </c>
      <c r="C17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613,LIMPIEZA              </v>
      </c>
      <c r="D17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82" s="47" t="s">
        <v>3513</v>
      </c>
      <c r="G1782" t="s">
        <v>3514</v>
      </c>
      <c r="H17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83" spans="1:8" ht="15" customHeight="1" x14ac:dyDescent="0.25">
      <c r="A1783" t="str">
        <f>MID(TB_CECO[[#This Row],[CECO_T]],1,5)</f>
        <v>21B05</v>
      </c>
      <c r="B1783" t="str">
        <f>MID(TB_CECO[[#This Row],[TRABAJO]],1,SEARCH(",",TB_CECO[[#This Row],[TRABAJO]],1)-1)</f>
        <v>CAM 613 SNV 613</v>
      </c>
      <c r="C17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613,SERVICIOS             </v>
      </c>
      <c r="D17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83" s="47" t="s">
        <v>3515</v>
      </c>
      <c r="G1783" t="s">
        <v>3516</v>
      </c>
      <c r="H17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84" spans="1:8" ht="15" customHeight="1" x14ac:dyDescent="0.25">
      <c r="A1784" t="str">
        <f>MID(TB_CECO[[#This Row],[CECO_T]],1,5)</f>
        <v>21B05</v>
      </c>
      <c r="B1784" t="str">
        <f>MID(TB_CECO[[#This Row],[TRABAJO]],1,SEARCH(",",TB_CECO[[#This Row],[TRABAJO]],1)-1)</f>
        <v>CAM 613 SNV 613</v>
      </c>
      <c r="C17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613,EXTRACCION            </v>
      </c>
      <c r="D17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84" s="47" t="s">
        <v>3517</v>
      </c>
      <c r="G1784" t="s">
        <v>3518</v>
      </c>
      <c r="H17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85" spans="1:8" ht="15" customHeight="1" x14ac:dyDescent="0.25">
      <c r="A1785" t="str">
        <f>MID(TB_CECO[[#This Row],[CECO_T]],1,5)</f>
        <v>21B05</v>
      </c>
      <c r="B1785" t="str">
        <f>MID(TB_CECO[[#This Row],[TRABAJO]],1,SEARCH(",",TB_CECO[[#This Row],[TRABAJO]],1)-1)</f>
        <v>CAM 613 SNV 613</v>
      </c>
      <c r="C17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613,SPLIT SET             </v>
      </c>
      <c r="D17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85" s="47" t="s">
        <v>3519</v>
      </c>
      <c r="G1785" t="s">
        <v>3520</v>
      </c>
      <c r="H17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86" spans="1:8" ht="15" customHeight="1" x14ac:dyDescent="0.25">
      <c r="A1786" t="str">
        <f>MID(TB_CECO[[#This Row],[CECO_T]],1,5)</f>
        <v>21B05</v>
      </c>
      <c r="B1786" t="str">
        <f>MID(TB_CECO[[#This Row],[TRABAJO]],1,SEARCH(",",TB_CECO[[#This Row],[TRABAJO]],1)-1)</f>
        <v>CAM 613 SNV 613</v>
      </c>
      <c r="C17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613,SPLIT CON MALLA       </v>
      </c>
      <c r="D17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86" s="47" t="s">
        <v>3521</v>
      </c>
      <c r="G1786" t="s">
        <v>3522</v>
      </c>
      <c r="H17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87" spans="1:8" ht="15" customHeight="1" x14ac:dyDescent="0.25">
      <c r="A1787" t="str">
        <f>MID(TB_CECO[[#This Row],[CECO_T]],1,5)</f>
        <v>21B05</v>
      </c>
      <c r="B1787" t="str">
        <f>MID(TB_CECO[[#This Row],[TRABAJO]],1,SEARCH(",",TB_CECO[[#This Row],[TRABAJO]],1)-1)</f>
        <v>CAM 613 SNV 613</v>
      </c>
      <c r="C17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613,IZAJE Y DESCENSO W    </v>
      </c>
      <c r="D17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87" s="47" t="s">
        <v>3523</v>
      </c>
      <c r="G1787" t="s">
        <v>3524</v>
      </c>
      <c r="H17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88" spans="1:8" ht="15" customHeight="1" x14ac:dyDescent="0.25">
      <c r="A1788" t="str">
        <f>MID(TB_CECO[[#This Row],[CECO_T]],1,5)</f>
        <v>21B05</v>
      </c>
      <c r="B1788" t="str">
        <f>MID(TB_CECO[[#This Row],[TRABAJO]],1,SEARCH(",",TB_CECO[[#This Row],[TRABAJO]],1)-1)</f>
        <v>CAM 613 SNV 613</v>
      </c>
      <c r="C17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613,PERFORACION           </v>
      </c>
      <c r="D17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88" s="47" t="s">
        <v>3525</v>
      </c>
      <c r="G1788" t="s">
        <v>3526</v>
      </c>
      <c r="H17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89" spans="1:8" ht="15" customHeight="1" x14ac:dyDescent="0.25">
      <c r="A1789" t="str">
        <f>MID(TB_CECO[[#This Row],[CECO_T]],1,5)</f>
        <v>21B05</v>
      </c>
      <c r="B1789" t="str">
        <f>MID(TB_CECO[[#This Row],[TRABAJO]],1,SEARCH(",",TB_CECO[[#This Row],[TRABAJO]],1)-1)</f>
        <v>CAM 613 SNV 613</v>
      </c>
      <c r="C17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613,VOLADURA              </v>
      </c>
      <c r="D17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89" s="47" t="s">
        <v>3527</v>
      </c>
      <c r="G1789" t="s">
        <v>3528</v>
      </c>
      <c r="H17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90" spans="1:8" ht="15" customHeight="1" x14ac:dyDescent="0.25">
      <c r="A1790" t="str">
        <f>MID(TB_CECO[[#This Row],[CECO_T]],1,5)</f>
        <v>21B05</v>
      </c>
      <c r="B1790" t="str">
        <f>MID(TB_CECO[[#This Row],[TRABAJO]],1,SEARCH(",",TB_CECO[[#This Row],[TRABAJO]],1)-1)</f>
        <v>CAM 613 SNV 613</v>
      </c>
      <c r="C17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613,CAMINOS               </v>
      </c>
      <c r="D17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90" s="47" t="s">
        <v>3529</v>
      </c>
      <c r="G1790" t="s">
        <v>3530</v>
      </c>
      <c r="H17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91" spans="1:8" ht="15" customHeight="1" x14ac:dyDescent="0.25">
      <c r="A1791" t="str">
        <f>MID(TB_CECO[[#This Row],[CECO_T]],1,5)</f>
        <v>21B05</v>
      </c>
      <c r="B1791" t="str">
        <f>MID(TB_CECO[[#This Row],[TRABAJO]],1,SEARCH(",",TB_CECO[[#This Row],[TRABAJO]],1)-1)</f>
        <v>CAM 613 SNV 613</v>
      </c>
      <c r="C17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613,INSTALACION DE RIELES </v>
      </c>
      <c r="D17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91" s="47" t="s">
        <v>3531</v>
      </c>
      <c r="G1791" t="s">
        <v>3532</v>
      </c>
      <c r="H17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92" spans="1:8" ht="15" customHeight="1" x14ac:dyDescent="0.25">
      <c r="A1792" t="str">
        <f>MID(TB_CECO[[#This Row],[CECO_T]],1,5)</f>
        <v>21B05</v>
      </c>
      <c r="B1792" t="str">
        <f>MID(TB_CECO[[#This Row],[TRABAJO]],1,SEARCH(",",TB_CECO[[#This Row],[TRABAJO]],1)-1)</f>
        <v>CAM 613 SNV 613</v>
      </c>
      <c r="C17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613 SNV 613,REHAB DE LABORES      </v>
      </c>
      <c r="D17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1792" s="47" t="s">
        <v>3533</v>
      </c>
      <c r="G1792" t="s">
        <v>3534</v>
      </c>
      <c r="H17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93" spans="1:8" ht="15" customHeight="1" x14ac:dyDescent="0.25">
      <c r="A1793" t="str">
        <f>MID(TB_CECO[[#This Row],[CECO_T]],1,5)</f>
        <v>22302</v>
      </c>
      <c r="B1793" t="str">
        <f>MID(TB_CECO[[#This Row],[TRABAJO]],1,SEARCH(",",TB_CECO[[#This Row],[TRABAJO]],1)-1)</f>
        <v xml:space="preserve"> TJ 585 -6 NW </v>
      </c>
      <c r="C17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VOLADURA           </v>
      </c>
      <c r="D17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93" s="47" t="s">
        <v>3535</v>
      </c>
      <c r="G1793" t="s">
        <v>3536</v>
      </c>
      <c r="H17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94" spans="1:8" ht="15" customHeight="1" x14ac:dyDescent="0.25">
      <c r="A1794" t="str">
        <f>MID(TB_CECO[[#This Row],[CECO_T]],1,5)</f>
        <v>22302</v>
      </c>
      <c r="B1794" t="str">
        <f>MID(TB_CECO[[#This Row],[TRABAJO]],1,SEARCH(",",TB_CECO[[#This Row],[TRABAJO]],1)-1)</f>
        <v xml:space="preserve"> TJ 585 -6 NW </v>
      </c>
      <c r="C17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CAMINOS            </v>
      </c>
      <c r="D17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94" s="47" t="s">
        <v>3537</v>
      </c>
      <c r="G1794" t="s">
        <v>3538</v>
      </c>
      <c r="H17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95" spans="1:8" ht="15" customHeight="1" x14ac:dyDescent="0.25">
      <c r="A1795" t="str">
        <f>MID(TB_CECO[[#This Row],[CECO_T]],1,5)</f>
        <v>22302</v>
      </c>
      <c r="B1795" t="str">
        <f>MID(TB_CECO[[#This Row],[TRABAJO]],1,SEARCH(",",TB_CECO[[#This Row],[TRABAJO]],1)-1)</f>
        <v xml:space="preserve"> TJ 585 -6 NW </v>
      </c>
      <c r="C17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585 -6 NW , INSTALACION DE RIEL</v>
      </c>
      <c r="D17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95" s="47" t="s">
        <v>3539</v>
      </c>
      <c r="G1795" t="s">
        <v>3540</v>
      </c>
      <c r="H17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96" spans="1:8" ht="15" customHeight="1" x14ac:dyDescent="0.25">
      <c r="A1796" t="str">
        <f>MID(TB_CECO[[#This Row],[CECO_T]],1,5)</f>
        <v>22302</v>
      </c>
      <c r="B1796" t="str">
        <f>MID(TB_CECO[[#This Row],[TRABAJO]],1,SEARCH(",",TB_CECO[[#This Row],[TRABAJO]],1)-1)</f>
        <v>TJ 585 -6 NW</v>
      </c>
      <c r="C17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585 -6 NW,REHABILITACION DE LABORES</v>
      </c>
      <c r="D17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7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96" s="47" t="s">
        <v>3541</v>
      </c>
      <c r="G1796" t="s">
        <v>3542</v>
      </c>
      <c r="H17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797" spans="1:8" ht="15" customHeight="1" x14ac:dyDescent="0.25">
      <c r="A1797" t="str">
        <f>MID(TB_CECO[[#This Row],[CECO_T]],1,5)</f>
        <v>22308</v>
      </c>
      <c r="B1797" t="str">
        <f>MID(TB_CECO[[#This Row],[TRABAJO]],1,SEARCH(",",TB_CECO[[#This Row],[TRABAJO]],1)-1)</f>
        <v xml:space="preserve"> TJ 600 NW </v>
      </c>
      <c r="C17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VOLADURA              </v>
      </c>
      <c r="D17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97" s="47" t="s">
        <v>3543</v>
      </c>
      <c r="G1797" t="s">
        <v>3544</v>
      </c>
      <c r="H17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98" spans="1:8" ht="15" customHeight="1" x14ac:dyDescent="0.25">
      <c r="A1798" t="str">
        <f>MID(TB_CECO[[#This Row],[CECO_T]],1,5)</f>
        <v>22308</v>
      </c>
      <c r="B1798" t="str">
        <f>MID(TB_CECO[[#This Row],[TRABAJO]],1,SEARCH(",",TB_CECO[[#This Row],[TRABAJO]],1)-1)</f>
        <v xml:space="preserve"> TJ 600 NW </v>
      </c>
      <c r="C17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CAMINOS               </v>
      </c>
      <c r="D17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98" s="47" t="s">
        <v>3545</v>
      </c>
      <c r="G1798" t="s">
        <v>3546</v>
      </c>
      <c r="H17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799" spans="1:8" ht="15" customHeight="1" x14ac:dyDescent="0.25">
      <c r="A1799" t="str">
        <f>MID(TB_CECO[[#This Row],[CECO_T]],1,5)</f>
        <v>22308</v>
      </c>
      <c r="B1799" t="str">
        <f>MID(TB_CECO[[#This Row],[TRABAJO]],1,SEARCH(",",TB_CECO[[#This Row],[TRABAJO]],1)-1)</f>
        <v xml:space="preserve"> TJ 600 NW </v>
      </c>
      <c r="C17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INSTALACION DE RIELES </v>
      </c>
      <c r="D17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7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799" s="47" t="s">
        <v>3547</v>
      </c>
      <c r="G1799" t="s">
        <v>3548</v>
      </c>
      <c r="H17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00" spans="1:8" ht="15" customHeight="1" x14ac:dyDescent="0.25">
      <c r="A1800" t="str">
        <f>MID(TB_CECO[[#This Row],[CECO_T]],1,5)</f>
        <v>22308</v>
      </c>
      <c r="B1800" t="str">
        <f>MID(TB_CECO[[#This Row],[TRABAJO]],1,SEARCH(",",TB_CECO[[#This Row],[TRABAJO]],1)-1)</f>
        <v xml:space="preserve"> TJ 600 NW </v>
      </c>
      <c r="C18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NW , REHABILITACION DE LABO</v>
      </c>
      <c r="D18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00" s="47" t="s">
        <v>3549</v>
      </c>
      <c r="G1800" t="s">
        <v>3550</v>
      </c>
      <c r="H18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01" spans="1:8" ht="15" customHeight="1" x14ac:dyDescent="0.25">
      <c r="A1801" t="str">
        <f>MID(TB_CECO[[#This Row],[CECO_T]],1,5)</f>
        <v>22309</v>
      </c>
      <c r="B1801" t="str">
        <f>MID(TB_CECO[[#This Row],[TRABAJO]],1,SEARCH(",",TB_CECO[[#This Row],[TRABAJO]],1)-1)</f>
        <v xml:space="preserve"> TJ 600 SE </v>
      </c>
      <c r="C18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VOLADURA              </v>
      </c>
      <c r="D18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01" s="47" t="s">
        <v>3551</v>
      </c>
      <c r="G1801" t="s">
        <v>3552</v>
      </c>
      <c r="H18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02" spans="1:8" ht="15" customHeight="1" x14ac:dyDescent="0.25">
      <c r="A1802" t="str">
        <f>MID(TB_CECO[[#This Row],[CECO_T]],1,5)</f>
        <v>22309</v>
      </c>
      <c r="B1802" t="str">
        <f>MID(TB_CECO[[#This Row],[TRABAJO]],1,SEARCH(",",TB_CECO[[#This Row],[TRABAJO]],1)-1)</f>
        <v xml:space="preserve"> TJ 600 SE </v>
      </c>
      <c r="C18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CAMINOS               </v>
      </c>
      <c r="D18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02" s="47" t="s">
        <v>3553</v>
      </c>
      <c r="G1802" t="s">
        <v>3554</v>
      </c>
      <c r="H18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03" spans="1:8" ht="15" customHeight="1" x14ac:dyDescent="0.25">
      <c r="A1803" t="str">
        <f>MID(TB_CECO[[#This Row],[CECO_T]],1,5)</f>
        <v>22309</v>
      </c>
      <c r="B1803" t="str">
        <f>MID(TB_CECO[[#This Row],[TRABAJO]],1,SEARCH(",",TB_CECO[[#This Row],[TRABAJO]],1)-1)</f>
        <v xml:space="preserve"> TJ 600 SE </v>
      </c>
      <c r="C18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INSTALACION DE RIELES </v>
      </c>
      <c r="D18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03" s="47" t="s">
        <v>3555</v>
      </c>
      <c r="G1803" t="s">
        <v>3556</v>
      </c>
      <c r="H18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04" spans="1:8" ht="15" customHeight="1" x14ac:dyDescent="0.25">
      <c r="A1804" t="str">
        <f>MID(TB_CECO[[#This Row],[CECO_T]],1,5)</f>
        <v>22309</v>
      </c>
      <c r="B1804" t="str">
        <f>MID(TB_CECO[[#This Row],[TRABAJO]],1,SEARCH(",",TB_CECO[[#This Row],[TRABAJO]],1)-1)</f>
        <v xml:space="preserve"> TJ 600 SE </v>
      </c>
      <c r="C18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600 SE , REHABILITACION DE LABO</v>
      </c>
      <c r="D18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04" s="47" t="s">
        <v>3557</v>
      </c>
      <c r="G1804" t="s">
        <v>3558</v>
      </c>
      <c r="H18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05" spans="1:8" ht="15" customHeight="1" x14ac:dyDescent="0.25">
      <c r="A1805" t="str">
        <f>MID(TB_CECO[[#This Row],[CECO_T]],1,5)</f>
        <v>23204</v>
      </c>
      <c r="B1805" t="str">
        <f>MID(TB_CECO[[#This Row],[TRABAJO]],1,SEARCH(",",TB_CECO[[#This Row],[TRABAJO]],1)-1)</f>
        <v xml:space="preserve"> CH. 626  SN. 615 SE </v>
      </c>
      <c r="C18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VOLADURA    </v>
      </c>
      <c r="D18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05" s="47" t="s">
        <v>3559</v>
      </c>
      <c r="G1805" t="s">
        <v>3560</v>
      </c>
      <c r="H18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06" spans="1:8" ht="15" customHeight="1" x14ac:dyDescent="0.25">
      <c r="A1806" t="str">
        <f>MID(TB_CECO[[#This Row],[CECO_T]],1,5)</f>
        <v>23204</v>
      </c>
      <c r="B1806" t="str">
        <f>MID(TB_CECO[[#This Row],[TRABAJO]],1,SEARCH(",",TB_CECO[[#This Row],[TRABAJO]],1)-1)</f>
        <v xml:space="preserve"> CH. 626  SN. 615 SE </v>
      </c>
      <c r="C18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CAMINOS     </v>
      </c>
      <c r="D18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06" s="47" t="s">
        <v>3561</v>
      </c>
      <c r="G1806" t="s">
        <v>3562</v>
      </c>
      <c r="H18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07" spans="1:8" ht="15" customHeight="1" x14ac:dyDescent="0.25">
      <c r="A1807" t="str">
        <f>MID(TB_CECO[[#This Row],[CECO_T]],1,5)</f>
        <v>23204</v>
      </c>
      <c r="B1807" t="str">
        <f>MID(TB_CECO[[#This Row],[TRABAJO]],1,SEARCH(",",TB_CECO[[#This Row],[TRABAJO]],1)-1)</f>
        <v xml:space="preserve"> CH. 626  SN. 615 SE </v>
      </c>
      <c r="C18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 , INST DE RIEL</v>
      </c>
      <c r="D18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07" s="47" t="s">
        <v>3563</v>
      </c>
      <c r="G1807" t="s">
        <v>3564</v>
      </c>
      <c r="H18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08" spans="1:8" ht="15" customHeight="1" x14ac:dyDescent="0.25">
      <c r="A1808" t="str">
        <f>MID(TB_CECO[[#This Row],[CECO_T]],1,5)</f>
        <v>23204</v>
      </c>
      <c r="B1808" t="str">
        <f>MID(TB_CECO[[#This Row],[TRABAJO]],1,SEARCH(",",TB_CECO[[#This Row],[TRABAJO]],1)-1)</f>
        <v xml:space="preserve"> CH. 626  SN. 615 SE</v>
      </c>
      <c r="C18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626  SN. 615 SE,REHAB DE LABORE</v>
      </c>
      <c r="D18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08" s="47" t="s">
        <v>3565</v>
      </c>
      <c r="G1808" t="s">
        <v>3566</v>
      </c>
      <c r="H18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09" spans="1:8" ht="15" customHeight="1" x14ac:dyDescent="0.25">
      <c r="A1809" t="str">
        <f>MID(TB_CECO[[#This Row],[CECO_T]],1,5)</f>
        <v>23212</v>
      </c>
      <c r="B1809" t="str">
        <f>MID(TB_CECO[[#This Row],[TRABAJO]],1,SEARCH(",",TB_CECO[[#This Row],[TRABAJO]],1)-1)</f>
        <v>CH 585 SNV 617 NW</v>
      </c>
      <c r="C18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NW,VOLADURA            </v>
      </c>
      <c r="D18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09" s="47" t="s">
        <v>3567</v>
      </c>
      <c r="G1809" t="s">
        <v>3568</v>
      </c>
      <c r="H18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10" spans="1:8" ht="15" customHeight="1" x14ac:dyDescent="0.25">
      <c r="A1810" t="str">
        <f>MID(TB_CECO[[#This Row],[CECO_T]],1,5)</f>
        <v>23212</v>
      </c>
      <c r="B1810" t="str">
        <f>MID(TB_CECO[[#This Row],[TRABAJO]],1,SEARCH(",",TB_CECO[[#This Row],[TRABAJO]],1)-1)</f>
        <v>CH 585 SNV 617 NW</v>
      </c>
      <c r="C18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NW,CAMINOS             </v>
      </c>
      <c r="D18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10" s="47" t="s">
        <v>3569</v>
      </c>
      <c r="G1810" t="s">
        <v>3570</v>
      </c>
      <c r="H18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11" spans="1:8" ht="15" customHeight="1" x14ac:dyDescent="0.25">
      <c r="A1811" t="str">
        <f>MID(TB_CECO[[#This Row],[CECO_T]],1,5)</f>
        <v>23212</v>
      </c>
      <c r="B1811" t="str">
        <f>MID(TB_CECO[[#This Row],[TRABAJO]],1,SEARCH(",",TB_CECO[[#This Row],[TRABAJO]],1)-1)</f>
        <v>CH 585 SNV 617 NW</v>
      </c>
      <c r="C18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585 SNV 617 NW,INSTALACION DE RIELE</v>
      </c>
      <c r="D18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11" s="47" t="s">
        <v>3571</v>
      </c>
      <c r="G1811" t="s">
        <v>3572</v>
      </c>
      <c r="H18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12" spans="1:8" ht="15" customHeight="1" x14ac:dyDescent="0.25">
      <c r="A1812" t="str">
        <f>MID(TB_CECO[[#This Row],[CECO_T]],1,5)</f>
        <v>23212</v>
      </c>
      <c r="B1812" t="str">
        <f>MID(TB_CECO[[#This Row],[TRABAJO]],1,SEARCH(",",TB_CECO[[#This Row],[TRABAJO]],1)-1)</f>
        <v>CH 585 SNV 617 NW</v>
      </c>
      <c r="C18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585 SNV 617 NW,REHAB DE LABORES    </v>
      </c>
      <c r="D18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12" s="47" t="s">
        <v>3573</v>
      </c>
      <c r="G1812" t="s">
        <v>3574</v>
      </c>
      <c r="H18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13" spans="1:8" ht="15" customHeight="1" x14ac:dyDescent="0.25">
      <c r="A1813" t="str">
        <f>MID(TB_CECO[[#This Row],[CECO_T]],1,5)</f>
        <v>23405</v>
      </c>
      <c r="B1813" t="str">
        <f>MID(TB_CECO[[#This Row],[TRABAJO]],1,SEARCH(",",TB_CECO[[#This Row],[TRABAJO]],1)-1)</f>
        <v>SNv. 613 NW CH.626</v>
      </c>
      <c r="C18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CH.626,VOLADURA           </v>
      </c>
      <c r="D18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13" s="47" t="s">
        <v>3575</v>
      </c>
      <c r="G1813" t="s">
        <v>3576</v>
      </c>
      <c r="H18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14" spans="1:8" ht="15" customHeight="1" x14ac:dyDescent="0.25">
      <c r="A1814" t="str">
        <f>MID(TB_CECO[[#This Row],[CECO_T]],1,5)</f>
        <v>23405</v>
      </c>
      <c r="B1814" t="str">
        <f>MID(TB_CECO[[#This Row],[TRABAJO]],1,SEARCH(",",TB_CECO[[#This Row],[TRABAJO]],1)-1)</f>
        <v>SNv. 613 NW CH.626</v>
      </c>
      <c r="C18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CH.626,CAMINOS            </v>
      </c>
      <c r="D18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14" s="47" t="s">
        <v>3577</v>
      </c>
      <c r="G1814" t="s">
        <v>3578</v>
      </c>
      <c r="H18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15" spans="1:8" ht="15" customHeight="1" x14ac:dyDescent="0.25">
      <c r="A1815" t="str">
        <f>MID(TB_CECO[[#This Row],[CECO_T]],1,5)</f>
        <v>23405</v>
      </c>
      <c r="B1815" t="str">
        <f>MID(TB_CECO[[#This Row],[TRABAJO]],1,SEARCH(",",TB_CECO[[#This Row],[TRABAJO]],1)-1)</f>
        <v>SNv. 613 NW CH.626</v>
      </c>
      <c r="C18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CH.626,INST DE RIELES     </v>
      </c>
      <c r="D18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15" s="47" t="s">
        <v>3579</v>
      </c>
      <c r="G1815" t="s">
        <v>3580</v>
      </c>
      <c r="H18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16" spans="1:8" ht="15" customHeight="1" x14ac:dyDescent="0.25">
      <c r="A1816" t="str">
        <f>MID(TB_CECO[[#This Row],[CECO_T]],1,5)</f>
        <v>23405</v>
      </c>
      <c r="B1816" t="str">
        <f>MID(TB_CECO[[#This Row],[TRABAJO]],1,SEARCH(",",TB_CECO[[#This Row],[TRABAJO]],1)-1)</f>
        <v>SNv. 613 NW CH.626</v>
      </c>
      <c r="C18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SNv. 613 NW CH.626,REHAB DE LABORES   </v>
      </c>
      <c r="D18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16" s="47" t="s">
        <v>3581</v>
      </c>
      <c r="G1816" t="s">
        <v>3582</v>
      </c>
      <c r="H18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17" spans="1:8" ht="15" customHeight="1" x14ac:dyDescent="0.25">
      <c r="A1817" t="str">
        <f>MID(TB_CECO[[#This Row],[CECO_T]],1,5)</f>
        <v>23414</v>
      </c>
      <c r="B1817" t="str">
        <f>MID(TB_CECO[[#This Row],[TRABAJO]],1,SEARCH(",",TB_CECO[[#This Row],[TRABAJO]],1)-1)</f>
        <v>SNV 617 NW EST 630-1</v>
      </c>
      <c r="C18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630-1,VOLADURA         </v>
      </c>
      <c r="D18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17" s="47" t="s">
        <v>3583</v>
      </c>
      <c r="G1817" t="s">
        <v>3584</v>
      </c>
      <c r="H18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18" spans="1:8" ht="15" customHeight="1" x14ac:dyDescent="0.25">
      <c r="A1818" t="str">
        <f>MID(TB_CECO[[#This Row],[CECO_T]],1,5)</f>
        <v>23414</v>
      </c>
      <c r="B1818" t="str">
        <f>MID(TB_CECO[[#This Row],[TRABAJO]],1,SEARCH(",",TB_CECO[[#This Row],[TRABAJO]],1)-1)</f>
        <v>SNV 617 NW EST 630-1</v>
      </c>
      <c r="C18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630-1,CAMINOS          </v>
      </c>
      <c r="D18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18" s="47" t="s">
        <v>3585</v>
      </c>
      <c r="G1818" t="s">
        <v>3586</v>
      </c>
      <c r="H18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19" spans="1:8" ht="15" customHeight="1" x14ac:dyDescent="0.25">
      <c r="A1819" t="str">
        <f>MID(TB_CECO[[#This Row],[CECO_T]],1,5)</f>
        <v>23414</v>
      </c>
      <c r="B1819" t="str">
        <f>MID(TB_CECO[[#This Row],[TRABAJO]],1,SEARCH(",",TB_CECO[[#This Row],[TRABAJO]],1)-1)</f>
        <v>SNV 617 NW EST 630-1</v>
      </c>
      <c r="C18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630-1,INST. DE RIELES  </v>
      </c>
      <c r="D18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19" s="47" t="s">
        <v>3587</v>
      </c>
      <c r="G1819" t="s">
        <v>3588</v>
      </c>
      <c r="H18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20" spans="1:8" ht="15" customHeight="1" x14ac:dyDescent="0.25">
      <c r="A1820" t="str">
        <f>MID(TB_CECO[[#This Row],[CECO_T]],1,5)</f>
        <v>23414</v>
      </c>
      <c r="B1820" t="str">
        <f>MID(TB_CECO[[#This Row],[TRABAJO]],1,SEARCH(",",TB_CECO[[#This Row],[TRABAJO]],1)-1)</f>
        <v>SNV 617 NW EST 630-1</v>
      </c>
      <c r="C18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617 NW EST 630-1,REHAB DE LABORES </v>
      </c>
      <c r="D18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20" s="47" t="s">
        <v>3589</v>
      </c>
      <c r="G1820" t="s">
        <v>3590</v>
      </c>
      <c r="H18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21" spans="1:8" ht="15" customHeight="1" x14ac:dyDescent="0.25">
      <c r="A1821" t="str">
        <f>MID(TB_CECO[[#This Row],[CECO_T]],1,5)</f>
        <v>23416</v>
      </c>
      <c r="B1821" t="str">
        <f>MID(TB_CECO[[#This Row],[TRABAJO]],1,SEARCH(",",TB_CECO[[#This Row],[TRABAJO]],1)-1)</f>
        <v>SNV 585 SE EST 585-1 SW</v>
      </c>
      <c r="C18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585 SE EST 585-1 SW,VOLADURA      </v>
      </c>
      <c r="D18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21" s="47" t="s">
        <v>3591</v>
      </c>
      <c r="G1821" t="s">
        <v>3592</v>
      </c>
      <c r="H18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22" spans="1:8" ht="15" customHeight="1" x14ac:dyDescent="0.25">
      <c r="A1822" t="str">
        <f>MID(TB_CECO[[#This Row],[CECO_T]],1,5)</f>
        <v>23416</v>
      </c>
      <c r="B1822" t="str">
        <f>MID(TB_CECO[[#This Row],[TRABAJO]],1,SEARCH(",",TB_CECO[[#This Row],[TRABAJO]],1)-1)</f>
        <v>SNV 585 SE EST 585-1 SW</v>
      </c>
      <c r="C18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585 SE EST 585-1 SW,CAMINOS       </v>
      </c>
      <c r="D18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22" s="47" t="s">
        <v>3593</v>
      </c>
      <c r="G1822" t="s">
        <v>3594</v>
      </c>
      <c r="H18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23" spans="1:8" ht="15" customHeight="1" x14ac:dyDescent="0.25">
      <c r="A1823" t="str">
        <f>MID(TB_CECO[[#This Row],[CECO_T]],1,5)</f>
        <v>23416</v>
      </c>
      <c r="B1823" t="str">
        <f>MID(TB_CECO[[#This Row],[TRABAJO]],1,SEARCH(",",TB_CECO[[#This Row],[TRABAJO]],1)-1)</f>
        <v>SNV 585 SE EST 585-1 SW</v>
      </c>
      <c r="C18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585 SE EST 585-1 SW,INST.DE RIELES</v>
      </c>
      <c r="D18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23" s="47" t="s">
        <v>3595</v>
      </c>
      <c r="G1823" t="s">
        <v>3596</v>
      </c>
      <c r="H18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24" spans="1:8" ht="15" customHeight="1" x14ac:dyDescent="0.25">
      <c r="A1824" t="str">
        <f>MID(TB_CECO[[#This Row],[CECO_T]],1,5)</f>
        <v>23416</v>
      </c>
      <c r="B1824" t="str">
        <f>MID(TB_CECO[[#This Row],[TRABAJO]],1,SEARCH(",",TB_CECO[[#This Row],[TRABAJO]],1)-1)</f>
        <v>SNV 585 SE EST 585-1 SW</v>
      </c>
      <c r="C18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585 SE EST 585-1 SW,REHAB DE LABOR</v>
      </c>
      <c r="D18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24" s="47" t="s">
        <v>3597</v>
      </c>
      <c r="G1824" t="s">
        <v>3598</v>
      </c>
      <c r="H18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25" spans="1:8" ht="15" customHeight="1" x14ac:dyDescent="0.25">
      <c r="A1825" t="str">
        <f>MID(TB_CECO[[#This Row],[CECO_T]],1,5)</f>
        <v>23416</v>
      </c>
      <c r="B1825" t="str">
        <f>MID(TB_CECO[[#This Row],[TRABAJO]],1,SEARCH(",",TB_CECO[[#This Row],[TRABAJO]],1)-1)</f>
        <v>SNV 585 SE EST 585-1 SW</v>
      </c>
      <c r="C18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585 SE EST 585-1 SW,CICLO COMPLETO</v>
      </c>
      <c r="D18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25" s="47" t="s">
        <v>3599</v>
      </c>
      <c r="G1825" t="s">
        <v>3600</v>
      </c>
      <c r="H18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26" spans="1:8" ht="15" customHeight="1" x14ac:dyDescent="0.25">
      <c r="A1826" t="str">
        <f>MID(TB_CECO[[#This Row],[CECO_T]],1,5)</f>
        <v>23432</v>
      </c>
      <c r="B1826" t="str">
        <f>MID(TB_CECO[[#This Row],[TRABAJO]],1,SEARCH(",",TB_CECO[[#This Row],[TRABAJO]],1)-1)</f>
        <v>SNV 626 NW CH 626</v>
      </c>
      <c r="C18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626,VOLADURA            </v>
      </c>
      <c r="D18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26" s="47" t="s">
        <v>3601</v>
      </c>
      <c r="G1826" t="s">
        <v>3602</v>
      </c>
      <c r="H18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27" spans="1:8" ht="15" customHeight="1" x14ac:dyDescent="0.25">
      <c r="A1827" t="str">
        <f>MID(TB_CECO[[#This Row],[CECO_T]],1,5)</f>
        <v>23432</v>
      </c>
      <c r="B1827" t="str">
        <f>MID(TB_CECO[[#This Row],[TRABAJO]],1,SEARCH(",",TB_CECO[[#This Row],[TRABAJO]],1)-1)</f>
        <v>SNV 626 NW CH 626</v>
      </c>
      <c r="C18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626,CAMINOS             </v>
      </c>
      <c r="D18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27" s="47" t="s">
        <v>3603</v>
      </c>
      <c r="G1827" t="s">
        <v>3604</v>
      </c>
      <c r="H18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28" spans="1:8" ht="15" customHeight="1" x14ac:dyDescent="0.25">
      <c r="A1828" t="str">
        <f>MID(TB_CECO[[#This Row],[CECO_T]],1,5)</f>
        <v>23432</v>
      </c>
      <c r="B1828" t="str">
        <f>MID(TB_CECO[[#This Row],[TRABAJO]],1,SEARCH(",",TB_CECO[[#This Row],[TRABAJO]],1)-1)</f>
        <v>SNV 626 NW CH 626</v>
      </c>
      <c r="C18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626,INST.DE RIELES      </v>
      </c>
      <c r="D18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28" s="47" t="s">
        <v>3605</v>
      </c>
      <c r="G1828" t="s">
        <v>3606</v>
      </c>
      <c r="H18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29" spans="1:8" ht="15" customHeight="1" x14ac:dyDescent="0.25">
      <c r="A1829" t="str">
        <f>MID(TB_CECO[[#This Row],[CECO_T]],1,5)</f>
        <v>23432</v>
      </c>
      <c r="B1829" t="str">
        <f>MID(TB_CECO[[#This Row],[TRABAJO]],1,SEARCH(",",TB_CECO[[#This Row],[TRABAJO]],1)-1)</f>
        <v>SNV 626 NW CH 626</v>
      </c>
      <c r="C18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626,REHAB DE LABORES    </v>
      </c>
      <c r="D18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29" s="47" t="s">
        <v>3607</v>
      </c>
      <c r="G1829" t="s">
        <v>3608</v>
      </c>
      <c r="H18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30" spans="1:8" ht="15" customHeight="1" x14ac:dyDescent="0.25">
      <c r="A1830" t="str">
        <f>MID(TB_CECO[[#This Row],[CECO_T]],1,5)</f>
        <v>23432</v>
      </c>
      <c r="B1830" t="str">
        <f>MID(TB_CECO[[#This Row],[TRABAJO]],1,SEARCH(",",TB_CECO[[#This Row],[TRABAJO]],1)-1)</f>
        <v>SNV 626 NW CH 626</v>
      </c>
      <c r="C18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NW CH 626,CICLO COMPLETO      </v>
      </c>
      <c r="D18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30" s="47" t="s">
        <v>3609</v>
      </c>
      <c r="G1830" t="s">
        <v>3610</v>
      </c>
      <c r="H18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31" spans="1:8" ht="15" customHeight="1" x14ac:dyDescent="0.25">
      <c r="A1831" t="str">
        <f>MID(TB_CECO[[#This Row],[CECO_T]],1,5)</f>
        <v>23433</v>
      </c>
      <c r="B1831" t="str">
        <f>MID(TB_CECO[[#This Row],[TRABAJO]],1,SEARCH(",",TB_CECO[[#This Row],[TRABAJO]],1)-1)</f>
        <v>SNV 626 SE CH 626</v>
      </c>
      <c r="C18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626,VOLADURA            </v>
      </c>
      <c r="D18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31" s="47" t="s">
        <v>3611</v>
      </c>
      <c r="G1831" t="s">
        <v>3612</v>
      </c>
      <c r="H18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32" spans="1:8" ht="15" customHeight="1" x14ac:dyDescent="0.25">
      <c r="A1832" t="str">
        <f>MID(TB_CECO[[#This Row],[CECO_T]],1,5)</f>
        <v>23433</v>
      </c>
      <c r="B1832" t="str">
        <f>MID(TB_CECO[[#This Row],[TRABAJO]],1,SEARCH(",",TB_CECO[[#This Row],[TRABAJO]],1)-1)</f>
        <v>SNV 626 SE CH 626</v>
      </c>
      <c r="C18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626,CAMINOS             </v>
      </c>
      <c r="D18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32" s="47" t="s">
        <v>3613</v>
      </c>
      <c r="G1832" t="s">
        <v>3614</v>
      </c>
      <c r="H18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33" spans="1:8" ht="15" customHeight="1" x14ac:dyDescent="0.25">
      <c r="A1833" t="str">
        <f>MID(TB_CECO[[#This Row],[CECO_T]],1,5)</f>
        <v>23433</v>
      </c>
      <c r="B1833" t="str">
        <f>MID(TB_CECO[[#This Row],[TRABAJO]],1,SEARCH(",",TB_CECO[[#This Row],[TRABAJO]],1)-1)</f>
        <v>SNV 626 SE CH 626</v>
      </c>
      <c r="C18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626,INST.DE RIELES      </v>
      </c>
      <c r="D18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33" s="47" t="s">
        <v>3615</v>
      </c>
      <c r="G1833" t="s">
        <v>3616</v>
      </c>
      <c r="H18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34" spans="1:8" ht="15" customHeight="1" x14ac:dyDescent="0.25">
      <c r="A1834" t="str">
        <f>MID(TB_CECO[[#This Row],[CECO_T]],1,5)</f>
        <v>23433</v>
      </c>
      <c r="B1834" t="str">
        <f>MID(TB_CECO[[#This Row],[TRABAJO]],1,SEARCH(",",TB_CECO[[#This Row],[TRABAJO]],1)-1)</f>
        <v>SNV 626 SE CH 626</v>
      </c>
      <c r="C18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626,REHAB DE LABORES    </v>
      </c>
      <c r="D18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34" s="47" t="s">
        <v>3617</v>
      </c>
      <c r="G1834" t="s">
        <v>3618</v>
      </c>
      <c r="H18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35" spans="1:8" ht="15" customHeight="1" x14ac:dyDescent="0.25">
      <c r="A1835" t="str">
        <f>MID(TB_CECO[[#This Row],[CECO_T]],1,5)</f>
        <v>23433</v>
      </c>
      <c r="B1835" t="str">
        <f>MID(TB_CECO[[#This Row],[TRABAJO]],1,SEARCH(",",TB_CECO[[#This Row],[TRABAJO]],1)-1)</f>
        <v>SNV 626 SE CH 626</v>
      </c>
      <c r="C18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626 SE CH 626,CICLO COMPLETO      </v>
      </c>
      <c r="D18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35" s="47" t="s">
        <v>3619</v>
      </c>
      <c r="G1835" t="s">
        <v>3620</v>
      </c>
      <c r="H18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36" spans="1:8" ht="15" customHeight="1" x14ac:dyDescent="0.25">
      <c r="A1836" t="str">
        <f>MID(TB_CECO[[#This Row],[CECO_T]],1,5)</f>
        <v>23434</v>
      </c>
      <c r="B1836" t="str">
        <f>MID(TB_CECO[[#This Row],[TRABAJO]],1,SEARCH(",",TB_CECO[[#This Row],[TRABAJO]],1)-1)</f>
        <v>SNV 590 NW  CH 585</v>
      </c>
      <c r="C18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585,VOLADURA           </v>
      </c>
      <c r="D18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36" s="47" t="s">
        <v>3621</v>
      </c>
      <c r="G1836" t="s">
        <v>3622</v>
      </c>
      <c r="H18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37" spans="1:8" ht="15" customHeight="1" x14ac:dyDescent="0.25">
      <c r="A1837" t="str">
        <f>MID(TB_CECO[[#This Row],[CECO_T]],1,5)</f>
        <v>23434</v>
      </c>
      <c r="B1837" t="str">
        <f>MID(TB_CECO[[#This Row],[TRABAJO]],1,SEARCH(",",TB_CECO[[#This Row],[TRABAJO]],1)-1)</f>
        <v>SNV 590 NW  CH 585</v>
      </c>
      <c r="C18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585,CAMINOS            </v>
      </c>
      <c r="D18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37" s="47" t="s">
        <v>3623</v>
      </c>
      <c r="G1837" t="s">
        <v>3624</v>
      </c>
      <c r="H18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38" spans="1:8" ht="15" customHeight="1" x14ac:dyDescent="0.25">
      <c r="A1838" t="str">
        <f>MID(TB_CECO[[#This Row],[CECO_T]],1,5)</f>
        <v>23434</v>
      </c>
      <c r="B1838" t="str">
        <f>MID(TB_CECO[[#This Row],[TRABAJO]],1,SEARCH(",",TB_CECO[[#This Row],[TRABAJO]],1)-1)</f>
        <v>SNV 590 NW  CH 585</v>
      </c>
      <c r="C18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585,INST.DE RIELES     </v>
      </c>
      <c r="D18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38" s="47" t="s">
        <v>3625</v>
      </c>
      <c r="G1838" t="s">
        <v>3626</v>
      </c>
      <c r="H18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39" spans="1:8" ht="15" customHeight="1" x14ac:dyDescent="0.25">
      <c r="A1839" t="str">
        <f>MID(TB_CECO[[#This Row],[CECO_T]],1,5)</f>
        <v>23434</v>
      </c>
      <c r="B1839" t="str">
        <f>MID(TB_CECO[[#This Row],[TRABAJO]],1,SEARCH(",",TB_CECO[[#This Row],[TRABAJO]],1)-1)</f>
        <v>SNV 590 NW  CH 585</v>
      </c>
      <c r="C18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585,REHAB DE LABORES   </v>
      </c>
      <c r="D18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39" s="47" t="s">
        <v>3627</v>
      </c>
      <c r="G1839" t="s">
        <v>3628</v>
      </c>
      <c r="H18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40" spans="1:8" ht="15" customHeight="1" x14ac:dyDescent="0.25">
      <c r="A1840" t="str">
        <f>MID(TB_CECO[[#This Row],[CECO_T]],1,5)</f>
        <v>23434</v>
      </c>
      <c r="B1840" t="str">
        <f>MID(TB_CECO[[#This Row],[TRABAJO]],1,SEARCH(",",TB_CECO[[#This Row],[TRABAJO]],1)-1)</f>
        <v>SNV 590 NW  CH 585</v>
      </c>
      <c r="C18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 NW  CH 585,CICLO COMPLETO     </v>
      </c>
      <c r="D18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40" s="47" t="s">
        <v>3629</v>
      </c>
      <c r="G1840" t="s">
        <v>3630</v>
      </c>
      <c r="H18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41" spans="1:8" ht="15" customHeight="1" x14ac:dyDescent="0.25">
      <c r="A1841" t="str">
        <f>MID(TB_CECO[[#This Row],[CECO_T]],1,5)</f>
        <v>23513</v>
      </c>
      <c r="B1841" t="str">
        <f>MID(TB_CECO[[#This Row],[TRABAJO]],1,SEARCH(",",TB_CECO[[#This Row],[TRABAJO]],1)-1)</f>
        <v>EST. 585-1 NW TJ.585 SW</v>
      </c>
      <c r="C18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585-1 NW TJ.585 SW,VOLADURA      </v>
      </c>
      <c r="D18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41" s="47" t="s">
        <v>3631</v>
      </c>
      <c r="G1841" t="s">
        <v>3632</v>
      </c>
      <c r="H18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42" spans="1:8" ht="15" customHeight="1" x14ac:dyDescent="0.25">
      <c r="A1842" t="str">
        <f>MID(TB_CECO[[#This Row],[CECO_T]],1,5)</f>
        <v>23513</v>
      </c>
      <c r="B1842" t="str">
        <f>MID(TB_CECO[[#This Row],[TRABAJO]],1,SEARCH(",",TB_CECO[[#This Row],[TRABAJO]],1)-1)</f>
        <v>EST. 585-1 NW TJ.585 SW</v>
      </c>
      <c r="C18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585-1 NW TJ.585 SW,CAMINOS       </v>
      </c>
      <c r="D18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42" s="47" t="s">
        <v>3633</v>
      </c>
      <c r="G1842" t="s">
        <v>3634</v>
      </c>
      <c r="H18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43" spans="1:8" ht="15" customHeight="1" x14ac:dyDescent="0.25">
      <c r="A1843" t="str">
        <f>MID(TB_CECO[[#This Row],[CECO_T]],1,5)</f>
        <v>23513</v>
      </c>
      <c r="B1843" t="str">
        <f>MID(TB_CECO[[#This Row],[TRABAJO]],1,SEARCH(",",TB_CECO[[#This Row],[TRABAJO]],1)-1)</f>
        <v>EST. 585-1 NW TJ.585 SW</v>
      </c>
      <c r="C18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585-1 NW TJ.585 SW,INST.DE RIELES</v>
      </c>
      <c r="D18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43" s="47" t="s">
        <v>3635</v>
      </c>
      <c r="G1843" t="s">
        <v>3636</v>
      </c>
      <c r="H18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44" spans="1:8" ht="15" customHeight="1" x14ac:dyDescent="0.25">
      <c r="A1844" t="str">
        <f>MID(TB_CECO[[#This Row],[CECO_T]],1,5)</f>
        <v>23513</v>
      </c>
      <c r="B1844" t="str">
        <f>MID(TB_CECO[[#This Row],[TRABAJO]],1,SEARCH(",",TB_CECO[[#This Row],[TRABAJO]],1)-1)</f>
        <v>EST. 585-1 NW TJ.585 SW</v>
      </c>
      <c r="C18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585-1 NW TJ.585 SW,REHAB DE LABOR</v>
      </c>
      <c r="D18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844" s="47" t="s">
        <v>3637</v>
      </c>
      <c r="G1844" t="s">
        <v>3638</v>
      </c>
      <c r="H18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45" spans="1:8" ht="15" customHeight="1" x14ac:dyDescent="0.25">
      <c r="A1845" t="str">
        <f>MID(TB_CECO[[#This Row],[CECO_T]],1,5)</f>
        <v>24202</v>
      </c>
      <c r="B1845" t="str">
        <f>MID(TB_CECO[[#This Row],[TRABAJO]],1,SEARCH(",",TB_CECO[[#This Row],[TRABAJO]],1)-1)</f>
        <v xml:space="preserve"> CH. 630-1 </v>
      </c>
      <c r="C18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VOLADURA                </v>
      </c>
      <c r="D18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45" s="47" t="s">
        <v>3639</v>
      </c>
      <c r="G1845" t="s">
        <v>3640</v>
      </c>
      <c r="H18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46" spans="1:8" ht="15" customHeight="1" x14ac:dyDescent="0.25">
      <c r="A1846" t="str">
        <f>MID(TB_CECO[[#This Row],[CECO_T]],1,5)</f>
        <v>24202</v>
      </c>
      <c r="B1846" t="str">
        <f>MID(TB_CECO[[#This Row],[TRABAJO]],1,SEARCH(",",TB_CECO[[#This Row],[TRABAJO]],1)-1)</f>
        <v xml:space="preserve"> CH. 630-1 </v>
      </c>
      <c r="C18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CAMINOS                 </v>
      </c>
      <c r="D18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46" s="47" t="s">
        <v>3641</v>
      </c>
      <c r="G1846" t="s">
        <v>3642</v>
      </c>
      <c r="H18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47" spans="1:8" ht="15" customHeight="1" x14ac:dyDescent="0.25">
      <c r="A1847" t="str">
        <f>MID(TB_CECO[[#This Row],[CECO_T]],1,5)</f>
        <v>24202</v>
      </c>
      <c r="B1847" t="str">
        <f>MID(TB_CECO[[#This Row],[TRABAJO]],1,SEARCH(",",TB_CECO[[#This Row],[TRABAJO]],1)-1)</f>
        <v xml:space="preserve"> CH. 630-1 </v>
      </c>
      <c r="C18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INSTAL.RIELES           </v>
      </c>
      <c r="D18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47" s="47" t="s">
        <v>3643</v>
      </c>
      <c r="G1847" t="s">
        <v>3644</v>
      </c>
      <c r="H18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48" spans="1:8" ht="15" customHeight="1" x14ac:dyDescent="0.25">
      <c r="A1848" t="str">
        <f>MID(TB_CECO[[#This Row],[CECO_T]],1,5)</f>
        <v>24202</v>
      </c>
      <c r="B1848" t="str">
        <f>MID(TB_CECO[[#This Row],[TRABAJO]],1,SEARCH(",",TB_CECO[[#This Row],[TRABAJO]],1)-1)</f>
        <v xml:space="preserve"> CH. 630-1 </v>
      </c>
      <c r="C18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, REHABILIT.LABORES       </v>
      </c>
      <c r="D18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48" s="47" t="s">
        <v>3645</v>
      </c>
      <c r="G1848" t="s">
        <v>3646</v>
      </c>
      <c r="H18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49" spans="1:8" ht="15" customHeight="1" x14ac:dyDescent="0.25">
      <c r="A1849" t="str">
        <f>MID(TB_CECO[[#This Row],[CECO_T]],1,5)</f>
        <v>24203</v>
      </c>
      <c r="B1849" t="str">
        <f>MID(TB_CECO[[#This Row],[TRABAJO]],1,SEARCH(",",TB_CECO[[#This Row],[TRABAJO]],1)-1)</f>
        <v xml:space="preserve"> CH. 630-1  Est. 630-6 SW </v>
      </c>
      <c r="C18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 Est. 630-6 SW , VOLADUR</v>
      </c>
      <c r="D18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49" s="47" t="s">
        <v>3647</v>
      </c>
      <c r="G1849" t="s">
        <v>3648</v>
      </c>
      <c r="H18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50" spans="1:8" ht="15" customHeight="1" x14ac:dyDescent="0.25">
      <c r="A1850" t="str">
        <f>MID(TB_CECO[[#This Row],[CECO_T]],1,5)</f>
        <v>24203</v>
      </c>
      <c r="B1850" t="str">
        <f>MID(TB_CECO[[#This Row],[TRABAJO]],1,SEARCH(",",TB_CECO[[#This Row],[TRABAJO]],1)-1)</f>
        <v xml:space="preserve"> CH. 630-1  Est. 630-6 SW </v>
      </c>
      <c r="C18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 Est. 630-6 SW , CAMINOS</v>
      </c>
      <c r="D18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50" s="47" t="s">
        <v>3649</v>
      </c>
      <c r="G1850" t="s">
        <v>3650</v>
      </c>
      <c r="H18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51" spans="1:8" ht="15" customHeight="1" x14ac:dyDescent="0.25">
      <c r="A1851" t="str">
        <f>MID(TB_CECO[[#This Row],[CECO_T]],1,5)</f>
        <v>24203</v>
      </c>
      <c r="B1851" t="str">
        <f>MID(TB_CECO[[#This Row],[TRABAJO]],1,SEARCH(",",TB_CECO[[#This Row],[TRABAJO]],1)-1)</f>
        <v xml:space="preserve"> CH. 630-1  Est. 630-6 SW </v>
      </c>
      <c r="C18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630-1  Est. 630-6 SW , INST DE</v>
      </c>
      <c r="D18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51" s="47" t="s">
        <v>3651</v>
      </c>
      <c r="G1851" t="s">
        <v>3652</v>
      </c>
      <c r="H18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52" spans="1:8" ht="15" customHeight="1" x14ac:dyDescent="0.25">
      <c r="A1852" t="str">
        <f>MID(TB_CECO[[#This Row],[CECO_T]],1,5)</f>
        <v>24203</v>
      </c>
      <c r="B1852" t="str">
        <f>MID(TB_CECO[[#This Row],[TRABAJO]],1,SEARCH(",",TB_CECO[[#This Row],[TRABAJO]],1)-1)</f>
        <v>CH.630-1  Est.630-6 SW</v>
      </c>
      <c r="C18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CH.630-1  Est.630-6 SW,REHABILIT DE </v>
      </c>
      <c r="D18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52" s="47" t="s">
        <v>3653</v>
      </c>
      <c r="G1852" t="s">
        <v>3654</v>
      </c>
      <c r="H18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53" spans="1:8" ht="15" customHeight="1" x14ac:dyDescent="0.25">
      <c r="A1853" t="str">
        <f>MID(TB_CECO[[#This Row],[CECO_T]],1,5)</f>
        <v>24217</v>
      </c>
      <c r="B1853" t="str">
        <f>MID(TB_CECO[[#This Row],[TRABAJO]],1,SEARCH(",",TB_CECO[[#This Row],[TRABAJO]],1)-1)</f>
        <v>CH 597 TJ 626 NW</v>
      </c>
      <c r="C18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NW,VOLADURA              </v>
      </c>
      <c r="D18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53" s="47" t="s">
        <v>3655</v>
      </c>
      <c r="G1853" t="s">
        <v>3656</v>
      </c>
      <c r="H18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54" spans="1:8" ht="15" customHeight="1" x14ac:dyDescent="0.25">
      <c r="A1854" t="str">
        <f>MID(TB_CECO[[#This Row],[CECO_T]],1,5)</f>
        <v>24217</v>
      </c>
      <c r="B1854" t="str">
        <f>MID(TB_CECO[[#This Row],[TRABAJO]],1,SEARCH(",",TB_CECO[[#This Row],[TRABAJO]],1)-1)</f>
        <v>CH 597 TJ 626 NW</v>
      </c>
      <c r="C18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NW,CAMINOS               </v>
      </c>
      <c r="D18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54" s="47" t="s">
        <v>3657</v>
      </c>
      <c r="G1854" t="s">
        <v>3658</v>
      </c>
      <c r="H18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55" spans="1:8" ht="15" customHeight="1" x14ac:dyDescent="0.25">
      <c r="A1855" t="str">
        <f>MID(TB_CECO[[#This Row],[CECO_T]],1,5)</f>
        <v>24217</v>
      </c>
      <c r="B1855" t="str">
        <f>MID(TB_CECO[[#This Row],[TRABAJO]],1,SEARCH(",",TB_CECO[[#This Row],[TRABAJO]],1)-1)</f>
        <v>CH 597 TJ 626 NW</v>
      </c>
      <c r="C18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NW,INST.DE RIELES        </v>
      </c>
      <c r="D18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55" s="47" t="s">
        <v>3659</v>
      </c>
      <c r="G1855" t="s">
        <v>3660</v>
      </c>
      <c r="H18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56" spans="1:8" ht="15" customHeight="1" x14ac:dyDescent="0.25">
      <c r="A1856" t="str">
        <f>MID(TB_CECO[[#This Row],[CECO_T]],1,5)</f>
        <v>24217</v>
      </c>
      <c r="B1856" t="str">
        <f>MID(TB_CECO[[#This Row],[TRABAJO]],1,SEARCH(",",TB_CECO[[#This Row],[TRABAJO]],1)-1)</f>
        <v>CH 597 TJ 626 NW</v>
      </c>
      <c r="C18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NW,REHAB DE LABORES      </v>
      </c>
      <c r="D18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56" s="47" t="s">
        <v>3661</v>
      </c>
      <c r="G1856" t="s">
        <v>3662</v>
      </c>
      <c r="H18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57" spans="1:8" ht="15" customHeight="1" x14ac:dyDescent="0.25">
      <c r="A1857" t="str">
        <f>MID(TB_CECO[[#This Row],[CECO_T]],1,5)</f>
        <v>24217</v>
      </c>
      <c r="B1857" t="str">
        <f>MID(TB_CECO[[#This Row],[TRABAJO]],1,SEARCH(",",TB_CECO[[#This Row],[TRABAJO]],1)-1)</f>
        <v>CH 597 TJ 626 NW</v>
      </c>
      <c r="C18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597 TJ 626 NW,CICLO COMPLETO        </v>
      </c>
      <c r="D18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57" s="47" t="s">
        <v>3663</v>
      </c>
      <c r="G1857" t="s">
        <v>3664</v>
      </c>
      <c r="H18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58" spans="1:8" ht="15" customHeight="1" x14ac:dyDescent="0.25">
      <c r="A1858" t="str">
        <f>MID(TB_CECO[[#This Row],[CECO_T]],1,5)</f>
        <v>24503</v>
      </c>
      <c r="B1858" t="str">
        <f>MID(TB_CECO[[#This Row],[TRABAJO]],1,SEARCH(",",TB_CECO[[#This Row],[TRABAJO]],1)-1)</f>
        <v xml:space="preserve"> ES. 630-6 SW_PQ. 630 </v>
      </c>
      <c r="C18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VOLADURA     </v>
      </c>
      <c r="D18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58" s="47" t="s">
        <v>3665</v>
      </c>
      <c r="G1858" t="s">
        <v>3666</v>
      </c>
      <c r="H18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59" spans="1:8" ht="15" customHeight="1" x14ac:dyDescent="0.25">
      <c r="A1859" t="str">
        <f>MID(TB_CECO[[#This Row],[CECO_T]],1,5)</f>
        <v>24503</v>
      </c>
      <c r="B1859" t="str">
        <f>MID(TB_CECO[[#This Row],[TRABAJO]],1,SEARCH(",",TB_CECO[[#This Row],[TRABAJO]],1)-1)</f>
        <v xml:space="preserve"> ES. 630-6 SW_PQ. 630 </v>
      </c>
      <c r="C18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CAMINOS      </v>
      </c>
      <c r="D18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59" s="47" t="s">
        <v>3667</v>
      </c>
      <c r="G1859" t="s">
        <v>3668</v>
      </c>
      <c r="H18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60" spans="1:8" ht="15" customHeight="1" x14ac:dyDescent="0.25">
      <c r="A1860" t="str">
        <f>MID(TB_CECO[[#This Row],[CECO_T]],1,5)</f>
        <v>24503</v>
      </c>
      <c r="B1860" t="str">
        <f>MID(TB_CECO[[#This Row],[TRABAJO]],1,SEARCH(",",TB_CECO[[#This Row],[TRABAJO]],1)-1)</f>
        <v xml:space="preserve"> ES. 630-6 SW_PQ. 630 </v>
      </c>
      <c r="C18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INSTAL.RIELES</v>
      </c>
      <c r="D18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60" s="47" t="s">
        <v>3669</v>
      </c>
      <c r="G1860" t="s">
        <v>3670</v>
      </c>
      <c r="H18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61" spans="1:8" ht="15" customHeight="1" x14ac:dyDescent="0.25">
      <c r="A1861" t="str">
        <f>MID(TB_CECO[[#This Row],[CECO_T]],1,5)</f>
        <v>24503</v>
      </c>
      <c r="B1861" t="str">
        <f>MID(TB_CECO[[#This Row],[TRABAJO]],1,SEARCH(",",TB_CECO[[#This Row],[TRABAJO]],1)-1)</f>
        <v xml:space="preserve"> ES. 630-6 SW_PQ. 630 </v>
      </c>
      <c r="C18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ES. 630-6 SW_PQ. 630 , REHABILIT.LAB</v>
      </c>
      <c r="D18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61" s="47" t="s">
        <v>3671</v>
      </c>
      <c r="G1861" t="s">
        <v>3672</v>
      </c>
      <c r="H18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62" spans="1:8" ht="15" customHeight="1" x14ac:dyDescent="0.25">
      <c r="A1862" t="str">
        <f>MID(TB_CECO[[#This Row],[CECO_T]],1,5)</f>
        <v>24506</v>
      </c>
      <c r="B1862" t="str">
        <f>MID(TB_CECO[[#This Row],[TRABAJO]],1,SEARCH(",",TB_CECO[[#This Row],[TRABAJO]],1)-1)</f>
        <v xml:space="preserve"> Est. 626-1 CH. 626 </v>
      </c>
      <c r="C18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VOLADURA     </v>
      </c>
      <c r="D18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62" s="47" t="s">
        <v>3673</v>
      </c>
      <c r="G1862" t="s">
        <v>3674</v>
      </c>
      <c r="H18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63" spans="1:8" ht="15" customHeight="1" x14ac:dyDescent="0.25">
      <c r="A1863" t="str">
        <f>MID(TB_CECO[[#This Row],[CECO_T]],1,5)</f>
        <v>24506</v>
      </c>
      <c r="B1863" t="str">
        <f>MID(TB_CECO[[#This Row],[TRABAJO]],1,SEARCH(",",TB_CECO[[#This Row],[TRABAJO]],1)-1)</f>
        <v xml:space="preserve"> Est. 626-1 CH. 626 </v>
      </c>
      <c r="C18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CAMINOS      </v>
      </c>
      <c r="D18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63" s="47" t="s">
        <v>3675</v>
      </c>
      <c r="G1863" t="s">
        <v>3676</v>
      </c>
      <c r="H18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64" spans="1:8" ht="15" customHeight="1" x14ac:dyDescent="0.25">
      <c r="A1864" t="str">
        <f>MID(TB_CECO[[#This Row],[CECO_T]],1,5)</f>
        <v>24506</v>
      </c>
      <c r="B1864" t="str">
        <f>MID(TB_CECO[[#This Row],[TRABAJO]],1,SEARCH(",",TB_CECO[[#This Row],[TRABAJO]],1)-1)</f>
        <v xml:space="preserve"> Est. 626-1 CH. 626 </v>
      </c>
      <c r="C18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INST DE RIELE</v>
      </c>
      <c r="D18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64" s="47" t="s">
        <v>3677</v>
      </c>
      <c r="G1864" t="s">
        <v>3678</v>
      </c>
      <c r="H18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65" spans="1:8" ht="15" customHeight="1" x14ac:dyDescent="0.25">
      <c r="A1865" t="str">
        <f>MID(TB_CECO[[#This Row],[CECO_T]],1,5)</f>
        <v>24506</v>
      </c>
      <c r="B1865" t="str">
        <f>MID(TB_CECO[[#This Row],[TRABAJO]],1,SEARCH(",",TB_CECO[[#This Row],[TRABAJO]],1)-1)</f>
        <v xml:space="preserve"> Est. 626-1 CH. 626 </v>
      </c>
      <c r="C18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 626-1 CH. 626 , REHAB DE LABO</v>
      </c>
      <c r="D18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65" s="47" t="s">
        <v>3679</v>
      </c>
      <c r="G1865" t="s">
        <v>3680</v>
      </c>
      <c r="H18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66" spans="1:8" ht="15" customHeight="1" x14ac:dyDescent="0.25">
      <c r="A1866" t="str">
        <f>MID(TB_CECO[[#This Row],[CECO_T]],1,5)</f>
        <v>24601</v>
      </c>
      <c r="B1866" t="str">
        <f>MID(TB_CECO[[#This Row],[TRABAJO]],1,SEARCH(",",TB_CECO[[#This Row],[TRABAJO]],1)-1)</f>
        <v xml:space="preserve"> PQ 630_CX. 616 SW </v>
      </c>
      <c r="C18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VOLADURA        </v>
      </c>
      <c r="D18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66" s="47" t="s">
        <v>3681</v>
      </c>
      <c r="G1866" t="s">
        <v>3682</v>
      </c>
      <c r="H18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67" spans="1:8" ht="15" customHeight="1" x14ac:dyDescent="0.25">
      <c r="A1867" t="str">
        <f>MID(TB_CECO[[#This Row],[CECO_T]],1,5)</f>
        <v>24601</v>
      </c>
      <c r="B1867" t="str">
        <f>MID(TB_CECO[[#This Row],[TRABAJO]],1,SEARCH(",",TB_CECO[[#This Row],[TRABAJO]],1)-1)</f>
        <v xml:space="preserve"> PQ 630_CX. 616 SW </v>
      </c>
      <c r="C18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CAMINOS         </v>
      </c>
      <c r="D18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67" s="47" t="s">
        <v>3683</v>
      </c>
      <c r="G1867" t="s">
        <v>3684</v>
      </c>
      <c r="H18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68" spans="1:8" ht="15" customHeight="1" x14ac:dyDescent="0.25">
      <c r="A1868" t="str">
        <f>MID(TB_CECO[[#This Row],[CECO_T]],1,5)</f>
        <v>24601</v>
      </c>
      <c r="B1868" t="str">
        <f>MID(TB_CECO[[#This Row],[TRABAJO]],1,SEARCH(",",TB_CECO[[#This Row],[TRABAJO]],1)-1)</f>
        <v xml:space="preserve"> PQ 630_CX. 616 SW </v>
      </c>
      <c r="C18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INSTAL.RIELES   </v>
      </c>
      <c r="D18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68" s="47" t="s">
        <v>3685</v>
      </c>
      <c r="G1868" t="s">
        <v>3686</v>
      </c>
      <c r="H18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69" spans="1:8" ht="15" customHeight="1" x14ac:dyDescent="0.25">
      <c r="A1869" t="str">
        <f>MID(TB_CECO[[#This Row],[CECO_T]],1,5)</f>
        <v>24601</v>
      </c>
      <c r="B1869" t="str">
        <f>MID(TB_CECO[[#This Row],[TRABAJO]],1,SEARCH(",",TB_CECO[[#This Row],[TRABAJO]],1)-1)</f>
        <v xml:space="preserve"> PQ 630_CX. 616 SW </v>
      </c>
      <c r="C18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 630_CX. 616 SW , REHABILIT.LABORE</v>
      </c>
      <c r="D18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18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69" s="47" t="s">
        <v>3687</v>
      </c>
      <c r="G1869" t="s">
        <v>3688</v>
      </c>
      <c r="H18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70" spans="1:8" ht="15" customHeight="1" x14ac:dyDescent="0.25">
      <c r="A1870" t="str">
        <f>MID(TB_CECO[[#This Row],[CECO_T]],1,5)</f>
        <v>24603</v>
      </c>
      <c r="B1870" t="str">
        <f>MID(TB_CECO[[#This Row],[TRABAJO]],1,SEARCH(",",TB_CECO[[#This Row],[TRABAJO]],1)-1)</f>
        <v xml:space="preserve"> PQ. 630  Cam. 623 </v>
      </c>
      <c r="C18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VOLADURA      </v>
      </c>
      <c r="D18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70" s="47" t="s">
        <v>3689</v>
      </c>
      <c r="G1870" t="s">
        <v>3690</v>
      </c>
      <c r="H18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71" spans="1:8" ht="15" customHeight="1" x14ac:dyDescent="0.25">
      <c r="A1871" t="str">
        <f>MID(TB_CECO[[#This Row],[CECO_T]],1,5)</f>
        <v>24603</v>
      </c>
      <c r="B1871" t="str">
        <f>MID(TB_CECO[[#This Row],[TRABAJO]],1,SEARCH(",",TB_CECO[[#This Row],[TRABAJO]],1)-1)</f>
        <v xml:space="preserve"> PQ. 630  Cam. 623 </v>
      </c>
      <c r="C18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CAMINOS       </v>
      </c>
      <c r="D18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71" s="47" t="s">
        <v>3691</v>
      </c>
      <c r="G1871" t="s">
        <v>3692</v>
      </c>
      <c r="H18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72" spans="1:8" ht="15" customHeight="1" x14ac:dyDescent="0.25">
      <c r="A1872" t="str">
        <f>MID(TB_CECO[[#This Row],[CECO_T]],1,5)</f>
        <v>24603</v>
      </c>
      <c r="B1872" t="str">
        <f>MID(TB_CECO[[#This Row],[TRABAJO]],1,SEARCH(",",TB_CECO[[#This Row],[TRABAJO]],1)-1)</f>
        <v xml:space="preserve"> PQ. 630  Cam. 623 </v>
      </c>
      <c r="C18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 INST DE RIELES</v>
      </c>
      <c r="D18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72" s="47" t="s">
        <v>3693</v>
      </c>
      <c r="G1872" t="s">
        <v>3694</v>
      </c>
      <c r="H18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73" spans="1:8" ht="15" customHeight="1" x14ac:dyDescent="0.25">
      <c r="A1873" t="str">
        <f>MID(TB_CECO[[#This Row],[CECO_T]],1,5)</f>
        <v>24603</v>
      </c>
      <c r="B1873" t="str">
        <f>MID(TB_CECO[[#This Row],[TRABAJO]],1,SEARCH(",",TB_CECO[[#This Row],[TRABAJO]],1)-1)</f>
        <v xml:space="preserve"> PQ. 630  Cam. 623 </v>
      </c>
      <c r="C18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630  Cam. 623 ,REHABILIT DE LA</v>
      </c>
      <c r="D18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1873" s="47" t="s">
        <v>3695</v>
      </c>
      <c r="G1873" t="s">
        <v>3696</v>
      </c>
      <c r="H18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74" spans="1:8" ht="15" customHeight="1" x14ac:dyDescent="0.25">
      <c r="A1874" t="str">
        <f>MID(TB_CECO[[#This Row],[CECO_T]],1,5)</f>
        <v>25312</v>
      </c>
      <c r="B1874" t="str">
        <f>MID(TB_CECO[[#This Row],[TRABAJO]],1,SEARCH(",",TB_CECO[[#This Row],[TRABAJO]],1)-1)</f>
        <v>TJ 626</v>
      </c>
      <c r="C18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626,VOLADURA                 </v>
      </c>
      <c r="D18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74" s="47" t="s">
        <v>3697</v>
      </c>
      <c r="G1874" t="s">
        <v>3698</v>
      </c>
      <c r="H18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75" spans="1:8" ht="15" customHeight="1" x14ac:dyDescent="0.25">
      <c r="A1875" t="str">
        <f>MID(TB_CECO[[#This Row],[CECO_T]],1,5)</f>
        <v>25312</v>
      </c>
      <c r="B1875" t="str">
        <f>MID(TB_CECO[[#This Row],[TRABAJO]],1,SEARCH(",",TB_CECO[[#This Row],[TRABAJO]],1)-1)</f>
        <v>TJ 626</v>
      </c>
      <c r="C18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626,CAMINOS                  </v>
      </c>
      <c r="D18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75" s="47" t="s">
        <v>3699</v>
      </c>
      <c r="G1875" t="s">
        <v>3700</v>
      </c>
      <c r="H18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76" spans="1:8" ht="15" customHeight="1" x14ac:dyDescent="0.25">
      <c r="A1876" t="str">
        <f>MID(TB_CECO[[#This Row],[CECO_T]],1,5)</f>
        <v>25312</v>
      </c>
      <c r="B1876" t="str">
        <f>MID(TB_CECO[[#This Row],[TRABAJO]],1,SEARCH(",",TB_CECO[[#This Row],[TRABAJO]],1)-1)</f>
        <v>TJ 626</v>
      </c>
      <c r="C18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626,INST.DE RIELES           </v>
      </c>
      <c r="D18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76" s="47" t="s">
        <v>3701</v>
      </c>
      <c r="G1876" t="s">
        <v>3702</v>
      </c>
      <c r="H18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77" spans="1:8" ht="15" customHeight="1" x14ac:dyDescent="0.25">
      <c r="A1877" t="str">
        <f>MID(TB_CECO[[#This Row],[CECO_T]],1,5)</f>
        <v>25312</v>
      </c>
      <c r="B1877" t="str">
        <f>MID(TB_CECO[[#This Row],[TRABAJO]],1,SEARCH(",",TB_CECO[[#This Row],[TRABAJO]],1)-1)</f>
        <v>TJ 626</v>
      </c>
      <c r="C18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626,REHAB DE LABORES         </v>
      </c>
      <c r="D18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77" s="47" t="s">
        <v>3703</v>
      </c>
      <c r="G1877" t="s">
        <v>3704</v>
      </c>
      <c r="H18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78" spans="1:8" ht="15" customHeight="1" x14ac:dyDescent="0.25">
      <c r="A1878" t="str">
        <f>MID(TB_CECO[[#This Row],[CECO_T]],1,5)</f>
        <v>25312</v>
      </c>
      <c r="B1878" t="str">
        <f>MID(TB_CECO[[#This Row],[TRABAJO]],1,SEARCH(",",TB_CECO[[#This Row],[TRABAJO]],1)-1)</f>
        <v>TJ 626</v>
      </c>
      <c r="C18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626,CH 626,CICLO COMPLETO           </v>
      </c>
      <c r="D18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78" s="47" t="s">
        <v>3705</v>
      </c>
      <c r="G1878" t="s">
        <v>3706</v>
      </c>
      <c r="H18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79" spans="1:8" ht="15" customHeight="1" x14ac:dyDescent="0.25">
      <c r="A1879" t="str">
        <f>MID(TB_CECO[[#This Row],[CECO_T]],1,5)</f>
        <v>25317</v>
      </c>
      <c r="B1879" t="str">
        <f>MID(TB_CECO[[#This Row],[TRABAJO]],1,SEARCH(",",TB_CECO[[#This Row],[TRABAJO]],1)-1)</f>
        <v>TJ 626</v>
      </c>
      <c r="C18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NW,VOLADURA             </v>
      </c>
      <c r="D18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79" s="47" t="s">
        <v>3707</v>
      </c>
      <c r="G1879" t="s">
        <v>3708</v>
      </c>
      <c r="H18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80" spans="1:8" ht="15" customHeight="1" x14ac:dyDescent="0.25">
      <c r="A1880" t="str">
        <f>MID(TB_CECO[[#This Row],[CECO_T]],1,5)</f>
        <v>25317</v>
      </c>
      <c r="B1880" t="str">
        <f>MID(TB_CECO[[#This Row],[TRABAJO]],1,SEARCH(",",TB_CECO[[#This Row],[TRABAJO]],1)-1)</f>
        <v>TJ 626</v>
      </c>
      <c r="C18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NW,CAMINOS              </v>
      </c>
      <c r="D18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80" s="47" t="s">
        <v>3709</v>
      </c>
      <c r="G1880" t="s">
        <v>3710</v>
      </c>
      <c r="H18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81" spans="1:8" ht="15" customHeight="1" x14ac:dyDescent="0.25">
      <c r="A1881" t="str">
        <f>MID(TB_CECO[[#This Row],[CECO_T]],1,5)</f>
        <v>25317</v>
      </c>
      <c r="B1881" t="str">
        <f>MID(TB_CECO[[#This Row],[TRABAJO]],1,SEARCH(",",TB_CECO[[#This Row],[TRABAJO]],1)-1)</f>
        <v>TJ 626</v>
      </c>
      <c r="C18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NW,INST.DE RIELES       </v>
      </c>
      <c r="D18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81" s="47" t="s">
        <v>3711</v>
      </c>
      <c r="G1881" t="s">
        <v>3712</v>
      </c>
      <c r="H18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82" spans="1:8" ht="15" customHeight="1" x14ac:dyDescent="0.25">
      <c r="A1882" t="str">
        <f>MID(TB_CECO[[#This Row],[CECO_T]],1,5)</f>
        <v>25317</v>
      </c>
      <c r="B1882" t="str">
        <f>MID(TB_CECO[[#This Row],[TRABAJO]],1,SEARCH(",",TB_CECO[[#This Row],[TRABAJO]],1)-1)</f>
        <v>TJ 626</v>
      </c>
      <c r="C18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NW,REHAB DE LABORES     </v>
      </c>
      <c r="D18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82" s="47" t="s">
        <v>3713</v>
      </c>
      <c r="G1882" t="s">
        <v>3714</v>
      </c>
      <c r="H18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83" spans="1:8" ht="15" customHeight="1" x14ac:dyDescent="0.25">
      <c r="A1883" t="str">
        <f>MID(TB_CECO[[#This Row],[CECO_T]],1,5)</f>
        <v>25317</v>
      </c>
      <c r="B1883" t="str">
        <f>MID(TB_CECO[[#This Row],[TRABAJO]],1,SEARCH(",",TB_CECO[[#This Row],[TRABAJO]],1)-1)</f>
        <v>TJ 626</v>
      </c>
      <c r="C18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NW,CICLO COMPLETO       </v>
      </c>
      <c r="D18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83" s="47" t="s">
        <v>3715</v>
      </c>
      <c r="G1883" t="s">
        <v>3716</v>
      </c>
      <c r="H18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84" spans="1:8" ht="15" customHeight="1" x14ac:dyDescent="0.25">
      <c r="A1884" t="str">
        <f>MID(TB_CECO[[#This Row],[CECO_T]],1,5)</f>
        <v>25318</v>
      </c>
      <c r="B1884" t="str">
        <f>MID(TB_CECO[[#This Row],[TRABAJO]],1,SEARCH(",",TB_CECO[[#This Row],[TRABAJO]],1)-1)</f>
        <v>TJ 626</v>
      </c>
      <c r="C18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SE,VOLADURA             </v>
      </c>
      <c r="D18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84" s="47" t="s">
        <v>3717</v>
      </c>
      <c r="G1884" t="s">
        <v>3718</v>
      </c>
      <c r="H18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85" spans="1:8" ht="15" customHeight="1" x14ac:dyDescent="0.25">
      <c r="A1885" t="str">
        <f>MID(TB_CECO[[#This Row],[CECO_T]],1,5)</f>
        <v>25318</v>
      </c>
      <c r="B1885" t="str">
        <f>MID(TB_CECO[[#This Row],[TRABAJO]],1,SEARCH(",",TB_CECO[[#This Row],[TRABAJO]],1)-1)</f>
        <v>TJ 626</v>
      </c>
      <c r="C18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SE,CAMINOS              </v>
      </c>
      <c r="D18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85" s="47" t="s">
        <v>3719</v>
      </c>
      <c r="G1885" t="s">
        <v>3720</v>
      </c>
      <c r="H18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86" spans="1:8" ht="15" customHeight="1" x14ac:dyDescent="0.25">
      <c r="A1886" t="str">
        <f>MID(TB_CECO[[#This Row],[CECO_T]],1,5)</f>
        <v>25318</v>
      </c>
      <c r="B1886" t="str">
        <f>MID(TB_CECO[[#This Row],[TRABAJO]],1,SEARCH(",",TB_CECO[[#This Row],[TRABAJO]],1)-1)</f>
        <v>TJ 626</v>
      </c>
      <c r="C18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SE,INST.DE RIELES       </v>
      </c>
      <c r="D18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86" s="47" t="s">
        <v>3721</v>
      </c>
      <c r="G1886" t="s">
        <v>3722</v>
      </c>
      <c r="H18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87" spans="1:8" ht="15" customHeight="1" x14ac:dyDescent="0.25">
      <c r="A1887" t="str">
        <f>MID(TB_CECO[[#This Row],[CECO_T]],1,5)</f>
        <v>25318</v>
      </c>
      <c r="B1887" t="str">
        <f>MID(TB_CECO[[#This Row],[TRABAJO]],1,SEARCH(",",TB_CECO[[#This Row],[TRABAJO]],1)-1)</f>
        <v>TJ 626</v>
      </c>
      <c r="C18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SE,REHAB DE LABORES     </v>
      </c>
      <c r="D18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87" s="47" t="s">
        <v>3723</v>
      </c>
      <c r="G1887" t="s">
        <v>3724</v>
      </c>
      <c r="H18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88" spans="1:8" ht="15" customHeight="1" x14ac:dyDescent="0.25">
      <c r="A1888" t="str">
        <f>MID(TB_CECO[[#This Row],[CECO_T]],1,5)</f>
        <v>25318</v>
      </c>
      <c r="B1888" t="str">
        <f>MID(TB_CECO[[#This Row],[TRABAJO]],1,SEARCH(",",TB_CECO[[#This Row],[TRABAJO]],1)-1)</f>
        <v>TJ 626</v>
      </c>
      <c r="C18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626,SNV 626 SE,CICLO COMPLETO       </v>
      </c>
      <c r="D18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88" s="47" t="s">
        <v>3725</v>
      </c>
      <c r="G1888" t="s">
        <v>3726</v>
      </c>
      <c r="H18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89" spans="1:8" ht="15" customHeight="1" x14ac:dyDescent="0.25">
      <c r="A1889" t="str">
        <f>MID(TB_CECO[[#This Row],[CECO_T]],1,5)</f>
        <v>25320</v>
      </c>
      <c r="B1889" t="str">
        <f>MID(TB_CECO[[#This Row],[TRABAJO]],1,SEARCH(",",TB_CECO[[#This Row],[TRABAJO]],1)-1)</f>
        <v>TJ 590 (CH 585)</v>
      </c>
      <c r="C18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585),VOLADURA               </v>
      </c>
      <c r="D18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89" s="47" t="s">
        <v>3727</v>
      </c>
      <c r="G1889" t="s">
        <v>3728</v>
      </c>
      <c r="H18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90" spans="1:8" ht="15" customHeight="1" x14ac:dyDescent="0.25">
      <c r="A1890" t="str">
        <f>MID(TB_CECO[[#This Row],[CECO_T]],1,5)</f>
        <v>25320</v>
      </c>
      <c r="B1890" t="str">
        <f>MID(TB_CECO[[#This Row],[TRABAJO]],1,SEARCH(",",TB_CECO[[#This Row],[TRABAJO]],1)-1)</f>
        <v>TJ 590 (CH 585)</v>
      </c>
      <c r="C18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585),CAMINOS                </v>
      </c>
      <c r="D18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90" s="47" t="s">
        <v>3729</v>
      </c>
      <c r="G1890" t="s">
        <v>3730</v>
      </c>
      <c r="H18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91" spans="1:8" ht="15" customHeight="1" x14ac:dyDescent="0.25">
      <c r="A1891" t="str">
        <f>MID(TB_CECO[[#This Row],[CECO_T]],1,5)</f>
        <v>25320</v>
      </c>
      <c r="B1891" t="str">
        <f>MID(TB_CECO[[#This Row],[TRABAJO]],1,SEARCH(",",TB_CECO[[#This Row],[TRABAJO]],1)-1)</f>
        <v>TJ 590 (CH 585)</v>
      </c>
      <c r="C18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585),INST.DE RIELES         </v>
      </c>
      <c r="D18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91" s="47" t="s">
        <v>3731</v>
      </c>
      <c r="G1891" t="s">
        <v>3732</v>
      </c>
      <c r="H18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92" spans="1:8" ht="15" customHeight="1" x14ac:dyDescent="0.25">
      <c r="A1892" t="str">
        <f>MID(TB_CECO[[#This Row],[CECO_T]],1,5)</f>
        <v>25320</v>
      </c>
      <c r="B1892" t="str">
        <f>MID(TB_CECO[[#This Row],[TRABAJO]],1,SEARCH(",",TB_CECO[[#This Row],[TRABAJO]],1)-1)</f>
        <v>TJ 590 (CH 585)</v>
      </c>
      <c r="C18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585),REHAB DE LABORES       </v>
      </c>
      <c r="D18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92" s="47" t="s">
        <v>3733</v>
      </c>
      <c r="G1892" t="s">
        <v>3734</v>
      </c>
      <c r="H18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93" spans="1:8" ht="15" customHeight="1" x14ac:dyDescent="0.25">
      <c r="A1893" t="str">
        <f>MID(TB_CECO[[#This Row],[CECO_T]],1,5)</f>
        <v>25320</v>
      </c>
      <c r="B1893" t="str">
        <f>MID(TB_CECO[[#This Row],[TRABAJO]],1,SEARCH(",",TB_CECO[[#This Row],[TRABAJO]],1)-1)</f>
        <v>TJ 590 (CH 585)</v>
      </c>
      <c r="C18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590 (CH 585),CICLO COMPLETO         </v>
      </c>
      <c r="D18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93" s="47" t="s">
        <v>3735</v>
      </c>
      <c r="G1893" t="s">
        <v>3736</v>
      </c>
      <c r="H18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1894" spans="1:8" ht="15" customHeight="1" x14ac:dyDescent="0.25">
      <c r="A1894" t="str">
        <f>MID(TB_CECO[[#This Row],[CECO_T]],1,5)</f>
        <v>26L01</v>
      </c>
      <c r="B1894" t="str">
        <f>MID(TB_CECO[[#This Row],[TRABAJO]],1,SEARCH(",",TB_CECO[[#This Row],[TRABAJO]],1)-1)</f>
        <v>LAB ANT</v>
      </c>
      <c r="C18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LAB ANT,ENMADERADO            </v>
      </c>
      <c r="D18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94" s="47" t="s">
        <v>3737</v>
      </c>
      <c r="G1894" t="s">
        <v>3738</v>
      </c>
      <c r="H18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95" spans="1:8" ht="15" customHeight="1" x14ac:dyDescent="0.25">
      <c r="A1895" t="str">
        <f>MID(TB_CECO[[#This Row],[CECO_T]],1,5)</f>
        <v>2A212</v>
      </c>
      <c r="B1895" t="str">
        <f>MID(TB_CECO[[#This Row],[TRABAJO]],1,SEARCH(",",TB_CECO[[#This Row],[TRABAJO]],1)-1)</f>
        <v>Gal 028 NE (Cx 990 NE)</v>
      </c>
      <c r="C18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028 NE (Cx 990 NE),REHABILITACION</v>
      </c>
      <c r="D18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95" s="47" t="s">
        <v>3739</v>
      </c>
      <c r="G1895" t="s">
        <v>3740</v>
      </c>
      <c r="H18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96" spans="1:8" ht="15" customHeight="1" x14ac:dyDescent="0.25">
      <c r="A1896" t="str">
        <f>MID(TB_CECO[[#This Row],[CECO_T]],1,5)</f>
        <v>2AA02</v>
      </c>
      <c r="B1896" t="str">
        <f>MID(TB_CECO[[#This Row],[TRABAJO]],1,SEARCH(",",TB_CECO[[#This Row],[TRABAJO]],1)-1)</f>
        <v>Bp 068 NE (Gal 028 NE)</v>
      </c>
      <c r="C18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068 NE (Gal 028 NE),REHABILITACION</v>
      </c>
      <c r="D18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96" s="47" t="s">
        <v>3741</v>
      </c>
      <c r="G1896" t="s">
        <v>3742</v>
      </c>
      <c r="H18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97" spans="1:8" ht="15" customHeight="1" x14ac:dyDescent="0.25">
      <c r="A1897" t="str">
        <f>MID(TB_CECO[[#This Row],[CECO_T]],1,5)</f>
        <v>2B126</v>
      </c>
      <c r="B1897" t="str">
        <f>MID(TB_CECO[[#This Row],[TRABAJO]],1,SEARCH(",",TB_CECO[[#This Row],[TRABAJO]],1)-1)</f>
        <v>Cx 990 NE (Cor 990)</v>
      </c>
      <c r="C18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990 NE (Cor 990),REHABILITACION</v>
      </c>
      <c r="D18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97" s="47" t="s">
        <v>3743</v>
      </c>
      <c r="G1897" t="s">
        <v>3744</v>
      </c>
      <c r="H18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98" spans="1:8" ht="15" customHeight="1" x14ac:dyDescent="0.25">
      <c r="A1898" t="str">
        <f>MID(TB_CECO[[#This Row],[CECO_T]],1,5)</f>
        <v>2B340</v>
      </c>
      <c r="B1898" t="str">
        <f>MID(TB_CECO[[#This Row],[TRABAJO]],1,SEARCH(",",TB_CECO[[#This Row],[TRABAJO]],1)-1)</f>
        <v>CH 638 (SNV 634 SE)</v>
      </c>
      <c r="C18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638 (SNV 634 SE),SUMINISTROS</v>
      </c>
      <c r="D18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98" s="47" t="s">
        <v>3745</v>
      </c>
      <c r="G1898" t="s">
        <v>3746</v>
      </c>
      <c r="H18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899" spans="1:8" ht="15" customHeight="1" x14ac:dyDescent="0.25">
      <c r="A1899" t="str">
        <f>MID(TB_CECO[[#This Row],[CECO_T]],1,5)</f>
        <v>2B340</v>
      </c>
      <c r="B1899" t="str">
        <f>MID(TB_CECO[[#This Row],[TRABAJO]],1,SEARCH(",",TB_CECO[[#This Row],[TRABAJO]],1)-1)</f>
        <v>CH 638 (SNV 634 SE)</v>
      </c>
      <c r="C18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638 (SNV 634 SE),SOSTENIMIENTO</v>
      </c>
      <c r="D18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8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899" s="47" t="s">
        <v>3747</v>
      </c>
      <c r="G1899" t="s">
        <v>3748</v>
      </c>
      <c r="H18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00" spans="1:8" ht="15" customHeight="1" x14ac:dyDescent="0.25">
      <c r="A1900" t="str">
        <f>MID(TB_CECO[[#This Row],[CECO_T]],1,5)</f>
        <v>2B340</v>
      </c>
      <c r="B1900" t="str">
        <f>MID(TB_CECO[[#This Row],[TRABAJO]],1,SEARCH(",",TB_CECO[[#This Row],[TRABAJO]],1)-1)</f>
        <v>CH 638 (SNV 634 SE)</v>
      </c>
      <c r="C19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638 (SNV 634 SE),SERVICIO</v>
      </c>
      <c r="D19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00" s="47" t="s">
        <v>3749</v>
      </c>
      <c r="G1900" t="s">
        <v>3750</v>
      </c>
      <c r="H19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01" spans="1:8" ht="15" customHeight="1" x14ac:dyDescent="0.25">
      <c r="A1901" t="str">
        <f>MID(TB_CECO[[#This Row],[CECO_T]],1,5)</f>
        <v>2B340</v>
      </c>
      <c r="B1901" t="str">
        <f>MID(TB_CECO[[#This Row],[TRABAJO]],1,SEARCH(",",TB_CECO[[#This Row],[TRABAJO]],1)-1)</f>
        <v>CH 638 (SNV 634 SE)</v>
      </c>
      <c r="C19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638 (SNV 634 SE),REHABILITACION</v>
      </c>
      <c r="D19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01" s="47" t="s">
        <v>3751</v>
      </c>
      <c r="G1901" t="s">
        <v>3752</v>
      </c>
      <c r="H19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02" spans="1:8" ht="15" customHeight="1" x14ac:dyDescent="0.25">
      <c r="A1902" t="str">
        <f>MID(TB_CECO[[#This Row],[CECO_T]],1,5)</f>
        <v>2B534</v>
      </c>
      <c r="B1902" t="str">
        <f>MID(TB_CECO[[#This Row],[TRABAJO]],1,SEARCH(",",TB_CECO[[#This Row],[TRABAJO]],1)-1)</f>
        <v>SNV 634 SE (H.P)</v>
      </c>
      <c r="C19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634 SE (H.P),SUMINISTROS</v>
      </c>
      <c r="D19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02" s="47" t="s">
        <v>3753</v>
      </c>
      <c r="G1902" t="s">
        <v>3754</v>
      </c>
      <c r="H19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03" spans="1:8" ht="15" customHeight="1" x14ac:dyDescent="0.25">
      <c r="A1903" t="str">
        <f>MID(TB_CECO[[#This Row],[CECO_T]],1,5)</f>
        <v>2B534</v>
      </c>
      <c r="B1903" t="str">
        <f>MID(TB_CECO[[#This Row],[TRABAJO]],1,SEARCH(",",TB_CECO[[#This Row],[TRABAJO]],1)-1)</f>
        <v>SNV 634 SE (H.P)</v>
      </c>
      <c r="C19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634 SE (H.P),SOSTENIMIENTO</v>
      </c>
      <c r="D19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03" s="47" t="s">
        <v>3755</v>
      </c>
      <c r="G1903" t="s">
        <v>3756</v>
      </c>
      <c r="H19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04" spans="1:8" ht="15" customHeight="1" x14ac:dyDescent="0.25">
      <c r="A1904" t="str">
        <f>MID(TB_CECO[[#This Row],[CECO_T]],1,5)</f>
        <v>2B534</v>
      </c>
      <c r="B1904" t="str">
        <f>MID(TB_CECO[[#This Row],[TRABAJO]],1,SEARCH(",",TB_CECO[[#This Row],[TRABAJO]],1)-1)</f>
        <v>SNV 634 SE (H.P)</v>
      </c>
      <c r="C19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634 SE (H.P),SERVICIO</v>
      </c>
      <c r="D19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04" s="47" t="s">
        <v>3757</v>
      </c>
      <c r="G1904" t="s">
        <v>3758</v>
      </c>
      <c r="H19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05" spans="1:8" ht="15" customHeight="1" x14ac:dyDescent="0.25">
      <c r="A1905" t="str">
        <f>MID(TB_CECO[[#This Row],[CECO_T]],1,5)</f>
        <v>2B534</v>
      </c>
      <c r="B1905" t="str">
        <f>MID(TB_CECO[[#This Row],[TRABAJO]],1,SEARCH(",",TB_CECO[[#This Row],[TRABAJO]],1)-1)</f>
        <v>SNV 634 SE (H.P)</v>
      </c>
      <c r="C19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634 SE (H.P),REHABILITACION</v>
      </c>
      <c r="D19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05" s="47" t="s">
        <v>3759</v>
      </c>
      <c r="G1905" t="s">
        <v>3760</v>
      </c>
      <c r="H19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06" spans="1:8" ht="15" customHeight="1" x14ac:dyDescent="0.25">
      <c r="A1906" t="str">
        <f>MID(TB_CECO[[#This Row],[CECO_T]],1,5)</f>
        <v>2B535</v>
      </c>
      <c r="B1906" t="str">
        <f>MID(TB_CECO[[#This Row],[TRABAJO]],1,SEARCH(",",TB_CECO[[#This Row],[TRABAJO]],1)-1)</f>
        <v>SNV 634 NW (H.P)</v>
      </c>
      <c r="C19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634 NW (H.P),SUMINISTROS</v>
      </c>
      <c r="D19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06" s="47" t="s">
        <v>3761</v>
      </c>
      <c r="G1906" t="s">
        <v>3762</v>
      </c>
      <c r="H19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07" spans="1:8" ht="15" customHeight="1" x14ac:dyDescent="0.25">
      <c r="A1907" t="str">
        <f>MID(TB_CECO[[#This Row],[CECO_T]],1,5)</f>
        <v>2B535</v>
      </c>
      <c r="B1907" t="str">
        <f>MID(TB_CECO[[#This Row],[TRABAJO]],1,SEARCH(",",TB_CECO[[#This Row],[TRABAJO]],1)-1)</f>
        <v>SNV 634 NW (H.P)</v>
      </c>
      <c r="C19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634 NW (H.P),SOSTENIMIENTO</v>
      </c>
      <c r="D19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07" s="47" t="s">
        <v>3763</v>
      </c>
      <c r="G1907" t="s">
        <v>3764</v>
      </c>
      <c r="H19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08" spans="1:8" ht="15" customHeight="1" x14ac:dyDescent="0.25">
      <c r="A1908" t="str">
        <f>MID(TB_CECO[[#This Row],[CECO_T]],1,5)</f>
        <v>2B535</v>
      </c>
      <c r="B1908" t="str">
        <f>MID(TB_CECO[[#This Row],[TRABAJO]],1,SEARCH(",",TB_CECO[[#This Row],[TRABAJO]],1)-1)</f>
        <v>SNV 634 NW (H.P)</v>
      </c>
      <c r="C19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634 NW (H.P),SERVICIO</v>
      </c>
      <c r="D19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08" s="47" t="s">
        <v>3765</v>
      </c>
      <c r="G1908" t="s">
        <v>3766</v>
      </c>
      <c r="H19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09" spans="1:8" ht="15" customHeight="1" x14ac:dyDescent="0.25">
      <c r="A1909" t="str">
        <f>MID(TB_CECO[[#This Row],[CECO_T]],1,5)</f>
        <v>2B535</v>
      </c>
      <c r="B1909" t="str">
        <f>MID(TB_CECO[[#This Row],[TRABAJO]],1,SEARCH(",",TB_CECO[[#This Row],[TRABAJO]],1)-1)</f>
        <v>SNV 634 NW (H.P)</v>
      </c>
      <c r="C19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634 NW (H.P),REHABILITACION</v>
      </c>
      <c r="D19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09" s="47" t="s">
        <v>3767</v>
      </c>
      <c r="G1909" t="s">
        <v>3768</v>
      </c>
      <c r="H19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10" spans="1:8" ht="15" customHeight="1" x14ac:dyDescent="0.25">
      <c r="A1910" t="str">
        <f>MID(TB_CECO[[#This Row],[CECO_T]],1,5)</f>
        <v>2C388</v>
      </c>
      <c r="B1910" t="str">
        <f>MID(TB_CECO[[#This Row],[TRABAJO]],1,SEARCH(",",TB_CECO[[#This Row],[TRABAJO]],1)-1)</f>
        <v>Ch 247 (Snv 317 S)</v>
      </c>
      <c r="C19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247 (Snv 317 S),LIMPIEZA</v>
      </c>
      <c r="D19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19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10" s="47" t="s">
        <v>3769</v>
      </c>
      <c r="G1910" t="s">
        <v>3770</v>
      </c>
      <c r="H19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11" spans="1:8" ht="15" customHeight="1" x14ac:dyDescent="0.25">
      <c r="A1911" t="str">
        <f>MID(TB_CECO[[#This Row],[CECO_T]],1,5)</f>
        <v>2C388</v>
      </c>
      <c r="B1911" t="str">
        <f>MID(TB_CECO[[#This Row],[TRABAJO]],1,SEARCH(",",TB_CECO[[#This Row],[TRABAJO]],1)-1)</f>
        <v>Ch 247 (Snv 317 S)</v>
      </c>
      <c r="C19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247 (Snv 317 S),SERVICIO</v>
      </c>
      <c r="D19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19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11" s="47" t="s">
        <v>3771</v>
      </c>
      <c r="G1911" t="s">
        <v>3772</v>
      </c>
      <c r="H19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12" spans="1:8" ht="15" customHeight="1" x14ac:dyDescent="0.25">
      <c r="A1912" t="str">
        <f>MID(TB_CECO[[#This Row],[CECO_T]],1,5)</f>
        <v>2C388</v>
      </c>
      <c r="B1912" t="str">
        <f>MID(TB_CECO[[#This Row],[TRABAJO]],1,SEARCH(",",TB_CECO[[#This Row],[TRABAJO]],1)-1)</f>
        <v>Ch 247 (Snv 317 S)</v>
      </c>
      <c r="C19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247 (Snv 317 S),PERFORACION</v>
      </c>
      <c r="D19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19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12" s="47" t="s">
        <v>3773</v>
      </c>
      <c r="G1912" t="s">
        <v>3774</v>
      </c>
      <c r="H19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13" spans="1:8" ht="15" customHeight="1" x14ac:dyDescent="0.25">
      <c r="A1913" t="str">
        <f>MID(TB_CECO[[#This Row],[CECO_T]],1,5)</f>
        <v>2C388</v>
      </c>
      <c r="B1913" t="str">
        <f>MID(TB_CECO[[#This Row],[TRABAJO]],1,SEARCH(",",TB_CECO[[#This Row],[TRABAJO]],1)-1)</f>
        <v>Ch 247 (Snv 317 S)</v>
      </c>
      <c r="C19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247 (Snv 317 S),SOSTENIMIENTO</v>
      </c>
      <c r="D19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19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13" s="47" t="s">
        <v>3775</v>
      </c>
      <c r="G1913" t="s">
        <v>3776</v>
      </c>
      <c r="H19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14" spans="1:8" ht="15" customHeight="1" x14ac:dyDescent="0.25">
      <c r="A1914" t="str">
        <f>MID(TB_CECO[[#This Row],[CECO_T]],1,5)</f>
        <v>2C388</v>
      </c>
      <c r="B1914" t="str">
        <f>MID(TB_CECO[[#This Row],[TRABAJO]],1,SEARCH(",",TB_CECO[[#This Row],[TRABAJO]],1)-1)</f>
        <v>Ch 247 (Snv 317 S)</v>
      </c>
      <c r="C19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247 (Snv 317 S),VOLADURA</v>
      </c>
      <c r="D19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19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14" s="47" t="s">
        <v>3777</v>
      </c>
      <c r="G1914" t="s">
        <v>3778</v>
      </c>
      <c r="H19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15" spans="1:8" ht="15" customHeight="1" x14ac:dyDescent="0.25">
      <c r="A1915" t="str">
        <f>MID(TB_CECO[[#This Row],[CECO_T]],1,5)</f>
        <v>2C405</v>
      </c>
      <c r="B1915" t="str">
        <f>MID(TB_CECO[[#This Row],[TRABAJO]],1,SEARCH(",",TB_CECO[[#This Row],[TRABAJO]],1)-1)</f>
        <v>Inc 875 SE (Snv 320 NE)</v>
      </c>
      <c r="C19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875 SE (Snv 320 NE),SUMINISTROS</v>
      </c>
      <c r="D19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15" s="47" t="s">
        <v>3779</v>
      </c>
      <c r="G1915" t="s">
        <v>3780</v>
      </c>
      <c r="H19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16" spans="1:8" ht="15" customHeight="1" x14ac:dyDescent="0.25">
      <c r="A1916" t="str">
        <f>MID(TB_CECO[[#This Row],[CECO_T]],1,5)</f>
        <v>2C405</v>
      </c>
      <c r="B1916" t="str">
        <f>MID(TB_CECO[[#This Row],[TRABAJO]],1,SEARCH(",",TB_CECO[[#This Row],[TRABAJO]],1)-1)</f>
        <v>Inc 875 SE (Snv 320 NE)</v>
      </c>
      <c r="C19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875 SE (Snv 320 NE),SOSTENIMIENTO</v>
      </c>
      <c r="D19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16" s="47" t="s">
        <v>3781</v>
      </c>
      <c r="G1916" t="s">
        <v>3782</v>
      </c>
      <c r="H19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17" spans="1:8" ht="15" customHeight="1" x14ac:dyDescent="0.25">
      <c r="A1917" t="str">
        <f>MID(TB_CECO[[#This Row],[CECO_T]],1,5)</f>
        <v>2C405</v>
      </c>
      <c r="B1917" t="str">
        <f>MID(TB_CECO[[#This Row],[TRABAJO]],1,SEARCH(",",TB_CECO[[#This Row],[TRABAJO]],1)-1)</f>
        <v>Inc 875 SE (Snv 320 NE)</v>
      </c>
      <c r="C19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875 SE (Snv 320 NE),SERVICIO</v>
      </c>
      <c r="D19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17" s="47" t="s">
        <v>3783</v>
      </c>
      <c r="G1917" t="s">
        <v>3784</v>
      </c>
      <c r="H19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18" spans="1:8" ht="15" customHeight="1" x14ac:dyDescent="0.25">
      <c r="A1918" t="str">
        <f>MID(TB_CECO[[#This Row],[CECO_T]],1,5)</f>
        <v>2C405</v>
      </c>
      <c r="B1918" t="str">
        <f>MID(TB_CECO[[#This Row],[TRABAJO]],1,SEARCH(",",TB_CECO[[#This Row],[TRABAJO]],1)-1)</f>
        <v>Inc 875 SE (Snv 320 NE)</v>
      </c>
      <c r="C19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875 SE (Snv 320 NE),REHABILITACION</v>
      </c>
      <c r="D19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18" s="47" t="s">
        <v>3785</v>
      </c>
      <c r="G1918" t="s">
        <v>3786</v>
      </c>
      <c r="H19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19" spans="1:8" ht="15" customHeight="1" x14ac:dyDescent="0.25">
      <c r="A1919" t="str">
        <f>MID(TB_CECO[[#This Row],[CECO_T]],1,5)</f>
        <v>2C405</v>
      </c>
      <c r="B1919" t="str">
        <f>MID(TB_CECO[[#This Row],[TRABAJO]],1,SEARCH(",",TB_CECO[[#This Row],[TRABAJO]],1)-1)</f>
        <v>Inc 875 SE (Snv 320 NE)</v>
      </c>
      <c r="C19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875 SE (Snv 320 NE),TOLVA</v>
      </c>
      <c r="D19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19" s="47" t="s">
        <v>3787</v>
      </c>
      <c r="G1919" t="s">
        <v>3788</v>
      </c>
      <c r="H19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20" spans="1:8" ht="15" customHeight="1" x14ac:dyDescent="0.25">
      <c r="A1920" t="str">
        <f>MID(TB_CECO[[#This Row],[CECO_T]],1,5)</f>
        <v>2C555</v>
      </c>
      <c r="B1920" t="str">
        <f>MID(TB_CECO[[#This Row],[TRABAJO]],1,SEARCH(",",TB_CECO[[#This Row],[TRABAJO]],1)-1)</f>
        <v>Snv 317 NE (Est 270-1 SE)</v>
      </c>
      <c r="C19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317 NE (Est 270-1 SE),SUMINISTROS</v>
      </c>
      <c r="D19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20" s="47" t="s">
        <v>3789</v>
      </c>
      <c r="G1920" t="s">
        <v>3790</v>
      </c>
      <c r="H19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21" spans="1:8" ht="15" customHeight="1" x14ac:dyDescent="0.25">
      <c r="A1921" t="str">
        <f>MID(TB_CECO[[#This Row],[CECO_T]],1,5)</f>
        <v>2C555</v>
      </c>
      <c r="B1921" t="str">
        <f>MID(TB_CECO[[#This Row],[TRABAJO]],1,SEARCH(",",TB_CECO[[#This Row],[TRABAJO]],1)-1)</f>
        <v>Snv 317 NE (Est 270-1 SE)</v>
      </c>
      <c r="C19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317 NE (Est 270-1 SE),SOSTENIMIENTO</v>
      </c>
      <c r="D19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21" s="47" t="s">
        <v>3791</v>
      </c>
      <c r="G1921" t="s">
        <v>3792</v>
      </c>
      <c r="H19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22" spans="1:8" ht="15" customHeight="1" x14ac:dyDescent="0.25">
      <c r="A1922" t="str">
        <f>MID(TB_CECO[[#This Row],[CECO_T]],1,5)</f>
        <v>2C555</v>
      </c>
      <c r="B1922" t="str">
        <f>MID(TB_CECO[[#This Row],[TRABAJO]],1,SEARCH(",",TB_CECO[[#This Row],[TRABAJO]],1)-1)</f>
        <v>Snv 317 NE (Est 270-1 SE)</v>
      </c>
      <c r="C19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317 NE (Est 270-1 SE),SERVICIO</v>
      </c>
      <c r="D19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22" s="47" t="s">
        <v>3793</v>
      </c>
      <c r="G1922" t="s">
        <v>3794</v>
      </c>
      <c r="H19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23" spans="1:8" ht="15" customHeight="1" x14ac:dyDescent="0.25">
      <c r="A1923" t="str">
        <f>MID(TB_CECO[[#This Row],[CECO_T]],1,5)</f>
        <v>2C555</v>
      </c>
      <c r="B1923" t="str">
        <f>MID(TB_CECO[[#This Row],[TRABAJO]],1,SEARCH(",",TB_CECO[[#This Row],[TRABAJO]],1)-1)</f>
        <v>Snv 317 NE (Est 270-1 SE)</v>
      </c>
      <c r="C19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317 NE (Est 270-1 SE),REHABILITACION</v>
      </c>
      <c r="D19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23" s="47" t="s">
        <v>3795</v>
      </c>
      <c r="G1923" t="s">
        <v>3796</v>
      </c>
      <c r="H19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24" spans="1:8" ht="15" customHeight="1" x14ac:dyDescent="0.25">
      <c r="A1924" t="str">
        <f>MID(TB_CECO[[#This Row],[CECO_T]],1,5)</f>
        <v>2C596</v>
      </c>
      <c r="B1924" t="str">
        <f>MID(TB_CECO[[#This Row],[TRABAJO]],1,SEARCH(",",TB_CECO[[#This Row],[TRABAJO]],1)-1)</f>
        <v>Snv 319 NE (Est 845-2 SE)</v>
      </c>
      <c r="C19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319 NE (Est 845-2 SE),SUMINISTROS</v>
      </c>
      <c r="D19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24" s="47" t="s">
        <v>3797</v>
      </c>
      <c r="G1924" t="s">
        <v>3798</v>
      </c>
      <c r="H19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25" spans="1:8" ht="15" customHeight="1" x14ac:dyDescent="0.25">
      <c r="A1925" t="str">
        <f>MID(TB_CECO[[#This Row],[CECO_T]],1,5)</f>
        <v>2C596</v>
      </c>
      <c r="B1925" t="str">
        <f>MID(TB_CECO[[#This Row],[TRABAJO]],1,SEARCH(",",TB_CECO[[#This Row],[TRABAJO]],1)-1)</f>
        <v>Snv 319 NE (Est 845-2 SE)</v>
      </c>
      <c r="C19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319 NE (Est 845-2 SE),SOSTENIMIENTO</v>
      </c>
      <c r="D19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25" s="47" t="s">
        <v>3799</v>
      </c>
      <c r="G1925" t="s">
        <v>3800</v>
      </c>
      <c r="H19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26" spans="1:8" ht="15" customHeight="1" x14ac:dyDescent="0.25">
      <c r="A1926" t="str">
        <f>MID(TB_CECO[[#This Row],[CECO_T]],1,5)</f>
        <v>2C596</v>
      </c>
      <c r="B1926" t="str">
        <f>MID(TB_CECO[[#This Row],[TRABAJO]],1,SEARCH(",",TB_CECO[[#This Row],[TRABAJO]],1)-1)</f>
        <v>Snv 319 NE (Est 845-2 SE)</v>
      </c>
      <c r="C19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319 NE (Est 845-2 SE),SERVICIO</v>
      </c>
      <c r="D19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26" s="47" t="s">
        <v>3801</v>
      </c>
      <c r="G1926" t="s">
        <v>3802</v>
      </c>
      <c r="H19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27" spans="1:8" ht="15" customHeight="1" x14ac:dyDescent="0.25">
      <c r="A1927" t="str">
        <f>MID(TB_CECO[[#This Row],[CECO_T]],1,5)</f>
        <v>2C596</v>
      </c>
      <c r="B1927" t="str">
        <f>MID(TB_CECO[[#This Row],[TRABAJO]],1,SEARCH(",",TB_CECO[[#This Row],[TRABAJO]],1)-1)</f>
        <v>Snv 319 NE (Est 845-2 SE)</v>
      </c>
      <c r="C19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319 NE (Est 845-2 SE),REHABILITACION</v>
      </c>
      <c r="D19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27" s="47" t="s">
        <v>3803</v>
      </c>
      <c r="G1927" t="s">
        <v>3804</v>
      </c>
      <c r="H19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28" spans="1:8" ht="15" customHeight="1" x14ac:dyDescent="0.25">
      <c r="A1928" t="str">
        <f>MID(TB_CECO[[#This Row],[CECO_T]],1,5)</f>
        <v>2C597</v>
      </c>
      <c r="B1928" t="str">
        <f>MID(TB_CECO[[#This Row],[TRABAJO]],1,SEARCH(",",TB_CECO[[#This Row],[TRABAJO]],1)-1)</f>
        <v>Snv 319 SW (Est 845-2 SE)</v>
      </c>
      <c r="C19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319 SW (Est 845-2 SE),SUMINISTROS</v>
      </c>
      <c r="D19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28" s="47" t="s">
        <v>3805</v>
      </c>
      <c r="G1928" t="s">
        <v>3806</v>
      </c>
      <c r="H19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29" spans="1:8" ht="15" customHeight="1" x14ac:dyDescent="0.25">
      <c r="A1929" t="str">
        <f>MID(TB_CECO[[#This Row],[CECO_T]],1,5)</f>
        <v>2C597</v>
      </c>
      <c r="B1929" t="str">
        <f>MID(TB_CECO[[#This Row],[TRABAJO]],1,SEARCH(",",TB_CECO[[#This Row],[TRABAJO]],1)-1)</f>
        <v>Snv 319 SW (Est 845-2 SE)</v>
      </c>
      <c r="C19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319 SW (Est 845-2 SE),SOSTENIMIENTO</v>
      </c>
      <c r="D19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29" s="47" t="s">
        <v>3807</v>
      </c>
      <c r="G1929" t="s">
        <v>3808</v>
      </c>
      <c r="H19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30" spans="1:8" ht="15" customHeight="1" x14ac:dyDescent="0.25">
      <c r="A1930" t="str">
        <f>MID(TB_CECO[[#This Row],[CECO_T]],1,5)</f>
        <v>2C597</v>
      </c>
      <c r="B1930" t="str">
        <f>MID(TB_CECO[[#This Row],[TRABAJO]],1,SEARCH(",",TB_CECO[[#This Row],[TRABAJO]],1)-1)</f>
        <v>Snv 319 SW (Est 845-2 SE)</v>
      </c>
      <c r="C19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319 SW (Est 845-2 SE),SERVICIO</v>
      </c>
      <c r="D19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30" s="47" t="s">
        <v>3809</v>
      </c>
      <c r="G1930" t="s">
        <v>3810</v>
      </c>
      <c r="H19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31" spans="1:8" ht="15" customHeight="1" x14ac:dyDescent="0.25">
      <c r="A1931" t="str">
        <f>MID(TB_CECO[[#This Row],[CECO_T]],1,5)</f>
        <v>2C597</v>
      </c>
      <c r="B1931" t="str">
        <f>MID(TB_CECO[[#This Row],[TRABAJO]],1,SEARCH(",",TB_CECO[[#This Row],[TRABAJO]],1)-1)</f>
        <v>Snv 319 SW (Est 845-2 SE)</v>
      </c>
      <c r="C19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319 SW (Est 845-2 SE),REHABILITACION</v>
      </c>
      <c r="D19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31" s="47" t="s">
        <v>3811</v>
      </c>
      <c r="G1931" t="s">
        <v>3812</v>
      </c>
      <c r="H19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32" spans="1:8" ht="15" customHeight="1" x14ac:dyDescent="0.25">
      <c r="A1932" t="str">
        <f>MID(TB_CECO[[#This Row],[CECO_T]],1,5)</f>
        <v>2C655</v>
      </c>
      <c r="B1932" t="str">
        <f>MID(TB_CECO[[#This Row],[TRABAJO]],1,SEARCH(",",TB_CECO[[#This Row],[TRABAJO]],1)-1)</f>
        <v>Est 644 NW (Inc 875 SE)</v>
      </c>
      <c r="C19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644 NW (Inc 875 SE),LIMPIEZA</v>
      </c>
      <c r="D19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19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32" s="47" t="s">
        <v>3813</v>
      </c>
      <c r="G1932" t="s">
        <v>3814</v>
      </c>
      <c r="H19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33" spans="1:8" ht="15" customHeight="1" x14ac:dyDescent="0.25">
      <c r="A1933" t="str">
        <f>MID(TB_CECO[[#This Row],[CECO_T]],1,5)</f>
        <v>2C655</v>
      </c>
      <c r="B1933" t="str">
        <f>MID(TB_CECO[[#This Row],[TRABAJO]],1,SEARCH(",",TB_CECO[[#This Row],[TRABAJO]],1)-1)</f>
        <v>Est 644 NW (Inc 875 SE)</v>
      </c>
      <c r="C19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644 NW (Inc 875 SE),SERVICIO</v>
      </c>
      <c r="D19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19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33" s="47" t="s">
        <v>3815</v>
      </c>
      <c r="G1933" t="s">
        <v>3816</v>
      </c>
      <c r="H19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34" spans="1:8" ht="15" customHeight="1" x14ac:dyDescent="0.25">
      <c r="A1934" t="str">
        <f>MID(TB_CECO[[#This Row],[CECO_T]],1,5)</f>
        <v>2C655</v>
      </c>
      <c r="B1934" t="str">
        <f>MID(TB_CECO[[#This Row],[TRABAJO]],1,SEARCH(",",TB_CECO[[#This Row],[TRABAJO]],1)-1)</f>
        <v>Est 644 NW (Inc 875 SE)</v>
      </c>
      <c r="C19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644 NW (Inc 875 SE),PERFORACION</v>
      </c>
      <c r="D19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19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34" s="47" t="s">
        <v>3817</v>
      </c>
      <c r="G1934" t="s">
        <v>3818</v>
      </c>
      <c r="H19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35" spans="1:8" ht="15" customHeight="1" x14ac:dyDescent="0.25">
      <c r="A1935" t="str">
        <f>MID(TB_CECO[[#This Row],[CECO_T]],1,5)</f>
        <v>2C655</v>
      </c>
      <c r="B1935" t="str">
        <f>MID(TB_CECO[[#This Row],[TRABAJO]],1,SEARCH(",",TB_CECO[[#This Row],[TRABAJO]],1)-1)</f>
        <v>Est 644 NW (Inc 875 SE)</v>
      </c>
      <c r="C19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644 NW (Inc 875 SE),SOSTENIMIENTO</v>
      </c>
      <c r="D19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19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35" s="47" t="s">
        <v>3819</v>
      </c>
      <c r="G1935" t="s">
        <v>3820</v>
      </c>
      <c r="H19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36" spans="1:8" ht="15" customHeight="1" x14ac:dyDescent="0.25">
      <c r="A1936" t="str">
        <f>MID(TB_CECO[[#This Row],[CECO_T]],1,5)</f>
        <v>2C655</v>
      </c>
      <c r="B1936" t="str">
        <f>MID(TB_CECO[[#This Row],[TRABAJO]],1,SEARCH(",",TB_CECO[[#This Row],[TRABAJO]],1)-1)</f>
        <v>Est 644 NW (Inc 875 SE)</v>
      </c>
      <c r="C19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644 NW (Inc 875 SE),VOLADURA</v>
      </c>
      <c r="D19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19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36" s="47" t="s">
        <v>3821</v>
      </c>
      <c r="G1936" t="s">
        <v>3822</v>
      </c>
      <c r="H19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37" spans="1:8" ht="15" customHeight="1" x14ac:dyDescent="0.25">
      <c r="A1937" t="str">
        <f>MID(TB_CECO[[#This Row],[CECO_T]],1,5)</f>
        <v>2D115</v>
      </c>
      <c r="B1937" t="str">
        <f>MID(TB_CECO[[#This Row],[TRABAJO]],1,SEARCH(",",TB_CECO[[#This Row],[TRABAJO]],1)-1)</f>
        <v>Cx 155 NW (Cam 155)</v>
      </c>
      <c r="C19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155 NW (Cam 155),SUMINISTROS</v>
      </c>
      <c r="D19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37" s="47" t="s">
        <v>3823</v>
      </c>
      <c r="G1937" t="s">
        <v>3824</v>
      </c>
      <c r="H19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38" spans="1:8" ht="15" customHeight="1" x14ac:dyDescent="0.25">
      <c r="A1938" t="str">
        <f>MID(TB_CECO[[#This Row],[CECO_T]],1,5)</f>
        <v>2D115</v>
      </c>
      <c r="B1938" t="str">
        <f>MID(TB_CECO[[#This Row],[TRABAJO]],1,SEARCH(",",TB_CECO[[#This Row],[TRABAJO]],1)-1)</f>
        <v>Cx 155 NW (Cam 155)</v>
      </c>
      <c r="C19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155 NW (Cam 155),SOSTENIMIENTO</v>
      </c>
      <c r="D19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38" s="47" t="s">
        <v>3825</v>
      </c>
      <c r="G1938" t="s">
        <v>3826</v>
      </c>
      <c r="H19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39" spans="1:8" ht="15" customHeight="1" x14ac:dyDescent="0.25">
      <c r="A1939" t="str">
        <f>MID(TB_CECO[[#This Row],[CECO_T]],1,5)</f>
        <v>2D115</v>
      </c>
      <c r="B1939" t="str">
        <f>MID(TB_CECO[[#This Row],[TRABAJO]],1,SEARCH(",",TB_CECO[[#This Row],[TRABAJO]],1)-1)</f>
        <v>Cx 155 NW (Cam 155)</v>
      </c>
      <c r="C19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155 NW (Cam 155),SERVICIO</v>
      </c>
      <c r="D19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39" s="47" t="s">
        <v>3827</v>
      </c>
      <c r="G1939" t="s">
        <v>3828</v>
      </c>
      <c r="H19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40" spans="1:8" ht="15" customHeight="1" x14ac:dyDescent="0.25">
      <c r="A1940" t="str">
        <f>MID(TB_CECO[[#This Row],[CECO_T]],1,5)</f>
        <v>2D115</v>
      </c>
      <c r="B1940" t="str">
        <f>MID(TB_CECO[[#This Row],[TRABAJO]],1,SEARCH(",",TB_CECO[[#This Row],[TRABAJO]],1)-1)</f>
        <v>Cx 155 NW (Cam 155)</v>
      </c>
      <c r="C19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155 NW (Cam 155),REHABILITACION</v>
      </c>
      <c r="D19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40" s="47" t="s">
        <v>3829</v>
      </c>
      <c r="G1940" t="s">
        <v>3830</v>
      </c>
      <c r="H19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41" spans="1:8" ht="15" customHeight="1" x14ac:dyDescent="0.25">
      <c r="A1941" t="str">
        <f>MID(TB_CECO[[#This Row],[CECO_T]],1,5)</f>
        <v>2D115</v>
      </c>
      <c r="B1941" t="str">
        <f>MID(TB_CECO[[#This Row],[TRABAJO]],1,SEARCH(",",TB_CECO[[#This Row],[TRABAJO]],1)-1)</f>
        <v>Cx 155 NW (Cam 155)</v>
      </c>
      <c r="C19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155 NW (Cam 155),REFUGIO</v>
      </c>
      <c r="D19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41" s="47" t="s">
        <v>3831</v>
      </c>
      <c r="G1941" t="s">
        <v>3832</v>
      </c>
      <c r="H19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42" spans="1:8" ht="15" customHeight="1" x14ac:dyDescent="0.25">
      <c r="A1942" t="str">
        <f>MID(TB_CECO[[#This Row],[CECO_T]],1,5)</f>
        <v>2D31M</v>
      </c>
      <c r="B1942" t="str">
        <f>MID(TB_CECO[[#This Row],[TRABAJO]],1,SEARCH(",",TB_CECO[[#This Row],[TRABAJO]],1)-1)</f>
        <v>Ch 916 (Snv 916 SW)</v>
      </c>
      <c r="C19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916 (Snv 916 SW),LIMPIEZA</v>
      </c>
      <c r="D19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42" s="47" t="s">
        <v>3833</v>
      </c>
      <c r="G1942" t="s">
        <v>3834</v>
      </c>
      <c r="H19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43" spans="1:8" ht="15" customHeight="1" x14ac:dyDescent="0.25">
      <c r="A1943" t="str">
        <f>MID(TB_CECO[[#This Row],[CECO_T]],1,5)</f>
        <v>2D31M</v>
      </c>
      <c r="B1943" t="str">
        <f>MID(TB_CECO[[#This Row],[TRABAJO]],1,SEARCH(",",TB_CECO[[#This Row],[TRABAJO]],1)-1)</f>
        <v>Ch 916 (Snv 916 SW)</v>
      </c>
      <c r="C19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916 (Snv 916 SW),SERVICIO</v>
      </c>
      <c r="D19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43" s="47" t="s">
        <v>3835</v>
      </c>
      <c r="G1943" t="s">
        <v>3836</v>
      </c>
      <c r="H19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44" spans="1:8" ht="15" customHeight="1" x14ac:dyDescent="0.25">
      <c r="A1944" t="str">
        <f>MID(TB_CECO[[#This Row],[CECO_T]],1,5)</f>
        <v>2D31M</v>
      </c>
      <c r="B1944" t="str">
        <f>MID(TB_CECO[[#This Row],[TRABAJO]],1,SEARCH(",",TB_CECO[[#This Row],[TRABAJO]],1)-1)</f>
        <v>Ch 916 (Snv 916 SW)</v>
      </c>
      <c r="C19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916 (Snv 916 SW),PERFORACION</v>
      </c>
      <c r="D19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44" s="47" t="s">
        <v>3837</v>
      </c>
      <c r="G1944" t="s">
        <v>3838</v>
      </c>
      <c r="H19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45" spans="1:8" ht="15" customHeight="1" x14ac:dyDescent="0.25">
      <c r="A1945" t="str">
        <f>MID(TB_CECO[[#This Row],[CECO_T]],1,5)</f>
        <v>2D31M</v>
      </c>
      <c r="B1945" t="str">
        <f>MID(TB_CECO[[#This Row],[TRABAJO]],1,SEARCH(",",TB_CECO[[#This Row],[TRABAJO]],1)-1)</f>
        <v>Ch 916 (Snv 916 SW)</v>
      </c>
      <c r="C19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916 (Snv 916 SW),SOSTENIMIENTO</v>
      </c>
      <c r="D19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45" s="47" t="s">
        <v>3839</v>
      </c>
      <c r="G1945" t="s">
        <v>3840</v>
      </c>
      <c r="H19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46" spans="1:8" ht="15" customHeight="1" x14ac:dyDescent="0.25">
      <c r="A1946" t="str">
        <f>MID(TB_CECO[[#This Row],[CECO_T]],1,5)</f>
        <v>2D31M</v>
      </c>
      <c r="B1946" t="str">
        <f>MID(TB_CECO[[#This Row],[TRABAJO]],1,SEARCH(",",TB_CECO[[#This Row],[TRABAJO]],1)-1)</f>
        <v>Ch 916 (Snv 916 SW)</v>
      </c>
      <c r="C19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916 (Snv 916 SW),VOLADURA</v>
      </c>
      <c r="D19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46" s="47" t="s">
        <v>3841</v>
      </c>
      <c r="G1946" t="s">
        <v>3842</v>
      </c>
      <c r="H19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47" spans="1:8" ht="15" customHeight="1" x14ac:dyDescent="0.25">
      <c r="A1947" t="str">
        <f>MID(TB_CECO[[#This Row],[CECO_T]],1,5)</f>
        <v>2D341</v>
      </c>
      <c r="B1947" t="str">
        <f>MID(TB_CECO[[#This Row],[TRABAJO]],1,SEARCH(",",TB_CECO[[#This Row],[TRABAJO]],1)-1)</f>
        <v>CH 035 (SNV 125 NE)</v>
      </c>
      <c r="C19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035 (SNV 125 NE),SUMINISTROS</v>
      </c>
      <c r="D19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47" s="47" t="s">
        <v>3843</v>
      </c>
      <c r="G1947" t="s">
        <v>3844</v>
      </c>
      <c r="H19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48" spans="1:8" ht="15" customHeight="1" x14ac:dyDescent="0.25">
      <c r="A1948" t="str">
        <f>MID(TB_CECO[[#This Row],[CECO_T]],1,5)</f>
        <v>2D341</v>
      </c>
      <c r="B1948" t="str">
        <f>MID(TB_CECO[[#This Row],[TRABAJO]],1,SEARCH(",",TB_CECO[[#This Row],[TRABAJO]],1)-1)</f>
        <v>CH 035 (SNV 125 NE)</v>
      </c>
      <c r="C19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035 (SNV 125 NE),SOSTENIMIENTO</v>
      </c>
      <c r="D19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48" s="47" t="s">
        <v>3845</v>
      </c>
      <c r="G1948" t="s">
        <v>3846</v>
      </c>
      <c r="H19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49" spans="1:8" ht="15" customHeight="1" x14ac:dyDescent="0.25">
      <c r="A1949" t="str">
        <f>MID(TB_CECO[[#This Row],[CECO_T]],1,5)</f>
        <v>2D341</v>
      </c>
      <c r="B1949" t="str">
        <f>MID(TB_CECO[[#This Row],[TRABAJO]],1,SEARCH(",",TB_CECO[[#This Row],[TRABAJO]],1)-1)</f>
        <v>CH 035 (SNV 125 NE)</v>
      </c>
      <c r="C19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035 (SNV 125 NE),SERVICIO</v>
      </c>
      <c r="D19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49" s="47" t="s">
        <v>3847</v>
      </c>
      <c r="G1949" t="s">
        <v>3848</v>
      </c>
      <c r="H19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50" spans="1:8" ht="15" customHeight="1" x14ac:dyDescent="0.25">
      <c r="A1950" t="str">
        <f>MID(TB_CECO[[#This Row],[CECO_T]],1,5)</f>
        <v>2D341</v>
      </c>
      <c r="B1950" t="str">
        <f>MID(TB_CECO[[#This Row],[TRABAJO]],1,SEARCH(",",TB_CECO[[#This Row],[TRABAJO]],1)-1)</f>
        <v>CH 035 (SNV 125 NE)</v>
      </c>
      <c r="C19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035 (SNV 125 NE),REHABILITACION</v>
      </c>
      <c r="D19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50" s="47" t="s">
        <v>3849</v>
      </c>
      <c r="G1950" t="s">
        <v>3850</v>
      </c>
      <c r="H19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51" spans="1:8" ht="15" customHeight="1" x14ac:dyDescent="0.25">
      <c r="A1951" t="str">
        <f>MID(TB_CECO[[#This Row],[CECO_T]],1,5)</f>
        <v>2D410</v>
      </c>
      <c r="B1951" t="str">
        <f>MID(TB_CECO[[#This Row],[TRABAJO]],1,SEARCH(",",TB_CECO[[#This Row],[TRABAJO]],1)-1)</f>
        <v>Pq 122 (Snv 102 SW)</v>
      </c>
      <c r="C19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122 (Snv 102 SW),SUMINISTROS</v>
      </c>
      <c r="D19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51" s="47" t="s">
        <v>3851</v>
      </c>
      <c r="G1951" t="s">
        <v>3852</v>
      </c>
      <c r="H19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52" spans="1:8" ht="15" customHeight="1" x14ac:dyDescent="0.25">
      <c r="A1952" t="str">
        <f>MID(TB_CECO[[#This Row],[CECO_T]],1,5)</f>
        <v>2D410</v>
      </c>
      <c r="B1952" t="str">
        <f>MID(TB_CECO[[#This Row],[TRABAJO]],1,SEARCH(",",TB_CECO[[#This Row],[TRABAJO]],1)-1)</f>
        <v>Pq 122 (Snv 102 SW)</v>
      </c>
      <c r="C19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122 (Snv 102 SW),SOSTENIMIENTO</v>
      </c>
      <c r="D19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52" s="47" t="s">
        <v>3853</v>
      </c>
      <c r="G1952" t="s">
        <v>3854</v>
      </c>
      <c r="H19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53" spans="1:8" ht="15" customHeight="1" x14ac:dyDescent="0.25">
      <c r="A1953" t="str">
        <f>MID(TB_CECO[[#This Row],[CECO_T]],1,5)</f>
        <v>2D410</v>
      </c>
      <c r="B1953" t="str">
        <f>MID(TB_CECO[[#This Row],[TRABAJO]],1,SEARCH(",",TB_CECO[[#This Row],[TRABAJO]],1)-1)</f>
        <v>Pq 122 (Snv 102 SW)</v>
      </c>
      <c r="C19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122 (Snv 102 SW),SERVICIO</v>
      </c>
      <c r="D19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53" s="47" t="s">
        <v>3855</v>
      </c>
      <c r="G1953" t="s">
        <v>3856</v>
      </c>
      <c r="H19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54" spans="1:8" ht="15" customHeight="1" x14ac:dyDescent="0.25">
      <c r="A1954" t="str">
        <f>MID(TB_CECO[[#This Row],[CECO_T]],1,5)</f>
        <v>2D410</v>
      </c>
      <c r="B1954" t="str">
        <f>MID(TB_CECO[[#This Row],[TRABAJO]],1,SEARCH(",",TB_CECO[[#This Row],[TRABAJO]],1)-1)</f>
        <v>Pq 122 (Snv 102 SW)</v>
      </c>
      <c r="C19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122 (Snv 102 SW),REHABILITACION</v>
      </c>
      <c r="D19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54" s="47" t="s">
        <v>3857</v>
      </c>
      <c r="G1954" t="s">
        <v>3858</v>
      </c>
      <c r="H19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55" spans="1:8" ht="15" customHeight="1" x14ac:dyDescent="0.25">
      <c r="A1955" t="str">
        <f>MID(TB_CECO[[#This Row],[CECO_T]],1,5)</f>
        <v>2D518</v>
      </c>
      <c r="B1955" t="str">
        <f>MID(TB_CECO[[#This Row],[TRABAJO]],1,SEARCH(",",TB_CECO[[#This Row],[TRABAJO]],1)-1)</f>
        <v>SNV 112 SW (TJ 100)</v>
      </c>
      <c r="C19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112 SW (TJ 100),SUMINISTROS</v>
      </c>
      <c r="D19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55" s="47" t="s">
        <v>3859</v>
      </c>
      <c r="G1955" t="s">
        <v>3860</v>
      </c>
      <c r="H19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56" spans="1:8" ht="15" customHeight="1" x14ac:dyDescent="0.25">
      <c r="A1956" t="str">
        <f>MID(TB_CECO[[#This Row],[CECO_T]],1,5)</f>
        <v>2D518</v>
      </c>
      <c r="B1956" t="str">
        <f>MID(TB_CECO[[#This Row],[TRABAJO]],1,SEARCH(",",TB_CECO[[#This Row],[TRABAJO]],1)-1)</f>
        <v>SNV 112 SW (TJ 100)</v>
      </c>
      <c r="C19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112 SW (TJ 100),SOSTENIMIENTO</v>
      </c>
      <c r="D19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56" s="47" t="s">
        <v>3861</v>
      </c>
      <c r="G1956" t="s">
        <v>3862</v>
      </c>
      <c r="H19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57" spans="1:8" ht="15" customHeight="1" x14ac:dyDescent="0.25">
      <c r="A1957" t="str">
        <f>MID(TB_CECO[[#This Row],[CECO_T]],1,5)</f>
        <v>2D518</v>
      </c>
      <c r="B1957" t="str">
        <f>MID(TB_CECO[[#This Row],[TRABAJO]],1,SEARCH(",",TB_CECO[[#This Row],[TRABAJO]],1)-1)</f>
        <v>SNV 112 SW (TJ 100)</v>
      </c>
      <c r="C19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112 SW (TJ 100),SERVICIO</v>
      </c>
      <c r="D19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57" s="47" t="s">
        <v>3863</v>
      </c>
      <c r="G1957" t="s">
        <v>3864</v>
      </c>
      <c r="H19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58" spans="1:8" ht="15" customHeight="1" x14ac:dyDescent="0.25">
      <c r="A1958" t="str">
        <f>MID(TB_CECO[[#This Row],[CECO_T]],1,5)</f>
        <v>2D518</v>
      </c>
      <c r="B1958" t="str">
        <f>MID(TB_CECO[[#This Row],[TRABAJO]],1,SEARCH(",",TB_CECO[[#This Row],[TRABAJO]],1)-1)</f>
        <v>SNV 112 SW (TJ 100)</v>
      </c>
      <c r="C19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112 SW (TJ 100),REHABILITACION</v>
      </c>
      <c r="D19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58" s="47" t="s">
        <v>3865</v>
      </c>
      <c r="G1958" t="s">
        <v>3866</v>
      </c>
      <c r="H19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59" spans="1:8" ht="15" customHeight="1" x14ac:dyDescent="0.25">
      <c r="A1959" t="str">
        <f>MID(TB_CECO[[#This Row],[CECO_T]],1,5)</f>
        <v>2D549</v>
      </c>
      <c r="B1959" t="str">
        <f>MID(TB_CECO[[#This Row],[TRABAJO]],1,SEARCH(",",TB_CECO[[#This Row],[TRABAJO]],1)-1)</f>
        <v>Snv 102 NE (Est 075-1 SE)</v>
      </c>
      <c r="C19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NE (Est 075-1 SE),SUMINISTROS</v>
      </c>
      <c r="D19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59" s="47" t="s">
        <v>3867</v>
      </c>
      <c r="G1959" t="s">
        <v>3868</v>
      </c>
      <c r="H19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60" spans="1:8" ht="15" customHeight="1" x14ac:dyDescent="0.25">
      <c r="A1960" t="str">
        <f>MID(TB_CECO[[#This Row],[CECO_T]],1,5)</f>
        <v>2D549</v>
      </c>
      <c r="B1960" t="str">
        <f>MID(TB_CECO[[#This Row],[TRABAJO]],1,SEARCH(",",TB_CECO[[#This Row],[TRABAJO]],1)-1)</f>
        <v>Snv 102 NE (Est 075-1 SE)</v>
      </c>
      <c r="C19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NE (Est 075-1 SE),SOSTENIMIENTO</v>
      </c>
      <c r="D19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60" s="47" t="s">
        <v>3869</v>
      </c>
      <c r="G1960" t="s">
        <v>3870</v>
      </c>
      <c r="H19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61" spans="1:8" ht="15" customHeight="1" x14ac:dyDescent="0.25">
      <c r="A1961" t="str">
        <f>MID(TB_CECO[[#This Row],[CECO_T]],1,5)</f>
        <v>2D549</v>
      </c>
      <c r="B1961" t="str">
        <f>MID(TB_CECO[[#This Row],[TRABAJO]],1,SEARCH(",",TB_CECO[[#This Row],[TRABAJO]],1)-1)</f>
        <v>Snv 102 NE (Est 075-1 SE)</v>
      </c>
      <c r="C19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NE (Est 075-1 SE),SERVICIO</v>
      </c>
      <c r="D19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61" s="47" t="s">
        <v>3871</v>
      </c>
      <c r="G1961" t="s">
        <v>3872</v>
      </c>
      <c r="H19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62" spans="1:8" ht="15" customHeight="1" x14ac:dyDescent="0.25">
      <c r="A1962" t="str">
        <f>MID(TB_CECO[[#This Row],[CECO_T]],1,5)</f>
        <v>2D549</v>
      </c>
      <c r="B1962" t="str">
        <f>MID(TB_CECO[[#This Row],[TRABAJO]],1,SEARCH(",",TB_CECO[[#This Row],[TRABAJO]],1)-1)</f>
        <v>Snv 102 NE (Est 075-1 SE)</v>
      </c>
      <c r="C19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NE (Est 075-1 SE),REHABILITACION</v>
      </c>
      <c r="D19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62" s="47" t="s">
        <v>3873</v>
      </c>
      <c r="G1962" t="s">
        <v>3874</v>
      </c>
      <c r="H19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63" spans="1:8" ht="15" customHeight="1" x14ac:dyDescent="0.25">
      <c r="A1963" t="str">
        <f>MID(TB_CECO[[#This Row],[CECO_T]],1,5)</f>
        <v>2D550</v>
      </c>
      <c r="B1963" t="str">
        <f>MID(TB_CECO[[#This Row],[TRABAJO]],1,SEARCH(",",TB_CECO[[#This Row],[TRABAJO]],1)-1)</f>
        <v>Snv 102 SW (Est 075-1 SE)</v>
      </c>
      <c r="C19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SW (Est 075-1 SE),SUMINISTROS</v>
      </c>
      <c r="D19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63" s="47" t="s">
        <v>3875</v>
      </c>
      <c r="G1963" t="s">
        <v>3876</v>
      </c>
      <c r="H19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64" spans="1:8" ht="15" customHeight="1" x14ac:dyDescent="0.25">
      <c r="A1964" t="str">
        <f>MID(TB_CECO[[#This Row],[CECO_T]],1,5)</f>
        <v>2D550</v>
      </c>
      <c r="B1964" t="str">
        <f>MID(TB_CECO[[#This Row],[TRABAJO]],1,SEARCH(",",TB_CECO[[#This Row],[TRABAJO]],1)-1)</f>
        <v>Snv 102 SW (Est 075-1 SE)</v>
      </c>
      <c r="C19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SW (Est 075-1 SE),SOSTENIMIENTO</v>
      </c>
      <c r="D19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64" s="47" t="s">
        <v>3877</v>
      </c>
      <c r="G1964" t="s">
        <v>3878</v>
      </c>
      <c r="H19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65" spans="1:8" ht="15" customHeight="1" x14ac:dyDescent="0.25">
      <c r="A1965" t="str">
        <f>MID(TB_CECO[[#This Row],[CECO_T]],1,5)</f>
        <v>2D550</v>
      </c>
      <c r="B1965" t="str">
        <f>MID(TB_CECO[[#This Row],[TRABAJO]],1,SEARCH(",",TB_CECO[[#This Row],[TRABAJO]],1)-1)</f>
        <v>Snv 102 SW (Est 075-1 SE)</v>
      </c>
      <c r="C19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SW (Est 075-1 SE),SERVICIO</v>
      </c>
      <c r="D19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65" s="47" t="s">
        <v>3879</v>
      </c>
      <c r="G1965" t="s">
        <v>3880</v>
      </c>
      <c r="H19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66" spans="1:8" ht="15" customHeight="1" x14ac:dyDescent="0.25">
      <c r="A1966" t="str">
        <f>MID(TB_CECO[[#This Row],[CECO_T]],1,5)</f>
        <v>2D550</v>
      </c>
      <c r="B1966" t="str">
        <f>MID(TB_CECO[[#This Row],[TRABAJO]],1,SEARCH(",",TB_CECO[[#This Row],[TRABAJO]],1)-1)</f>
        <v>Snv 102 SW (Est 075-1 SE)</v>
      </c>
      <c r="C19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SW (Est 075-1 SE),REHABILITACION</v>
      </c>
      <c r="D19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66" s="47" t="s">
        <v>3881</v>
      </c>
      <c r="G1966" t="s">
        <v>3882</v>
      </c>
      <c r="H19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67" spans="1:8" ht="15" customHeight="1" x14ac:dyDescent="0.25">
      <c r="A1967" t="str">
        <f>MID(TB_CECO[[#This Row],[CECO_T]],1,5)</f>
        <v>2D633</v>
      </c>
      <c r="B1967" t="str">
        <f>MID(TB_CECO[[#This Row],[TRABAJO]],1,SEARCH(",",TB_CECO[[#This Row],[TRABAJO]],1)-1)</f>
        <v>EST 092 SW (GAL 170 SW)</v>
      </c>
      <c r="C19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SW (GAL 170 SW),SUMINISTROS</v>
      </c>
      <c r="D19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67" s="47" t="s">
        <v>3883</v>
      </c>
      <c r="G1967" t="s">
        <v>3884</v>
      </c>
      <c r="H19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68" spans="1:8" ht="15" customHeight="1" x14ac:dyDescent="0.25">
      <c r="A1968" t="str">
        <f>MID(TB_CECO[[#This Row],[CECO_T]],1,5)</f>
        <v>2D633</v>
      </c>
      <c r="B1968" t="str">
        <f>MID(TB_CECO[[#This Row],[TRABAJO]],1,SEARCH(",",TB_CECO[[#This Row],[TRABAJO]],1)-1)</f>
        <v>EST 092 SW (GAL 170 SW)</v>
      </c>
      <c r="C19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SW (GAL 170 SW),SOSTENIMIENTO</v>
      </c>
      <c r="D19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68" s="47" t="s">
        <v>3885</v>
      </c>
      <c r="G1968" t="s">
        <v>3886</v>
      </c>
      <c r="H19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69" spans="1:8" ht="15" customHeight="1" x14ac:dyDescent="0.25">
      <c r="A1969" t="str">
        <f>MID(TB_CECO[[#This Row],[CECO_T]],1,5)</f>
        <v>2D633</v>
      </c>
      <c r="B1969" t="str">
        <f>MID(TB_CECO[[#This Row],[TRABAJO]],1,SEARCH(",",TB_CECO[[#This Row],[TRABAJO]],1)-1)</f>
        <v>EST 092 SW (GAL 170 SW)</v>
      </c>
      <c r="C19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SW (GAL 170 SW),SERVICIO</v>
      </c>
      <c r="D19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69" s="47" t="s">
        <v>3887</v>
      </c>
      <c r="G1969" t="s">
        <v>3888</v>
      </c>
      <c r="H19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70" spans="1:8" ht="15" customHeight="1" x14ac:dyDescent="0.25">
      <c r="A1970" t="str">
        <f>MID(TB_CECO[[#This Row],[CECO_T]],1,5)</f>
        <v>2D633</v>
      </c>
      <c r="B1970" t="str">
        <f>MID(TB_CECO[[#This Row],[TRABAJO]],1,SEARCH(",",TB_CECO[[#This Row],[TRABAJO]],1)-1)</f>
        <v>EST 092 SW (GAL 170 SW)</v>
      </c>
      <c r="C19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SW (GAL 170 SW),REHABILITACION</v>
      </c>
      <c r="D19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19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1970" s="47" t="s">
        <v>3889</v>
      </c>
      <c r="G1970" t="s">
        <v>3890</v>
      </c>
      <c r="H19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71" spans="1:8" ht="15" customHeight="1" x14ac:dyDescent="0.25">
      <c r="A1971" t="str">
        <f>MID(TB_CECO[[#This Row],[CECO_T]],1,5)</f>
        <v>2D661</v>
      </c>
      <c r="B1971" t="str">
        <f>MID(TB_CECO[[#This Row],[TRABAJO]],1,SEARCH(",",TB_CECO[[#This Row],[TRABAJO]],1)-1)</f>
        <v>Est 818 NW (Ch 044)</v>
      </c>
      <c r="C19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818 NW (Ch 044),LIMPIEZA</v>
      </c>
      <c r="D19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71" s="47" t="s">
        <v>3891</v>
      </c>
      <c r="G1971" t="s">
        <v>3892</v>
      </c>
      <c r="H19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72" spans="1:8" ht="15" customHeight="1" x14ac:dyDescent="0.25">
      <c r="A1972" t="str">
        <f>MID(TB_CECO[[#This Row],[CECO_T]],1,5)</f>
        <v>2D661</v>
      </c>
      <c r="B1972" t="str">
        <f>MID(TB_CECO[[#This Row],[TRABAJO]],1,SEARCH(",",TB_CECO[[#This Row],[TRABAJO]],1)-1)</f>
        <v>Est 818 NW (Ch 044)</v>
      </c>
      <c r="C19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818 NW (Ch 044),SERVICIO</v>
      </c>
      <c r="D19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72" s="47" t="s">
        <v>3893</v>
      </c>
      <c r="G1972" t="s">
        <v>3894</v>
      </c>
      <c r="H19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73" spans="1:8" ht="15" customHeight="1" x14ac:dyDescent="0.25">
      <c r="A1973" t="str">
        <f>MID(TB_CECO[[#This Row],[CECO_T]],1,5)</f>
        <v>2D661</v>
      </c>
      <c r="B1973" t="str">
        <f>MID(TB_CECO[[#This Row],[TRABAJO]],1,SEARCH(",",TB_CECO[[#This Row],[TRABAJO]],1)-1)</f>
        <v>Est 818 NW (Ch 044)</v>
      </c>
      <c r="C19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818 NW (Ch 044),PERFORACION</v>
      </c>
      <c r="D19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73" s="47" t="s">
        <v>3895</v>
      </c>
      <c r="G1973" t="s">
        <v>3896</v>
      </c>
      <c r="H19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74" spans="1:8" ht="15" customHeight="1" x14ac:dyDescent="0.25">
      <c r="A1974" t="str">
        <f>MID(TB_CECO[[#This Row],[CECO_T]],1,5)</f>
        <v>2D661</v>
      </c>
      <c r="B1974" t="str">
        <f>MID(TB_CECO[[#This Row],[TRABAJO]],1,SEARCH(",",TB_CECO[[#This Row],[TRABAJO]],1)-1)</f>
        <v>Est 818 NW (Ch 044)</v>
      </c>
      <c r="C19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818 NW (Ch 044),SOSTENIMIENTO</v>
      </c>
      <c r="D19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74" s="47" t="s">
        <v>3897</v>
      </c>
      <c r="G1974" t="s">
        <v>3898</v>
      </c>
      <c r="H19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75" spans="1:8" ht="15" customHeight="1" x14ac:dyDescent="0.25">
      <c r="A1975" t="str">
        <f>MID(TB_CECO[[#This Row],[CECO_T]],1,5)</f>
        <v>2D661</v>
      </c>
      <c r="B1975" t="str">
        <f>MID(TB_CECO[[#This Row],[TRABAJO]],1,SEARCH(",",TB_CECO[[#This Row],[TRABAJO]],1)-1)</f>
        <v>Est 818 NW (Ch 044)</v>
      </c>
      <c r="C19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818 NW (Ch 044),VOLADURA</v>
      </c>
      <c r="D19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75" s="47" t="s">
        <v>3899</v>
      </c>
      <c r="G1975" t="s">
        <v>3900</v>
      </c>
      <c r="H19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76" spans="1:8" ht="15" customHeight="1" x14ac:dyDescent="0.25">
      <c r="A1976" t="str">
        <f>MID(TB_CECO[[#This Row],[CECO_T]],1,5)</f>
        <v>2D667</v>
      </c>
      <c r="B1976" t="str">
        <f>MID(TB_CECO[[#This Row],[TRABAJO]],1,SEARCH(",",TB_CECO[[#This Row],[TRABAJO]],1)-1)</f>
        <v>Est 069 SE (Pq 122)</v>
      </c>
      <c r="C19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069 SE (Pq 122),LIMPIEZA</v>
      </c>
      <c r="D19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76" s="47" t="s">
        <v>3901</v>
      </c>
      <c r="G1976" t="s">
        <v>3902</v>
      </c>
      <c r="H19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77" spans="1:8" ht="15" customHeight="1" x14ac:dyDescent="0.25">
      <c r="A1977" t="str">
        <f>MID(TB_CECO[[#This Row],[CECO_T]],1,5)</f>
        <v>2D667</v>
      </c>
      <c r="B1977" t="str">
        <f>MID(TB_CECO[[#This Row],[TRABAJO]],1,SEARCH(",",TB_CECO[[#This Row],[TRABAJO]],1)-1)</f>
        <v>Est 069 SE (Pq 122)</v>
      </c>
      <c r="C19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069 SE (Pq 122),SERVICIO</v>
      </c>
      <c r="D19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77" s="47" t="s">
        <v>3903</v>
      </c>
      <c r="G1977" t="s">
        <v>3904</v>
      </c>
      <c r="H19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78" spans="1:8" ht="15" customHeight="1" x14ac:dyDescent="0.25">
      <c r="A1978" t="str">
        <f>MID(TB_CECO[[#This Row],[CECO_T]],1,5)</f>
        <v>2D667</v>
      </c>
      <c r="B1978" t="str">
        <f>MID(TB_CECO[[#This Row],[TRABAJO]],1,SEARCH(",",TB_CECO[[#This Row],[TRABAJO]],1)-1)</f>
        <v>Est 069 SE (Pq 122)</v>
      </c>
      <c r="C19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069 SE (Pq 122),PERFORACION</v>
      </c>
      <c r="D19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78" s="47" t="s">
        <v>3905</v>
      </c>
      <c r="G1978" t="s">
        <v>3906</v>
      </c>
      <c r="H19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79" spans="1:8" ht="15" customHeight="1" x14ac:dyDescent="0.25">
      <c r="A1979" t="str">
        <f>MID(TB_CECO[[#This Row],[CECO_T]],1,5)</f>
        <v>2D667</v>
      </c>
      <c r="B1979" t="str">
        <f>MID(TB_CECO[[#This Row],[TRABAJO]],1,SEARCH(",",TB_CECO[[#This Row],[TRABAJO]],1)-1)</f>
        <v>Est 069 SE (Pq 122)</v>
      </c>
      <c r="C19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069 SE (Pq 122),SOSTENIMIENTO</v>
      </c>
      <c r="D19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79" s="47" t="s">
        <v>3907</v>
      </c>
      <c r="G1979" t="s">
        <v>3908</v>
      </c>
      <c r="H19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80" spans="1:8" ht="15" customHeight="1" x14ac:dyDescent="0.25">
      <c r="A1980" t="str">
        <f>MID(TB_CECO[[#This Row],[CECO_T]],1,5)</f>
        <v>2D667</v>
      </c>
      <c r="B1980" t="str">
        <f>MID(TB_CECO[[#This Row],[TRABAJO]],1,SEARCH(",",TB_CECO[[#This Row],[TRABAJO]],1)-1)</f>
        <v>Est 069 SE (Pq 122)</v>
      </c>
      <c r="C19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069 SE (Pq 122),VOLADURA</v>
      </c>
      <c r="D19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80" s="47" t="s">
        <v>3909</v>
      </c>
      <c r="G1980" t="s">
        <v>3910</v>
      </c>
      <c r="H19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81" spans="1:8" ht="15" customHeight="1" x14ac:dyDescent="0.25">
      <c r="A1981" t="str">
        <f>MID(TB_CECO[[#This Row],[CECO_T]],1,5)</f>
        <v>2D670</v>
      </c>
      <c r="B1981" t="str">
        <f>MID(TB_CECO[[#This Row],[TRABAJO]],1,SEARCH(",",TB_CECO[[#This Row],[TRABAJO]],1)-1)</f>
        <v>Est 132 SE (Gal 170 SW)</v>
      </c>
      <c r="C19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132 SE (Gal 170 SW),LIMPIEZA</v>
      </c>
      <c r="D19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81" s="47" t="s">
        <v>3911</v>
      </c>
      <c r="G1981" t="s">
        <v>3912</v>
      </c>
      <c r="H19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82" spans="1:8" ht="15" customHeight="1" x14ac:dyDescent="0.25">
      <c r="A1982" t="str">
        <f>MID(TB_CECO[[#This Row],[CECO_T]],1,5)</f>
        <v>2D670</v>
      </c>
      <c r="B1982" t="str">
        <f>MID(TB_CECO[[#This Row],[TRABAJO]],1,SEARCH(",",TB_CECO[[#This Row],[TRABAJO]],1)-1)</f>
        <v>Est 132 SE (Gal 170 SW)</v>
      </c>
      <c r="C19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132 SE (Gal 170 SW),SERVICIO</v>
      </c>
      <c r="D19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82" s="47" t="s">
        <v>3913</v>
      </c>
      <c r="G1982" t="s">
        <v>3914</v>
      </c>
      <c r="H19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83" spans="1:8" ht="15" customHeight="1" x14ac:dyDescent="0.25">
      <c r="A1983" t="str">
        <f>MID(TB_CECO[[#This Row],[CECO_T]],1,5)</f>
        <v>2D670</v>
      </c>
      <c r="B1983" t="str">
        <f>MID(TB_CECO[[#This Row],[TRABAJO]],1,SEARCH(",",TB_CECO[[#This Row],[TRABAJO]],1)-1)</f>
        <v>Est 132 SE (Gal 170 SW)</v>
      </c>
      <c r="C19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132 SE (Gal 170 SW),PERFORACION</v>
      </c>
      <c r="D19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83" s="47" t="s">
        <v>3915</v>
      </c>
      <c r="G1983" t="s">
        <v>3916</v>
      </c>
      <c r="H19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84" spans="1:8" ht="15" customHeight="1" x14ac:dyDescent="0.25">
      <c r="A1984" t="str">
        <f>MID(TB_CECO[[#This Row],[CECO_T]],1,5)</f>
        <v>2D670</v>
      </c>
      <c r="B1984" t="str">
        <f>MID(TB_CECO[[#This Row],[TRABAJO]],1,SEARCH(",",TB_CECO[[#This Row],[TRABAJO]],1)-1)</f>
        <v>Est 132 SE (Gal 170 SW)</v>
      </c>
      <c r="C19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132 SE (Gal 170 SW),SOSTENIMIENTO</v>
      </c>
      <c r="D19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84" s="47" t="s">
        <v>3917</v>
      </c>
      <c r="G1984" t="s">
        <v>3918</v>
      </c>
      <c r="H19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85" spans="1:8" ht="15" customHeight="1" x14ac:dyDescent="0.25">
      <c r="A1985" t="str">
        <f>MID(TB_CECO[[#This Row],[CECO_T]],1,5)</f>
        <v>2D670</v>
      </c>
      <c r="B1985" t="str">
        <f>MID(TB_CECO[[#This Row],[TRABAJO]],1,SEARCH(",",TB_CECO[[#This Row],[TRABAJO]],1)-1)</f>
        <v>Est 132 SE (Gal 170 SW)</v>
      </c>
      <c r="C19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132 SE (Gal 170 SW),VOLADURA</v>
      </c>
      <c r="D19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85" s="47" t="s">
        <v>3919</v>
      </c>
      <c r="G1985" t="s">
        <v>3920</v>
      </c>
      <c r="H19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86" spans="1:8" ht="15" customHeight="1" x14ac:dyDescent="0.25">
      <c r="A1986" t="str">
        <f>MID(TB_CECO[[#This Row],[CECO_T]],1,5)</f>
        <v>2D818</v>
      </c>
      <c r="B1986" t="str">
        <f>MID(TB_CECO[[#This Row],[TRABAJO]],1,SEARCH(",",TB_CECO[[#This Row],[TRABAJO]],1)-1)</f>
        <v>Cam 17 (Est 132 SE)</v>
      </c>
      <c r="C19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17 (Est 132 SE),LIMPIEZA</v>
      </c>
      <c r="D19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86" s="47" t="s">
        <v>3921</v>
      </c>
      <c r="G1986" t="s">
        <v>3922</v>
      </c>
      <c r="H19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87" spans="1:8" ht="15" customHeight="1" x14ac:dyDescent="0.25">
      <c r="A1987" t="str">
        <f>MID(TB_CECO[[#This Row],[CECO_T]],1,5)</f>
        <v>2D818</v>
      </c>
      <c r="B1987" t="str">
        <f>MID(TB_CECO[[#This Row],[TRABAJO]],1,SEARCH(",",TB_CECO[[#This Row],[TRABAJO]],1)-1)</f>
        <v>Cam 17 (Est 132 SE)</v>
      </c>
      <c r="C19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17 (Est 132 SE),SERVICIO</v>
      </c>
      <c r="D19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87" s="47" t="s">
        <v>3923</v>
      </c>
      <c r="G1987" t="s">
        <v>3924</v>
      </c>
      <c r="H19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88" spans="1:8" ht="15" customHeight="1" x14ac:dyDescent="0.25">
      <c r="A1988" t="str">
        <f>MID(TB_CECO[[#This Row],[CECO_T]],1,5)</f>
        <v>2D818</v>
      </c>
      <c r="B1988" t="str">
        <f>MID(TB_CECO[[#This Row],[TRABAJO]],1,SEARCH(",",TB_CECO[[#This Row],[TRABAJO]],1)-1)</f>
        <v>Cam 17 (Est 132 SE)</v>
      </c>
      <c r="C19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17 (Est 132 SE),PERFORACION</v>
      </c>
      <c r="D19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88" s="47" t="s">
        <v>3925</v>
      </c>
      <c r="G1988" t="s">
        <v>3926</v>
      </c>
      <c r="H19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89" spans="1:8" ht="15" customHeight="1" x14ac:dyDescent="0.25">
      <c r="A1989" t="str">
        <f>MID(TB_CECO[[#This Row],[CECO_T]],1,5)</f>
        <v>2D818</v>
      </c>
      <c r="B1989" t="str">
        <f>MID(TB_CECO[[#This Row],[TRABAJO]],1,SEARCH(",",TB_CECO[[#This Row],[TRABAJO]],1)-1)</f>
        <v>Cam 17 (Est 132 SE)</v>
      </c>
      <c r="C19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17 (Est 132 SE),SOSTENIMIENTO</v>
      </c>
      <c r="D19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89" s="47" t="s">
        <v>3927</v>
      </c>
      <c r="G1989" t="s">
        <v>3928</v>
      </c>
      <c r="H19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90" spans="1:8" ht="15" customHeight="1" x14ac:dyDescent="0.25">
      <c r="A1990" t="str">
        <f>MID(TB_CECO[[#This Row],[CECO_T]],1,5)</f>
        <v>2D818</v>
      </c>
      <c r="B1990" t="str">
        <f>MID(TB_CECO[[#This Row],[TRABAJO]],1,SEARCH(",",TB_CECO[[#This Row],[TRABAJO]],1)-1)</f>
        <v>Cam 17 (Est 132 SE)</v>
      </c>
      <c r="C19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17 (Est 132 SE),VOLADURA</v>
      </c>
      <c r="D19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90" s="47" t="s">
        <v>3929</v>
      </c>
      <c r="G1990" t="s">
        <v>3930</v>
      </c>
      <c r="H19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91" spans="1:8" ht="15" customHeight="1" x14ac:dyDescent="0.25">
      <c r="A1991" t="str">
        <f>MID(TB_CECO[[#This Row],[CECO_T]],1,5)</f>
        <v>2D936</v>
      </c>
      <c r="B1991" t="str">
        <f>MID(TB_CECO[[#This Row],[TRABAJO]],1,SEARCH(",",TB_CECO[[#This Row],[TRABAJO]],1)-1)</f>
        <v>Ven 031 (Tj 026 NE)</v>
      </c>
      <c r="C19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031 (Tj 026 NE),LIMPIEZA</v>
      </c>
      <c r="D19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91" s="47" t="s">
        <v>3931</v>
      </c>
      <c r="G1991" t="s">
        <v>3932</v>
      </c>
      <c r="H19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92" spans="1:8" ht="15" customHeight="1" x14ac:dyDescent="0.25">
      <c r="A1992" t="str">
        <f>MID(TB_CECO[[#This Row],[CECO_T]],1,5)</f>
        <v>2D936</v>
      </c>
      <c r="B1992" t="str">
        <f>MID(TB_CECO[[#This Row],[TRABAJO]],1,SEARCH(",",TB_CECO[[#This Row],[TRABAJO]],1)-1)</f>
        <v>Ven 031 (Tj 026 NE)</v>
      </c>
      <c r="C19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031 (Tj 026 NE),SERVICIO</v>
      </c>
      <c r="D19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92" s="47" t="s">
        <v>3933</v>
      </c>
      <c r="G1992" t="s">
        <v>3934</v>
      </c>
      <c r="H19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93" spans="1:8" ht="15" customHeight="1" x14ac:dyDescent="0.25">
      <c r="A1993" t="str">
        <f>MID(TB_CECO[[#This Row],[CECO_T]],1,5)</f>
        <v>2D936</v>
      </c>
      <c r="B1993" t="str">
        <f>MID(TB_CECO[[#This Row],[TRABAJO]],1,SEARCH(",",TB_CECO[[#This Row],[TRABAJO]],1)-1)</f>
        <v>Ven 031 (Tj 026 NE)</v>
      </c>
      <c r="C19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031 (Tj 026 NE),PERFORACION</v>
      </c>
      <c r="D19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93" s="47" t="s">
        <v>3935</v>
      </c>
      <c r="G1993" t="s">
        <v>3936</v>
      </c>
      <c r="H19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94" spans="1:8" ht="15" customHeight="1" x14ac:dyDescent="0.25">
      <c r="A1994" t="str">
        <f>MID(TB_CECO[[#This Row],[CECO_T]],1,5)</f>
        <v>2D936</v>
      </c>
      <c r="B1994" t="str">
        <f>MID(TB_CECO[[#This Row],[TRABAJO]],1,SEARCH(",",TB_CECO[[#This Row],[TRABAJO]],1)-1)</f>
        <v>Ven 031 (Tj 026 NE)</v>
      </c>
      <c r="C19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031 (Tj 026 NE),SOSTENIMIENTO</v>
      </c>
      <c r="D19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94" s="47" t="s">
        <v>3937</v>
      </c>
      <c r="G1994" t="s">
        <v>3938</v>
      </c>
      <c r="H19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95" spans="1:8" ht="15" customHeight="1" x14ac:dyDescent="0.25">
      <c r="A1995" t="str">
        <f>MID(TB_CECO[[#This Row],[CECO_T]],1,5)</f>
        <v>2D936</v>
      </c>
      <c r="B1995" t="str">
        <f>MID(TB_CECO[[#This Row],[TRABAJO]],1,SEARCH(",",TB_CECO[[#This Row],[TRABAJO]],1)-1)</f>
        <v>Ven 031 (Tj 026 NE)</v>
      </c>
      <c r="C19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031 (Tj 026 NE),VOLADURA</v>
      </c>
      <c r="D19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95" s="47" t="s">
        <v>3939</v>
      </c>
      <c r="G1995" t="s">
        <v>3940</v>
      </c>
      <c r="H19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96" spans="1:8" ht="15" customHeight="1" x14ac:dyDescent="0.25">
      <c r="A1996" t="str">
        <f>MID(TB_CECO[[#This Row],[CECO_T]],1,5)</f>
        <v>2DD01</v>
      </c>
      <c r="B1996" t="str">
        <f>MID(TB_CECO[[#This Row],[TRABAJO]],1,SEARCH(",",TB_CECO[[#This Row],[TRABAJO]],1)-1)</f>
        <v>Inc 122 SE (Pq 122)</v>
      </c>
      <c r="C19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122 SE (Pq 122),LIMPIEZA</v>
      </c>
      <c r="D19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96" s="47" t="s">
        <v>3941</v>
      </c>
      <c r="G1996" t="s">
        <v>3942</v>
      </c>
      <c r="H19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97" spans="1:8" ht="15" customHeight="1" x14ac:dyDescent="0.25">
      <c r="A1997" t="str">
        <f>MID(TB_CECO[[#This Row],[CECO_T]],1,5)</f>
        <v>2DD01</v>
      </c>
      <c r="B1997" t="str">
        <f>MID(TB_CECO[[#This Row],[TRABAJO]],1,SEARCH(",",TB_CECO[[#This Row],[TRABAJO]],1)-1)</f>
        <v>Inc 122 SE (Pq 122)</v>
      </c>
      <c r="C19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122 SE (Pq 122),SERVICIO</v>
      </c>
      <c r="D19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97" s="47" t="s">
        <v>3943</v>
      </c>
      <c r="G1997" t="s">
        <v>3944</v>
      </c>
      <c r="H19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98" spans="1:8" ht="15" customHeight="1" x14ac:dyDescent="0.25">
      <c r="A1998" t="str">
        <f>MID(TB_CECO[[#This Row],[CECO_T]],1,5)</f>
        <v>2DD01</v>
      </c>
      <c r="B1998" t="str">
        <f>MID(TB_CECO[[#This Row],[TRABAJO]],1,SEARCH(",",TB_CECO[[#This Row],[TRABAJO]],1)-1)</f>
        <v>Inc 122 SE (Pq 122)</v>
      </c>
      <c r="C19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122 SE (Pq 122),PERFORACION</v>
      </c>
      <c r="D19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98" s="47" t="s">
        <v>3945</v>
      </c>
      <c r="G1998" t="s">
        <v>3946</v>
      </c>
      <c r="H19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1999" spans="1:8" ht="15" customHeight="1" x14ac:dyDescent="0.25">
      <c r="A1999" t="str">
        <f>MID(TB_CECO[[#This Row],[CECO_T]],1,5)</f>
        <v>2DD01</v>
      </c>
      <c r="B1999" t="str">
        <f>MID(TB_CECO[[#This Row],[TRABAJO]],1,SEARCH(",",TB_CECO[[#This Row],[TRABAJO]],1)-1)</f>
        <v>Inc 122 SE (Pq 122)</v>
      </c>
      <c r="C19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122 SE (Pq 122),SOSTENIMIENTO</v>
      </c>
      <c r="D19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19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1999" s="47" t="s">
        <v>3947</v>
      </c>
      <c r="G1999" t="s">
        <v>3948</v>
      </c>
      <c r="H19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00" spans="1:8" ht="15" customHeight="1" x14ac:dyDescent="0.25">
      <c r="A2000" t="str">
        <f>MID(TB_CECO[[#This Row],[CECO_T]],1,5)</f>
        <v>2DD01</v>
      </c>
      <c r="B2000" t="str">
        <f>MID(TB_CECO[[#This Row],[TRABAJO]],1,SEARCH(",",TB_CECO[[#This Row],[TRABAJO]],1)-1)</f>
        <v>Inc 122 SE (Pq 122)</v>
      </c>
      <c r="C20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122 SE (Pq 122),VOLADURA</v>
      </c>
      <c r="D20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0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00" s="47" t="s">
        <v>3949</v>
      </c>
      <c r="G2000" t="s">
        <v>3950</v>
      </c>
      <c r="H20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01" spans="1:8" ht="15" customHeight="1" x14ac:dyDescent="0.25">
      <c r="A2001" t="str">
        <f>MID(TB_CECO[[#This Row],[CECO_T]],1,5)</f>
        <v>2E108</v>
      </c>
      <c r="B2001" t="str">
        <f>MID(TB_CECO[[#This Row],[TRABAJO]],1,SEARCH(",",TB_CECO[[#This Row],[TRABAJO]],1)-1)</f>
        <v>CX 075 NW (CX 170 SW )</v>
      </c>
      <c r="C20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075 NW (CX 170 SW ),SUMINISTROS  </v>
      </c>
      <c r="D20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01" s="47" t="s">
        <v>3951</v>
      </c>
      <c r="G2001" t="s">
        <v>3952</v>
      </c>
      <c r="H20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02" spans="1:8" ht="15" customHeight="1" x14ac:dyDescent="0.25">
      <c r="A2002" t="str">
        <f>MID(TB_CECO[[#This Row],[CECO_T]],1,5)</f>
        <v>2E108</v>
      </c>
      <c r="B2002" t="str">
        <f>MID(TB_CECO[[#This Row],[TRABAJO]],1,SEARCH(",",TB_CECO[[#This Row],[TRABAJO]],1)-1)</f>
        <v>CX 075 NW (CX 170 SW )</v>
      </c>
      <c r="C20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075 NW (CX 170 SW ),SOSTENIMIENTO</v>
      </c>
      <c r="D20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02" s="47" t="s">
        <v>3953</v>
      </c>
      <c r="G2002" t="s">
        <v>3954</v>
      </c>
      <c r="H20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03" spans="1:8" ht="15" customHeight="1" x14ac:dyDescent="0.25">
      <c r="A2003" t="str">
        <f>MID(TB_CECO[[#This Row],[CECO_T]],1,5)</f>
        <v>2E108</v>
      </c>
      <c r="B2003" t="str">
        <f>MID(TB_CECO[[#This Row],[TRABAJO]],1,SEARCH(",",TB_CECO[[#This Row],[TRABAJO]],1)-1)</f>
        <v>CX 075 NW (CX 170 SW )</v>
      </c>
      <c r="C20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075 NW (CX 170 SW ),SERVICIO     </v>
      </c>
      <c r="D20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03" s="47" t="s">
        <v>3955</v>
      </c>
      <c r="G2003" t="s">
        <v>3956</v>
      </c>
      <c r="H20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04" spans="1:8" ht="15" customHeight="1" x14ac:dyDescent="0.25">
      <c r="A2004" t="str">
        <f>MID(TB_CECO[[#This Row],[CECO_T]],1,5)</f>
        <v>2E108</v>
      </c>
      <c r="B2004" t="str">
        <f>MID(TB_CECO[[#This Row],[TRABAJO]],1,SEARCH(",",TB_CECO[[#This Row],[TRABAJO]],1)-1)</f>
        <v>CX 075 NW (CX 170 SW )</v>
      </c>
      <c r="C20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075 NW (CX 170 SW ),REHABILITACIO</v>
      </c>
      <c r="D20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04" s="47" t="s">
        <v>3957</v>
      </c>
      <c r="G2004" t="s">
        <v>3958</v>
      </c>
      <c r="H20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05" spans="1:8" ht="15" customHeight="1" x14ac:dyDescent="0.25">
      <c r="A2005" t="str">
        <f>MID(TB_CECO[[#This Row],[CECO_T]],1,5)</f>
        <v>2E111</v>
      </c>
      <c r="B2005" t="str">
        <f>MID(TB_CECO[[#This Row],[TRABAJO]],1,SEARCH(",",TB_CECO[[#This Row],[TRABAJO]],1)-1)</f>
        <v>CX 075 NW (CX 074 SW)</v>
      </c>
      <c r="C20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075 NW (CX 074 SW),SUMINISTROS</v>
      </c>
      <c r="D20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05" s="47" t="s">
        <v>3959</v>
      </c>
      <c r="G2005" t="s">
        <v>3960</v>
      </c>
      <c r="H20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06" spans="1:8" ht="15" customHeight="1" x14ac:dyDescent="0.25">
      <c r="A2006" t="str">
        <f>MID(TB_CECO[[#This Row],[CECO_T]],1,5)</f>
        <v>2E111</v>
      </c>
      <c r="B2006" t="str">
        <f>MID(TB_CECO[[#This Row],[TRABAJO]],1,SEARCH(",",TB_CECO[[#This Row],[TRABAJO]],1)-1)</f>
        <v>CX 075 NW (CX 074 SW)</v>
      </c>
      <c r="C20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075 NW (CX 074 SW),SOSTENIMIENTO</v>
      </c>
      <c r="D20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06" s="47" t="s">
        <v>3961</v>
      </c>
      <c r="G2006" t="s">
        <v>3962</v>
      </c>
      <c r="H20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07" spans="1:8" ht="15" customHeight="1" x14ac:dyDescent="0.25">
      <c r="A2007" t="str">
        <f>MID(TB_CECO[[#This Row],[CECO_T]],1,5)</f>
        <v>2E111</v>
      </c>
      <c r="B2007" t="str">
        <f>MID(TB_CECO[[#This Row],[TRABAJO]],1,SEARCH(",",TB_CECO[[#This Row],[TRABAJO]],1)-1)</f>
        <v>CX 075 NW (CX 074 SW)</v>
      </c>
      <c r="C20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075 NW (CX 074 SW),SERVICIO</v>
      </c>
      <c r="D20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07" s="47" t="s">
        <v>3963</v>
      </c>
      <c r="G2007" t="s">
        <v>3964</v>
      </c>
      <c r="H20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08" spans="1:8" ht="15" customHeight="1" x14ac:dyDescent="0.25">
      <c r="A2008" t="str">
        <f>MID(TB_CECO[[#This Row],[CECO_T]],1,5)</f>
        <v>2E111</v>
      </c>
      <c r="B2008" t="str">
        <f>MID(TB_CECO[[#This Row],[TRABAJO]],1,SEARCH(",",TB_CECO[[#This Row],[TRABAJO]],1)-1)</f>
        <v>CX 075 NW (CX 074 SW)</v>
      </c>
      <c r="C20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075 NW (CX 074 SW),REHABILITACION</v>
      </c>
      <c r="D20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08" s="47" t="s">
        <v>3965</v>
      </c>
      <c r="G2008" t="s">
        <v>3966</v>
      </c>
      <c r="H20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09" spans="1:8" ht="15" customHeight="1" x14ac:dyDescent="0.25">
      <c r="A2009" t="str">
        <f>MID(TB_CECO[[#This Row],[CECO_T]],1,5)</f>
        <v>2E111</v>
      </c>
      <c r="B2009" t="str">
        <f>MID(TB_CECO[[#This Row],[TRABAJO]],1,SEARCH(",",TB_CECO[[#This Row],[TRABAJO]],1)-1)</f>
        <v>CX 075 NW (CX 074 SW)</v>
      </c>
      <c r="C20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075 NW (CX 074 SW),REFUGIO</v>
      </c>
      <c r="D20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09" s="47" t="s">
        <v>3967</v>
      </c>
      <c r="G2009" t="s">
        <v>3968</v>
      </c>
      <c r="H20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10" spans="1:8" ht="15" customHeight="1" x14ac:dyDescent="0.25">
      <c r="A2010" t="str">
        <f>MID(TB_CECO[[#This Row],[CECO_T]],1,5)</f>
        <v>2E31D</v>
      </c>
      <c r="B2010" t="str">
        <f>MID(TB_CECO[[#This Row],[TRABAJO]],1,SEARCH(",",TB_CECO[[#This Row],[TRABAJO]],1)-1)</f>
        <v>Ch 055 (Tj 057 SW)</v>
      </c>
      <c r="C20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055 (Tj 057 SW),LIMPIEZA</v>
      </c>
      <c r="D20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10" s="47" t="s">
        <v>3969</v>
      </c>
      <c r="G2010" t="s">
        <v>3970</v>
      </c>
      <c r="H20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11" spans="1:8" ht="15" customHeight="1" x14ac:dyDescent="0.25">
      <c r="A2011" t="str">
        <f>MID(TB_CECO[[#This Row],[CECO_T]],1,5)</f>
        <v>2E31D</v>
      </c>
      <c r="B2011" t="str">
        <f>MID(TB_CECO[[#This Row],[TRABAJO]],1,SEARCH(",",TB_CECO[[#This Row],[TRABAJO]],1)-1)</f>
        <v>Ch 055 (Tj 057 SW)</v>
      </c>
      <c r="C20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055 (Tj 057 SW),SERVICIO</v>
      </c>
      <c r="D20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11" s="47" t="s">
        <v>3971</v>
      </c>
      <c r="G2011" t="s">
        <v>3972</v>
      </c>
      <c r="H20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12" spans="1:8" ht="15" customHeight="1" x14ac:dyDescent="0.25">
      <c r="A2012" t="str">
        <f>MID(TB_CECO[[#This Row],[CECO_T]],1,5)</f>
        <v>2E31D</v>
      </c>
      <c r="B2012" t="str">
        <f>MID(TB_CECO[[#This Row],[TRABAJO]],1,SEARCH(",",TB_CECO[[#This Row],[TRABAJO]],1)-1)</f>
        <v>Ch 055 (Tj 057 SW)</v>
      </c>
      <c r="C20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055 (Tj 057 SW),PERFORACION</v>
      </c>
      <c r="D20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12" s="47" t="s">
        <v>3973</v>
      </c>
      <c r="G2012" t="s">
        <v>3974</v>
      </c>
      <c r="H20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13" spans="1:8" ht="15" customHeight="1" x14ac:dyDescent="0.25">
      <c r="A2013" t="str">
        <f>MID(TB_CECO[[#This Row],[CECO_T]],1,5)</f>
        <v>2E31D</v>
      </c>
      <c r="B2013" t="str">
        <f>MID(TB_CECO[[#This Row],[TRABAJO]],1,SEARCH(",",TB_CECO[[#This Row],[TRABAJO]],1)-1)</f>
        <v>Ch 055 (Tj 057 SW)</v>
      </c>
      <c r="C20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055 (Tj 057 SW),SOSTENIMIENTO</v>
      </c>
      <c r="D20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13" s="47" t="s">
        <v>3975</v>
      </c>
      <c r="G2013" t="s">
        <v>3976</v>
      </c>
      <c r="H20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14" spans="1:8" ht="15" customHeight="1" x14ac:dyDescent="0.25">
      <c r="A2014" t="str">
        <f>MID(TB_CECO[[#This Row],[CECO_T]],1,5)</f>
        <v>2E31D</v>
      </c>
      <c r="B2014" t="str">
        <f>MID(TB_CECO[[#This Row],[TRABAJO]],1,SEARCH(",",TB_CECO[[#This Row],[TRABAJO]],1)-1)</f>
        <v>Ch 055 (Tj 057 SW)</v>
      </c>
      <c r="C20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055 (Tj 057 SW),VOLADURA</v>
      </c>
      <c r="D20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14" s="47" t="s">
        <v>3977</v>
      </c>
      <c r="G2014" t="s">
        <v>3978</v>
      </c>
      <c r="H20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15" spans="1:8" ht="15" customHeight="1" x14ac:dyDescent="0.25">
      <c r="A2015" t="str">
        <f>MID(TB_CECO[[#This Row],[CECO_T]],1,5)</f>
        <v>2E31K</v>
      </c>
      <c r="B2015" t="str">
        <f>MID(TB_CECO[[#This Row],[TRABAJO]],1,SEARCH(",",TB_CECO[[#This Row],[TRABAJO]],1)-1)</f>
        <v>Ch 040 (Tj 037 SW)</v>
      </c>
      <c r="C20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040 (Tj 037 SW),LIMPIEZA</v>
      </c>
      <c r="D20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15" s="47" t="s">
        <v>3979</v>
      </c>
      <c r="G2015" t="s">
        <v>3980</v>
      </c>
      <c r="H20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16" spans="1:8" ht="15" customHeight="1" x14ac:dyDescent="0.25">
      <c r="A2016" t="str">
        <f>MID(TB_CECO[[#This Row],[CECO_T]],1,5)</f>
        <v>2E31K</v>
      </c>
      <c r="B2016" t="str">
        <f>MID(TB_CECO[[#This Row],[TRABAJO]],1,SEARCH(",",TB_CECO[[#This Row],[TRABAJO]],1)-1)</f>
        <v>Ch 040 (Tj 037 SW)</v>
      </c>
      <c r="C20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040 (Tj 037 SW),SERVICIO</v>
      </c>
      <c r="D20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16" s="47" t="s">
        <v>3981</v>
      </c>
      <c r="G2016" t="s">
        <v>3982</v>
      </c>
      <c r="H20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17" spans="1:8" ht="15" customHeight="1" x14ac:dyDescent="0.25">
      <c r="A2017" t="str">
        <f>MID(TB_CECO[[#This Row],[CECO_T]],1,5)</f>
        <v>2E31K</v>
      </c>
      <c r="B2017" t="str">
        <f>MID(TB_CECO[[#This Row],[TRABAJO]],1,SEARCH(",",TB_CECO[[#This Row],[TRABAJO]],1)-1)</f>
        <v>Ch 040 (Tj 037 SW)</v>
      </c>
      <c r="C20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040 (Tj 037 SW),PERFORACION</v>
      </c>
      <c r="D20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17" s="47" t="s">
        <v>3983</v>
      </c>
      <c r="G2017" t="s">
        <v>3984</v>
      </c>
      <c r="H20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18" spans="1:8" ht="15" customHeight="1" x14ac:dyDescent="0.25">
      <c r="A2018" t="str">
        <f>MID(TB_CECO[[#This Row],[CECO_T]],1,5)</f>
        <v>2E31K</v>
      </c>
      <c r="B2018" t="str">
        <f>MID(TB_CECO[[#This Row],[TRABAJO]],1,SEARCH(",",TB_CECO[[#This Row],[TRABAJO]],1)-1)</f>
        <v>Ch 040 (Tj 037 SW)</v>
      </c>
      <c r="C20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040 (Tj 037 SW),SOSTENIMIENTO</v>
      </c>
      <c r="D20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18" s="47" t="s">
        <v>3985</v>
      </c>
      <c r="G2018" t="s">
        <v>3986</v>
      </c>
      <c r="H20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19" spans="1:8" ht="15" customHeight="1" x14ac:dyDescent="0.25">
      <c r="A2019" t="str">
        <f>MID(TB_CECO[[#This Row],[CECO_T]],1,5)</f>
        <v>2E31K</v>
      </c>
      <c r="B2019" t="str">
        <f>MID(TB_CECO[[#This Row],[TRABAJO]],1,SEARCH(",",TB_CECO[[#This Row],[TRABAJO]],1)-1)</f>
        <v>Ch 040 (Tj 037 SW)</v>
      </c>
      <c r="C20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040 (Tj 037 SW),VOLADURA</v>
      </c>
      <c r="D20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19" s="47" t="s">
        <v>3987</v>
      </c>
      <c r="G2019" t="s">
        <v>3988</v>
      </c>
      <c r="H20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20" spans="1:8" ht="15" customHeight="1" x14ac:dyDescent="0.25">
      <c r="A2020" t="str">
        <f>MID(TB_CECO[[#This Row],[CECO_T]],1,5)</f>
        <v>2E31S</v>
      </c>
      <c r="B2020" t="str">
        <f>MID(TB_CECO[[#This Row],[TRABAJO]],1,SEARCH(",",TB_CECO[[#This Row],[TRABAJO]],1)-1)</f>
        <v>Ch 065 (Tj 036 SW )</v>
      </c>
      <c r="C20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065 (Tj 036 SW ),LIMPIEZA</v>
      </c>
      <c r="D20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20" s="47" t="s">
        <v>3989</v>
      </c>
      <c r="G2020" t="s">
        <v>3990</v>
      </c>
      <c r="H20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21" spans="1:8" ht="15" customHeight="1" x14ac:dyDescent="0.25">
      <c r="A2021" t="str">
        <f>MID(TB_CECO[[#This Row],[CECO_T]],1,5)</f>
        <v>2E31S</v>
      </c>
      <c r="B2021" t="str">
        <f>MID(TB_CECO[[#This Row],[TRABAJO]],1,SEARCH(",",TB_CECO[[#This Row],[TRABAJO]],1)-1)</f>
        <v>Ch 065 (Tj 036 SW )</v>
      </c>
      <c r="C20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065 (Tj 036 SW ),SERVICIO</v>
      </c>
      <c r="D20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21" s="47" t="s">
        <v>3991</v>
      </c>
      <c r="G2021" t="s">
        <v>3992</v>
      </c>
      <c r="H20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22" spans="1:8" ht="15" customHeight="1" x14ac:dyDescent="0.25">
      <c r="A2022" t="str">
        <f>MID(TB_CECO[[#This Row],[CECO_T]],1,5)</f>
        <v>2E31S</v>
      </c>
      <c r="B2022" t="str">
        <f>MID(TB_CECO[[#This Row],[TRABAJO]],1,SEARCH(",",TB_CECO[[#This Row],[TRABAJO]],1)-1)</f>
        <v>Ch 065 (Tj 036 SW )</v>
      </c>
      <c r="C20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065 (Tj 036 SW ),PERFORACION</v>
      </c>
      <c r="D20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22" s="47" t="s">
        <v>3993</v>
      </c>
      <c r="G2022" t="s">
        <v>3994</v>
      </c>
      <c r="H20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23" spans="1:8" ht="15" customHeight="1" x14ac:dyDescent="0.25">
      <c r="A2023" t="str">
        <f>MID(TB_CECO[[#This Row],[CECO_T]],1,5)</f>
        <v>2E31S</v>
      </c>
      <c r="B2023" t="str">
        <f>MID(TB_CECO[[#This Row],[TRABAJO]],1,SEARCH(",",TB_CECO[[#This Row],[TRABAJO]],1)-1)</f>
        <v>Ch 065 (Tj 036 SW )</v>
      </c>
      <c r="C20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065 (Tj 036 SW ),SOSTENIMIENTO</v>
      </c>
      <c r="D20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23" s="47" t="s">
        <v>3995</v>
      </c>
      <c r="G2023" t="s">
        <v>3996</v>
      </c>
      <c r="H20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24" spans="1:8" ht="15" customHeight="1" x14ac:dyDescent="0.25">
      <c r="A2024" t="str">
        <f>MID(TB_CECO[[#This Row],[CECO_T]],1,5)</f>
        <v>2E31S</v>
      </c>
      <c r="B2024" t="str">
        <f>MID(TB_CECO[[#This Row],[TRABAJO]],1,SEARCH(",",TB_CECO[[#This Row],[TRABAJO]],1)-1)</f>
        <v>Ch 065 (Tj 036 SW )</v>
      </c>
      <c r="C20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065 (Tj 036 SW ),VOLADURA</v>
      </c>
      <c r="D20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24" s="47" t="s">
        <v>3997</v>
      </c>
      <c r="G2024" t="s">
        <v>3998</v>
      </c>
      <c r="H20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25" spans="1:8" ht="15" customHeight="1" x14ac:dyDescent="0.25">
      <c r="A2025" t="str">
        <f>MID(TB_CECO[[#This Row],[CECO_T]],1,5)</f>
        <v>2E325</v>
      </c>
      <c r="B2025" t="str">
        <f>MID(TB_CECO[[#This Row],[TRABAJO]],1,SEARCH(",",TB_CECO[[#This Row],[TRABAJO]],1)-1)</f>
        <v>CH 091 (SNV 123 SW)</v>
      </c>
      <c r="C20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(SNV 123 SW),SUMINISTROS     </v>
      </c>
      <c r="D20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25" s="47" t="s">
        <v>3999</v>
      </c>
      <c r="G2025" t="s">
        <v>4000</v>
      </c>
      <c r="H20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26" spans="1:8" ht="15" customHeight="1" x14ac:dyDescent="0.25">
      <c r="A2026" t="str">
        <f>MID(TB_CECO[[#This Row],[CECO_T]],1,5)</f>
        <v>2E325</v>
      </c>
      <c r="B2026" t="str">
        <f>MID(TB_CECO[[#This Row],[TRABAJO]],1,SEARCH(",",TB_CECO[[#This Row],[TRABAJO]],1)-1)</f>
        <v>CH 091 (SNV 123 SW)</v>
      </c>
      <c r="C20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(SNV 123 SW),SOSTENIMIENTO   </v>
      </c>
      <c r="D20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26" s="47" t="s">
        <v>4001</v>
      </c>
      <c r="G2026" t="s">
        <v>4002</v>
      </c>
      <c r="H20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27" spans="1:8" ht="15" customHeight="1" x14ac:dyDescent="0.25">
      <c r="A2027" t="str">
        <f>MID(TB_CECO[[#This Row],[CECO_T]],1,5)</f>
        <v>2E325</v>
      </c>
      <c r="B2027" t="str">
        <f>MID(TB_CECO[[#This Row],[TRABAJO]],1,SEARCH(",",TB_CECO[[#This Row],[TRABAJO]],1)-1)</f>
        <v>CH 091 (SNV 123 SW)</v>
      </c>
      <c r="C20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(SNV 123 SW),SERVICIO        </v>
      </c>
      <c r="D20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27" s="47" t="s">
        <v>4003</v>
      </c>
      <c r="G2027" t="s">
        <v>4004</v>
      </c>
      <c r="H20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28" spans="1:8" ht="15" customHeight="1" x14ac:dyDescent="0.25">
      <c r="A2028" t="str">
        <f>MID(TB_CECO[[#This Row],[CECO_T]],1,5)</f>
        <v>2E325</v>
      </c>
      <c r="B2028" t="str">
        <f>MID(TB_CECO[[#This Row],[TRABAJO]],1,SEARCH(",",TB_CECO[[#This Row],[TRABAJO]],1)-1)</f>
        <v>CH 091 (SNV 123 SW)</v>
      </c>
      <c r="C20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(SNV 123 SW),REHABILITACION  </v>
      </c>
      <c r="D20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28" s="47" t="s">
        <v>4005</v>
      </c>
      <c r="G2028" t="s">
        <v>4006</v>
      </c>
      <c r="H20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29" spans="1:8" ht="15" customHeight="1" x14ac:dyDescent="0.25">
      <c r="A2029" t="str">
        <f>MID(TB_CECO[[#This Row],[CECO_T]],1,5)</f>
        <v>2E326</v>
      </c>
      <c r="B2029" t="str">
        <f>MID(TB_CECO[[#This Row],[TRABAJO]],1,SEARCH(",",TB_CECO[[#This Row],[TRABAJO]],1)-1)</f>
        <v>CH 066 (CX 075 NW)</v>
      </c>
      <c r="C20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(CX 075 NW),SUMINISTROS      </v>
      </c>
      <c r="D20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29" s="47" t="s">
        <v>4007</v>
      </c>
      <c r="G2029" t="s">
        <v>4008</v>
      </c>
      <c r="H20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30" spans="1:8" ht="15" customHeight="1" x14ac:dyDescent="0.25">
      <c r="A2030" t="str">
        <f>MID(TB_CECO[[#This Row],[CECO_T]],1,5)</f>
        <v>2E326</v>
      </c>
      <c r="B2030" t="str">
        <f>MID(TB_CECO[[#This Row],[TRABAJO]],1,SEARCH(",",TB_CECO[[#This Row],[TRABAJO]],1)-1)</f>
        <v>CH 066 (CX 075 NW)</v>
      </c>
      <c r="C20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(CX 075 NW),SOSTENIMIENTO    </v>
      </c>
      <c r="D20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30" s="47" t="s">
        <v>4009</v>
      </c>
      <c r="G2030" t="s">
        <v>4010</v>
      </c>
      <c r="H20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31" spans="1:8" ht="15" customHeight="1" x14ac:dyDescent="0.25">
      <c r="A2031" t="str">
        <f>MID(TB_CECO[[#This Row],[CECO_T]],1,5)</f>
        <v>2E326</v>
      </c>
      <c r="B2031" t="str">
        <f>MID(TB_CECO[[#This Row],[TRABAJO]],1,SEARCH(",",TB_CECO[[#This Row],[TRABAJO]],1)-1)</f>
        <v>CH 066 (CX 075 NW)</v>
      </c>
      <c r="C20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(CX 075 NW),SERVICIO         </v>
      </c>
      <c r="D20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31" s="47" t="s">
        <v>4011</v>
      </c>
      <c r="G2031" t="s">
        <v>4012</v>
      </c>
      <c r="H20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32" spans="1:8" ht="15" customHeight="1" x14ac:dyDescent="0.25">
      <c r="A2032" t="str">
        <f>MID(TB_CECO[[#This Row],[CECO_T]],1,5)</f>
        <v>2E326</v>
      </c>
      <c r="B2032" t="str">
        <f>MID(TB_CECO[[#This Row],[TRABAJO]],1,SEARCH(",",TB_CECO[[#This Row],[TRABAJO]],1)-1)</f>
        <v>CH 066 (CX 075 NW)</v>
      </c>
      <c r="C20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(CX 075 NW),REHABILITACION   </v>
      </c>
      <c r="D20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32" s="47" t="s">
        <v>4013</v>
      </c>
      <c r="G2032" t="s">
        <v>4014</v>
      </c>
      <c r="H20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33" spans="1:8" ht="15" customHeight="1" x14ac:dyDescent="0.25">
      <c r="A2033" t="str">
        <f>MID(TB_CECO[[#This Row],[CECO_T]],1,5)</f>
        <v>2E329</v>
      </c>
      <c r="B2033" t="str">
        <f>MID(TB_CECO[[#This Row],[TRABAJO]],1,SEARCH(",",TB_CECO[[#This Row],[TRABAJO]],1)-1)</f>
        <v>CH 091 (SNV 143 SW)</v>
      </c>
      <c r="C20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(SNV 143 SW),SUMINISTROS     </v>
      </c>
      <c r="D20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33" s="47" t="s">
        <v>4015</v>
      </c>
      <c r="G2033" t="s">
        <v>4016</v>
      </c>
      <c r="H20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34" spans="1:8" ht="15" customHeight="1" x14ac:dyDescent="0.25">
      <c r="A2034" t="str">
        <f>MID(TB_CECO[[#This Row],[CECO_T]],1,5)</f>
        <v>2E329</v>
      </c>
      <c r="B2034" t="str">
        <f>MID(TB_CECO[[#This Row],[TRABAJO]],1,SEARCH(",",TB_CECO[[#This Row],[TRABAJO]],1)-1)</f>
        <v>CH 091 (SNV 143 SW)</v>
      </c>
      <c r="C20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(SNV 143 SW),SOSTENIMIENTO   </v>
      </c>
      <c r="D20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34" s="47" t="s">
        <v>4017</v>
      </c>
      <c r="G2034" t="s">
        <v>4018</v>
      </c>
      <c r="H20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35" spans="1:8" ht="15" customHeight="1" x14ac:dyDescent="0.25">
      <c r="A2035" t="str">
        <f>MID(TB_CECO[[#This Row],[CECO_T]],1,5)</f>
        <v>2E329</v>
      </c>
      <c r="B2035" t="str">
        <f>MID(TB_CECO[[#This Row],[TRABAJO]],1,SEARCH(",",TB_CECO[[#This Row],[TRABAJO]],1)-1)</f>
        <v>CH 091 (SNV 143 SW)</v>
      </c>
      <c r="C20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(SNV 143 SW),SERVICIO        </v>
      </c>
      <c r="D20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35" s="47" t="s">
        <v>4019</v>
      </c>
      <c r="G2035" t="s">
        <v>4020</v>
      </c>
      <c r="H20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36" spans="1:8" ht="15" customHeight="1" x14ac:dyDescent="0.25">
      <c r="A2036" t="str">
        <f>MID(TB_CECO[[#This Row],[CECO_T]],1,5)</f>
        <v>2E329</v>
      </c>
      <c r="B2036" t="str">
        <f>MID(TB_CECO[[#This Row],[TRABAJO]],1,SEARCH(",",TB_CECO[[#This Row],[TRABAJO]],1)-1)</f>
        <v>CH 091 (SNV 143 SW)</v>
      </c>
      <c r="C20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(SNV 143 SW),REHABILITACION  </v>
      </c>
      <c r="D20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36" s="47" t="s">
        <v>4021</v>
      </c>
      <c r="G2036" t="s">
        <v>4022</v>
      </c>
      <c r="H20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37" spans="1:8" ht="15" customHeight="1" x14ac:dyDescent="0.25">
      <c r="A2037" t="str">
        <f>MID(TB_CECO[[#This Row],[CECO_T]],1,5)</f>
        <v>2E333</v>
      </c>
      <c r="B2037" t="str">
        <f>MID(TB_CECO[[#This Row],[TRABAJO]],1,SEARCH(",",TB_CECO[[#This Row],[TRABAJO]],1)-1)</f>
        <v>CH 084 (SNV 163  SW)</v>
      </c>
      <c r="C20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084 (SNV 163  SW),SUMINISTROS</v>
      </c>
      <c r="D20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37" s="47" t="s">
        <v>4023</v>
      </c>
      <c r="G2037" t="s">
        <v>4024</v>
      </c>
      <c r="H20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38" spans="1:8" ht="15" customHeight="1" x14ac:dyDescent="0.25">
      <c r="A2038" t="str">
        <f>MID(TB_CECO[[#This Row],[CECO_T]],1,5)</f>
        <v>2E333</v>
      </c>
      <c r="B2038" t="str">
        <f>MID(TB_CECO[[#This Row],[TRABAJO]],1,SEARCH(",",TB_CECO[[#This Row],[TRABAJO]],1)-1)</f>
        <v>CH 084 (SNV 163  SW)</v>
      </c>
      <c r="C20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084 (SNV 163  SW),SOSTENIMIENTO</v>
      </c>
      <c r="D20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38" s="47" t="s">
        <v>4025</v>
      </c>
      <c r="G2038" t="s">
        <v>4026</v>
      </c>
      <c r="H20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39" spans="1:8" ht="15" customHeight="1" x14ac:dyDescent="0.25">
      <c r="A2039" t="str">
        <f>MID(TB_CECO[[#This Row],[CECO_T]],1,5)</f>
        <v>2E333</v>
      </c>
      <c r="B2039" t="str">
        <f>MID(TB_CECO[[#This Row],[TRABAJO]],1,SEARCH(",",TB_CECO[[#This Row],[TRABAJO]],1)-1)</f>
        <v>CH 084 (SNV 163  SW)</v>
      </c>
      <c r="C20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084 (SNV 163  SW),SERVICIO</v>
      </c>
      <c r="D20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39" s="47" t="s">
        <v>4027</v>
      </c>
      <c r="G2039" t="s">
        <v>4028</v>
      </c>
      <c r="H20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40" spans="1:8" ht="15" customHeight="1" x14ac:dyDescent="0.25">
      <c r="A2040" t="str">
        <f>MID(TB_CECO[[#This Row],[CECO_T]],1,5)</f>
        <v>2E333</v>
      </c>
      <c r="B2040" t="str">
        <f>MID(TB_CECO[[#This Row],[TRABAJO]],1,SEARCH(",",TB_CECO[[#This Row],[TRABAJO]],1)-1)</f>
        <v>CH 084 (SNV 163  SW)</v>
      </c>
      <c r="C20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084 (SNV 163  SW),REHABILITACION</v>
      </c>
      <c r="D20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40" s="47" t="s">
        <v>4029</v>
      </c>
      <c r="G2040" t="s">
        <v>4030</v>
      </c>
      <c r="H20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41" spans="1:8" ht="15" customHeight="1" x14ac:dyDescent="0.25">
      <c r="A2041" t="str">
        <f>MID(TB_CECO[[#This Row],[CECO_T]],1,5)</f>
        <v>2E347</v>
      </c>
      <c r="B2041" t="str">
        <f>MID(TB_CECO[[#This Row],[TRABAJO]],1,SEARCH(",",TB_CECO[[#This Row],[TRABAJO]],1)-1)</f>
        <v>Ch 066 (Snv 092 SW)</v>
      </c>
      <c r="C20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066 (Snv 092 SW),SUMINISTROS</v>
      </c>
      <c r="D20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41" s="47" t="s">
        <v>4031</v>
      </c>
      <c r="G2041" t="s">
        <v>4032</v>
      </c>
      <c r="H20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42" spans="1:8" ht="15" customHeight="1" x14ac:dyDescent="0.25">
      <c r="A2042" t="str">
        <f>MID(TB_CECO[[#This Row],[CECO_T]],1,5)</f>
        <v>2E347</v>
      </c>
      <c r="B2042" t="str">
        <f>MID(TB_CECO[[#This Row],[TRABAJO]],1,SEARCH(",",TB_CECO[[#This Row],[TRABAJO]],1)-1)</f>
        <v>Ch 066 (Snv 092 SW)</v>
      </c>
      <c r="C20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066 (Snv 092 SW),SOSTENIMIENTO</v>
      </c>
      <c r="D20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42" s="47" t="s">
        <v>4033</v>
      </c>
      <c r="G2042" t="s">
        <v>4034</v>
      </c>
      <c r="H20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43" spans="1:8" ht="15" customHeight="1" x14ac:dyDescent="0.25">
      <c r="A2043" t="str">
        <f>MID(TB_CECO[[#This Row],[CECO_T]],1,5)</f>
        <v>2E347</v>
      </c>
      <c r="B2043" t="str">
        <f>MID(TB_CECO[[#This Row],[TRABAJO]],1,SEARCH(",",TB_CECO[[#This Row],[TRABAJO]],1)-1)</f>
        <v>Ch 066 (Snv 092 SW)</v>
      </c>
      <c r="C20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066 (Snv 092 SW),SERVICIO</v>
      </c>
      <c r="D20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43" s="47" t="s">
        <v>4035</v>
      </c>
      <c r="G2043" t="s">
        <v>4036</v>
      </c>
      <c r="H20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44" spans="1:8" ht="15" customHeight="1" x14ac:dyDescent="0.25">
      <c r="A2044" t="str">
        <f>MID(TB_CECO[[#This Row],[CECO_T]],1,5)</f>
        <v>2E347</v>
      </c>
      <c r="B2044" t="str">
        <f>MID(TB_CECO[[#This Row],[TRABAJO]],1,SEARCH(",",TB_CECO[[#This Row],[TRABAJO]],1)-1)</f>
        <v>Ch 066 (Snv 092 SW)</v>
      </c>
      <c r="C20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066 (Snv 092 SW),REHABILITACION</v>
      </c>
      <c r="D20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44" s="47" t="s">
        <v>4037</v>
      </c>
      <c r="G2044" t="s">
        <v>4038</v>
      </c>
      <c r="H20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45" spans="1:8" ht="15" customHeight="1" x14ac:dyDescent="0.25">
      <c r="A2045" t="str">
        <f>MID(TB_CECO[[#This Row],[CECO_T]],1,5)</f>
        <v>2E347</v>
      </c>
      <c r="B2045" t="str">
        <f>MID(TB_CECO[[#This Row],[TRABAJO]],1,SEARCH(",",TB_CECO[[#This Row],[TRABAJO]],1)-1)</f>
        <v>Ch 066 (Snv 092 SW)</v>
      </c>
      <c r="C20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066 (Snv 092 SW),TOLVA</v>
      </c>
      <c r="D20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45" s="47" t="s">
        <v>4039</v>
      </c>
      <c r="G2045" t="s">
        <v>4040</v>
      </c>
      <c r="H20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46" spans="1:8" ht="15" customHeight="1" x14ac:dyDescent="0.25">
      <c r="A2046" t="str">
        <f>MID(TB_CECO[[#This Row],[CECO_T]],1,5)</f>
        <v>2E372</v>
      </c>
      <c r="B2046" t="str">
        <f>MID(TB_CECO[[#This Row],[TRABAJO]],1,SEARCH(",",TB_CECO[[#This Row],[TRABAJO]],1)-1)</f>
        <v>Ch 098 (Tj 097 NE)</v>
      </c>
      <c r="C20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098 (Tj 097 NE),LIMPIEZA</v>
      </c>
      <c r="D20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46" s="47" t="s">
        <v>4041</v>
      </c>
      <c r="G2046" t="s">
        <v>4042</v>
      </c>
      <c r="H20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47" spans="1:8" ht="15" customHeight="1" x14ac:dyDescent="0.25">
      <c r="A2047" t="str">
        <f>MID(TB_CECO[[#This Row],[CECO_T]],1,5)</f>
        <v>2E372</v>
      </c>
      <c r="B2047" t="str">
        <f>MID(TB_CECO[[#This Row],[TRABAJO]],1,SEARCH(",",TB_CECO[[#This Row],[TRABAJO]],1)-1)</f>
        <v>Ch 098 (Tj 097 NE)</v>
      </c>
      <c r="C20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098 (Tj 097 NE),SERVICIO</v>
      </c>
      <c r="D20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47" s="47" t="s">
        <v>4043</v>
      </c>
      <c r="G2047" t="s">
        <v>4044</v>
      </c>
      <c r="H20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48" spans="1:8" ht="15" customHeight="1" x14ac:dyDescent="0.25">
      <c r="A2048" t="str">
        <f>MID(TB_CECO[[#This Row],[CECO_T]],1,5)</f>
        <v>2E372</v>
      </c>
      <c r="B2048" t="str">
        <f>MID(TB_CECO[[#This Row],[TRABAJO]],1,SEARCH(",",TB_CECO[[#This Row],[TRABAJO]],1)-1)</f>
        <v>Ch 098 (Tj 097 NE)</v>
      </c>
      <c r="C20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098 (Tj 097 NE),PERFORACION</v>
      </c>
      <c r="D20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48" s="47" t="s">
        <v>4045</v>
      </c>
      <c r="G2048" t="s">
        <v>4046</v>
      </c>
      <c r="H20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49" spans="1:8" ht="15" customHeight="1" x14ac:dyDescent="0.25">
      <c r="A2049" t="str">
        <f>MID(TB_CECO[[#This Row],[CECO_T]],1,5)</f>
        <v>2E372</v>
      </c>
      <c r="B2049" t="str">
        <f>MID(TB_CECO[[#This Row],[TRABAJO]],1,SEARCH(",",TB_CECO[[#This Row],[TRABAJO]],1)-1)</f>
        <v>Ch 098 (Tj 097 NE)</v>
      </c>
      <c r="C20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098 (Tj 097 NE),SOSTENIMIENTO</v>
      </c>
      <c r="D20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49" s="47" t="s">
        <v>4047</v>
      </c>
      <c r="G2049" t="s">
        <v>4048</v>
      </c>
      <c r="H20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50" spans="1:8" ht="15" customHeight="1" x14ac:dyDescent="0.25">
      <c r="A2050" t="str">
        <f>MID(TB_CECO[[#This Row],[CECO_T]],1,5)</f>
        <v>2E372</v>
      </c>
      <c r="B2050" t="str">
        <f>MID(TB_CECO[[#This Row],[TRABAJO]],1,SEARCH(",",TB_CECO[[#This Row],[TRABAJO]],1)-1)</f>
        <v>Ch 098 (Tj 097 NE)</v>
      </c>
      <c r="C20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098 (Tj 097 NE),VOLADURA</v>
      </c>
      <c r="D20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0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050" s="47" t="s">
        <v>4049</v>
      </c>
      <c r="G2050" t="s">
        <v>4050</v>
      </c>
      <c r="H20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51" spans="1:8" ht="15" customHeight="1" x14ac:dyDescent="0.25">
      <c r="A2051" t="str">
        <f>MID(TB_CECO[[#This Row],[CECO_T]],1,5)</f>
        <v>2E402</v>
      </c>
      <c r="B2051" t="str">
        <f>MID(TB_CECO[[#This Row],[TRABAJO]],1,SEARCH(",",TB_CECO[[#This Row],[TRABAJO]],1)-1)</f>
        <v>PQ 075 (CX 074 SW)</v>
      </c>
      <c r="C20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074 SW),SUMINISTROS</v>
      </c>
      <c r="D20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51" s="47" t="s">
        <v>4051</v>
      </c>
      <c r="G2051" t="s">
        <v>4052</v>
      </c>
      <c r="H20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52" spans="1:8" ht="15" customHeight="1" x14ac:dyDescent="0.25">
      <c r="A2052" t="str">
        <f>MID(TB_CECO[[#This Row],[CECO_T]],1,5)</f>
        <v>2E402</v>
      </c>
      <c r="B2052" t="str">
        <f>MID(TB_CECO[[#This Row],[TRABAJO]],1,SEARCH(",",TB_CECO[[#This Row],[TRABAJO]],1)-1)</f>
        <v>PQ 075 (CX 074 SW)</v>
      </c>
      <c r="C20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074 SW),SOSTENIMIENTO</v>
      </c>
      <c r="D20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52" s="47" t="s">
        <v>4053</v>
      </c>
      <c r="G2052" t="s">
        <v>4054</v>
      </c>
      <c r="H20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53" spans="1:8" ht="15" customHeight="1" x14ac:dyDescent="0.25">
      <c r="A2053" t="str">
        <f>MID(TB_CECO[[#This Row],[CECO_T]],1,5)</f>
        <v>2E402</v>
      </c>
      <c r="B2053" t="str">
        <f>MID(TB_CECO[[#This Row],[TRABAJO]],1,SEARCH(",",TB_CECO[[#This Row],[TRABAJO]],1)-1)</f>
        <v>PQ 075 (CX 074 SW)</v>
      </c>
      <c r="C20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074 SW),SERVICIO</v>
      </c>
      <c r="D20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53" s="47" t="s">
        <v>4055</v>
      </c>
      <c r="G2053" t="s">
        <v>4056</v>
      </c>
      <c r="H20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54" spans="1:8" ht="15" customHeight="1" x14ac:dyDescent="0.25">
      <c r="A2054" t="str">
        <f>MID(TB_CECO[[#This Row],[CECO_T]],1,5)</f>
        <v>2E402</v>
      </c>
      <c r="B2054" t="str">
        <f>MID(TB_CECO[[#This Row],[TRABAJO]],1,SEARCH(",",TB_CECO[[#This Row],[TRABAJO]],1)-1)</f>
        <v>PQ 075 (CX 074 SW)</v>
      </c>
      <c r="C20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074 SW),REHABILITACION</v>
      </c>
      <c r="D20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54" s="47" t="s">
        <v>4057</v>
      </c>
      <c r="G2054" t="s">
        <v>4058</v>
      </c>
      <c r="H20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55" spans="1:8" ht="15" customHeight="1" x14ac:dyDescent="0.25">
      <c r="A2055" t="str">
        <f>MID(TB_CECO[[#This Row],[CECO_T]],1,5)</f>
        <v>2E402</v>
      </c>
      <c r="B2055" t="str">
        <f>MID(TB_CECO[[#This Row],[TRABAJO]],1,SEARCH(",",TB_CECO[[#This Row],[TRABAJO]],1)-1)</f>
        <v>PQ 075 (CX 074 SW)</v>
      </c>
      <c r="C20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074 SW),TOLVA</v>
      </c>
      <c r="D20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55" s="47" t="s">
        <v>4059</v>
      </c>
      <c r="G2055" t="s">
        <v>4060</v>
      </c>
      <c r="H20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56" spans="1:8" ht="15" customHeight="1" x14ac:dyDescent="0.25">
      <c r="A2056" t="str">
        <f>MID(TB_CECO[[#This Row],[CECO_T]],1,5)</f>
        <v>2E502</v>
      </c>
      <c r="B2056" t="str">
        <f>MID(TB_CECO[[#This Row],[TRABAJO]],1,SEARCH(",",TB_CECO[[#This Row],[TRABAJO]],1)-1)</f>
        <v>SNV 143 SW (CH 107)</v>
      </c>
      <c r="C20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143 SW (CH 107),SUMINISTROS     </v>
      </c>
      <c r="D20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56" s="47" t="s">
        <v>4061</v>
      </c>
      <c r="G2056" t="s">
        <v>4062</v>
      </c>
      <c r="H20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57" spans="1:8" ht="15" customHeight="1" x14ac:dyDescent="0.25">
      <c r="A2057" t="str">
        <f>MID(TB_CECO[[#This Row],[CECO_T]],1,5)</f>
        <v>2E502</v>
      </c>
      <c r="B2057" t="str">
        <f>MID(TB_CECO[[#This Row],[TRABAJO]],1,SEARCH(",",TB_CECO[[#This Row],[TRABAJO]],1)-1)</f>
        <v>SNV 143 SW (CH 107)</v>
      </c>
      <c r="C20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143 SW (CH 107),SOSTENIMIENTO   </v>
      </c>
      <c r="D20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57" s="47" t="s">
        <v>4063</v>
      </c>
      <c r="G2057" t="s">
        <v>4064</v>
      </c>
      <c r="H20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58" spans="1:8" ht="15" customHeight="1" x14ac:dyDescent="0.25">
      <c r="A2058" t="str">
        <f>MID(TB_CECO[[#This Row],[CECO_T]],1,5)</f>
        <v>2E502</v>
      </c>
      <c r="B2058" t="str">
        <f>MID(TB_CECO[[#This Row],[TRABAJO]],1,SEARCH(",",TB_CECO[[#This Row],[TRABAJO]],1)-1)</f>
        <v>SNV 143 SW (CH 107)</v>
      </c>
      <c r="C20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143 SW (CH 107),SERVICIO        </v>
      </c>
      <c r="D20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58" s="47" t="s">
        <v>4065</v>
      </c>
      <c r="G2058" t="s">
        <v>4066</v>
      </c>
      <c r="H20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59" spans="1:8" ht="15" customHeight="1" x14ac:dyDescent="0.25">
      <c r="A2059" t="str">
        <f>MID(TB_CECO[[#This Row],[CECO_T]],1,5)</f>
        <v>2E502</v>
      </c>
      <c r="B2059" t="str">
        <f>MID(TB_CECO[[#This Row],[TRABAJO]],1,SEARCH(",",TB_CECO[[#This Row],[TRABAJO]],1)-1)</f>
        <v>SNV 143 SW (CH 107)</v>
      </c>
      <c r="C20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143 SW (CH 107),REHABILITACION  </v>
      </c>
      <c r="D20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59" s="47" t="s">
        <v>4067</v>
      </c>
      <c r="G2059" t="s">
        <v>4068</v>
      </c>
      <c r="H20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60" spans="1:8" ht="15" customHeight="1" x14ac:dyDescent="0.25">
      <c r="A2060" t="str">
        <f>MID(TB_CECO[[#This Row],[CECO_T]],1,5)</f>
        <v>2E503</v>
      </c>
      <c r="B2060" t="str">
        <f>MID(TB_CECO[[#This Row],[TRABAJO]],1,SEARCH(",",TB_CECO[[#This Row],[TRABAJO]],1)-1)</f>
        <v>SNV 143 NE (CH 107)</v>
      </c>
      <c r="C20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143 NE (CH 107),SUMINISTROS     </v>
      </c>
      <c r="D20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60" s="47" t="s">
        <v>4069</v>
      </c>
      <c r="G2060" t="s">
        <v>4070</v>
      </c>
      <c r="H20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61" spans="1:8" ht="15" customHeight="1" x14ac:dyDescent="0.25">
      <c r="A2061" t="str">
        <f>MID(TB_CECO[[#This Row],[CECO_T]],1,5)</f>
        <v>2E503</v>
      </c>
      <c r="B2061" t="str">
        <f>MID(TB_CECO[[#This Row],[TRABAJO]],1,SEARCH(",",TB_CECO[[#This Row],[TRABAJO]],1)-1)</f>
        <v>SNV 143 NE (CH 107)</v>
      </c>
      <c r="C20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143 NE (CH 107),SOSTENIMIENTO   </v>
      </c>
      <c r="D20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61" s="47" t="s">
        <v>4071</v>
      </c>
      <c r="G2061" t="s">
        <v>4072</v>
      </c>
      <c r="H20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62" spans="1:8" ht="15" customHeight="1" x14ac:dyDescent="0.25">
      <c r="A2062" t="str">
        <f>MID(TB_CECO[[#This Row],[CECO_T]],1,5)</f>
        <v>2E503</v>
      </c>
      <c r="B2062" t="str">
        <f>MID(TB_CECO[[#This Row],[TRABAJO]],1,SEARCH(",",TB_CECO[[#This Row],[TRABAJO]],1)-1)</f>
        <v>SNV 143 NE (CH 107)</v>
      </c>
      <c r="C20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143 NE (CH 107),SERVICIO        </v>
      </c>
      <c r="D20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62" s="47" t="s">
        <v>4073</v>
      </c>
      <c r="G2062" t="s">
        <v>4074</v>
      </c>
      <c r="H20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63" spans="1:8" ht="15" customHeight="1" x14ac:dyDescent="0.25">
      <c r="A2063" t="str">
        <f>MID(TB_CECO[[#This Row],[CECO_T]],1,5)</f>
        <v>2E503</v>
      </c>
      <c r="B2063" t="str">
        <f>MID(TB_CECO[[#This Row],[TRABAJO]],1,SEARCH(",",TB_CECO[[#This Row],[TRABAJO]],1)-1)</f>
        <v>SNV 143 NE (CH 107)</v>
      </c>
      <c r="C20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143 NE (CH 107),REHABILITACION  </v>
      </c>
      <c r="D20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63" s="47" t="s">
        <v>4075</v>
      </c>
      <c r="G2063" t="s">
        <v>4076</v>
      </c>
      <c r="H20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64" spans="1:8" ht="15" customHeight="1" x14ac:dyDescent="0.25">
      <c r="A2064" t="str">
        <f>MID(TB_CECO[[#This Row],[CECO_T]],1,5)</f>
        <v>2E510</v>
      </c>
      <c r="B2064" t="str">
        <f>MID(TB_CECO[[#This Row],[TRABAJO]],1,SEARCH(",",TB_CECO[[#This Row],[TRABAJO]],1)-1)</f>
        <v>SNV 123-1 NW (CH 044 )</v>
      </c>
      <c r="C20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NW (CH 044 ),SUMINISTROS</v>
      </c>
      <c r="D20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64" s="47" t="s">
        <v>4077</v>
      </c>
      <c r="G2064" t="s">
        <v>4078</v>
      </c>
      <c r="H20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65" spans="1:8" ht="15" customHeight="1" x14ac:dyDescent="0.25">
      <c r="A2065" t="str">
        <f>MID(TB_CECO[[#This Row],[CECO_T]],1,5)</f>
        <v>2E510</v>
      </c>
      <c r="B2065" t="str">
        <f>MID(TB_CECO[[#This Row],[TRABAJO]],1,SEARCH(",",TB_CECO[[#This Row],[TRABAJO]],1)-1)</f>
        <v>SNV 123-1 NW (CH 044 )</v>
      </c>
      <c r="C20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NW (CH 044 ),SOSTENIMIENTO</v>
      </c>
      <c r="D20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65" s="47" t="s">
        <v>4079</v>
      </c>
      <c r="G2065" t="s">
        <v>4080</v>
      </c>
      <c r="H20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66" spans="1:8" ht="15" customHeight="1" x14ac:dyDescent="0.25">
      <c r="A2066" t="str">
        <f>MID(TB_CECO[[#This Row],[CECO_T]],1,5)</f>
        <v>2E510</v>
      </c>
      <c r="B2066" t="str">
        <f>MID(TB_CECO[[#This Row],[TRABAJO]],1,SEARCH(",",TB_CECO[[#This Row],[TRABAJO]],1)-1)</f>
        <v>SNV 123-1 NW (CH 044 )</v>
      </c>
      <c r="C20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NW (CH 044 ),SERVICIO</v>
      </c>
      <c r="D20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66" s="47" t="s">
        <v>4081</v>
      </c>
      <c r="G2066" t="s">
        <v>4082</v>
      </c>
      <c r="H20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67" spans="1:8" ht="15" customHeight="1" x14ac:dyDescent="0.25">
      <c r="A2067" t="str">
        <f>MID(TB_CECO[[#This Row],[CECO_T]],1,5)</f>
        <v>2E510</v>
      </c>
      <c r="B2067" t="str">
        <f>MID(TB_CECO[[#This Row],[TRABAJO]],1,SEARCH(",",TB_CECO[[#This Row],[TRABAJO]],1)-1)</f>
        <v>SNV 123-1 NW (CH 044 )</v>
      </c>
      <c r="C20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NW (CH 044 ),REHABILITACION</v>
      </c>
      <c r="D20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67" s="47" t="s">
        <v>4083</v>
      </c>
      <c r="G2067" t="s">
        <v>4084</v>
      </c>
      <c r="H20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68" spans="1:8" ht="15" customHeight="1" x14ac:dyDescent="0.25">
      <c r="A2068" t="str">
        <f>MID(TB_CECO[[#This Row],[CECO_T]],1,5)</f>
        <v>2E511</v>
      </c>
      <c r="B2068" t="str">
        <f>MID(TB_CECO[[#This Row],[TRABAJO]],1,SEARCH(",",TB_CECO[[#This Row],[TRABAJO]],1)-1)</f>
        <v>SNV 140-NE (CH 053)</v>
      </c>
      <c r="C20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140-NE (CH 053),SUMINISTROS</v>
      </c>
      <c r="D20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68" s="47" t="s">
        <v>4085</v>
      </c>
      <c r="G2068" t="s">
        <v>4086</v>
      </c>
      <c r="H20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69" spans="1:8" ht="15" customHeight="1" x14ac:dyDescent="0.25">
      <c r="A2069" t="str">
        <f>MID(TB_CECO[[#This Row],[CECO_T]],1,5)</f>
        <v>2E511</v>
      </c>
      <c r="B2069" t="str">
        <f>MID(TB_CECO[[#This Row],[TRABAJO]],1,SEARCH(",",TB_CECO[[#This Row],[TRABAJO]],1)-1)</f>
        <v>SNV 140-NE (CH 053)</v>
      </c>
      <c r="C20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140-NE (CH 053),SOSTENIMIENTO</v>
      </c>
      <c r="D20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69" s="47" t="s">
        <v>4087</v>
      </c>
      <c r="G2069" t="s">
        <v>4088</v>
      </c>
      <c r="H20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70" spans="1:8" ht="15" customHeight="1" x14ac:dyDescent="0.25">
      <c r="A2070" t="str">
        <f>MID(TB_CECO[[#This Row],[CECO_T]],1,5)</f>
        <v>2E511</v>
      </c>
      <c r="B2070" t="str">
        <f>MID(TB_CECO[[#This Row],[TRABAJO]],1,SEARCH(",",TB_CECO[[#This Row],[TRABAJO]],1)-1)</f>
        <v>SNV 140-NE (CH 053)</v>
      </c>
      <c r="C20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140-NE (CH 053),SERVICIO</v>
      </c>
      <c r="D20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70" s="47" t="s">
        <v>4089</v>
      </c>
      <c r="G2070" t="s">
        <v>4090</v>
      </c>
      <c r="H20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71" spans="1:8" ht="15" customHeight="1" x14ac:dyDescent="0.25">
      <c r="A2071" t="str">
        <f>MID(TB_CECO[[#This Row],[CECO_T]],1,5)</f>
        <v>2E511</v>
      </c>
      <c r="B2071" t="str">
        <f>MID(TB_CECO[[#This Row],[TRABAJO]],1,SEARCH(",",TB_CECO[[#This Row],[TRABAJO]],1)-1)</f>
        <v>SNV 140-NE (CH 053)</v>
      </c>
      <c r="C20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140-NE (CH 053),REHABILITACION</v>
      </c>
      <c r="D20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71" s="47" t="s">
        <v>4091</v>
      </c>
      <c r="G2071" t="s">
        <v>4092</v>
      </c>
      <c r="H20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72" spans="1:8" ht="15" customHeight="1" x14ac:dyDescent="0.25">
      <c r="A2072" t="str">
        <f>MID(TB_CECO[[#This Row],[CECO_T]],1,5)</f>
        <v>2E512</v>
      </c>
      <c r="B2072" t="str">
        <f>MID(TB_CECO[[#This Row],[TRABAJO]],1,SEARCH(",",TB_CECO[[#This Row],[TRABAJO]],1)-1)</f>
        <v>SNV 140-SW (CH 053)</v>
      </c>
      <c r="C20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140-SW (CH 053),SUMINISTROS</v>
      </c>
      <c r="D20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72" s="47" t="s">
        <v>4093</v>
      </c>
      <c r="G2072" t="s">
        <v>4094</v>
      </c>
      <c r="H20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73" spans="1:8" ht="15" customHeight="1" x14ac:dyDescent="0.25">
      <c r="A2073" t="str">
        <f>MID(TB_CECO[[#This Row],[CECO_T]],1,5)</f>
        <v>2E512</v>
      </c>
      <c r="B2073" t="str">
        <f>MID(TB_CECO[[#This Row],[TRABAJO]],1,SEARCH(",",TB_CECO[[#This Row],[TRABAJO]],1)-1)</f>
        <v>SNV 140-SW (CH 053)</v>
      </c>
      <c r="C20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140-SW (CH 053),SOSTENIMIENTO</v>
      </c>
      <c r="D20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73" s="47" t="s">
        <v>4095</v>
      </c>
      <c r="G2073" t="s">
        <v>4096</v>
      </c>
      <c r="H20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74" spans="1:8" ht="15" customHeight="1" x14ac:dyDescent="0.25">
      <c r="A2074" t="str">
        <f>MID(TB_CECO[[#This Row],[CECO_T]],1,5)</f>
        <v>2E512</v>
      </c>
      <c r="B2074" t="str">
        <f>MID(TB_CECO[[#This Row],[TRABAJO]],1,SEARCH(",",TB_CECO[[#This Row],[TRABAJO]],1)-1)</f>
        <v>SNV 140-SW (CH 053)</v>
      </c>
      <c r="C20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140-SW (CH 053),SERVICIO</v>
      </c>
      <c r="D20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74" s="47" t="s">
        <v>4097</v>
      </c>
      <c r="G2074" t="s">
        <v>4098</v>
      </c>
      <c r="H20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75" spans="1:8" ht="15" customHeight="1" x14ac:dyDescent="0.25">
      <c r="A2075" t="str">
        <f>MID(TB_CECO[[#This Row],[CECO_T]],1,5)</f>
        <v>2E512</v>
      </c>
      <c r="B2075" t="str">
        <f>MID(TB_CECO[[#This Row],[TRABAJO]],1,SEARCH(",",TB_CECO[[#This Row],[TRABAJO]],1)-1)</f>
        <v>SNV 140-SW (CH 053)</v>
      </c>
      <c r="C20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140-SW (CH 053),REHABILITACION</v>
      </c>
      <c r="D20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75" s="47" t="s">
        <v>4099</v>
      </c>
      <c r="G2075" t="s">
        <v>4100</v>
      </c>
      <c r="H20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76" spans="1:8" ht="15" customHeight="1" x14ac:dyDescent="0.25">
      <c r="A2076" t="str">
        <f>MID(TB_CECO[[#This Row],[CECO_T]],1,5)</f>
        <v>2E513</v>
      </c>
      <c r="B2076" t="str">
        <f>MID(TB_CECO[[#This Row],[TRABAJO]],1,SEARCH(",",TB_CECO[[#This Row],[TRABAJO]],1)-1)</f>
        <v>SNV 123-1-NW (CH 044)</v>
      </c>
      <c r="C20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123-1-NW (CH 044),SUMINISTROS</v>
      </c>
      <c r="D20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76" s="47" t="s">
        <v>4101</v>
      </c>
      <c r="G2076" t="s">
        <v>4102</v>
      </c>
      <c r="H20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77" spans="1:8" ht="15" customHeight="1" x14ac:dyDescent="0.25">
      <c r="A2077" t="str">
        <f>MID(TB_CECO[[#This Row],[CECO_T]],1,5)</f>
        <v>2E513</v>
      </c>
      <c r="B2077" t="str">
        <f>MID(TB_CECO[[#This Row],[TRABAJO]],1,SEARCH(",",TB_CECO[[#This Row],[TRABAJO]],1)-1)</f>
        <v>SNV 123-1-NW (CH 044)</v>
      </c>
      <c r="C20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123-1-NW (CH 044),SOSTENIMIENTO</v>
      </c>
      <c r="D20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77" s="47" t="s">
        <v>4103</v>
      </c>
      <c r="G2077" t="s">
        <v>4104</v>
      </c>
      <c r="H20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78" spans="1:8" ht="15" customHeight="1" x14ac:dyDescent="0.25">
      <c r="A2078" t="str">
        <f>MID(TB_CECO[[#This Row],[CECO_T]],1,5)</f>
        <v>2E513</v>
      </c>
      <c r="B2078" t="str">
        <f>MID(TB_CECO[[#This Row],[TRABAJO]],1,SEARCH(",",TB_CECO[[#This Row],[TRABAJO]],1)-1)</f>
        <v>SNV 123-1-NW (CH 044)</v>
      </c>
      <c r="C20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123-1-NW (CH 044),SERVICIO</v>
      </c>
      <c r="D20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78" s="47" t="s">
        <v>4105</v>
      </c>
      <c r="G2078" t="s">
        <v>4106</v>
      </c>
      <c r="H20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79" spans="1:8" ht="15" customHeight="1" x14ac:dyDescent="0.25">
      <c r="A2079" t="str">
        <f>MID(TB_CECO[[#This Row],[CECO_T]],1,5)</f>
        <v>2E513</v>
      </c>
      <c r="B2079" t="str">
        <f>MID(TB_CECO[[#This Row],[TRABAJO]],1,SEARCH(",",TB_CECO[[#This Row],[TRABAJO]],1)-1)</f>
        <v>SNV 123-1-NW (CH 044)</v>
      </c>
      <c r="C20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123-1-NW (CH 044),REHABILITACION</v>
      </c>
      <c r="D20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79" s="47" t="s">
        <v>4107</v>
      </c>
      <c r="G2079" t="s">
        <v>4108</v>
      </c>
      <c r="H20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80" spans="1:8" ht="15" customHeight="1" x14ac:dyDescent="0.25">
      <c r="A2080" t="str">
        <f>MID(TB_CECO[[#This Row],[CECO_T]],1,5)</f>
        <v>2E515</v>
      </c>
      <c r="B2080" t="str">
        <f>MID(TB_CECO[[#This Row],[TRABAJO]],1,SEARCH(",",TB_CECO[[#This Row],[TRABAJO]],1)-1)</f>
        <v>SNV 183 SW (CH 084)</v>
      </c>
      <c r="C20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183 SW (CH 084),SUMINISTROS</v>
      </c>
      <c r="D20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80" s="47" t="s">
        <v>4109</v>
      </c>
      <c r="G2080" t="s">
        <v>4110</v>
      </c>
      <c r="H20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81" spans="1:8" ht="15" customHeight="1" x14ac:dyDescent="0.25">
      <c r="A2081" t="str">
        <f>MID(TB_CECO[[#This Row],[CECO_T]],1,5)</f>
        <v>2E515</v>
      </c>
      <c r="B2081" t="str">
        <f>MID(TB_CECO[[#This Row],[TRABAJO]],1,SEARCH(",",TB_CECO[[#This Row],[TRABAJO]],1)-1)</f>
        <v>SNV 183 SW (CH 084)</v>
      </c>
      <c r="C20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183 SW (CH 084),SOSTENIMIENTO</v>
      </c>
      <c r="D20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81" s="47" t="s">
        <v>4111</v>
      </c>
      <c r="G2081" t="s">
        <v>4112</v>
      </c>
      <c r="H20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82" spans="1:8" ht="15" customHeight="1" x14ac:dyDescent="0.25">
      <c r="A2082" t="str">
        <f>MID(TB_CECO[[#This Row],[CECO_T]],1,5)</f>
        <v>2E515</v>
      </c>
      <c r="B2082" t="str">
        <f>MID(TB_CECO[[#This Row],[TRABAJO]],1,SEARCH(",",TB_CECO[[#This Row],[TRABAJO]],1)-1)</f>
        <v>SNV 183 SW (CH 084)</v>
      </c>
      <c r="C20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183 SW (CH 084),SERVICIO</v>
      </c>
      <c r="D20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82" s="47" t="s">
        <v>4113</v>
      </c>
      <c r="G2082" t="s">
        <v>4114</v>
      </c>
      <c r="H20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83" spans="1:8" ht="15" customHeight="1" x14ac:dyDescent="0.25">
      <c r="A2083" t="str">
        <f>MID(TB_CECO[[#This Row],[CECO_T]],1,5)</f>
        <v>2E515</v>
      </c>
      <c r="B2083" t="str">
        <f>MID(TB_CECO[[#This Row],[TRABAJO]],1,SEARCH(",",TB_CECO[[#This Row],[TRABAJO]],1)-1)</f>
        <v>SNV 183 SW (CH 084)</v>
      </c>
      <c r="C20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183 SW (CH 084),REHABILITACION</v>
      </c>
      <c r="D20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83" s="47" t="s">
        <v>4115</v>
      </c>
      <c r="G2083" t="s">
        <v>4116</v>
      </c>
      <c r="H20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84" spans="1:8" ht="15" customHeight="1" x14ac:dyDescent="0.25">
      <c r="A2084" t="str">
        <f>MID(TB_CECO[[#This Row],[CECO_T]],1,5)</f>
        <v>2E516</v>
      </c>
      <c r="B2084" t="str">
        <f>MID(TB_CECO[[#This Row],[TRABAJO]],1,SEARCH(",",TB_CECO[[#This Row],[TRABAJO]],1)-1)</f>
        <v>SNV 183 NE (CH 084)</v>
      </c>
      <c r="C20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183 NE (CH 084),SUMINISTROS</v>
      </c>
      <c r="D20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84" s="47" t="s">
        <v>4117</v>
      </c>
      <c r="G2084" t="s">
        <v>4118</v>
      </c>
      <c r="H20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85" spans="1:8" ht="15" customHeight="1" x14ac:dyDescent="0.25">
      <c r="A2085" t="str">
        <f>MID(TB_CECO[[#This Row],[CECO_T]],1,5)</f>
        <v>2E516</v>
      </c>
      <c r="B2085" t="str">
        <f>MID(TB_CECO[[#This Row],[TRABAJO]],1,SEARCH(",",TB_CECO[[#This Row],[TRABAJO]],1)-1)</f>
        <v>SNV 183 NE (CH 084)</v>
      </c>
      <c r="C20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183 NE (CH 084),SOSTENIMIENTO</v>
      </c>
      <c r="D20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85" s="47" t="s">
        <v>4119</v>
      </c>
      <c r="G2085" t="s">
        <v>4120</v>
      </c>
      <c r="H20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86" spans="1:8" ht="15" customHeight="1" x14ac:dyDescent="0.25">
      <c r="A2086" t="str">
        <f>MID(TB_CECO[[#This Row],[CECO_T]],1,5)</f>
        <v>2E516</v>
      </c>
      <c r="B2086" t="str">
        <f>MID(TB_CECO[[#This Row],[TRABAJO]],1,SEARCH(",",TB_CECO[[#This Row],[TRABAJO]],1)-1)</f>
        <v>SNV 183 NE (CH 084)</v>
      </c>
      <c r="C20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183 NE (CH 084),SERVICIO</v>
      </c>
      <c r="D20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86" s="47" t="s">
        <v>4121</v>
      </c>
      <c r="G2086" t="s">
        <v>4122</v>
      </c>
      <c r="H20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87" spans="1:8" ht="15" customHeight="1" x14ac:dyDescent="0.25">
      <c r="A2087" t="str">
        <f>MID(TB_CECO[[#This Row],[CECO_T]],1,5)</f>
        <v>2E516</v>
      </c>
      <c r="B2087" t="str">
        <f>MID(TB_CECO[[#This Row],[TRABAJO]],1,SEARCH(",",TB_CECO[[#This Row],[TRABAJO]],1)-1)</f>
        <v>SNV 183 NE (CH 084)</v>
      </c>
      <c r="C20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183 NE (CH 084),REHABILITACION</v>
      </c>
      <c r="D20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87" s="47" t="s">
        <v>4123</v>
      </c>
      <c r="G2087" t="s">
        <v>4124</v>
      </c>
      <c r="H20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88" spans="1:8" ht="15" customHeight="1" x14ac:dyDescent="0.25">
      <c r="A2088" t="str">
        <f>MID(TB_CECO[[#This Row],[CECO_T]],1,5)</f>
        <v>2E517</v>
      </c>
      <c r="B2088" t="str">
        <f>MID(TB_CECO[[#This Row],[TRABAJO]],1,SEARCH(",",TB_CECO[[#This Row],[TRABAJO]],1)-1)</f>
        <v>SNV 123-2 NE (SNV 123-1 SW)</v>
      </c>
      <c r="C20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123-2 NE (SNV 123-1 SW),SUMINISTROS</v>
      </c>
      <c r="D20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88" s="47" t="s">
        <v>4125</v>
      </c>
      <c r="G2088" t="s">
        <v>4126</v>
      </c>
      <c r="H20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89" spans="1:8" ht="15" customHeight="1" x14ac:dyDescent="0.25">
      <c r="A2089" t="str">
        <f>MID(TB_CECO[[#This Row],[CECO_T]],1,5)</f>
        <v>2E517</v>
      </c>
      <c r="B2089" t="str">
        <f>MID(TB_CECO[[#This Row],[TRABAJO]],1,SEARCH(",",TB_CECO[[#This Row],[TRABAJO]],1)-1)</f>
        <v>SNV 123-2 NE (SNV 123-1 SW)</v>
      </c>
      <c r="C20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123-2 NE (SNV 123-1 SW),SOSTENIMIENTO</v>
      </c>
      <c r="D20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89" s="47" t="s">
        <v>4127</v>
      </c>
      <c r="G2089" t="s">
        <v>4128</v>
      </c>
      <c r="H20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90" spans="1:8" ht="15" customHeight="1" x14ac:dyDescent="0.25">
      <c r="A2090" t="str">
        <f>MID(TB_CECO[[#This Row],[CECO_T]],1,5)</f>
        <v>2E517</v>
      </c>
      <c r="B2090" t="str">
        <f>MID(TB_CECO[[#This Row],[TRABAJO]],1,SEARCH(",",TB_CECO[[#This Row],[TRABAJO]],1)-1)</f>
        <v>SNV 123-2 NE (SNV 123-1 SW)</v>
      </c>
      <c r="C20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123-2 NE (SNV 123-1 SW),SERVICIO</v>
      </c>
      <c r="D20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90" s="47" t="s">
        <v>4129</v>
      </c>
      <c r="G2090" t="s">
        <v>4130</v>
      </c>
      <c r="H20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91" spans="1:8" ht="15" customHeight="1" x14ac:dyDescent="0.25">
      <c r="A2091" t="str">
        <f>MID(TB_CECO[[#This Row],[CECO_T]],1,5)</f>
        <v>2E517</v>
      </c>
      <c r="B2091" t="str">
        <f>MID(TB_CECO[[#This Row],[TRABAJO]],1,SEARCH(",",TB_CECO[[#This Row],[TRABAJO]],1)-1)</f>
        <v>SNV 123-2 NE (SNV 123-1 SW)</v>
      </c>
      <c r="C20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123-2 NE (SNV 123-1 SW),REHABILITACION</v>
      </c>
      <c r="D20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91" s="47" t="s">
        <v>4131</v>
      </c>
      <c r="G2091" t="s">
        <v>4132</v>
      </c>
      <c r="H20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92" spans="1:8" ht="15" customHeight="1" x14ac:dyDescent="0.25">
      <c r="A2092" t="str">
        <f>MID(TB_CECO[[#This Row],[CECO_T]],1,5)</f>
        <v>2E521</v>
      </c>
      <c r="B2092" t="str">
        <f>MID(TB_CECO[[#This Row],[TRABAJO]],1,SEARCH(",",TB_CECO[[#This Row],[TRABAJO]],1)-1)</f>
        <v>SNV 107 NE (CH 107)</v>
      </c>
      <c r="C20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NE (CH 107),SUMINISTROS</v>
      </c>
      <c r="D20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92" s="47" t="s">
        <v>4133</v>
      </c>
      <c r="G2092" t="s">
        <v>4134</v>
      </c>
      <c r="H20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93" spans="1:8" ht="15" customHeight="1" x14ac:dyDescent="0.25">
      <c r="A2093" t="str">
        <f>MID(TB_CECO[[#This Row],[CECO_T]],1,5)</f>
        <v>2E521</v>
      </c>
      <c r="B2093" t="str">
        <f>MID(TB_CECO[[#This Row],[TRABAJO]],1,SEARCH(",",TB_CECO[[#This Row],[TRABAJO]],1)-1)</f>
        <v>SNV 107 NE (CH 107)</v>
      </c>
      <c r="C20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NE (CH 107),SOSTENIMIENTO</v>
      </c>
      <c r="D20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93" s="47" t="s">
        <v>4135</v>
      </c>
      <c r="G2093" t="s">
        <v>4136</v>
      </c>
      <c r="H20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94" spans="1:8" ht="15" customHeight="1" x14ac:dyDescent="0.25">
      <c r="A2094" t="str">
        <f>MID(TB_CECO[[#This Row],[CECO_T]],1,5)</f>
        <v>2E521</v>
      </c>
      <c r="B2094" t="str">
        <f>MID(TB_CECO[[#This Row],[TRABAJO]],1,SEARCH(",",TB_CECO[[#This Row],[TRABAJO]],1)-1)</f>
        <v>SNV 107 NE (CH 107)</v>
      </c>
      <c r="C20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NE (CH 107),SERVICIO</v>
      </c>
      <c r="D20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94" s="47" t="s">
        <v>4137</v>
      </c>
      <c r="G2094" t="s">
        <v>4138</v>
      </c>
      <c r="H20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95" spans="1:8" ht="15" customHeight="1" x14ac:dyDescent="0.25">
      <c r="A2095" t="str">
        <f>MID(TB_CECO[[#This Row],[CECO_T]],1,5)</f>
        <v>2E521</v>
      </c>
      <c r="B2095" t="str">
        <f>MID(TB_CECO[[#This Row],[TRABAJO]],1,SEARCH(",",TB_CECO[[#This Row],[TRABAJO]],1)-1)</f>
        <v>SNV 107 NE (CH 107)</v>
      </c>
      <c r="C20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NE (CH 107),REHABILITACION</v>
      </c>
      <c r="D20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95" s="47" t="s">
        <v>4139</v>
      </c>
      <c r="G2095" t="s">
        <v>4140</v>
      </c>
      <c r="H20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96" spans="1:8" ht="15" customHeight="1" x14ac:dyDescent="0.25">
      <c r="A2096" t="str">
        <f>MID(TB_CECO[[#This Row],[CECO_T]],1,5)</f>
        <v>2E523</v>
      </c>
      <c r="B2096" t="str">
        <f>MID(TB_CECO[[#This Row],[TRABAJO]],1,SEARCH(",",TB_CECO[[#This Row],[TRABAJO]],1)-1)</f>
        <v>SNV 107 SW (CH 107)</v>
      </c>
      <c r="C20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SW (CH 107),SUMINISTROS</v>
      </c>
      <c r="D20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96" s="47" t="s">
        <v>4141</v>
      </c>
      <c r="G2096" t="s">
        <v>4142</v>
      </c>
      <c r="H20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97" spans="1:8" ht="15" customHeight="1" x14ac:dyDescent="0.25">
      <c r="A2097" t="str">
        <f>MID(TB_CECO[[#This Row],[CECO_T]],1,5)</f>
        <v>2E523</v>
      </c>
      <c r="B2097" t="str">
        <f>MID(TB_CECO[[#This Row],[TRABAJO]],1,SEARCH(",",TB_CECO[[#This Row],[TRABAJO]],1)-1)</f>
        <v>SNV 107 SW (CH 107)</v>
      </c>
      <c r="C20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SW (CH 107),SOSTENIMIENTO</v>
      </c>
      <c r="D20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97" s="47" t="s">
        <v>4143</v>
      </c>
      <c r="G2097" t="s">
        <v>4144</v>
      </c>
      <c r="H20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98" spans="1:8" ht="15" customHeight="1" x14ac:dyDescent="0.25">
      <c r="A2098" t="str">
        <f>MID(TB_CECO[[#This Row],[CECO_T]],1,5)</f>
        <v>2E523</v>
      </c>
      <c r="B2098" t="str">
        <f>MID(TB_CECO[[#This Row],[TRABAJO]],1,SEARCH(",",TB_CECO[[#This Row],[TRABAJO]],1)-1)</f>
        <v>SNV 107 SW (CH 107)</v>
      </c>
      <c r="C20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SW (CH 107),SERVICIO</v>
      </c>
      <c r="D20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98" s="47" t="s">
        <v>4145</v>
      </c>
      <c r="G2098" t="s">
        <v>4146</v>
      </c>
      <c r="H20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099" spans="1:8" ht="15" customHeight="1" x14ac:dyDescent="0.25">
      <c r="A2099" t="str">
        <f>MID(TB_CECO[[#This Row],[CECO_T]],1,5)</f>
        <v>2E523</v>
      </c>
      <c r="B2099" t="str">
        <f>MID(TB_CECO[[#This Row],[TRABAJO]],1,SEARCH(",",TB_CECO[[#This Row],[TRABAJO]],1)-1)</f>
        <v>SNV 107 SW (CH 107)</v>
      </c>
      <c r="C20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SW (CH 107),REHABILITACION</v>
      </c>
      <c r="D20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0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099" s="47" t="s">
        <v>4147</v>
      </c>
      <c r="G2099" t="s">
        <v>4148</v>
      </c>
      <c r="H20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00" spans="1:8" ht="15" customHeight="1" x14ac:dyDescent="0.25">
      <c r="A2100" t="str">
        <f>MID(TB_CECO[[#This Row],[CECO_T]],1,5)</f>
        <v>2E536</v>
      </c>
      <c r="B2100" t="str">
        <f>MID(TB_CECO[[#This Row],[TRABAJO]],1,SEARCH(",",TB_CECO[[#This Row],[TRABAJO]],1)-1)</f>
        <v>SNV 128 NE (TJ 117 NE)</v>
      </c>
      <c r="C21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128 NE (TJ 117 NE),SUMINISTROS</v>
      </c>
      <c r="D21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00" s="47" t="s">
        <v>4149</v>
      </c>
      <c r="G2100" t="s">
        <v>4150</v>
      </c>
      <c r="H21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01" spans="1:8" ht="15" customHeight="1" x14ac:dyDescent="0.25">
      <c r="A2101" t="str">
        <f>MID(TB_CECO[[#This Row],[CECO_T]],1,5)</f>
        <v>2E536</v>
      </c>
      <c r="B2101" t="str">
        <f>MID(TB_CECO[[#This Row],[TRABAJO]],1,SEARCH(",",TB_CECO[[#This Row],[TRABAJO]],1)-1)</f>
        <v>SNV 128 NE (TJ 117 NE)</v>
      </c>
      <c r="C21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128 NE (TJ 117 NE),SOSTENIMIENTO</v>
      </c>
      <c r="D21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01" s="47" t="s">
        <v>4151</v>
      </c>
      <c r="G2101" t="s">
        <v>4152</v>
      </c>
      <c r="H21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02" spans="1:8" ht="15" customHeight="1" x14ac:dyDescent="0.25">
      <c r="A2102" t="str">
        <f>MID(TB_CECO[[#This Row],[CECO_T]],1,5)</f>
        <v>2E536</v>
      </c>
      <c r="B2102" t="str">
        <f>MID(TB_CECO[[#This Row],[TRABAJO]],1,SEARCH(",",TB_CECO[[#This Row],[TRABAJO]],1)-1)</f>
        <v>SNV 128 NE (TJ 117 NE)</v>
      </c>
      <c r="C21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128 NE (TJ 117 NE),SERVICIO</v>
      </c>
      <c r="D21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02" s="47" t="s">
        <v>4153</v>
      </c>
      <c r="G2102" t="s">
        <v>4154</v>
      </c>
      <c r="H21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03" spans="1:8" ht="15" customHeight="1" x14ac:dyDescent="0.25">
      <c r="A2103" t="str">
        <f>MID(TB_CECO[[#This Row],[CECO_T]],1,5)</f>
        <v>2E536</v>
      </c>
      <c r="B2103" t="str">
        <f>MID(TB_CECO[[#This Row],[TRABAJO]],1,SEARCH(",",TB_CECO[[#This Row],[TRABAJO]],1)-1)</f>
        <v>SNV 128 NE (TJ 117 NE)</v>
      </c>
      <c r="C21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128 NE (TJ 117 NE),REHABILITACION</v>
      </c>
      <c r="D21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03" s="47" t="s">
        <v>4155</v>
      </c>
      <c r="G2103" t="s">
        <v>4156</v>
      </c>
      <c r="H21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04" spans="1:8" ht="15" customHeight="1" x14ac:dyDescent="0.25">
      <c r="A2104" t="str">
        <f>MID(TB_CECO[[#This Row],[CECO_T]],1,5)</f>
        <v>2E540</v>
      </c>
      <c r="B2104" t="str">
        <f>MID(TB_CECO[[#This Row],[TRABAJO]],1,SEARCH(",",TB_CECO[[#This Row],[TRABAJO]],1)-1)</f>
        <v>SNV 092 NE (EST 075-1 SE)</v>
      </c>
      <c r="C21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092 NE (EST 075-1 SE),SUMINISTROS</v>
      </c>
      <c r="D21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04" s="47" t="s">
        <v>4157</v>
      </c>
      <c r="G2104" t="s">
        <v>4158</v>
      </c>
      <c r="H21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05" spans="1:8" ht="15" customHeight="1" x14ac:dyDescent="0.25">
      <c r="A2105" t="str">
        <f>MID(TB_CECO[[#This Row],[CECO_T]],1,5)</f>
        <v>2E540</v>
      </c>
      <c r="B2105" t="str">
        <f>MID(TB_CECO[[#This Row],[TRABAJO]],1,SEARCH(",",TB_CECO[[#This Row],[TRABAJO]],1)-1)</f>
        <v>SNV 092 NE (EST 075-1 SE)</v>
      </c>
      <c r="C21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092 NE (EST 075-1 SE),SOSTENIMIENTO</v>
      </c>
      <c r="D21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05" s="47" t="s">
        <v>4159</v>
      </c>
      <c r="G2105" t="s">
        <v>4160</v>
      </c>
      <c r="H21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06" spans="1:8" ht="15" customHeight="1" x14ac:dyDescent="0.25">
      <c r="A2106" t="str">
        <f>MID(TB_CECO[[#This Row],[CECO_T]],1,5)</f>
        <v>2E540</v>
      </c>
      <c r="B2106" t="str">
        <f>MID(TB_CECO[[#This Row],[TRABAJO]],1,SEARCH(",",TB_CECO[[#This Row],[TRABAJO]],1)-1)</f>
        <v>SNV 092 NE (EST 075-1 SE)</v>
      </c>
      <c r="C21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092 NE (EST 075-1 SE),SERVICIO</v>
      </c>
      <c r="D21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06" s="47" t="s">
        <v>4161</v>
      </c>
      <c r="G2106" t="s">
        <v>4162</v>
      </c>
      <c r="H21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07" spans="1:8" ht="15" customHeight="1" x14ac:dyDescent="0.25">
      <c r="A2107" t="str">
        <f>MID(TB_CECO[[#This Row],[CECO_T]],1,5)</f>
        <v>2E540</v>
      </c>
      <c r="B2107" t="str">
        <f>MID(TB_CECO[[#This Row],[TRABAJO]],1,SEARCH(",",TB_CECO[[#This Row],[TRABAJO]],1)-1)</f>
        <v>SNV 092 NE (EST 075-1 SE)</v>
      </c>
      <c r="C21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092 NE (EST 075-1 SE),REHABILITACION</v>
      </c>
      <c r="D21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07" s="47" t="s">
        <v>4163</v>
      </c>
      <c r="G2107" t="s">
        <v>4164</v>
      </c>
      <c r="H21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08" spans="1:8" ht="15" customHeight="1" x14ac:dyDescent="0.25">
      <c r="A2108" t="str">
        <f>MID(TB_CECO[[#This Row],[CECO_T]],1,5)</f>
        <v>2E541</v>
      </c>
      <c r="B2108" t="str">
        <f>MID(TB_CECO[[#This Row],[TRABAJO]],1,SEARCH(",",TB_CECO[[#This Row],[TRABAJO]],1)-1)</f>
        <v>SNV 092 SW (EST 075-1 SE)</v>
      </c>
      <c r="C21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092 SW (EST 075-1 SE),SUMINISTROS</v>
      </c>
      <c r="D21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08" s="47" t="s">
        <v>4165</v>
      </c>
      <c r="G2108" t="s">
        <v>4166</v>
      </c>
      <c r="H21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09" spans="1:8" ht="15" customHeight="1" x14ac:dyDescent="0.25">
      <c r="A2109" t="str">
        <f>MID(TB_CECO[[#This Row],[CECO_T]],1,5)</f>
        <v>2E541</v>
      </c>
      <c r="B2109" t="str">
        <f>MID(TB_CECO[[#This Row],[TRABAJO]],1,SEARCH(",",TB_CECO[[#This Row],[TRABAJO]],1)-1)</f>
        <v>SNV 092 SW (EST 075-1 SE)</v>
      </c>
      <c r="C21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092 SW (EST 075-1 SE),SOSTENIMIENTO</v>
      </c>
      <c r="D21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09" s="47" t="s">
        <v>4167</v>
      </c>
      <c r="G2109" t="s">
        <v>4168</v>
      </c>
      <c r="H21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10" spans="1:8" ht="15" customHeight="1" x14ac:dyDescent="0.25">
      <c r="A2110" t="str">
        <f>MID(TB_CECO[[#This Row],[CECO_T]],1,5)</f>
        <v>2E541</v>
      </c>
      <c r="B2110" t="str">
        <f>MID(TB_CECO[[#This Row],[TRABAJO]],1,SEARCH(",",TB_CECO[[#This Row],[TRABAJO]],1)-1)</f>
        <v>SNV 092 SW (EST 075-1 SE)</v>
      </c>
      <c r="C21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092 SW (EST 075-1 SE),SERVICIO</v>
      </c>
      <c r="D21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10" s="47" t="s">
        <v>4169</v>
      </c>
      <c r="G2110" t="s">
        <v>4170</v>
      </c>
      <c r="H21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11" spans="1:8" ht="15" customHeight="1" x14ac:dyDescent="0.25">
      <c r="A2111" t="str">
        <f>MID(TB_CECO[[#This Row],[CECO_T]],1,5)</f>
        <v>2E541</v>
      </c>
      <c r="B2111" t="str">
        <f>MID(TB_CECO[[#This Row],[TRABAJO]],1,SEARCH(",",TB_CECO[[#This Row],[TRABAJO]],1)-1)</f>
        <v>SNV 092 SW (EST 075-1 SE)</v>
      </c>
      <c r="C21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092 SW (EST 075-1 SE),REHABILITACION</v>
      </c>
      <c r="D21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11" s="47" t="s">
        <v>4171</v>
      </c>
      <c r="G2111" t="s">
        <v>4172</v>
      </c>
      <c r="H21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12" spans="1:8" ht="15" customHeight="1" x14ac:dyDescent="0.25">
      <c r="A2112" t="str">
        <f>MID(TB_CECO[[#This Row],[CECO_T]],1,5)</f>
        <v>2E545</v>
      </c>
      <c r="B2112" t="str">
        <f>MID(TB_CECO[[#This Row],[TRABAJO]],1,SEARCH(",",TB_CECO[[#This Row],[TRABAJO]],1)-1)</f>
        <v>SNV 155 SW (TJ 111 SW)</v>
      </c>
      <c r="C21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155 SW (TJ 111 SW),SUMINISTROS</v>
      </c>
      <c r="D21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12" s="47" t="s">
        <v>4173</v>
      </c>
      <c r="G2112" t="s">
        <v>4174</v>
      </c>
      <c r="H21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13" spans="1:8" ht="15" customHeight="1" x14ac:dyDescent="0.25">
      <c r="A2113" t="str">
        <f>MID(TB_CECO[[#This Row],[CECO_T]],1,5)</f>
        <v>2E545</v>
      </c>
      <c r="B2113" t="str">
        <f>MID(TB_CECO[[#This Row],[TRABAJO]],1,SEARCH(",",TB_CECO[[#This Row],[TRABAJO]],1)-1)</f>
        <v>SNV 155 SW (TJ 111 SW)</v>
      </c>
      <c r="C21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155 SW (TJ 111 SW),SOSTENIMIENTO</v>
      </c>
      <c r="D21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13" s="47" t="s">
        <v>4175</v>
      </c>
      <c r="G2113" t="s">
        <v>4176</v>
      </c>
      <c r="H21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14" spans="1:8" ht="15" customHeight="1" x14ac:dyDescent="0.25">
      <c r="A2114" t="str">
        <f>MID(TB_CECO[[#This Row],[CECO_T]],1,5)</f>
        <v>2E545</v>
      </c>
      <c r="B2114" t="str">
        <f>MID(TB_CECO[[#This Row],[TRABAJO]],1,SEARCH(",",TB_CECO[[#This Row],[TRABAJO]],1)-1)</f>
        <v>SNV 155 SW (TJ 111 SW)</v>
      </c>
      <c r="C21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155 SW (TJ 111 SW),SERVICIO</v>
      </c>
      <c r="D21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14" s="47" t="s">
        <v>4177</v>
      </c>
      <c r="G2114" t="s">
        <v>4178</v>
      </c>
      <c r="H21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15" spans="1:8" ht="15" customHeight="1" x14ac:dyDescent="0.25">
      <c r="A2115" t="str">
        <f>MID(TB_CECO[[#This Row],[CECO_T]],1,5)</f>
        <v>2E545</v>
      </c>
      <c r="B2115" t="str">
        <f>MID(TB_CECO[[#This Row],[TRABAJO]],1,SEARCH(",",TB_CECO[[#This Row],[TRABAJO]],1)-1)</f>
        <v>SNV 155 SW (TJ 111 SW)</v>
      </c>
      <c r="C21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155 SW (TJ 111 SW),REHABILITACION</v>
      </c>
      <c r="D21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15" s="47" t="s">
        <v>4179</v>
      </c>
      <c r="G2115" t="s">
        <v>4180</v>
      </c>
      <c r="H21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16" spans="1:8" ht="15" customHeight="1" x14ac:dyDescent="0.25">
      <c r="A2116" t="str">
        <f>MID(TB_CECO[[#This Row],[CECO_T]],1,5)</f>
        <v>2E552</v>
      </c>
      <c r="B2116" t="str">
        <f>MID(TB_CECO[[#This Row],[TRABAJO]],1,SEARCH(",",TB_CECO[[#This Row],[TRABAJO]],1)-1)</f>
        <v>Snv 160 SW (Ch 044)</v>
      </c>
      <c r="C21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160 SW (Ch 044),SUMINISTROS</v>
      </c>
      <c r="D21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16" s="47" t="s">
        <v>4181</v>
      </c>
      <c r="G2116" t="s">
        <v>4182</v>
      </c>
      <c r="H21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17" spans="1:8" ht="15" customHeight="1" x14ac:dyDescent="0.25">
      <c r="A2117" t="str">
        <f>MID(TB_CECO[[#This Row],[CECO_T]],1,5)</f>
        <v>2E552</v>
      </c>
      <c r="B2117" t="str">
        <f>MID(TB_CECO[[#This Row],[TRABAJO]],1,SEARCH(",",TB_CECO[[#This Row],[TRABAJO]],1)-1)</f>
        <v>Snv 160 SW (Ch 044)</v>
      </c>
      <c r="C21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160 SW (Ch 044),SOSTENIMIENTO</v>
      </c>
      <c r="D21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17" s="47" t="s">
        <v>4183</v>
      </c>
      <c r="G2117" t="s">
        <v>4184</v>
      </c>
      <c r="H21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18" spans="1:8" ht="15" customHeight="1" x14ac:dyDescent="0.25">
      <c r="A2118" t="str">
        <f>MID(TB_CECO[[#This Row],[CECO_T]],1,5)</f>
        <v>2E552</v>
      </c>
      <c r="B2118" t="str">
        <f>MID(TB_CECO[[#This Row],[TRABAJO]],1,SEARCH(",",TB_CECO[[#This Row],[TRABAJO]],1)-1)</f>
        <v>Snv 160 SW (Ch 044)</v>
      </c>
      <c r="C21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160 SW (Ch 044),SERVICIO</v>
      </c>
      <c r="D21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18" s="47" t="s">
        <v>4185</v>
      </c>
      <c r="G2118" t="s">
        <v>4186</v>
      </c>
      <c r="H21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19" spans="1:8" ht="15" customHeight="1" x14ac:dyDescent="0.25">
      <c r="A2119" t="str">
        <f>MID(TB_CECO[[#This Row],[CECO_T]],1,5)</f>
        <v>2E552</v>
      </c>
      <c r="B2119" t="str">
        <f>MID(TB_CECO[[#This Row],[TRABAJO]],1,SEARCH(",",TB_CECO[[#This Row],[TRABAJO]],1)-1)</f>
        <v>Snv 160 SW (Ch 044)</v>
      </c>
      <c r="C21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160 SW (Ch 044),REHABILITACION</v>
      </c>
      <c r="D21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19" s="47" t="s">
        <v>4187</v>
      </c>
      <c r="G2119" t="s">
        <v>4188</v>
      </c>
      <c r="H21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20" spans="1:8" ht="15" customHeight="1" x14ac:dyDescent="0.25">
      <c r="A2120" t="str">
        <f>MID(TB_CECO[[#This Row],[CECO_T]],1,5)</f>
        <v>2E553</v>
      </c>
      <c r="B2120" t="str">
        <f>MID(TB_CECO[[#This Row],[TRABAJO]],1,SEARCH(",",TB_CECO[[#This Row],[TRABAJO]],1)-1)</f>
        <v>Snv 160 NE (Ch 044)</v>
      </c>
      <c r="C21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160 NE (Ch 044),SUMINISTROS</v>
      </c>
      <c r="D21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20" s="47" t="s">
        <v>4189</v>
      </c>
      <c r="G2120" t="s">
        <v>4190</v>
      </c>
      <c r="H21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21" spans="1:8" ht="15" customHeight="1" x14ac:dyDescent="0.25">
      <c r="A2121" t="str">
        <f>MID(TB_CECO[[#This Row],[CECO_T]],1,5)</f>
        <v>2E553</v>
      </c>
      <c r="B2121" t="str">
        <f>MID(TB_CECO[[#This Row],[TRABAJO]],1,SEARCH(",",TB_CECO[[#This Row],[TRABAJO]],1)-1)</f>
        <v>Snv 160 NE (Ch 044)</v>
      </c>
      <c r="C21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160 NE (Ch 044),SOSTENIMIENTO</v>
      </c>
      <c r="D21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21" s="47" t="s">
        <v>4191</v>
      </c>
      <c r="G2121" t="s">
        <v>4192</v>
      </c>
      <c r="H21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22" spans="1:8" ht="15" customHeight="1" x14ac:dyDescent="0.25">
      <c r="A2122" t="str">
        <f>MID(TB_CECO[[#This Row],[CECO_T]],1,5)</f>
        <v>2E553</v>
      </c>
      <c r="B2122" t="str">
        <f>MID(TB_CECO[[#This Row],[TRABAJO]],1,SEARCH(",",TB_CECO[[#This Row],[TRABAJO]],1)-1)</f>
        <v>Snv 160 NE (Ch 044)</v>
      </c>
      <c r="C21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160 NE (Ch 044),SERVICIO</v>
      </c>
      <c r="D21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22" s="47" t="s">
        <v>4193</v>
      </c>
      <c r="G2122" t="s">
        <v>4194</v>
      </c>
      <c r="H21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23" spans="1:8" ht="15" customHeight="1" x14ac:dyDescent="0.25">
      <c r="A2123" t="str">
        <f>MID(TB_CECO[[#This Row],[CECO_T]],1,5)</f>
        <v>2E553</v>
      </c>
      <c r="B2123" t="str">
        <f>MID(TB_CECO[[#This Row],[TRABAJO]],1,SEARCH(",",TB_CECO[[#This Row],[TRABAJO]],1)-1)</f>
        <v>Snv 160 NE (Ch 044)</v>
      </c>
      <c r="C21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160 NE (Ch 044),REHABILITACION</v>
      </c>
      <c r="D21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23" s="47" t="s">
        <v>4195</v>
      </c>
      <c r="G2123" t="s">
        <v>4196</v>
      </c>
      <c r="H21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24" spans="1:8" ht="15" customHeight="1" x14ac:dyDescent="0.25">
      <c r="A2124" t="str">
        <f>MID(TB_CECO[[#This Row],[CECO_T]],1,5)</f>
        <v>2E560</v>
      </c>
      <c r="B2124" t="str">
        <f>MID(TB_CECO[[#This Row],[TRABAJO]],1,SEARCH(",",TB_CECO[[#This Row],[TRABAJO]],1)-1)</f>
        <v>Snv 139 SW (Tj 101)</v>
      </c>
      <c r="C21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139 SW (Tj 101),SUMINISTROS</v>
      </c>
      <c r="D21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24" s="47" t="s">
        <v>4197</v>
      </c>
      <c r="G2124" t="s">
        <v>4198</v>
      </c>
      <c r="H21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25" spans="1:8" ht="15" customHeight="1" x14ac:dyDescent="0.25">
      <c r="A2125" t="str">
        <f>MID(TB_CECO[[#This Row],[CECO_T]],1,5)</f>
        <v>2E560</v>
      </c>
      <c r="B2125" t="str">
        <f>MID(TB_CECO[[#This Row],[TRABAJO]],1,SEARCH(",",TB_CECO[[#This Row],[TRABAJO]],1)-1)</f>
        <v>Snv 139 SW (Tj 101)</v>
      </c>
      <c r="C21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139 SW (Tj 101),SOSTENIMIENTO</v>
      </c>
      <c r="D21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25" s="47" t="s">
        <v>4199</v>
      </c>
      <c r="G2125" t="s">
        <v>4200</v>
      </c>
      <c r="H21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26" spans="1:8" ht="15" customHeight="1" x14ac:dyDescent="0.25">
      <c r="A2126" t="str">
        <f>MID(TB_CECO[[#This Row],[CECO_T]],1,5)</f>
        <v>2E560</v>
      </c>
      <c r="B2126" t="str">
        <f>MID(TB_CECO[[#This Row],[TRABAJO]],1,SEARCH(",",TB_CECO[[#This Row],[TRABAJO]],1)-1)</f>
        <v>Snv 139 SW (Tj 101)</v>
      </c>
      <c r="C21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139 SW (Tj 101),SERVICIO</v>
      </c>
      <c r="D21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26" s="47" t="s">
        <v>4201</v>
      </c>
      <c r="G2126" t="s">
        <v>4202</v>
      </c>
      <c r="H21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27" spans="1:8" ht="15" customHeight="1" x14ac:dyDescent="0.25">
      <c r="A2127" t="str">
        <f>MID(TB_CECO[[#This Row],[CECO_T]],1,5)</f>
        <v>2E560</v>
      </c>
      <c r="B2127" t="str">
        <f>MID(TB_CECO[[#This Row],[TRABAJO]],1,SEARCH(",",TB_CECO[[#This Row],[TRABAJO]],1)-1)</f>
        <v>Snv 139 SW (Tj 101)</v>
      </c>
      <c r="C21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139 SW (Tj 101),REHABILITACION</v>
      </c>
      <c r="D21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27" s="47" t="s">
        <v>4203</v>
      </c>
      <c r="G2127" t="s">
        <v>4204</v>
      </c>
      <c r="H21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28" spans="1:8" ht="15" customHeight="1" x14ac:dyDescent="0.25">
      <c r="A2128" t="str">
        <f>MID(TB_CECO[[#This Row],[CECO_T]],1,5)</f>
        <v>2E561</v>
      </c>
      <c r="B2128" t="str">
        <f>MID(TB_CECO[[#This Row],[TRABAJO]],1,SEARCH(",",TB_CECO[[#This Row],[TRABAJO]],1)-1)</f>
        <v>Snv 115 SW (Est 115 S)</v>
      </c>
      <c r="C21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115 SW (Est 115 S),SUMINISTROS</v>
      </c>
      <c r="D21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28" s="47" t="s">
        <v>4205</v>
      </c>
      <c r="G2128" t="s">
        <v>4206</v>
      </c>
      <c r="H21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29" spans="1:8" ht="15" customHeight="1" x14ac:dyDescent="0.25">
      <c r="A2129" t="str">
        <f>MID(TB_CECO[[#This Row],[CECO_T]],1,5)</f>
        <v>2E561</v>
      </c>
      <c r="B2129" t="str">
        <f>MID(TB_CECO[[#This Row],[TRABAJO]],1,SEARCH(",",TB_CECO[[#This Row],[TRABAJO]],1)-1)</f>
        <v>Snv 115 SW (Est 115 S)</v>
      </c>
      <c r="C21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115 SW (Est 115 S),SOSTENIMIENTO</v>
      </c>
      <c r="D21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29" s="47" t="s">
        <v>4207</v>
      </c>
      <c r="G2129" t="s">
        <v>4208</v>
      </c>
      <c r="H21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30" spans="1:8" ht="15" customHeight="1" x14ac:dyDescent="0.25">
      <c r="A2130" t="str">
        <f>MID(TB_CECO[[#This Row],[CECO_T]],1,5)</f>
        <v>2E561</v>
      </c>
      <c r="B2130" t="str">
        <f>MID(TB_CECO[[#This Row],[TRABAJO]],1,SEARCH(",",TB_CECO[[#This Row],[TRABAJO]],1)-1)</f>
        <v>Snv 115 SW (Est 115 S)</v>
      </c>
      <c r="C21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115 SW (Est 115 S),SERVICIO</v>
      </c>
      <c r="D21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30" s="47" t="s">
        <v>4209</v>
      </c>
      <c r="G2130" t="s">
        <v>4210</v>
      </c>
      <c r="H21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31" spans="1:8" ht="15" customHeight="1" x14ac:dyDescent="0.25">
      <c r="A2131" t="str">
        <f>MID(TB_CECO[[#This Row],[CECO_T]],1,5)</f>
        <v>2E561</v>
      </c>
      <c r="B2131" t="str">
        <f>MID(TB_CECO[[#This Row],[TRABAJO]],1,SEARCH(",",TB_CECO[[#This Row],[TRABAJO]],1)-1)</f>
        <v>Snv 115 SW (Est 115 S)</v>
      </c>
      <c r="C21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115 SW (Est 115 S),REHABILITACION</v>
      </c>
      <c r="D21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31" s="47" t="s">
        <v>4211</v>
      </c>
      <c r="G2131" t="s">
        <v>4212</v>
      </c>
      <c r="H21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32" spans="1:8" ht="15" customHeight="1" x14ac:dyDescent="0.25">
      <c r="A2132" t="str">
        <f>MID(TB_CECO[[#This Row],[CECO_T]],1,5)</f>
        <v>2E562</v>
      </c>
      <c r="B2132" t="str">
        <f>MID(TB_CECO[[#This Row],[TRABAJO]],1,SEARCH(",",TB_CECO[[#This Row],[TRABAJO]],1)-1)</f>
        <v>Snv 115 NE (Est 115 S)</v>
      </c>
      <c r="C21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115 NE (Est 115 S),SUMINISTROS</v>
      </c>
      <c r="D21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32" s="47" t="s">
        <v>4213</v>
      </c>
      <c r="G2132" t="s">
        <v>4214</v>
      </c>
      <c r="H21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33" spans="1:8" ht="15" customHeight="1" x14ac:dyDescent="0.25">
      <c r="A2133" t="str">
        <f>MID(TB_CECO[[#This Row],[CECO_T]],1,5)</f>
        <v>2E562</v>
      </c>
      <c r="B2133" t="str">
        <f>MID(TB_CECO[[#This Row],[TRABAJO]],1,SEARCH(",",TB_CECO[[#This Row],[TRABAJO]],1)-1)</f>
        <v>Snv 115 NE (Est 115 S)</v>
      </c>
      <c r="C21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115 NE (Est 115 S),SOSTENIMIENTO</v>
      </c>
      <c r="D21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33" s="47" t="s">
        <v>4215</v>
      </c>
      <c r="G2133" t="s">
        <v>4216</v>
      </c>
      <c r="H21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34" spans="1:8" ht="15" customHeight="1" x14ac:dyDescent="0.25">
      <c r="A2134" t="str">
        <f>MID(TB_CECO[[#This Row],[CECO_T]],1,5)</f>
        <v>2E562</v>
      </c>
      <c r="B2134" t="str">
        <f>MID(TB_CECO[[#This Row],[TRABAJO]],1,SEARCH(",",TB_CECO[[#This Row],[TRABAJO]],1)-1)</f>
        <v>Snv 115 NE (Est 115 S)</v>
      </c>
      <c r="C21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115 NE (Est 115 S),SERVICIO</v>
      </c>
      <c r="D21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34" s="47" t="s">
        <v>4217</v>
      </c>
      <c r="G2134" t="s">
        <v>4218</v>
      </c>
      <c r="H21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35" spans="1:8" ht="15" customHeight="1" x14ac:dyDescent="0.25">
      <c r="A2135" t="str">
        <f>MID(TB_CECO[[#This Row],[CECO_T]],1,5)</f>
        <v>2E562</v>
      </c>
      <c r="B2135" t="str">
        <f>MID(TB_CECO[[#This Row],[TRABAJO]],1,SEARCH(",",TB_CECO[[#This Row],[TRABAJO]],1)-1)</f>
        <v>Snv 115 NE (Est 115 S)</v>
      </c>
      <c r="C21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115 NE (Est 115 S),REHABILITACION</v>
      </c>
      <c r="D21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35" s="47" t="s">
        <v>4219</v>
      </c>
      <c r="G2135" t="s">
        <v>4220</v>
      </c>
      <c r="H21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36" spans="1:8" ht="15" customHeight="1" x14ac:dyDescent="0.25">
      <c r="A2136" t="str">
        <f>MID(TB_CECO[[#This Row],[CECO_T]],1,5)</f>
        <v>2E563</v>
      </c>
      <c r="B2136" t="str">
        <f>MID(TB_CECO[[#This Row],[TRABAJO]],1,SEARCH(",",TB_CECO[[#This Row],[TRABAJO]],1)-1)</f>
        <v>Snv 116 SW (Tj 066 NE)</v>
      </c>
      <c r="C21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116 SW (Tj 066 NE),SUMINISTROS</v>
      </c>
      <c r="D21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36" s="47" t="s">
        <v>4221</v>
      </c>
      <c r="G2136" t="s">
        <v>4222</v>
      </c>
      <c r="H21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37" spans="1:8" ht="15" customHeight="1" x14ac:dyDescent="0.25">
      <c r="A2137" t="str">
        <f>MID(TB_CECO[[#This Row],[CECO_T]],1,5)</f>
        <v>2E563</v>
      </c>
      <c r="B2137" t="str">
        <f>MID(TB_CECO[[#This Row],[TRABAJO]],1,SEARCH(",",TB_CECO[[#This Row],[TRABAJO]],1)-1)</f>
        <v>Snv 116 SW (Tj 066 NE)</v>
      </c>
      <c r="C21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116 SW (Tj 066 NE),SOSTENIMIENTO</v>
      </c>
      <c r="D21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37" s="47" t="s">
        <v>4223</v>
      </c>
      <c r="G2137" t="s">
        <v>4224</v>
      </c>
      <c r="H21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38" spans="1:8" ht="15" customHeight="1" x14ac:dyDescent="0.25">
      <c r="A2138" t="str">
        <f>MID(TB_CECO[[#This Row],[CECO_T]],1,5)</f>
        <v>2E563</v>
      </c>
      <c r="B2138" t="str">
        <f>MID(TB_CECO[[#This Row],[TRABAJO]],1,SEARCH(",",TB_CECO[[#This Row],[TRABAJO]],1)-1)</f>
        <v>Snv 116 SW (Tj 066 NE)</v>
      </c>
      <c r="C21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116 SW (Tj 066 NE),SERVICIO</v>
      </c>
      <c r="D21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38" s="47" t="s">
        <v>4225</v>
      </c>
      <c r="G2138" t="s">
        <v>4226</v>
      </c>
      <c r="H21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39" spans="1:8" ht="15" customHeight="1" x14ac:dyDescent="0.25">
      <c r="A2139" t="str">
        <f>MID(TB_CECO[[#This Row],[CECO_T]],1,5)</f>
        <v>2E563</v>
      </c>
      <c r="B2139" t="str">
        <f>MID(TB_CECO[[#This Row],[TRABAJO]],1,SEARCH(",",TB_CECO[[#This Row],[TRABAJO]],1)-1)</f>
        <v>Snv 116 SW (Tj 066 NE)</v>
      </c>
      <c r="C21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116 SW (Tj 066 NE),REHABILITACION</v>
      </c>
      <c r="D21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39" s="47" t="s">
        <v>4227</v>
      </c>
      <c r="G2139" t="s">
        <v>4228</v>
      </c>
      <c r="H21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40" spans="1:8" ht="15" customHeight="1" x14ac:dyDescent="0.25">
      <c r="A2140" t="str">
        <f>MID(TB_CECO[[#This Row],[CECO_T]],1,5)</f>
        <v>2E567</v>
      </c>
      <c r="B2140" t="str">
        <f>MID(TB_CECO[[#This Row],[TRABAJO]],1,SEARCH(",",TB_CECO[[#This Row],[TRABAJO]],1)-1)</f>
        <v>Snv 114 NE (Ven 011)</v>
      </c>
      <c r="C21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114 NE (Ven 011),SUMINISTROS</v>
      </c>
      <c r="D21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40" s="47" t="s">
        <v>4229</v>
      </c>
      <c r="G2140" t="s">
        <v>4230</v>
      </c>
      <c r="H21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41" spans="1:8" ht="15" customHeight="1" x14ac:dyDescent="0.25">
      <c r="A2141" t="str">
        <f>MID(TB_CECO[[#This Row],[CECO_T]],1,5)</f>
        <v>2E567</v>
      </c>
      <c r="B2141" t="str">
        <f>MID(TB_CECO[[#This Row],[TRABAJO]],1,SEARCH(",",TB_CECO[[#This Row],[TRABAJO]],1)-1)</f>
        <v>Snv 114 NE (Ven 011)</v>
      </c>
      <c r="C21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114 NE (Ven 011),SOSTENIMIENTO</v>
      </c>
      <c r="D21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41" s="47" t="s">
        <v>4231</v>
      </c>
      <c r="G2141" t="s">
        <v>4232</v>
      </c>
      <c r="H21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42" spans="1:8" ht="15" customHeight="1" x14ac:dyDescent="0.25">
      <c r="A2142" t="str">
        <f>MID(TB_CECO[[#This Row],[CECO_T]],1,5)</f>
        <v>2E567</v>
      </c>
      <c r="B2142" t="str">
        <f>MID(TB_CECO[[#This Row],[TRABAJO]],1,SEARCH(",",TB_CECO[[#This Row],[TRABAJO]],1)-1)</f>
        <v>Snv 114 NE (Ven 011)</v>
      </c>
      <c r="C21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114 NE (Ven 011),SERVICIO</v>
      </c>
      <c r="D21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42" s="47" t="s">
        <v>4233</v>
      </c>
      <c r="G2142" t="s">
        <v>4234</v>
      </c>
      <c r="H21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43" spans="1:8" ht="15" customHeight="1" x14ac:dyDescent="0.25">
      <c r="A2143" t="str">
        <f>MID(TB_CECO[[#This Row],[CECO_T]],1,5)</f>
        <v>2E567</v>
      </c>
      <c r="B2143" t="str">
        <f>MID(TB_CECO[[#This Row],[TRABAJO]],1,SEARCH(",",TB_CECO[[#This Row],[TRABAJO]],1)-1)</f>
        <v>Snv 114 NE (Ven 011)</v>
      </c>
      <c r="C21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114 NE (Ven 011),REHABILITACION</v>
      </c>
      <c r="D21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43" s="47" t="s">
        <v>4235</v>
      </c>
      <c r="G2143" t="s">
        <v>4236</v>
      </c>
      <c r="H21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44" spans="1:8" ht="15" customHeight="1" x14ac:dyDescent="0.25">
      <c r="A2144" t="str">
        <f>MID(TB_CECO[[#This Row],[CECO_T]],1,5)</f>
        <v>2E571</v>
      </c>
      <c r="B2144" t="str">
        <f>MID(TB_CECO[[#This Row],[TRABAJO]],1,SEARCH(",",TB_CECO[[#This Row],[TRABAJO]],1)-1)</f>
        <v>Snv 070 NE (Est 075-2 SE)</v>
      </c>
      <c r="C21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 (Est 075-2 SE),SUMINISTROS</v>
      </c>
      <c r="D21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44" s="47" t="s">
        <v>4237</v>
      </c>
      <c r="G2144" t="s">
        <v>4238</v>
      </c>
      <c r="H21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45" spans="1:8" ht="15" customHeight="1" x14ac:dyDescent="0.25">
      <c r="A2145" t="str">
        <f>MID(TB_CECO[[#This Row],[CECO_T]],1,5)</f>
        <v>2E571</v>
      </c>
      <c r="B2145" t="str">
        <f>MID(TB_CECO[[#This Row],[TRABAJO]],1,SEARCH(",",TB_CECO[[#This Row],[TRABAJO]],1)-1)</f>
        <v>Snv 070 NE (Est 075-2 SE)</v>
      </c>
      <c r="C21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 (Est 075-2 SE),SOSTENIMIENTO</v>
      </c>
      <c r="D21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45" s="47" t="s">
        <v>4239</v>
      </c>
      <c r="G2145" t="s">
        <v>4240</v>
      </c>
      <c r="H21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46" spans="1:8" ht="15" customHeight="1" x14ac:dyDescent="0.25">
      <c r="A2146" t="str">
        <f>MID(TB_CECO[[#This Row],[CECO_T]],1,5)</f>
        <v>2E571</v>
      </c>
      <c r="B2146" t="str">
        <f>MID(TB_CECO[[#This Row],[TRABAJO]],1,SEARCH(",",TB_CECO[[#This Row],[TRABAJO]],1)-1)</f>
        <v>Snv 070 NE (Est 075-2 SE)</v>
      </c>
      <c r="C21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 (Est 075-2 SE),SERVICIO</v>
      </c>
      <c r="D21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46" s="47" t="s">
        <v>4241</v>
      </c>
      <c r="G2146" t="s">
        <v>4242</v>
      </c>
      <c r="H21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47" spans="1:8" ht="15" customHeight="1" x14ac:dyDescent="0.25">
      <c r="A2147" t="str">
        <f>MID(TB_CECO[[#This Row],[CECO_T]],1,5)</f>
        <v>2E571</v>
      </c>
      <c r="B2147" t="str">
        <f>MID(TB_CECO[[#This Row],[TRABAJO]],1,SEARCH(",",TB_CECO[[#This Row],[TRABAJO]],1)-1)</f>
        <v>Snv 070 NE (Est 075-2 SE)</v>
      </c>
      <c r="C21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 (Est 075-2 SE),REHABILITACION</v>
      </c>
      <c r="D21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47" s="47" t="s">
        <v>4243</v>
      </c>
      <c r="G2147" t="s">
        <v>4244</v>
      </c>
      <c r="H21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48" spans="1:8" ht="15" customHeight="1" x14ac:dyDescent="0.25">
      <c r="A2148" t="str">
        <f>MID(TB_CECO[[#This Row],[CECO_T]],1,5)</f>
        <v>2E572</v>
      </c>
      <c r="B2148" t="str">
        <f>MID(TB_CECO[[#This Row],[TRABAJO]],1,SEARCH(",",TB_CECO[[#This Row],[TRABAJO]],1)-1)</f>
        <v>Snv 070 SW (Est 075-2 SE)</v>
      </c>
      <c r="C21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(Est 075-2 SE),SUMINISTROS</v>
      </c>
      <c r="D21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48" s="47" t="s">
        <v>4245</v>
      </c>
      <c r="G2148" t="s">
        <v>4246</v>
      </c>
      <c r="H21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49" spans="1:8" ht="15" customHeight="1" x14ac:dyDescent="0.25">
      <c r="A2149" t="str">
        <f>MID(TB_CECO[[#This Row],[CECO_T]],1,5)</f>
        <v>2E572</v>
      </c>
      <c r="B2149" t="str">
        <f>MID(TB_CECO[[#This Row],[TRABAJO]],1,SEARCH(",",TB_CECO[[#This Row],[TRABAJO]],1)-1)</f>
        <v>Snv 070 SW (Est 075-2 SE)</v>
      </c>
      <c r="C21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(Est 075-2 SE),SOSTENIMIENTO</v>
      </c>
      <c r="D21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49" s="47" t="s">
        <v>4247</v>
      </c>
      <c r="G2149" t="s">
        <v>4248</v>
      </c>
      <c r="H21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50" spans="1:8" ht="15" customHeight="1" x14ac:dyDescent="0.25">
      <c r="A2150" t="str">
        <f>MID(TB_CECO[[#This Row],[CECO_T]],1,5)</f>
        <v>2E572</v>
      </c>
      <c r="B2150" t="str">
        <f>MID(TB_CECO[[#This Row],[TRABAJO]],1,SEARCH(",",TB_CECO[[#This Row],[TRABAJO]],1)-1)</f>
        <v>Snv 070 SW (Est 075-2 SE)</v>
      </c>
      <c r="C21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(Est 075-2 SE),SERVICIO</v>
      </c>
      <c r="D21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50" s="47" t="s">
        <v>4249</v>
      </c>
      <c r="G2150" t="s">
        <v>4250</v>
      </c>
      <c r="H21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51" spans="1:8" ht="15" customHeight="1" x14ac:dyDescent="0.25">
      <c r="A2151" t="str">
        <f>MID(TB_CECO[[#This Row],[CECO_T]],1,5)</f>
        <v>2E572</v>
      </c>
      <c r="B2151" t="str">
        <f>MID(TB_CECO[[#This Row],[TRABAJO]],1,SEARCH(",",TB_CECO[[#This Row],[TRABAJO]],1)-1)</f>
        <v>Snv 070 SW (Est 075-2 SE)</v>
      </c>
      <c r="C21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(Est 075-2 SE),REHABILITACION</v>
      </c>
      <c r="D21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51" s="47" t="s">
        <v>4251</v>
      </c>
      <c r="G2151" t="s">
        <v>4252</v>
      </c>
      <c r="H21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52" spans="1:8" ht="15" customHeight="1" x14ac:dyDescent="0.25">
      <c r="A2152" t="str">
        <f>MID(TB_CECO[[#This Row],[CECO_T]],1,5)</f>
        <v>2E586</v>
      </c>
      <c r="B2152" t="str">
        <f>MID(TB_CECO[[#This Row],[TRABAJO]],1,SEARCH(",",TB_CECO[[#This Row],[TRABAJO]],1)-1)</f>
        <v>Snv 073 SW (Tj 081 SW)</v>
      </c>
      <c r="C21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073 SW (Tj 081 SW),SUMINISTROS</v>
      </c>
      <c r="D21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52" s="47" t="s">
        <v>4253</v>
      </c>
      <c r="G2152" t="s">
        <v>4254</v>
      </c>
      <c r="H21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53" spans="1:8" ht="15" customHeight="1" x14ac:dyDescent="0.25">
      <c r="A2153" t="str">
        <f>MID(TB_CECO[[#This Row],[CECO_T]],1,5)</f>
        <v>2E586</v>
      </c>
      <c r="B2153" t="str">
        <f>MID(TB_CECO[[#This Row],[TRABAJO]],1,SEARCH(",",TB_CECO[[#This Row],[TRABAJO]],1)-1)</f>
        <v>Snv 073 SW (Tj 081 SW)</v>
      </c>
      <c r="C21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073 SW (Tj 081 SW),SOSTENIMIENTO</v>
      </c>
      <c r="D21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53" s="47" t="s">
        <v>4255</v>
      </c>
      <c r="G2153" t="s">
        <v>4256</v>
      </c>
      <c r="H21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54" spans="1:8" ht="15" customHeight="1" x14ac:dyDescent="0.25">
      <c r="A2154" t="str">
        <f>MID(TB_CECO[[#This Row],[CECO_T]],1,5)</f>
        <v>2E586</v>
      </c>
      <c r="B2154" t="str">
        <f>MID(TB_CECO[[#This Row],[TRABAJO]],1,SEARCH(",",TB_CECO[[#This Row],[TRABAJO]],1)-1)</f>
        <v>Snv 073 SW (Tj 081 SW)</v>
      </c>
      <c r="C21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073 SW (Tj 081 SW),SERVICIO</v>
      </c>
      <c r="D21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54" s="47" t="s">
        <v>4257</v>
      </c>
      <c r="G2154" t="s">
        <v>4258</v>
      </c>
      <c r="H21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55" spans="1:8" ht="15" customHeight="1" x14ac:dyDescent="0.25">
      <c r="A2155" t="str">
        <f>MID(TB_CECO[[#This Row],[CECO_T]],1,5)</f>
        <v>2E586</v>
      </c>
      <c r="B2155" t="str">
        <f>MID(TB_CECO[[#This Row],[TRABAJO]],1,SEARCH(",",TB_CECO[[#This Row],[TRABAJO]],1)-1)</f>
        <v>Snv 073 SW (Tj 081 SW)</v>
      </c>
      <c r="C21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073 SW (Tj 081 SW),REHABILITACION</v>
      </c>
      <c r="D21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55" s="47" t="s">
        <v>4259</v>
      </c>
      <c r="G2155" t="s">
        <v>4260</v>
      </c>
      <c r="H21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56" spans="1:8" ht="15" customHeight="1" x14ac:dyDescent="0.25">
      <c r="A2156" t="str">
        <f>MID(TB_CECO[[#This Row],[CECO_T]],1,5)</f>
        <v>2E587</v>
      </c>
      <c r="B2156" t="str">
        <f>MID(TB_CECO[[#This Row],[TRABAJO]],1,SEARCH(",",TB_CECO[[#This Row],[TRABAJO]],1)-1)</f>
        <v>Snv 108 NE (Tj 097 NE)</v>
      </c>
      <c r="C21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108 NE (Tj 097 NE),SUMINISTROS</v>
      </c>
      <c r="D21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56" s="47" t="s">
        <v>4261</v>
      </c>
      <c r="G2156" t="s">
        <v>4262</v>
      </c>
      <c r="H21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57" spans="1:8" ht="15" customHeight="1" x14ac:dyDescent="0.25">
      <c r="A2157" t="str">
        <f>MID(TB_CECO[[#This Row],[CECO_T]],1,5)</f>
        <v>2E587</v>
      </c>
      <c r="B2157" t="str">
        <f>MID(TB_CECO[[#This Row],[TRABAJO]],1,SEARCH(",",TB_CECO[[#This Row],[TRABAJO]],1)-1)</f>
        <v>Snv 108 NE (Tj 097 NE)</v>
      </c>
      <c r="C21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108 NE (Tj 097 NE),SOSTENIMIENTO</v>
      </c>
      <c r="D21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57" s="47" t="s">
        <v>4263</v>
      </c>
      <c r="G2157" t="s">
        <v>4264</v>
      </c>
      <c r="H21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58" spans="1:8" ht="15" customHeight="1" x14ac:dyDescent="0.25">
      <c r="A2158" t="str">
        <f>MID(TB_CECO[[#This Row],[CECO_T]],1,5)</f>
        <v>2E587</v>
      </c>
      <c r="B2158" t="str">
        <f>MID(TB_CECO[[#This Row],[TRABAJO]],1,SEARCH(",",TB_CECO[[#This Row],[TRABAJO]],1)-1)</f>
        <v>Snv 108 NE (Tj 097 NE)</v>
      </c>
      <c r="C21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108 NE (Tj 097 NE),SERVICIO</v>
      </c>
      <c r="D21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58" s="47" t="s">
        <v>4265</v>
      </c>
      <c r="G2158" t="s">
        <v>4266</v>
      </c>
      <c r="H21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59" spans="1:8" ht="15" customHeight="1" x14ac:dyDescent="0.25">
      <c r="A2159" t="str">
        <f>MID(TB_CECO[[#This Row],[CECO_T]],1,5)</f>
        <v>2E587</v>
      </c>
      <c r="B2159" t="str">
        <f>MID(TB_CECO[[#This Row],[TRABAJO]],1,SEARCH(",",TB_CECO[[#This Row],[TRABAJO]],1)-1)</f>
        <v>Snv 108 NE (Tj 097 NE)</v>
      </c>
      <c r="C21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108 NE (Tj 097 NE),REHABILITACION</v>
      </c>
      <c r="D21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59" s="47" t="s">
        <v>4267</v>
      </c>
      <c r="G2159" t="s">
        <v>4268</v>
      </c>
      <c r="H21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60" spans="1:8" ht="15" customHeight="1" x14ac:dyDescent="0.25">
      <c r="A2160" t="str">
        <f>MID(TB_CECO[[#This Row],[CECO_T]],1,5)</f>
        <v>2E630</v>
      </c>
      <c r="B2160" t="str">
        <f>MID(TB_CECO[[#This Row],[TRABAJO]],1,SEARCH(",",TB_CECO[[#This Row],[TRABAJO]],1)-1)</f>
        <v>EST 075-1  SE (PQ  075)</v>
      </c>
      <c r="C21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075-1  SE (PQ  075),SUMINISTROS</v>
      </c>
      <c r="D21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60" s="47" t="s">
        <v>4269</v>
      </c>
      <c r="G2160" t="s">
        <v>4270</v>
      </c>
      <c r="H21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61" spans="1:8" ht="15" customHeight="1" x14ac:dyDescent="0.25">
      <c r="A2161" t="str">
        <f>MID(TB_CECO[[#This Row],[CECO_T]],1,5)</f>
        <v>2E630</v>
      </c>
      <c r="B2161" t="str">
        <f>MID(TB_CECO[[#This Row],[TRABAJO]],1,SEARCH(",",TB_CECO[[#This Row],[TRABAJO]],1)-1)</f>
        <v>EST 075-1  SE (PQ  075)</v>
      </c>
      <c r="C21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075-1  SE (PQ  075),SOSTENIMIENTO</v>
      </c>
      <c r="D21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61" s="47" t="s">
        <v>4271</v>
      </c>
      <c r="G2161" t="s">
        <v>4272</v>
      </c>
      <c r="H21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62" spans="1:8" ht="15" customHeight="1" x14ac:dyDescent="0.25">
      <c r="A2162" t="str">
        <f>MID(TB_CECO[[#This Row],[CECO_T]],1,5)</f>
        <v>2E630</v>
      </c>
      <c r="B2162" t="str">
        <f>MID(TB_CECO[[#This Row],[TRABAJO]],1,SEARCH(",",TB_CECO[[#This Row],[TRABAJO]],1)-1)</f>
        <v>EST 075-1  SE (PQ  075)</v>
      </c>
      <c r="C21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075-1  SE (PQ  075),SERVICIO</v>
      </c>
      <c r="D21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62" s="47" t="s">
        <v>4273</v>
      </c>
      <c r="G2162" t="s">
        <v>4274</v>
      </c>
      <c r="H21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63" spans="1:8" ht="15" customHeight="1" x14ac:dyDescent="0.25">
      <c r="A2163" t="str">
        <f>MID(TB_CECO[[#This Row],[CECO_T]],1,5)</f>
        <v>2E630</v>
      </c>
      <c r="B2163" t="str">
        <f>MID(TB_CECO[[#This Row],[TRABAJO]],1,SEARCH(",",TB_CECO[[#This Row],[TRABAJO]],1)-1)</f>
        <v>EST 075-1  SE (PQ  075)</v>
      </c>
      <c r="C21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075-1  SE (PQ  075),REHABILITACION</v>
      </c>
      <c r="D21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63" s="47" t="s">
        <v>4275</v>
      </c>
      <c r="G2163" t="s">
        <v>4276</v>
      </c>
      <c r="H21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64" spans="1:8" ht="15" customHeight="1" x14ac:dyDescent="0.25">
      <c r="A2164" t="str">
        <f>MID(TB_CECO[[#This Row],[CECO_T]],1,5)</f>
        <v>2E641</v>
      </c>
      <c r="B2164" t="str">
        <f>MID(TB_CECO[[#This Row],[TRABAJO]],1,SEARCH(",",TB_CECO[[#This Row],[TRABAJO]],1)-1)</f>
        <v>Est 075-2 SE (Pq 075)</v>
      </c>
      <c r="C21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075-2 SE (Pq 075),SUMINISTROS</v>
      </c>
      <c r="D21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64" s="47" t="s">
        <v>4277</v>
      </c>
      <c r="G2164" t="s">
        <v>4278</v>
      </c>
      <c r="H21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65" spans="1:8" ht="15" customHeight="1" x14ac:dyDescent="0.25">
      <c r="A2165" t="str">
        <f>MID(TB_CECO[[#This Row],[CECO_T]],1,5)</f>
        <v>2E641</v>
      </c>
      <c r="B2165" t="str">
        <f>MID(TB_CECO[[#This Row],[TRABAJO]],1,SEARCH(",",TB_CECO[[#This Row],[TRABAJO]],1)-1)</f>
        <v>Est 075-2 SE (Pq 075)</v>
      </c>
      <c r="C21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075-2 SE (Pq 075),SOSTENIMIENTO</v>
      </c>
      <c r="D21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65" s="47" t="s">
        <v>4279</v>
      </c>
      <c r="G2165" t="s">
        <v>4280</v>
      </c>
      <c r="H21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66" spans="1:8" ht="15" customHeight="1" x14ac:dyDescent="0.25">
      <c r="A2166" t="str">
        <f>MID(TB_CECO[[#This Row],[CECO_T]],1,5)</f>
        <v>2E641</v>
      </c>
      <c r="B2166" t="str">
        <f>MID(TB_CECO[[#This Row],[TRABAJO]],1,SEARCH(",",TB_CECO[[#This Row],[TRABAJO]],1)-1)</f>
        <v>Est 075-2 SE (Pq 075)</v>
      </c>
      <c r="C21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075-2 SE (Pq 075),SERVICIO</v>
      </c>
      <c r="D21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66" s="47" t="s">
        <v>4281</v>
      </c>
      <c r="G2166" t="s">
        <v>4282</v>
      </c>
      <c r="H21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67" spans="1:8" ht="15" customHeight="1" x14ac:dyDescent="0.25">
      <c r="A2167" t="str">
        <f>MID(TB_CECO[[#This Row],[CECO_T]],1,5)</f>
        <v>2E641</v>
      </c>
      <c r="B2167" t="str">
        <f>MID(TB_CECO[[#This Row],[TRABAJO]],1,SEARCH(",",TB_CECO[[#This Row],[TRABAJO]],1)-1)</f>
        <v>Est 075-2 SE (Pq 075)</v>
      </c>
      <c r="C21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075-2 SE (Pq 075),REHABILITACION</v>
      </c>
      <c r="D21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1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167" s="47" t="s">
        <v>4283</v>
      </c>
      <c r="G2167" t="s">
        <v>4284</v>
      </c>
      <c r="H21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68" spans="1:8" ht="15" customHeight="1" x14ac:dyDescent="0.25">
      <c r="A2168" t="str">
        <f>MID(TB_CECO[[#This Row],[CECO_T]],1,5)</f>
        <v>2E654</v>
      </c>
      <c r="B2168" t="str">
        <f>MID(TB_CECO[[#This Row],[TRABAJO]],1,SEARCH(",",TB_CECO[[#This Row],[TRABAJO]],1)-1)</f>
        <v>Est 075-3 SE (Pq 075)</v>
      </c>
      <c r="C21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075-3 SE (Pq 075),LIMPIEZA</v>
      </c>
      <c r="D21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68" s="47" t="s">
        <v>4285</v>
      </c>
      <c r="G2168" t="s">
        <v>4286</v>
      </c>
      <c r="H21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69" spans="1:8" ht="15" customHeight="1" x14ac:dyDescent="0.25">
      <c r="A2169" t="str">
        <f>MID(TB_CECO[[#This Row],[CECO_T]],1,5)</f>
        <v>2E654</v>
      </c>
      <c r="B2169" t="str">
        <f>MID(TB_CECO[[#This Row],[TRABAJO]],1,SEARCH(",",TB_CECO[[#This Row],[TRABAJO]],1)-1)</f>
        <v>Est 075-3 SE (Pq 075)</v>
      </c>
      <c r="C21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075-3 SE (Pq 075),SERVICIO</v>
      </c>
      <c r="D21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69" s="47" t="s">
        <v>4287</v>
      </c>
      <c r="G2169" t="s">
        <v>4288</v>
      </c>
      <c r="H21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70" spans="1:8" ht="15" customHeight="1" x14ac:dyDescent="0.25">
      <c r="A2170" t="str">
        <f>MID(TB_CECO[[#This Row],[CECO_T]],1,5)</f>
        <v>2E654</v>
      </c>
      <c r="B2170" t="str">
        <f>MID(TB_CECO[[#This Row],[TRABAJO]],1,SEARCH(",",TB_CECO[[#This Row],[TRABAJO]],1)-1)</f>
        <v>Est 075-3 SE (Pq 075)</v>
      </c>
      <c r="C21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075-3 SE (Pq 075),PERFORACION</v>
      </c>
      <c r="D21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70" s="47" t="s">
        <v>4289</v>
      </c>
      <c r="G2170" t="s">
        <v>4290</v>
      </c>
      <c r="H21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71" spans="1:8" ht="15" customHeight="1" x14ac:dyDescent="0.25">
      <c r="A2171" t="str">
        <f>MID(TB_CECO[[#This Row],[CECO_T]],1,5)</f>
        <v>2E654</v>
      </c>
      <c r="B2171" t="str">
        <f>MID(TB_CECO[[#This Row],[TRABAJO]],1,SEARCH(",",TB_CECO[[#This Row],[TRABAJO]],1)-1)</f>
        <v>Est 075-3 SE (Pq 075)</v>
      </c>
      <c r="C21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075-3 SE (Pq 075),SOSTENIMIENTO</v>
      </c>
      <c r="D21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71" s="47" t="s">
        <v>4291</v>
      </c>
      <c r="G2171" t="s">
        <v>4292</v>
      </c>
      <c r="H21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72" spans="1:8" ht="15" customHeight="1" x14ac:dyDescent="0.25">
      <c r="A2172" t="str">
        <f>MID(TB_CECO[[#This Row],[CECO_T]],1,5)</f>
        <v>2E654</v>
      </c>
      <c r="B2172" t="str">
        <f>MID(TB_CECO[[#This Row],[TRABAJO]],1,SEARCH(",",TB_CECO[[#This Row],[TRABAJO]],1)-1)</f>
        <v>Est 075-3 SE (Pq 075)</v>
      </c>
      <c r="C21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075-3 SE (Pq 075),VOLADURA</v>
      </c>
      <c r="D21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72" s="47" t="s">
        <v>4293</v>
      </c>
      <c r="G2172" t="s">
        <v>4294</v>
      </c>
      <c r="H21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73" spans="1:8" ht="15" customHeight="1" x14ac:dyDescent="0.25">
      <c r="A2173" t="str">
        <f>MID(TB_CECO[[#This Row],[CECO_T]],1,5)</f>
        <v>2E656</v>
      </c>
      <c r="B2173" t="str">
        <f>MID(TB_CECO[[#This Row],[TRABAJO]],1,SEARCH(",",TB_CECO[[#This Row],[TRABAJO]],1)-1)</f>
        <v>Est 092 NW (Ch 091)</v>
      </c>
      <c r="C21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NW (Ch 091),LIMPIEZA</v>
      </c>
      <c r="D21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73" s="47" t="s">
        <v>4295</v>
      </c>
      <c r="G2173" t="s">
        <v>4296</v>
      </c>
      <c r="H21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74" spans="1:8" ht="15" customHeight="1" x14ac:dyDescent="0.25">
      <c r="A2174" t="str">
        <f>MID(TB_CECO[[#This Row],[CECO_T]],1,5)</f>
        <v>2E656</v>
      </c>
      <c r="B2174" t="str">
        <f>MID(TB_CECO[[#This Row],[TRABAJO]],1,SEARCH(",",TB_CECO[[#This Row],[TRABAJO]],1)-1)</f>
        <v>Est 092 NW (Ch 091)</v>
      </c>
      <c r="C21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NW (Ch 091),SERVICIO</v>
      </c>
      <c r="D21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74" s="47" t="s">
        <v>4297</v>
      </c>
      <c r="G2174" t="s">
        <v>4298</v>
      </c>
      <c r="H21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75" spans="1:8" ht="15" customHeight="1" x14ac:dyDescent="0.25">
      <c r="A2175" t="str">
        <f>MID(TB_CECO[[#This Row],[CECO_T]],1,5)</f>
        <v>2E656</v>
      </c>
      <c r="B2175" t="str">
        <f>MID(TB_CECO[[#This Row],[TRABAJO]],1,SEARCH(",",TB_CECO[[#This Row],[TRABAJO]],1)-1)</f>
        <v>Est 092 NW (Ch 091)</v>
      </c>
      <c r="C21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NW (Ch 091),PERFORACION</v>
      </c>
      <c r="D21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75" s="47" t="s">
        <v>4299</v>
      </c>
      <c r="G2175" t="s">
        <v>4300</v>
      </c>
      <c r="H21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76" spans="1:8" ht="15" customHeight="1" x14ac:dyDescent="0.25">
      <c r="A2176" t="str">
        <f>MID(TB_CECO[[#This Row],[CECO_T]],1,5)</f>
        <v>2E656</v>
      </c>
      <c r="B2176" t="str">
        <f>MID(TB_CECO[[#This Row],[TRABAJO]],1,SEARCH(",",TB_CECO[[#This Row],[TRABAJO]],1)-1)</f>
        <v>Est 092 NW (Ch 091)</v>
      </c>
      <c r="C21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NW (Ch 091),SOSTENIMIENTO</v>
      </c>
      <c r="D21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76" s="47" t="s">
        <v>4301</v>
      </c>
      <c r="G2176" t="s">
        <v>4302</v>
      </c>
      <c r="H21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77" spans="1:8" ht="15" customHeight="1" x14ac:dyDescent="0.25">
      <c r="A2177" t="str">
        <f>MID(TB_CECO[[#This Row],[CECO_T]],1,5)</f>
        <v>2E656</v>
      </c>
      <c r="B2177" t="str">
        <f>MID(TB_CECO[[#This Row],[TRABAJO]],1,SEARCH(",",TB_CECO[[#This Row],[TRABAJO]],1)-1)</f>
        <v>Est 092 NW (Ch 091)</v>
      </c>
      <c r="C21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NW (Ch 091),VOLADURA</v>
      </c>
      <c r="D21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77" s="47" t="s">
        <v>4303</v>
      </c>
      <c r="G2177" t="s">
        <v>4304</v>
      </c>
      <c r="H21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78" spans="1:8" ht="15" customHeight="1" x14ac:dyDescent="0.25">
      <c r="A2178" t="str">
        <f>MID(TB_CECO[[#This Row],[CECO_T]],1,5)</f>
        <v>2E657</v>
      </c>
      <c r="B2178" t="str">
        <f>MID(TB_CECO[[#This Row],[TRABAJO]],1,SEARCH(",",TB_CECO[[#This Row],[TRABAJO]],1)-1)</f>
        <v>Est 092 SW (Snv 092 SW)</v>
      </c>
      <c r="C21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SW (Snv 092 SW),LIMPIEZA</v>
      </c>
      <c r="D21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78" s="47" t="s">
        <v>4305</v>
      </c>
      <c r="G2178" t="s">
        <v>4306</v>
      </c>
      <c r="H21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79" spans="1:8" ht="15" customHeight="1" x14ac:dyDescent="0.25">
      <c r="A2179" t="str">
        <f>MID(TB_CECO[[#This Row],[CECO_T]],1,5)</f>
        <v>2E657</v>
      </c>
      <c r="B2179" t="str">
        <f>MID(TB_CECO[[#This Row],[TRABAJO]],1,SEARCH(",",TB_CECO[[#This Row],[TRABAJO]],1)-1)</f>
        <v>Est 092 SW (Snv 092 SW)</v>
      </c>
      <c r="C21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SW (Snv 092 SW),SERVICIO</v>
      </c>
      <c r="D21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79" s="47" t="s">
        <v>4307</v>
      </c>
      <c r="G2179" t="s">
        <v>4308</v>
      </c>
      <c r="H21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80" spans="1:8" ht="15" customHeight="1" x14ac:dyDescent="0.25">
      <c r="A2180" t="str">
        <f>MID(TB_CECO[[#This Row],[CECO_T]],1,5)</f>
        <v>2E657</v>
      </c>
      <c r="B2180" t="str">
        <f>MID(TB_CECO[[#This Row],[TRABAJO]],1,SEARCH(",",TB_CECO[[#This Row],[TRABAJO]],1)-1)</f>
        <v>Est 092 SW (Snv 092 SW)</v>
      </c>
      <c r="C21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SW (Snv 092 SW),PERFORACION</v>
      </c>
      <c r="D21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80" s="47" t="s">
        <v>4309</v>
      </c>
      <c r="G2180" t="s">
        <v>4310</v>
      </c>
      <c r="H21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81" spans="1:8" ht="15" customHeight="1" x14ac:dyDescent="0.25">
      <c r="A2181" t="str">
        <f>MID(TB_CECO[[#This Row],[CECO_T]],1,5)</f>
        <v>2E657</v>
      </c>
      <c r="B2181" t="str">
        <f>MID(TB_CECO[[#This Row],[TRABAJO]],1,SEARCH(",",TB_CECO[[#This Row],[TRABAJO]],1)-1)</f>
        <v>Est 092 SW (Snv 092 SW)</v>
      </c>
      <c r="C21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SW (Snv 092 SW),SOSTENIMIENTO</v>
      </c>
      <c r="D21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81" s="47" t="s">
        <v>4311</v>
      </c>
      <c r="G2181" t="s">
        <v>4312</v>
      </c>
      <c r="H21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82" spans="1:8" ht="15" customHeight="1" x14ac:dyDescent="0.25">
      <c r="A2182" t="str">
        <f>MID(TB_CECO[[#This Row],[CECO_T]],1,5)</f>
        <v>2E657</v>
      </c>
      <c r="B2182" t="str">
        <f>MID(TB_CECO[[#This Row],[TRABAJO]],1,SEARCH(",",TB_CECO[[#This Row],[TRABAJO]],1)-1)</f>
        <v>Est 092 SW (Snv 092 SW)</v>
      </c>
      <c r="C21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092 SW (Snv 092 SW),VOLADURA</v>
      </c>
      <c r="D21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82" s="47" t="s">
        <v>4313</v>
      </c>
      <c r="G2182" t="s">
        <v>4314</v>
      </c>
      <c r="H21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83" spans="1:8" ht="15" customHeight="1" x14ac:dyDescent="0.25">
      <c r="A2183" t="str">
        <f>MID(TB_CECO[[#This Row],[CECO_T]],1,5)</f>
        <v>2E658</v>
      </c>
      <c r="B2183" t="str">
        <f>MID(TB_CECO[[#This Row],[TRABAJO]],1,SEARCH(",",TB_CECO[[#This Row],[TRABAJO]],1)-1)</f>
        <v>Est 074 SW (Est 075-3 SE)</v>
      </c>
      <c r="C21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074 SW (Est 075-3 SE),LIMPIEZA</v>
      </c>
      <c r="D21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83" s="47" t="s">
        <v>4315</v>
      </c>
      <c r="G2183" t="s">
        <v>4316</v>
      </c>
      <c r="H21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84" spans="1:8" ht="15" customHeight="1" x14ac:dyDescent="0.25">
      <c r="A2184" t="str">
        <f>MID(TB_CECO[[#This Row],[CECO_T]],1,5)</f>
        <v>2E658</v>
      </c>
      <c r="B2184" t="str">
        <f>MID(TB_CECO[[#This Row],[TRABAJO]],1,SEARCH(",",TB_CECO[[#This Row],[TRABAJO]],1)-1)</f>
        <v>Est 074 SW (Est 075-3 SE)</v>
      </c>
      <c r="C21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074 SW (Est 075-3 SE),SERVICIO</v>
      </c>
      <c r="D21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84" s="47" t="s">
        <v>4317</v>
      </c>
      <c r="G2184" t="s">
        <v>4318</v>
      </c>
      <c r="H21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85" spans="1:8" ht="15" customHeight="1" x14ac:dyDescent="0.25">
      <c r="A2185" t="str">
        <f>MID(TB_CECO[[#This Row],[CECO_T]],1,5)</f>
        <v>2E658</v>
      </c>
      <c r="B2185" t="str">
        <f>MID(TB_CECO[[#This Row],[TRABAJO]],1,SEARCH(",",TB_CECO[[#This Row],[TRABAJO]],1)-1)</f>
        <v>Est 074 SW (Est 075-3 SE)</v>
      </c>
      <c r="C21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074 SW (Est 075-3 SE),PERFORACION</v>
      </c>
      <c r="D21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85" s="47" t="s">
        <v>4319</v>
      </c>
      <c r="G2185" t="s">
        <v>4320</v>
      </c>
      <c r="H21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86" spans="1:8" ht="15" customHeight="1" x14ac:dyDescent="0.25">
      <c r="A2186" t="str">
        <f>MID(TB_CECO[[#This Row],[CECO_T]],1,5)</f>
        <v>2E658</v>
      </c>
      <c r="B2186" t="str">
        <f>MID(TB_CECO[[#This Row],[TRABAJO]],1,SEARCH(",",TB_CECO[[#This Row],[TRABAJO]],1)-1)</f>
        <v>Est 074 SW (Est 075-3 SE)</v>
      </c>
      <c r="C21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074 SW (Est 075-3 SE),SOSTENIMIENTO</v>
      </c>
      <c r="D21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86" s="47" t="s">
        <v>4321</v>
      </c>
      <c r="G2186" t="s">
        <v>4322</v>
      </c>
      <c r="H21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87" spans="1:8" ht="15" customHeight="1" x14ac:dyDescent="0.25">
      <c r="A2187" t="str">
        <f>MID(TB_CECO[[#This Row],[CECO_T]],1,5)</f>
        <v>2E658</v>
      </c>
      <c r="B2187" t="str">
        <f>MID(TB_CECO[[#This Row],[TRABAJO]],1,SEARCH(",",TB_CECO[[#This Row],[TRABAJO]],1)-1)</f>
        <v>Est 074 SW (Est 075-3 SE)</v>
      </c>
      <c r="C21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074 SW (Est 075-3 SE),VOLADURA</v>
      </c>
      <c r="D21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87" s="47" t="s">
        <v>4323</v>
      </c>
      <c r="G2187" t="s">
        <v>4324</v>
      </c>
      <c r="H21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88" spans="1:8" ht="15" customHeight="1" x14ac:dyDescent="0.25">
      <c r="A2188" t="str">
        <f>MID(TB_CECO[[#This Row],[CECO_T]],1,5)</f>
        <v>2E663</v>
      </c>
      <c r="B2188" t="str">
        <f>MID(TB_CECO[[#This Row],[TRABAJO]],1,SEARCH(",",TB_CECO[[#This Row],[TRABAJO]],1)-1)</f>
        <v>Est 072 NW (Tj 077 NE)</v>
      </c>
      <c r="C21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072 NW (Tj 077 NE),LIMPIEZA</v>
      </c>
      <c r="D21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88" s="47" t="s">
        <v>4325</v>
      </c>
      <c r="G2188" t="s">
        <v>4326</v>
      </c>
      <c r="H21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89" spans="1:8" ht="15" customHeight="1" x14ac:dyDescent="0.25">
      <c r="A2189" t="str">
        <f>MID(TB_CECO[[#This Row],[CECO_T]],1,5)</f>
        <v>2E663</v>
      </c>
      <c r="B2189" t="str">
        <f>MID(TB_CECO[[#This Row],[TRABAJO]],1,SEARCH(",",TB_CECO[[#This Row],[TRABAJO]],1)-1)</f>
        <v>Est 072 NW (Tj 077 NE)</v>
      </c>
      <c r="C21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072 NW (Tj 077 NE),SERVICIO</v>
      </c>
      <c r="D21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89" s="47" t="s">
        <v>4327</v>
      </c>
      <c r="G2189" t="s">
        <v>4328</v>
      </c>
      <c r="H21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90" spans="1:8" ht="15" customHeight="1" x14ac:dyDescent="0.25">
      <c r="A2190" t="str">
        <f>MID(TB_CECO[[#This Row],[CECO_T]],1,5)</f>
        <v>2E663</v>
      </c>
      <c r="B2190" t="str">
        <f>MID(TB_CECO[[#This Row],[TRABAJO]],1,SEARCH(",",TB_CECO[[#This Row],[TRABAJO]],1)-1)</f>
        <v>Est 072 NW (Tj 077 NE)</v>
      </c>
      <c r="C21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072 NW (Tj 077 NE),PERFORACION</v>
      </c>
      <c r="D21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90" s="47" t="s">
        <v>4329</v>
      </c>
      <c r="G2190" t="s">
        <v>4330</v>
      </c>
      <c r="H21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91" spans="1:8" ht="15" customHeight="1" x14ac:dyDescent="0.25">
      <c r="A2191" t="str">
        <f>MID(TB_CECO[[#This Row],[CECO_T]],1,5)</f>
        <v>2E663</v>
      </c>
      <c r="B2191" t="str">
        <f>MID(TB_CECO[[#This Row],[TRABAJO]],1,SEARCH(",",TB_CECO[[#This Row],[TRABAJO]],1)-1)</f>
        <v>Est 072 NW (Tj 077 NE)</v>
      </c>
      <c r="C21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072 NW (Tj 077 NE),SOSTENIMIENTO</v>
      </c>
      <c r="D21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91" s="47" t="s">
        <v>4331</v>
      </c>
      <c r="G2191" t="s">
        <v>4332</v>
      </c>
      <c r="H21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92" spans="1:8" ht="15" customHeight="1" x14ac:dyDescent="0.25">
      <c r="A2192" t="str">
        <f>MID(TB_CECO[[#This Row],[CECO_T]],1,5)</f>
        <v>2E663</v>
      </c>
      <c r="B2192" t="str">
        <f>MID(TB_CECO[[#This Row],[TRABAJO]],1,SEARCH(",",TB_CECO[[#This Row],[TRABAJO]],1)-1)</f>
        <v>Est 072 NW (Tj 077 NE)</v>
      </c>
      <c r="C21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072 NW (Tj 077 NE),VOLADURA</v>
      </c>
      <c r="D21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92" s="47" t="s">
        <v>4333</v>
      </c>
      <c r="G2192" t="s">
        <v>4334</v>
      </c>
      <c r="H21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93" spans="1:8" ht="15" customHeight="1" x14ac:dyDescent="0.25">
      <c r="A2193" t="str">
        <f>MID(TB_CECO[[#This Row],[CECO_T]],1,5)</f>
        <v>2E665</v>
      </c>
      <c r="B2193" t="str">
        <f>MID(TB_CECO[[#This Row],[TRABAJO]],1,SEARCH(",",TB_CECO[[#This Row],[TRABAJO]],1)-1)</f>
        <v>Est 847 SW (Snv 070 SW)</v>
      </c>
      <c r="C21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847 SW (Snv 070 SW),LIMPIEZA</v>
      </c>
      <c r="D21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93" s="47" t="s">
        <v>4335</v>
      </c>
      <c r="G2193" t="s">
        <v>4336</v>
      </c>
      <c r="H21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94" spans="1:8" ht="15" customHeight="1" x14ac:dyDescent="0.25">
      <c r="A2194" t="str">
        <f>MID(TB_CECO[[#This Row],[CECO_T]],1,5)</f>
        <v>2E665</v>
      </c>
      <c r="B2194" t="str">
        <f>MID(TB_CECO[[#This Row],[TRABAJO]],1,SEARCH(",",TB_CECO[[#This Row],[TRABAJO]],1)-1)</f>
        <v>Est 847 SW (Snv 070 SW)</v>
      </c>
      <c r="C21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847 SW (Snv 070 SW),SERVICIO</v>
      </c>
      <c r="D21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94" s="47" t="s">
        <v>4337</v>
      </c>
      <c r="G2194" t="s">
        <v>4338</v>
      </c>
      <c r="H21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95" spans="1:8" ht="15" customHeight="1" x14ac:dyDescent="0.25">
      <c r="A2195" t="str">
        <f>MID(TB_CECO[[#This Row],[CECO_T]],1,5)</f>
        <v>2E665</v>
      </c>
      <c r="B2195" t="str">
        <f>MID(TB_CECO[[#This Row],[TRABAJO]],1,SEARCH(",",TB_CECO[[#This Row],[TRABAJO]],1)-1)</f>
        <v>Est 847 SW (Snv 070 SW)</v>
      </c>
      <c r="C21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847 SW (Snv 070 SW),PERFORACION</v>
      </c>
      <c r="D21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95" s="47" t="s">
        <v>4339</v>
      </c>
      <c r="G2195" t="s">
        <v>4340</v>
      </c>
      <c r="H21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96" spans="1:8" ht="15" customHeight="1" x14ac:dyDescent="0.25">
      <c r="A2196" t="str">
        <f>MID(TB_CECO[[#This Row],[CECO_T]],1,5)</f>
        <v>2E665</v>
      </c>
      <c r="B2196" t="str">
        <f>MID(TB_CECO[[#This Row],[TRABAJO]],1,SEARCH(",",TB_CECO[[#This Row],[TRABAJO]],1)-1)</f>
        <v>Est 847 SW (Snv 070 SW)</v>
      </c>
      <c r="C21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847 SW (Snv 070 SW),SOSTENIMIENTO</v>
      </c>
      <c r="D21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96" s="47" t="s">
        <v>4341</v>
      </c>
      <c r="G2196" t="s">
        <v>4342</v>
      </c>
      <c r="H21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97" spans="1:8" ht="15" customHeight="1" x14ac:dyDescent="0.25">
      <c r="A2197" t="str">
        <f>MID(TB_CECO[[#This Row],[CECO_T]],1,5)</f>
        <v>2E665</v>
      </c>
      <c r="B2197" t="str">
        <f>MID(TB_CECO[[#This Row],[TRABAJO]],1,SEARCH(",",TB_CECO[[#This Row],[TRABAJO]],1)-1)</f>
        <v>Est 847 SW (Snv 070 SW)</v>
      </c>
      <c r="C21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847 SW (Snv 070 SW),VOLADURA</v>
      </c>
      <c r="D21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97" s="47" t="s">
        <v>4343</v>
      </c>
      <c r="G2197" t="s">
        <v>4344</v>
      </c>
      <c r="H21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98" spans="1:8" ht="15" customHeight="1" x14ac:dyDescent="0.25">
      <c r="A2198" t="str">
        <f>MID(TB_CECO[[#This Row],[CECO_T]],1,5)</f>
        <v>2E666</v>
      </c>
      <c r="B2198" t="str">
        <f>MID(TB_CECO[[#This Row],[TRABAJO]],1,SEARCH(",",TB_CECO[[#This Row],[TRABAJO]],1)-1)</f>
        <v>Est 075-4 SE (Pq 075)</v>
      </c>
      <c r="C21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075-4 SE (Pq 075),LIMPIEZA</v>
      </c>
      <c r="D21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98" s="47" t="s">
        <v>4345</v>
      </c>
      <c r="G2198" t="s">
        <v>4346</v>
      </c>
      <c r="H21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199" spans="1:8" ht="15" customHeight="1" x14ac:dyDescent="0.25">
      <c r="A2199" t="str">
        <f>MID(TB_CECO[[#This Row],[CECO_T]],1,5)</f>
        <v>2E666</v>
      </c>
      <c r="B2199" t="str">
        <f>MID(TB_CECO[[#This Row],[TRABAJO]],1,SEARCH(",",TB_CECO[[#This Row],[TRABAJO]],1)-1)</f>
        <v>Est 075-4 SE (Pq 075)</v>
      </c>
      <c r="C21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075-4 SE (Pq 075),SERVICIO</v>
      </c>
      <c r="D21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1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199" s="47" t="s">
        <v>4347</v>
      </c>
      <c r="G2199" t="s">
        <v>4348</v>
      </c>
      <c r="H21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00" spans="1:8" ht="15" customHeight="1" x14ac:dyDescent="0.25">
      <c r="A2200" t="str">
        <f>MID(TB_CECO[[#This Row],[CECO_T]],1,5)</f>
        <v>2E666</v>
      </c>
      <c r="B2200" t="str">
        <f>MID(TB_CECO[[#This Row],[TRABAJO]],1,SEARCH(",",TB_CECO[[#This Row],[TRABAJO]],1)-1)</f>
        <v>Est 075-4 SE (Pq 075)</v>
      </c>
      <c r="C22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075-4 SE (Pq 075),PERFORACION</v>
      </c>
      <c r="D22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00" s="47" t="s">
        <v>4349</v>
      </c>
      <c r="G2200" t="s">
        <v>4350</v>
      </c>
      <c r="H22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01" spans="1:8" ht="15" customHeight="1" x14ac:dyDescent="0.25">
      <c r="A2201" t="str">
        <f>MID(TB_CECO[[#This Row],[CECO_T]],1,5)</f>
        <v>2E666</v>
      </c>
      <c r="B2201" t="str">
        <f>MID(TB_CECO[[#This Row],[TRABAJO]],1,SEARCH(",",TB_CECO[[#This Row],[TRABAJO]],1)-1)</f>
        <v>Est 075-4 SE (Pq 075)</v>
      </c>
      <c r="C22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075-4 SE (Pq 075),SOSTENIMIENTO</v>
      </c>
      <c r="D22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01" s="47" t="s">
        <v>4351</v>
      </c>
      <c r="G2201" t="s">
        <v>4352</v>
      </c>
      <c r="H22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02" spans="1:8" ht="15" customHeight="1" x14ac:dyDescent="0.25">
      <c r="A2202" t="str">
        <f>MID(TB_CECO[[#This Row],[CECO_T]],1,5)</f>
        <v>2E666</v>
      </c>
      <c r="B2202" t="str">
        <f>MID(TB_CECO[[#This Row],[TRABAJO]],1,SEARCH(",",TB_CECO[[#This Row],[TRABAJO]],1)-1)</f>
        <v>Est 075-4 SE (Pq 075)</v>
      </c>
      <c r="C22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075-4 SE (Pq 075),VOLADURA</v>
      </c>
      <c r="D22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02" s="47" t="s">
        <v>4353</v>
      </c>
      <c r="G2202" t="s">
        <v>4354</v>
      </c>
      <c r="H22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03" spans="1:8" ht="15" customHeight="1" x14ac:dyDescent="0.25">
      <c r="A2203" t="str">
        <f>MID(TB_CECO[[#This Row],[CECO_T]],1,5)</f>
        <v>2E677</v>
      </c>
      <c r="B2203" t="str">
        <f>MID(TB_CECO[[#This Row],[TRABAJO]],1,SEARCH(",",TB_CECO[[#This Row],[TRABAJO]],1)-1)</f>
        <v>Est 840 SE (Inc 870 SW)</v>
      </c>
      <c r="C22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840 SE (Inc 870 SW),LIMPIEZA</v>
      </c>
      <c r="D22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03" s="47" t="s">
        <v>4355</v>
      </c>
      <c r="G2203" t="s">
        <v>4356</v>
      </c>
      <c r="H22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04" spans="1:8" ht="15" customHeight="1" x14ac:dyDescent="0.25">
      <c r="A2204" t="str">
        <f>MID(TB_CECO[[#This Row],[CECO_T]],1,5)</f>
        <v>2E677</v>
      </c>
      <c r="B2204" t="str">
        <f>MID(TB_CECO[[#This Row],[TRABAJO]],1,SEARCH(",",TB_CECO[[#This Row],[TRABAJO]],1)-1)</f>
        <v>Est 840 SE (Inc 870 SW)</v>
      </c>
      <c r="C22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840 SE (Inc 870 SW),SERVICIO</v>
      </c>
      <c r="D22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04" s="47" t="s">
        <v>4357</v>
      </c>
      <c r="G2204" t="s">
        <v>4358</v>
      </c>
      <c r="H22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05" spans="1:8" ht="15" customHeight="1" x14ac:dyDescent="0.25">
      <c r="A2205" t="str">
        <f>MID(TB_CECO[[#This Row],[CECO_T]],1,5)</f>
        <v>2E677</v>
      </c>
      <c r="B2205" t="str">
        <f>MID(TB_CECO[[#This Row],[TRABAJO]],1,SEARCH(",",TB_CECO[[#This Row],[TRABAJO]],1)-1)</f>
        <v>Est 840 SE (Inc 870 SW)</v>
      </c>
      <c r="C22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840 SE (Inc 870 SW),PERFORACION</v>
      </c>
      <c r="D22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05" s="47" t="s">
        <v>4359</v>
      </c>
      <c r="G2205" t="s">
        <v>4360</v>
      </c>
      <c r="H22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06" spans="1:8" ht="15" customHeight="1" x14ac:dyDescent="0.25">
      <c r="A2206" t="str">
        <f>MID(TB_CECO[[#This Row],[CECO_T]],1,5)</f>
        <v>2E677</v>
      </c>
      <c r="B2206" t="str">
        <f>MID(TB_CECO[[#This Row],[TRABAJO]],1,SEARCH(",",TB_CECO[[#This Row],[TRABAJO]],1)-1)</f>
        <v>Est 840 SE (Inc 870 SW)</v>
      </c>
      <c r="C22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840 SE (Inc 870 SW),SOSTENIMIENTO</v>
      </c>
      <c r="D22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06" s="47" t="s">
        <v>4361</v>
      </c>
      <c r="G2206" t="s">
        <v>4362</v>
      </c>
      <c r="H22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07" spans="1:8" ht="15" customHeight="1" x14ac:dyDescent="0.25">
      <c r="A2207" t="str">
        <f>MID(TB_CECO[[#This Row],[CECO_T]],1,5)</f>
        <v>2E677</v>
      </c>
      <c r="B2207" t="str">
        <f>MID(TB_CECO[[#This Row],[TRABAJO]],1,SEARCH(",",TB_CECO[[#This Row],[TRABAJO]],1)-1)</f>
        <v>Est 840 SE (Inc 870 SW)</v>
      </c>
      <c r="C22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840 SE (Inc 870 SW),VOLADURA</v>
      </c>
      <c r="D22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07" s="47" t="s">
        <v>4363</v>
      </c>
      <c r="G2207" t="s">
        <v>4364</v>
      </c>
      <c r="H22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08" spans="1:8" ht="15" customHeight="1" x14ac:dyDescent="0.25">
      <c r="A2208" t="str">
        <f>MID(TB_CECO[[#This Row],[CECO_T]],1,5)</f>
        <v>2E679</v>
      </c>
      <c r="B2208" t="str">
        <f>MID(TB_CECO[[#This Row],[TRABAJO]],1,SEARCH(",",TB_CECO[[#This Row],[TRABAJO]],1)-1)</f>
        <v>Est 845 SE (Inc 870 SW)</v>
      </c>
      <c r="C22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845 SE (Inc 870 SW),LIMPIEZA</v>
      </c>
      <c r="D22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08" s="47" t="s">
        <v>4365</v>
      </c>
      <c r="G2208" t="s">
        <v>4366</v>
      </c>
      <c r="H22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09" spans="1:8" ht="15" customHeight="1" x14ac:dyDescent="0.25">
      <c r="A2209" t="str">
        <f>MID(TB_CECO[[#This Row],[CECO_T]],1,5)</f>
        <v>2E679</v>
      </c>
      <c r="B2209" t="str">
        <f>MID(TB_CECO[[#This Row],[TRABAJO]],1,SEARCH(",",TB_CECO[[#This Row],[TRABAJO]],1)-1)</f>
        <v>Est 845 SE (Inc 870 SW)</v>
      </c>
      <c r="C22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845 SE (Inc 870 SW),SERVICIO</v>
      </c>
      <c r="D22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09" s="47" t="s">
        <v>4367</v>
      </c>
      <c r="G2209" t="s">
        <v>4368</v>
      </c>
      <c r="H22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10" spans="1:8" ht="15" customHeight="1" x14ac:dyDescent="0.25">
      <c r="A2210" t="str">
        <f>MID(TB_CECO[[#This Row],[CECO_T]],1,5)</f>
        <v>2E679</v>
      </c>
      <c r="B2210" t="str">
        <f>MID(TB_CECO[[#This Row],[TRABAJO]],1,SEARCH(",",TB_CECO[[#This Row],[TRABAJO]],1)-1)</f>
        <v>Est 845 SE (Inc 870 SW)</v>
      </c>
      <c r="C22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845 SE (Inc 870 SW),PERFORACION</v>
      </c>
      <c r="D22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10" s="47" t="s">
        <v>4369</v>
      </c>
      <c r="G2210" t="s">
        <v>4370</v>
      </c>
      <c r="H22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11" spans="1:8" ht="15" customHeight="1" x14ac:dyDescent="0.25">
      <c r="A2211" t="str">
        <f>MID(TB_CECO[[#This Row],[CECO_T]],1,5)</f>
        <v>2E679</v>
      </c>
      <c r="B2211" t="str">
        <f>MID(TB_CECO[[#This Row],[TRABAJO]],1,SEARCH(",",TB_CECO[[#This Row],[TRABAJO]],1)-1)</f>
        <v>Est 845 SE (Inc 870 SW)</v>
      </c>
      <c r="C22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845 SE (Inc 870 SW),SOSTENIMIENTO</v>
      </c>
      <c r="D22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11" s="47" t="s">
        <v>4371</v>
      </c>
      <c r="G2211" t="s">
        <v>4372</v>
      </c>
      <c r="H22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12" spans="1:8" ht="15" customHeight="1" x14ac:dyDescent="0.25">
      <c r="A2212" t="str">
        <f>MID(TB_CECO[[#This Row],[CECO_T]],1,5)</f>
        <v>2E679</v>
      </c>
      <c r="B2212" t="str">
        <f>MID(TB_CECO[[#This Row],[TRABAJO]],1,SEARCH(",",TB_CECO[[#This Row],[TRABAJO]],1)-1)</f>
        <v>Est 845 SE (Inc 870 SW)</v>
      </c>
      <c r="C22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845 SE (Inc 870 SW),VOLADURA</v>
      </c>
      <c r="D22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12" s="47" t="s">
        <v>4373</v>
      </c>
      <c r="G2212" t="s">
        <v>4374</v>
      </c>
      <c r="H22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13" spans="1:8" ht="15" customHeight="1" x14ac:dyDescent="0.25">
      <c r="A2213" t="str">
        <f>MID(TB_CECO[[#This Row],[CECO_T]],1,5)</f>
        <v>2E680</v>
      </c>
      <c r="B2213" t="str">
        <f>MID(TB_CECO[[#This Row],[TRABAJO]],1,SEARCH(",",TB_CECO[[#This Row],[TRABAJO]],1)-1)</f>
        <v> Est 819 SE (Snv 868 SW)</v>
      </c>
      <c r="C22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 Est 819 SE (Snv 868 SW),LIMPIEZA</v>
      </c>
      <c r="D22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13" s="47" t="s">
        <v>4375</v>
      </c>
      <c r="G2213" t="s">
        <v>4376</v>
      </c>
      <c r="H22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14" spans="1:8" ht="15" customHeight="1" x14ac:dyDescent="0.25">
      <c r="A2214" t="str">
        <f>MID(TB_CECO[[#This Row],[CECO_T]],1,5)</f>
        <v>2E680</v>
      </c>
      <c r="B2214" t="str">
        <f>MID(TB_CECO[[#This Row],[TRABAJO]],1,SEARCH(",",TB_CECO[[#This Row],[TRABAJO]],1)-1)</f>
        <v> Est 819 SE (Snv 868 SW)</v>
      </c>
      <c r="C22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 Est 819 SE (Snv 868 SW),SERVICIO</v>
      </c>
      <c r="D22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14" s="47" t="s">
        <v>4377</v>
      </c>
      <c r="G2214" t="s">
        <v>4378</v>
      </c>
      <c r="H22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15" spans="1:8" ht="15" customHeight="1" x14ac:dyDescent="0.25">
      <c r="A2215" t="str">
        <f>MID(TB_CECO[[#This Row],[CECO_T]],1,5)</f>
        <v>2E680</v>
      </c>
      <c r="B2215" t="str">
        <f>MID(TB_CECO[[#This Row],[TRABAJO]],1,SEARCH(",",TB_CECO[[#This Row],[TRABAJO]],1)-1)</f>
        <v> Est 819 SE (Snv 868 SW)</v>
      </c>
      <c r="C22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 Est 819 SE (Snv 868 SW),PERFORACION</v>
      </c>
      <c r="D22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15" s="47" t="s">
        <v>4379</v>
      </c>
      <c r="G2215" t="s">
        <v>4380</v>
      </c>
      <c r="H22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16" spans="1:8" ht="15" customHeight="1" x14ac:dyDescent="0.25">
      <c r="A2216" t="str">
        <f>MID(TB_CECO[[#This Row],[CECO_T]],1,5)</f>
        <v>2E680</v>
      </c>
      <c r="B2216" t="str">
        <f>MID(TB_CECO[[#This Row],[TRABAJO]],1,SEARCH(",",TB_CECO[[#This Row],[TRABAJO]],1)-1)</f>
        <v> Est 819 SE (Snv 868 SW)</v>
      </c>
      <c r="C22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 Est 819 SE (Snv 868 SW),SOSTENIMIENTO</v>
      </c>
      <c r="D22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16" s="47" t="s">
        <v>4381</v>
      </c>
      <c r="G2216" t="s">
        <v>4382</v>
      </c>
      <c r="H22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17" spans="1:8" ht="15" customHeight="1" x14ac:dyDescent="0.25">
      <c r="A2217" t="str">
        <f>MID(TB_CECO[[#This Row],[CECO_T]],1,5)</f>
        <v>2E680</v>
      </c>
      <c r="B2217" t="str">
        <f>MID(TB_CECO[[#This Row],[TRABAJO]],1,SEARCH(",",TB_CECO[[#This Row],[TRABAJO]],1)-1)</f>
        <v> Est 819 SE (Snv 868 SW)</v>
      </c>
      <c r="C22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 Est 819 SE (Snv 868 SW),VOLADURA</v>
      </c>
      <c r="D22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17" s="47" t="s">
        <v>4383</v>
      </c>
      <c r="G2217" t="s">
        <v>4384</v>
      </c>
      <c r="H22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18" spans="1:8" ht="15" customHeight="1" x14ac:dyDescent="0.25">
      <c r="A2218" t="str">
        <f>MID(TB_CECO[[#This Row],[CECO_T]],1,5)</f>
        <v>2E681</v>
      </c>
      <c r="B2218" t="str">
        <f>MID(TB_CECO[[#This Row],[TRABAJO]],1,SEARCH(",",TB_CECO[[#This Row],[TRABAJO]],1)-1)</f>
        <v>Est 829 SE (Snv 868 SW)</v>
      </c>
      <c r="C22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829 SE (Snv 868 SW),LIMPIEZA</v>
      </c>
      <c r="D22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18" s="47" t="s">
        <v>4385</v>
      </c>
      <c r="G2218" t="s">
        <v>4386</v>
      </c>
      <c r="H22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19" spans="1:8" ht="15" customHeight="1" x14ac:dyDescent="0.25">
      <c r="A2219" t="str">
        <f>MID(TB_CECO[[#This Row],[CECO_T]],1,5)</f>
        <v>2E681</v>
      </c>
      <c r="B2219" t="str">
        <f>MID(TB_CECO[[#This Row],[TRABAJO]],1,SEARCH(",",TB_CECO[[#This Row],[TRABAJO]],1)-1)</f>
        <v>Est 829 SE (Snv 868 SW)</v>
      </c>
      <c r="C22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829 SE (Snv 868 SW),SERVICIO</v>
      </c>
      <c r="D22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19" s="47" t="s">
        <v>4387</v>
      </c>
      <c r="G2219" t="s">
        <v>4388</v>
      </c>
      <c r="H22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20" spans="1:8" ht="15" customHeight="1" x14ac:dyDescent="0.25">
      <c r="A2220" t="str">
        <f>MID(TB_CECO[[#This Row],[CECO_T]],1,5)</f>
        <v>2E681</v>
      </c>
      <c r="B2220" t="str">
        <f>MID(TB_CECO[[#This Row],[TRABAJO]],1,SEARCH(",",TB_CECO[[#This Row],[TRABAJO]],1)-1)</f>
        <v>Est 829 SE (Snv 868 SW)</v>
      </c>
      <c r="C22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829 SE (Snv 868 SW),PERFORACION</v>
      </c>
      <c r="D22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20" s="47" t="s">
        <v>4389</v>
      </c>
      <c r="G2220" t="s">
        <v>4390</v>
      </c>
      <c r="H22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21" spans="1:8" ht="15" customHeight="1" x14ac:dyDescent="0.25">
      <c r="A2221" t="str">
        <f>MID(TB_CECO[[#This Row],[CECO_T]],1,5)</f>
        <v>2E681</v>
      </c>
      <c r="B2221" t="str">
        <f>MID(TB_CECO[[#This Row],[TRABAJO]],1,SEARCH(",",TB_CECO[[#This Row],[TRABAJO]],1)-1)</f>
        <v>Est 829 SE (Snv 868 SW)</v>
      </c>
      <c r="C22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829 SE (Snv 868 SW),SOSTENIMIENTO</v>
      </c>
      <c r="D22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21" s="47" t="s">
        <v>4391</v>
      </c>
      <c r="G2221" t="s">
        <v>4392</v>
      </c>
      <c r="H22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22" spans="1:8" ht="15" customHeight="1" x14ac:dyDescent="0.25">
      <c r="A2222" t="str">
        <f>MID(TB_CECO[[#This Row],[CECO_T]],1,5)</f>
        <v>2E681</v>
      </c>
      <c r="B2222" t="str">
        <f>MID(TB_CECO[[#This Row],[TRABAJO]],1,SEARCH(",",TB_CECO[[#This Row],[TRABAJO]],1)-1)</f>
        <v>Est 829 SE (Snv 868 SW)</v>
      </c>
      <c r="C22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829 SE (Snv 868 SW),VOLADURA</v>
      </c>
      <c r="D22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22" s="47" t="s">
        <v>4393</v>
      </c>
      <c r="G2222" t="s">
        <v>4394</v>
      </c>
      <c r="H22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23" spans="1:8" ht="15" customHeight="1" x14ac:dyDescent="0.25">
      <c r="A2223" t="str">
        <f>MID(TB_CECO[[#This Row],[CECO_T]],1,5)</f>
        <v>2E938</v>
      </c>
      <c r="B2223" t="str">
        <f>MID(TB_CECO[[#This Row],[TRABAJO]],1,SEARCH(",",TB_CECO[[#This Row],[TRABAJO]],1)-1)</f>
        <v>Ven 033 SW (Tj 037 NE)</v>
      </c>
      <c r="C22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033 SW (Tj 037 NE),LIMPIEZA</v>
      </c>
      <c r="D22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23" s="47" t="s">
        <v>4395</v>
      </c>
      <c r="G2223" t="s">
        <v>4396</v>
      </c>
      <c r="H22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24" spans="1:8" ht="15" customHeight="1" x14ac:dyDescent="0.25">
      <c r="A2224" t="str">
        <f>MID(TB_CECO[[#This Row],[CECO_T]],1,5)</f>
        <v>2E938</v>
      </c>
      <c r="B2224" t="str">
        <f>MID(TB_CECO[[#This Row],[TRABAJO]],1,SEARCH(",",TB_CECO[[#This Row],[TRABAJO]],1)-1)</f>
        <v>Ven 033 SW (Tj 037 NE)</v>
      </c>
      <c r="C22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033 SW (Tj 037 NE),SERVICIO</v>
      </c>
      <c r="D22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24" s="47" t="s">
        <v>4397</v>
      </c>
      <c r="G2224" t="s">
        <v>4398</v>
      </c>
      <c r="H22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25" spans="1:8" ht="15" customHeight="1" x14ac:dyDescent="0.25">
      <c r="A2225" t="str">
        <f>MID(TB_CECO[[#This Row],[CECO_T]],1,5)</f>
        <v>2E938</v>
      </c>
      <c r="B2225" t="str">
        <f>MID(TB_CECO[[#This Row],[TRABAJO]],1,SEARCH(",",TB_CECO[[#This Row],[TRABAJO]],1)-1)</f>
        <v>Ven 033 SW (Tj 037 NE)</v>
      </c>
      <c r="C22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033 SW (Tj 037 NE),PERFORACION</v>
      </c>
      <c r="D22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25" s="47" t="s">
        <v>4399</v>
      </c>
      <c r="G2225" t="s">
        <v>4400</v>
      </c>
      <c r="H22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26" spans="1:8" ht="15" customHeight="1" x14ac:dyDescent="0.25">
      <c r="A2226" t="str">
        <f>MID(TB_CECO[[#This Row],[CECO_T]],1,5)</f>
        <v>2E938</v>
      </c>
      <c r="B2226" t="str">
        <f>MID(TB_CECO[[#This Row],[TRABAJO]],1,SEARCH(",",TB_CECO[[#This Row],[TRABAJO]],1)-1)</f>
        <v>Ven 033 SW (Tj 037 NE)</v>
      </c>
      <c r="C22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033 SW (Tj 037 NE),SOSTENIMIENTO</v>
      </c>
      <c r="D22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26" s="47" t="s">
        <v>4401</v>
      </c>
      <c r="G2226" t="s">
        <v>4402</v>
      </c>
      <c r="H22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27" spans="1:8" ht="15" customHeight="1" x14ac:dyDescent="0.25">
      <c r="A2227" t="str">
        <f>MID(TB_CECO[[#This Row],[CECO_T]],1,5)</f>
        <v>2E938</v>
      </c>
      <c r="B2227" t="str">
        <f>MID(TB_CECO[[#This Row],[TRABAJO]],1,SEARCH(",",TB_CECO[[#This Row],[TRABAJO]],1)-1)</f>
        <v>Ven 033 SW (Tj 037 NE)</v>
      </c>
      <c r="C22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033 SW (Tj 037 NE),VOLADURA</v>
      </c>
      <c r="D22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27" s="47" t="s">
        <v>4403</v>
      </c>
      <c r="G2227" t="s">
        <v>4404</v>
      </c>
      <c r="H22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28" spans="1:8" ht="15" customHeight="1" x14ac:dyDescent="0.25">
      <c r="A2228" t="str">
        <f>MID(TB_CECO[[#This Row],[CECO_T]],1,5)</f>
        <v>2EA03</v>
      </c>
      <c r="B2228" t="str">
        <f>MID(TB_CECO[[#This Row],[TRABAJO]],1,SEARCH(",",TB_CECO[[#This Row],[TRABAJO]],1)-1)</f>
        <v>Bp 852 NW (Snv 032 SW)</v>
      </c>
      <c r="C22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852 NW (Snv 032 SW),LIMPIEZA</v>
      </c>
      <c r="D22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28" s="47" t="s">
        <v>4405</v>
      </c>
      <c r="G2228" t="s">
        <v>4406</v>
      </c>
      <c r="H22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29" spans="1:8" ht="15" customHeight="1" x14ac:dyDescent="0.25">
      <c r="A2229" t="str">
        <f>MID(TB_CECO[[#This Row],[CECO_T]],1,5)</f>
        <v>2EA03</v>
      </c>
      <c r="B2229" t="str">
        <f>MID(TB_CECO[[#This Row],[TRABAJO]],1,SEARCH(",",TB_CECO[[#This Row],[TRABAJO]],1)-1)</f>
        <v>Bp 852 NW (Snv 032 SW)</v>
      </c>
      <c r="C22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852 NW (Snv 032 SW),SERVICIO</v>
      </c>
      <c r="D22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29" s="47" t="s">
        <v>4407</v>
      </c>
      <c r="G2229" t="s">
        <v>4408</v>
      </c>
      <c r="H22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30" spans="1:8" ht="15" customHeight="1" x14ac:dyDescent="0.25">
      <c r="A2230" t="str">
        <f>MID(TB_CECO[[#This Row],[CECO_T]],1,5)</f>
        <v>2EA03</v>
      </c>
      <c r="B2230" t="str">
        <f>MID(TB_CECO[[#This Row],[TRABAJO]],1,SEARCH(",",TB_CECO[[#This Row],[TRABAJO]],1)-1)</f>
        <v>Bp 852 NW (Snv 032 SW)</v>
      </c>
      <c r="C22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852 NW (Snv 032 SW),PERFORACION</v>
      </c>
      <c r="D22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30" s="47" t="s">
        <v>4409</v>
      </c>
      <c r="G2230" t="s">
        <v>4410</v>
      </c>
      <c r="H22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31" spans="1:8" ht="15" customHeight="1" x14ac:dyDescent="0.25">
      <c r="A2231" t="str">
        <f>MID(TB_CECO[[#This Row],[CECO_T]],1,5)</f>
        <v>2EA03</v>
      </c>
      <c r="B2231" t="str">
        <f>MID(TB_CECO[[#This Row],[TRABAJO]],1,SEARCH(",",TB_CECO[[#This Row],[TRABAJO]],1)-1)</f>
        <v>Bp 852 NW (Snv 032 SW)</v>
      </c>
      <c r="C22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852 NW (Snv 032 SW),SOSTENIMIENTO</v>
      </c>
      <c r="D22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31" s="47" t="s">
        <v>4411</v>
      </c>
      <c r="G2231" t="s">
        <v>4412</v>
      </c>
      <c r="H22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32" spans="1:8" ht="15" customHeight="1" x14ac:dyDescent="0.25">
      <c r="A2232" t="str">
        <f>MID(TB_CECO[[#This Row],[CECO_T]],1,5)</f>
        <v>2EA03</v>
      </c>
      <c r="B2232" t="str">
        <f>MID(TB_CECO[[#This Row],[TRABAJO]],1,SEARCH(",",TB_CECO[[#This Row],[TRABAJO]],1)-1)</f>
        <v>Bp 852 NW (Snv 032 SW)</v>
      </c>
      <c r="C22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852 NW (Snv 032 SW),VOLADURA</v>
      </c>
      <c r="D22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32" s="47" t="s">
        <v>4413</v>
      </c>
      <c r="G2232" t="s">
        <v>4414</v>
      </c>
      <c r="H22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33" spans="1:8" ht="15" customHeight="1" x14ac:dyDescent="0.25">
      <c r="A2233" t="str">
        <f>MID(TB_CECO[[#This Row],[CECO_T]],1,5)</f>
        <v>2EP02</v>
      </c>
      <c r="B2233" t="str">
        <f>MID(TB_CECO[[#This Row],[TRABAJO]],1,SEARCH(",",TB_CECO[[#This Row],[TRABAJO]],1)-1)</f>
        <v>Pz 074 (Est 074 SW)</v>
      </c>
      <c r="C22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074 (Est 074 SW),LIMPIEZA</v>
      </c>
      <c r="D22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33" s="47" t="s">
        <v>4415</v>
      </c>
      <c r="G2233" t="s">
        <v>4416</v>
      </c>
      <c r="H22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34" spans="1:8" ht="15" customHeight="1" x14ac:dyDescent="0.25">
      <c r="A2234" t="str">
        <f>MID(TB_CECO[[#This Row],[CECO_T]],1,5)</f>
        <v>2EP02</v>
      </c>
      <c r="B2234" t="str">
        <f>MID(TB_CECO[[#This Row],[TRABAJO]],1,SEARCH(",",TB_CECO[[#This Row],[TRABAJO]],1)-1)</f>
        <v>Pz 074 (Est 074 SW)</v>
      </c>
      <c r="C22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074 (Est 074 SW),SERVICIO</v>
      </c>
      <c r="D22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34" s="47" t="s">
        <v>4417</v>
      </c>
      <c r="G2234" t="s">
        <v>4418</v>
      </c>
      <c r="H22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35" spans="1:8" ht="15" customHeight="1" x14ac:dyDescent="0.25">
      <c r="A2235" t="str">
        <f>MID(TB_CECO[[#This Row],[CECO_T]],1,5)</f>
        <v>2EP02</v>
      </c>
      <c r="B2235" t="str">
        <f>MID(TB_CECO[[#This Row],[TRABAJO]],1,SEARCH(",",TB_CECO[[#This Row],[TRABAJO]],1)-1)</f>
        <v>Pz 074 (Est 074 SW)</v>
      </c>
      <c r="C22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074 (Est 074 SW),PERFORACION</v>
      </c>
      <c r="D22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35" s="47" t="s">
        <v>4419</v>
      </c>
      <c r="G2235" t="s">
        <v>4420</v>
      </c>
      <c r="H22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36" spans="1:8" ht="15" customHeight="1" x14ac:dyDescent="0.25">
      <c r="A2236" t="str">
        <f>MID(TB_CECO[[#This Row],[CECO_T]],1,5)</f>
        <v>2EP02</v>
      </c>
      <c r="B2236" t="str">
        <f>MID(TB_CECO[[#This Row],[TRABAJO]],1,SEARCH(",",TB_CECO[[#This Row],[TRABAJO]],1)-1)</f>
        <v>Pz 074 (Est 074 SW)</v>
      </c>
      <c r="C22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074 (Est 074 SW),SOSTENIMIENTO</v>
      </c>
      <c r="D22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36" s="47" t="s">
        <v>4421</v>
      </c>
      <c r="G2236" t="s">
        <v>4422</v>
      </c>
      <c r="H22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37" spans="1:8" ht="15" customHeight="1" x14ac:dyDescent="0.25">
      <c r="A2237" t="str">
        <f>MID(TB_CECO[[#This Row],[CECO_T]],1,5)</f>
        <v>2EP02</v>
      </c>
      <c r="B2237" t="str">
        <f>MID(TB_CECO[[#This Row],[TRABAJO]],1,SEARCH(",",TB_CECO[[#This Row],[TRABAJO]],1)-1)</f>
        <v>Pz 074 (Est 074 SW)</v>
      </c>
      <c r="C22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074 (Est 074 SW),VOLADURA</v>
      </c>
      <c r="D22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37" s="47" t="s">
        <v>4423</v>
      </c>
      <c r="G2237" t="s">
        <v>4424</v>
      </c>
      <c r="H22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38" spans="1:8" ht="15" customHeight="1" x14ac:dyDescent="0.25">
      <c r="A2238" t="str">
        <f>MID(TB_CECO[[#This Row],[CECO_T]],1,5)</f>
        <v>2EP03</v>
      </c>
      <c r="B2238" t="str">
        <f>MID(TB_CECO[[#This Row],[TRABAJO]],1,SEARCH(",",TB_CECO[[#This Row],[TRABAJO]],1)-1)</f>
        <v>Pz 030 (Snv 030 NE)</v>
      </c>
      <c r="C22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030 (Snv 030 NE),LIMPIEZA</v>
      </c>
      <c r="D22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38" s="47" t="s">
        <v>4425</v>
      </c>
      <c r="G2238" t="s">
        <v>4426</v>
      </c>
      <c r="H22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39" spans="1:8" ht="15" customHeight="1" x14ac:dyDescent="0.25">
      <c r="A2239" t="str">
        <f>MID(TB_CECO[[#This Row],[CECO_T]],1,5)</f>
        <v>2EP03</v>
      </c>
      <c r="B2239" t="str">
        <f>MID(TB_CECO[[#This Row],[TRABAJO]],1,SEARCH(",",TB_CECO[[#This Row],[TRABAJO]],1)-1)</f>
        <v>Pz 030 (Snv 030 NE)</v>
      </c>
      <c r="C22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030 (Snv 030 NE),SERVICIO</v>
      </c>
      <c r="D22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39" s="47" t="s">
        <v>4427</v>
      </c>
      <c r="G2239" t="s">
        <v>4428</v>
      </c>
      <c r="H22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40" spans="1:8" ht="15" customHeight="1" x14ac:dyDescent="0.25">
      <c r="A2240" t="str">
        <f>MID(TB_CECO[[#This Row],[CECO_T]],1,5)</f>
        <v>2EP03</v>
      </c>
      <c r="B2240" t="str">
        <f>MID(TB_CECO[[#This Row],[TRABAJO]],1,SEARCH(",",TB_CECO[[#This Row],[TRABAJO]],1)-1)</f>
        <v>Pz 030 (Snv 030 NE)</v>
      </c>
      <c r="C22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030 (Snv 030 NE),PERFORACION</v>
      </c>
      <c r="D22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40" s="47" t="s">
        <v>4429</v>
      </c>
      <c r="G2240" t="s">
        <v>4430</v>
      </c>
      <c r="H22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41" spans="1:8" ht="15" customHeight="1" x14ac:dyDescent="0.25">
      <c r="A2241" t="str">
        <f>MID(TB_CECO[[#This Row],[CECO_T]],1,5)</f>
        <v>2EP03</v>
      </c>
      <c r="B2241" t="str">
        <f>MID(TB_CECO[[#This Row],[TRABAJO]],1,SEARCH(",",TB_CECO[[#This Row],[TRABAJO]],1)-1)</f>
        <v>Pz 030 (Snv 030 NE)</v>
      </c>
      <c r="C22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030 (Snv 030 NE),SOSTENIMIENTO</v>
      </c>
      <c r="D22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41" s="47" t="s">
        <v>4431</v>
      </c>
      <c r="G2241" t="s">
        <v>4432</v>
      </c>
      <c r="H22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42" spans="1:8" ht="15" customHeight="1" x14ac:dyDescent="0.25">
      <c r="A2242" t="str">
        <f>MID(TB_CECO[[#This Row],[CECO_T]],1,5)</f>
        <v>2EP03</v>
      </c>
      <c r="B2242" t="str">
        <f>MID(TB_CECO[[#This Row],[TRABAJO]],1,SEARCH(",",TB_CECO[[#This Row],[TRABAJO]],1)-1)</f>
        <v>Pz 030 (Snv 030 NE)</v>
      </c>
      <c r="C22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030 (Snv 030 NE),VOLADURA</v>
      </c>
      <c r="D22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42" s="47" t="s">
        <v>4433</v>
      </c>
      <c r="G2242" t="s">
        <v>4434</v>
      </c>
      <c r="H22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43" spans="1:8" ht="15" customHeight="1" x14ac:dyDescent="0.25">
      <c r="A2243" t="str">
        <f>MID(TB_CECO[[#This Row],[CECO_T]],1,5)</f>
        <v>2EP04</v>
      </c>
      <c r="B2243" t="str">
        <f>MID(TB_CECO[[#This Row],[TRABAJO]],1,SEARCH(",",TB_CECO[[#This Row],[TRABAJO]],1)-1)</f>
        <v>Pz 026 (Snv 026 NE)</v>
      </c>
      <c r="C22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026 (Snv 026 NE),LIMPIEZA</v>
      </c>
      <c r="D22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43" s="47" t="s">
        <v>4435</v>
      </c>
      <c r="G2243" t="s">
        <v>4436</v>
      </c>
      <c r="H22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44" spans="1:8" ht="15" customHeight="1" x14ac:dyDescent="0.25">
      <c r="A2244" t="str">
        <f>MID(TB_CECO[[#This Row],[CECO_T]],1,5)</f>
        <v>2EP04</v>
      </c>
      <c r="B2244" t="str">
        <f>MID(TB_CECO[[#This Row],[TRABAJO]],1,SEARCH(",",TB_CECO[[#This Row],[TRABAJO]],1)-1)</f>
        <v>Pz 026 (Snv 026 NE)</v>
      </c>
      <c r="C22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026 (Snv 026 NE),SERVICIO</v>
      </c>
      <c r="D22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44" s="47" t="s">
        <v>4437</v>
      </c>
      <c r="G2244" t="s">
        <v>4438</v>
      </c>
      <c r="H22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45" spans="1:8" ht="15" customHeight="1" x14ac:dyDescent="0.25">
      <c r="A2245" t="str">
        <f>MID(TB_CECO[[#This Row],[CECO_T]],1,5)</f>
        <v>2EP04</v>
      </c>
      <c r="B2245" t="str">
        <f>MID(TB_CECO[[#This Row],[TRABAJO]],1,SEARCH(",",TB_CECO[[#This Row],[TRABAJO]],1)-1)</f>
        <v>Pz 026 (Snv 026 NE)</v>
      </c>
      <c r="C22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026 (Snv 026 NE),PERFORACION</v>
      </c>
      <c r="D22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45" s="47" t="s">
        <v>4439</v>
      </c>
      <c r="G2245" t="s">
        <v>4440</v>
      </c>
      <c r="H22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46" spans="1:8" ht="15" customHeight="1" x14ac:dyDescent="0.25">
      <c r="A2246" t="str">
        <f>MID(TB_CECO[[#This Row],[CECO_T]],1,5)</f>
        <v>2EP04</v>
      </c>
      <c r="B2246" t="str">
        <f>MID(TB_CECO[[#This Row],[TRABAJO]],1,SEARCH(",",TB_CECO[[#This Row],[TRABAJO]],1)-1)</f>
        <v>Pz 026 (Snv 026 NE)</v>
      </c>
      <c r="C22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026 (Snv 026 NE),SOSTENIMIENTO</v>
      </c>
      <c r="D22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46" s="47" t="s">
        <v>4441</v>
      </c>
      <c r="G2246" t="s">
        <v>4442</v>
      </c>
      <c r="H22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47" spans="1:8" ht="15" customHeight="1" x14ac:dyDescent="0.25">
      <c r="A2247" t="str">
        <f>MID(TB_CECO[[#This Row],[CECO_T]],1,5)</f>
        <v>2EP04</v>
      </c>
      <c r="B2247" t="str">
        <f>MID(TB_CECO[[#This Row],[TRABAJO]],1,SEARCH(",",TB_CECO[[#This Row],[TRABAJO]],1)-1)</f>
        <v>Pz 026 (Snv 026 NE)</v>
      </c>
      <c r="C22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026 (Snv 026 NE),VOLADURA</v>
      </c>
      <c r="D22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2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47" s="47" t="s">
        <v>4443</v>
      </c>
      <c r="G2247" t="s">
        <v>4444</v>
      </c>
      <c r="H22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48" spans="1:8" ht="15" customHeight="1" x14ac:dyDescent="0.25">
      <c r="A2248" t="str">
        <f>MID(TB_CECO[[#This Row],[CECO_T]],1,5)</f>
        <v>2F109</v>
      </c>
      <c r="B2248" t="str">
        <f>MID(TB_CECO[[#This Row],[TRABAJO]],1,SEARCH(",",TB_CECO[[#This Row],[TRABAJO]],1)-1)</f>
        <v>CX 171 NW (CX128 NE)</v>
      </c>
      <c r="C22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171 NW (CX128 NE),SUMINISTROS    </v>
      </c>
      <c r="D22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48" s="47" t="s">
        <v>4445</v>
      </c>
      <c r="G2248" t="s">
        <v>4446</v>
      </c>
      <c r="H22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49" spans="1:8" ht="15" customHeight="1" x14ac:dyDescent="0.25">
      <c r="A2249" t="str">
        <f>MID(TB_CECO[[#This Row],[CECO_T]],1,5)</f>
        <v>2F109</v>
      </c>
      <c r="B2249" t="str">
        <f>MID(TB_CECO[[#This Row],[TRABAJO]],1,SEARCH(",",TB_CECO[[#This Row],[TRABAJO]],1)-1)</f>
        <v>CX 171 NW (CX128 NE)</v>
      </c>
      <c r="C22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171 NW (CX128 NE),SOSTENIMIENTO  </v>
      </c>
      <c r="D22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49" s="47" t="s">
        <v>4447</v>
      </c>
      <c r="G2249" t="s">
        <v>4448</v>
      </c>
      <c r="H22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50" spans="1:8" ht="15" customHeight="1" x14ac:dyDescent="0.25">
      <c r="A2250" t="str">
        <f>MID(TB_CECO[[#This Row],[CECO_T]],1,5)</f>
        <v>2F109</v>
      </c>
      <c r="B2250" t="str">
        <f>MID(TB_CECO[[#This Row],[TRABAJO]],1,SEARCH(",",TB_CECO[[#This Row],[TRABAJO]],1)-1)</f>
        <v>CX 171 NW (CX128 NE)</v>
      </c>
      <c r="C22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171 NW (CX128 NE),SERVICIO       </v>
      </c>
      <c r="D22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50" s="47" t="s">
        <v>4449</v>
      </c>
      <c r="G2250" t="s">
        <v>4450</v>
      </c>
      <c r="H22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51" spans="1:8" ht="15" customHeight="1" x14ac:dyDescent="0.25">
      <c r="A2251" t="str">
        <f>MID(TB_CECO[[#This Row],[CECO_T]],1,5)</f>
        <v>2F109</v>
      </c>
      <c r="B2251" t="str">
        <f>MID(TB_CECO[[#This Row],[TRABAJO]],1,SEARCH(",",TB_CECO[[#This Row],[TRABAJO]],1)-1)</f>
        <v>CX 171 NW (CX128 NE)</v>
      </c>
      <c r="C22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171 NW (CX128 NE),REHABILITACION </v>
      </c>
      <c r="D22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51" s="47" t="s">
        <v>4451</v>
      </c>
      <c r="G2251" t="s">
        <v>4452</v>
      </c>
      <c r="H22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52" spans="1:8" ht="15" customHeight="1" x14ac:dyDescent="0.25">
      <c r="A2252" t="str">
        <f>MID(TB_CECO[[#This Row],[CECO_T]],1,5)</f>
        <v>2F116</v>
      </c>
      <c r="B2252" t="str">
        <f>MID(TB_CECO[[#This Row],[TRABAJO]],1,SEARCH(",",TB_CECO[[#This Row],[TRABAJO]],1)-1)</f>
        <v>Cx 169 NE (Gal 127 NE)</v>
      </c>
      <c r="C22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169 NE (Gal 127 NE),SUMINISTROS</v>
      </c>
      <c r="D22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52" s="47" t="s">
        <v>4453</v>
      </c>
      <c r="G2252" t="s">
        <v>4454</v>
      </c>
      <c r="H22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53" spans="1:8" ht="15" customHeight="1" x14ac:dyDescent="0.25">
      <c r="A2253" t="str">
        <f>MID(TB_CECO[[#This Row],[CECO_T]],1,5)</f>
        <v>2F116</v>
      </c>
      <c r="B2253" t="str">
        <f>MID(TB_CECO[[#This Row],[TRABAJO]],1,SEARCH(",",TB_CECO[[#This Row],[TRABAJO]],1)-1)</f>
        <v>Cx 169 NE (Gal 127 NE)</v>
      </c>
      <c r="C22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169 NE (Gal 127 NE),SOSTENIMIENTO</v>
      </c>
      <c r="D22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53" s="47" t="s">
        <v>4455</v>
      </c>
      <c r="G2253" t="s">
        <v>4456</v>
      </c>
      <c r="H22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54" spans="1:8" ht="15" customHeight="1" x14ac:dyDescent="0.25">
      <c r="A2254" t="str">
        <f>MID(TB_CECO[[#This Row],[CECO_T]],1,5)</f>
        <v>2F116</v>
      </c>
      <c r="B2254" t="str">
        <f>MID(TB_CECO[[#This Row],[TRABAJO]],1,SEARCH(",",TB_CECO[[#This Row],[TRABAJO]],1)-1)</f>
        <v>Cx 169 NE (Gal 127 NE)</v>
      </c>
      <c r="C22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169 NE (Gal 127 NE),SERVICIO</v>
      </c>
      <c r="D22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54" s="47" t="s">
        <v>4457</v>
      </c>
      <c r="G2254" t="s">
        <v>4458</v>
      </c>
      <c r="H22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55" spans="1:8" ht="15" customHeight="1" x14ac:dyDescent="0.25">
      <c r="A2255" t="str">
        <f>MID(TB_CECO[[#This Row],[CECO_T]],1,5)</f>
        <v>2F116</v>
      </c>
      <c r="B2255" t="str">
        <f>MID(TB_CECO[[#This Row],[TRABAJO]],1,SEARCH(",",TB_CECO[[#This Row],[TRABAJO]],1)-1)</f>
        <v>Cx 169 NE (Gal 127 NE)</v>
      </c>
      <c r="C22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169 NE (Gal 127 NE),REHABILITACION</v>
      </c>
      <c r="D22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55" s="47" t="s">
        <v>4459</v>
      </c>
      <c r="G2255" t="s">
        <v>4460</v>
      </c>
      <c r="H22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56" spans="1:8" ht="15" customHeight="1" x14ac:dyDescent="0.25">
      <c r="A2256" t="str">
        <f>MID(TB_CECO[[#This Row],[CECO_T]],1,5)</f>
        <v>2F116</v>
      </c>
      <c r="B2256" t="str">
        <f>MID(TB_CECO[[#This Row],[TRABAJO]],1,SEARCH(",",TB_CECO[[#This Row],[TRABAJO]],1)-1)</f>
        <v>Cx 169 NE (Gal 127 NE)</v>
      </c>
      <c r="C22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169 NE (Gal 127 NE),REFUGIO</v>
      </c>
      <c r="D22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56" s="47" t="s">
        <v>4461</v>
      </c>
      <c r="G2256" t="s">
        <v>4462</v>
      </c>
      <c r="H22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57" spans="1:8" ht="15" customHeight="1" x14ac:dyDescent="0.25">
      <c r="A2257" t="str">
        <f>MID(TB_CECO[[#This Row],[CECO_T]],1,5)</f>
        <v>2F207</v>
      </c>
      <c r="B2257" t="str">
        <f>MID(TB_CECO[[#This Row],[TRABAJO]],1,SEARCH(",",TB_CECO[[#This Row],[TRABAJO]],1)-1)</f>
        <v>Gal 127 NE (Cx 171 NW)</v>
      </c>
      <c r="C22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127 NE (Cx 171 NW),SUMINISTROS</v>
      </c>
      <c r="D22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57" s="47" t="s">
        <v>4463</v>
      </c>
      <c r="G2257" t="s">
        <v>4464</v>
      </c>
      <c r="H22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58" spans="1:8" ht="15" customHeight="1" x14ac:dyDescent="0.25">
      <c r="A2258" t="str">
        <f>MID(TB_CECO[[#This Row],[CECO_T]],1,5)</f>
        <v>2F207</v>
      </c>
      <c r="B2258" t="str">
        <f>MID(TB_CECO[[#This Row],[TRABAJO]],1,SEARCH(",",TB_CECO[[#This Row],[TRABAJO]],1)-1)</f>
        <v>Gal 127 NE (Cx 171 NW)</v>
      </c>
      <c r="C22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127 NE (Cx 171 NW),SOSTENIMIENTO</v>
      </c>
      <c r="D22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58" s="47" t="s">
        <v>4465</v>
      </c>
      <c r="G2258" t="s">
        <v>4466</v>
      </c>
      <c r="H22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59" spans="1:8" ht="15" customHeight="1" x14ac:dyDescent="0.25">
      <c r="A2259" t="str">
        <f>MID(TB_CECO[[#This Row],[CECO_T]],1,5)</f>
        <v>2F207</v>
      </c>
      <c r="B2259" t="str">
        <f>MID(TB_CECO[[#This Row],[TRABAJO]],1,SEARCH(",",TB_CECO[[#This Row],[TRABAJO]],1)-1)</f>
        <v>Gal 127 NE (Cx 171 NW)</v>
      </c>
      <c r="C22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127 NE (Cx 171 NW),SERVICIO</v>
      </c>
      <c r="D22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59" s="47" t="s">
        <v>4467</v>
      </c>
      <c r="G2259" t="s">
        <v>4468</v>
      </c>
      <c r="H22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60" spans="1:8" ht="15" customHeight="1" x14ac:dyDescent="0.25">
      <c r="A2260" t="str">
        <f>MID(TB_CECO[[#This Row],[CECO_T]],1,5)</f>
        <v>2F207</v>
      </c>
      <c r="B2260" t="str">
        <f>MID(TB_CECO[[#This Row],[TRABAJO]],1,SEARCH(",",TB_CECO[[#This Row],[TRABAJO]],1)-1)</f>
        <v>Gal 127 NE (Cx 171 NW)</v>
      </c>
      <c r="C22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127 NE (Cx 171 NW),REHABILITACION</v>
      </c>
      <c r="D22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60" s="47" t="s">
        <v>4469</v>
      </c>
      <c r="G2260" t="s">
        <v>4470</v>
      </c>
      <c r="H22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61" spans="1:8" ht="15" customHeight="1" x14ac:dyDescent="0.25">
      <c r="A2261" t="str">
        <f>MID(TB_CECO[[#This Row],[CECO_T]],1,5)</f>
        <v>2F207</v>
      </c>
      <c r="B2261" t="str">
        <f>MID(TB_CECO[[#This Row],[TRABAJO]],1,SEARCH(",",TB_CECO[[#This Row],[TRABAJO]],1)-1)</f>
        <v>Gal 127 NE (Cx 171 NW)</v>
      </c>
      <c r="C22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127 NE (Cx 171 NW),REFUGIO</v>
      </c>
      <c r="D22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61" s="47" t="s">
        <v>4471</v>
      </c>
      <c r="G2261" t="s">
        <v>4472</v>
      </c>
      <c r="H22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62" spans="1:8" ht="15" customHeight="1" x14ac:dyDescent="0.25">
      <c r="A2262" t="str">
        <f>MID(TB_CECO[[#This Row],[CECO_T]],1,5)</f>
        <v>2F208</v>
      </c>
      <c r="B2262" t="str">
        <f>MID(TB_CECO[[#This Row],[TRABAJO]],1,SEARCH(",",TB_CECO[[#This Row],[TRABAJO]],1)-1)</f>
        <v>Gal 127 SW (Cx 171 NW)</v>
      </c>
      <c r="C22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127 SW (Cx 171 NW),SUMINISTROS</v>
      </c>
      <c r="D22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62" s="47" t="s">
        <v>4473</v>
      </c>
      <c r="G2262" t="s">
        <v>4474</v>
      </c>
      <c r="H22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63" spans="1:8" ht="15" customHeight="1" x14ac:dyDescent="0.25">
      <c r="A2263" t="str">
        <f>MID(TB_CECO[[#This Row],[CECO_T]],1,5)</f>
        <v>2F208</v>
      </c>
      <c r="B2263" t="str">
        <f>MID(TB_CECO[[#This Row],[TRABAJO]],1,SEARCH(",",TB_CECO[[#This Row],[TRABAJO]],1)-1)</f>
        <v>Gal 127 SW (Cx 171 NW)</v>
      </c>
      <c r="C22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127 SW (Cx 171 NW),SOSTENIMIENTO</v>
      </c>
      <c r="D22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63" s="47" t="s">
        <v>4475</v>
      </c>
      <c r="G2263" t="s">
        <v>4476</v>
      </c>
      <c r="H22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64" spans="1:8" ht="15" customHeight="1" x14ac:dyDescent="0.25">
      <c r="A2264" t="str">
        <f>MID(TB_CECO[[#This Row],[CECO_T]],1,5)</f>
        <v>2F208</v>
      </c>
      <c r="B2264" t="str">
        <f>MID(TB_CECO[[#This Row],[TRABAJO]],1,SEARCH(",",TB_CECO[[#This Row],[TRABAJO]],1)-1)</f>
        <v>Gal 127 SW (Cx 171 NW)</v>
      </c>
      <c r="C22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127 SW (Cx 171 NW),SERVICIO</v>
      </c>
      <c r="D22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64" s="47" t="s">
        <v>4477</v>
      </c>
      <c r="G2264" t="s">
        <v>4478</v>
      </c>
      <c r="H22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65" spans="1:8" ht="15" customHeight="1" x14ac:dyDescent="0.25">
      <c r="A2265" t="str">
        <f>MID(TB_CECO[[#This Row],[CECO_T]],1,5)</f>
        <v>2F208</v>
      </c>
      <c r="B2265" t="str">
        <f>MID(TB_CECO[[#This Row],[TRABAJO]],1,SEARCH(",",TB_CECO[[#This Row],[TRABAJO]],1)-1)</f>
        <v>Gal 127 SW (Cx 171 NW)</v>
      </c>
      <c r="C22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127 SW (Cx 171 NW),REHABILITACION</v>
      </c>
      <c r="D22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65" s="47" t="s">
        <v>4479</v>
      </c>
      <c r="G2265" t="s">
        <v>4480</v>
      </c>
      <c r="H22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66" spans="1:8" ht="15" customHeight="1" x14ac:dyDescent="0.25">
      <c r="A2266" t="str">
        <f>MID(TB_CECO[[#This Row],[CECO_T]],1,5)</f>
        <v>2F208</v>
      </c>
      <c r="B2266" t="str">
        <f>MID(TB_CECO[[#This Row],[TRABAJO]],1,SEARCH(",",TB_CECO[[#This Row],[TRABAJO]],1)-1)</f>
        <v>Gal 127 SW (Cx 171 NW)</v>
      </c>
      <c r="C22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127 SW (Cx 171 NW),REFUGIO</v>
      </c>
      <c r="D22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66" s="47" t="s">
        <v>4481</v>
      </c>
      <c r="G2266" t="s">
        <v>4482</v>
      </c>
      <c r="H22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67" spans="1:8" ht="15" customHeight="1" x14ac:dyDescent="0.25">
      <c r="A2267" t="str">
        <f>MID(TB_CECO[[#This Row],[CECO_T]],1,5)</f>
        <v>2F211</v>
      </c>
      <c r="B2267" t="str">
        <f>MID(TB_CECO[[#This Row],[TRABAJO]],1,SEARCH(",",TB_CECO[[#This Row],[TRABAJO]],1)-1)</f>
        <v>Gal 192 NE (Cx 169 NE)</v>
      </c>
      <c r="C22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192 NE (Cx 169 NE),SUMINISTROS</v>
      </c>
      <c r="D22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67" s="47" t="s">
        <v>4483</v>
      </c>
      <c r="G2267" t="s">
        <v>4484</v>
      </c>
      <c r="H22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68" spans="1:8" ht="15" customHeight="1" x14ac:dyDescent="0.25">
      <c r="A2268" t="str">
        <f>MID(TB_CECO[[#This Row],[CECO_T]],1,5)</f>
        <v>2F211</v>
      </c>
      <c r="B2268" t="str">
        <f>MID(TB_CECO[[#This Row],[TRABAJO]],1,SEARCH(",",TB_CECO[[#This Row],[TRABAJO]],1)-1)</f>
        <v>Gal 192 NE (Cx 169 NE)</v>
      </c>
      <c r="C22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192 NE (Cx 169 NE),SOSTENIMIENTO</v>
      </c>
      <c r="D22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68" s="47" t="s">
        <v>4485</v>
      </c>
      <c r="G2268" t="s">
        <v>4486</v>
      </c>
      <c r="H22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69" spans="1:8" ht="15" customHeight="1" x14ac:dyDescent="0.25">
      <c r="A2269" t="str">
        <f>MID(TB_CECO[[#This Row],[CECO_T]],1,5)</f>
        <v>2F211</v>
      </c>
      <c r="B2269" t="str">
        <f>MID(TB_CECO[[#This Row],[TRABAJO]],1,SEARCH(",",TB_CECO[[#This Row],[TRABAJO]],1)-1)</f>
        <v>Gal 192 NE (Cx 169 NE)</v>
      </c>
      <c r="C22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192 NE (Cx 169 NE),SERVICIO</v>
      </c>
      <c r="D22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69" s="47" t="s">
        <v>4487</v>
      </c>
      <c r="G2269" t="s">
        <v>4488</v>
      </c>
      <c r="H22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70" spans="1:8" ht="15" customHeight="1" x14ac:dyDescent="0.25">
      <c r="A2270" t="str">
        <f>MID(TB_CECO[[#This Row],[CECO_T]],1,5)</f>
        <v>2F211</v>
      </c>
      <c r="B2270" t="str">
        <f>MID(TB_CECO[[#This Row],[TRABAJO]],1,SEARCH(",",TB_CECO[[#This Row],[TRABAJO]],1)-1)</f>
        <v>Gal 192 NE (Cx 169 NE)</v>
      </c>
      <c r="C22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192 NE (Cx 169 NE),REHABILITACION</v>
      </c>
      <c r="D22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70" s="47" t="s">
        <v>4489</v>
      </c>
      <c r="G2270" t="s">
        <v>4490</v>
      </c>
      <c r="H22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71" spans="1:8" ht="15" customHeight="1" x14ac:dyDescent="0.25">
      <c r="A2271" t="str">
        <f>MID(TB_CECO[[#This Row],[CECO_T]],1,5)</f>
        <v>2F564</v>
      </c>
      <c r="B2271" t="str">
        <f>MID(TB_CECO[[#This Row],[TRABAJO]],1,SEARCH(",",TB_CECO[[#This Row],[TRABAJO]],1)-1)</f>
        <v>Snv 3850 NE (Ch 133)</v>
      </c>
      <c r="C22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3850 NE (Ch 133),SUMINISTROS</v>
      </c>
      <c r="D22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71" s="47" t="s">
        <v>4491</v>
      </c>
      <c r="G2271" t="s">
        <v>4492</v>
      </c>
      <c r="H22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72" spans="1:8" ht="15" customHeight="1" x14ac:dyDescent="0.25">
      <c r="A2272" t="str">
        <f>MID(TB_CECO[[#This Row],[CECO_T]],1,5)</f>
        <v>2F564</v>
      </c>
      <c r="B2272" t="str">
        <f>MID(TB_CECO[[#This Row],[TRABAJO]],1,SEARCH(",",TB_CECO[[#This Row],[TRABAJO]],1)-1)</f>
        <v>Snv 3850 NE (Ch 133)</v>
      </c>
      <c r="C22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3850 NE (Ch 133),SOSTENIMIENTO</v>
      </c>
      <c r="D22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72" s="47" t="s">
        <v>4493</v>
      </c>
      <c r="G2272" t="s">
        <v>4494</v>
      </c>
      <c r="H22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73" spans="1:8" ht="15" customHeight="1" x14ac:dyDescent="0.25">
      <c r="A2273" t="str">
        <f>MID(TB_CECO[[#This Row],[CECO_T]],1,5)</f>
        <v>2F564</v>
      </c>
      <c r="B2273" t="str">
        <f>MID(TB_CECO[[#This Row],[TRABAJO]],1,SEARCH(",",TB_CECO[[#This Row],[TRABAJO]],1)-1)</f>
        <v>Snv 3850 NE (Ch 133)</v>
      </c>
      <c r="C22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3850 NE (Ch 133),SERVICIO</v>
      </c>
      <c r="D22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73" s="47" t="s">
        <v>4495</v>
      </c>
      <c r="G2273" t="s">
        <v>4496</v>
      </c>
      <c r="H22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74" spans="1:8" ht="15" customHeight="1" x14ac:dyDescent="0.25">
      <c r="A2274" t="str">
        <f>MID(TB_CECO[[#This Row],[CECO_T]],1,5)</f>
        <v>2F564</v>
      </c>
      <c r="B2274" t="str">
        <f>MID(TB_CECO[[#This Row],[TRABAJO]],1,SEARCH(",",TB_CECO[[#This Row],[TRABAJO]],1)-1)</f>
        <v>Snv 3850 NE (Ch 133)</v>
      </c>
      <c r="C22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3850 NE (Ch 133),REHABILITACION</v>
      </c>
      <c r="D22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74" s="47" t="s">
        <v>4497</v>
      </c>
      <c r="G2274" t="s">
        <v>4498</v>
      </c>
      <c r="H22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75" spans="1:8" ht="15" customHeight="1" x14ac:dyDescent="0.25">
      <c r="A2275" t="str">
        <f>MID(TB_CECO[[#This Row],[CECO_T]],1,5)</f>
        <v>2F565</v>
      </c>
      <c r="B2275" t="str">
        <f>MID(TB_CECO[[#This Row],[TRABAJO]],1,SEARCH(",",TB_CECO[[#This Row],[TRABAJO]],1)-1)</f>
        <v>Snv 3850 SW (Ch 133)</v>
      </c>
      <c r="C22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3850 SW (Ch 133),SUMINISTROS</v>
      </c>
      <c r="D22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75" s="47" t="s">
        <v>4499</v>
      </c>
      <c r="G2275" t="s">
        <v>4500</v>
      </c>
      <c r="H22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76" spans="1:8" ht="15" customHeight="1" x14ac:dyDescent="0.25">
      <c r="A2276" t="str">
        <f>MID(TB_CECO[[#This Row],[CECO_T]],1,5)</f>
        <v>2F565</v>
      </c>
      <c r="B2276" t="str">
        <f>MID(TB_CECO[[#This Row],[TRABAJO]],1,SEARCH(",",TB_CECO[[#This Row],[TRABAJO]],1)-1)</f>
        <v>Snv 3850 SW (Ch 133)</v>
      </c>
      <c r="C22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3850 SW (Ch 133),SOSTENIMIENTO</v>
      </c>
      <c r="D22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76" s="47" t="s">
        <v>4501</v>
      </c>
      <c r="G2276" t="s">
        <v>4502</v>
      </c>
      <c r="H22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77" spans="1:8" ht="15" customHeight="1" x14ac:dyDescent="0.25">
      <c r="A2277" t="str">
        <f>MID(TB_CECO[[#This Row],[CECO_T]],1,5)</f>
        <v>2F565</v>
      </c>
      <c r="B2277" t="str">
        <f>MID(TB_CECO[[#This Row],[TRABAJO]],1,SEARCH(",",TB_CECO[[#This Row],[TRABAJO]],1)-1)</f>
        <v>Snv 3850 SW (Ch 133)</v>
      </c>
      <c r="C22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3850 SW (Ch 133),SERVICIO</v>
      </c>
      <c r="D22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77" s="47" t="s">
        <v>4503</v>
      </c>
      <c r="G2277" t="s">
        <v>4504</v>
      </c>
      <c r="H22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78" spans="1:8" ht="15" customHeight="1" x14ac:dyDescent="0.25">
      <c r="A2278" t="str">
        <f>MID(TB_CECO[[#This Row],[CECO_T]],1,5)</f>
        <v>2F565</v>
      </c>
      <c r="B2278" t="str">
        <f>MID(TB_CECO[[#This Row],[TRABAJO]],1,SEARCH(",",TB_CECO[[#This Row],[TRABAJO]],1)-1)</f>
        <v>Snv 3850 SW (Ch 133)</v>
      </c>
      <c r="C22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3850 SW (Ch 133),REHABILITACION</v>
      </c>
      <c r="D22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2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78" s="47" t="s">
        <v>4505</v>
      </c>
      <c r="G2278" t="s">
        <v>4506</v>
      </c>
      <c r="H22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79" spans="1:8" ht="15" customHeight="1" x14ac:dyDescent="0.25">
      <c r="A2279" t="str">
        <f>MID(TB_CECO[[#This Row],[CECO_T]],1,5)</f>
        <v>2G31F</v>
      </c>
      <c r="B2279" t="str">
        <f>MID(TB_CECO[[#This Row],[TRABAJO]],1,SEARCH(",",TB_CECO[[#This Row],[TRABAJO]],1)-1)</f>
        <v>Ch 907 (Snv 878 NE)</v>
      </c>
      <c r="C22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878 NE),LIMPIEZA</v>
      </c>
      <c r="D22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79" s="47" t="s">
        <v>4507</v>
      </c>
      <c r="G2279" t="s">
        <v>4508</v>
      </c>
      <c r="H22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80" spans="1:8" ht="15" customHeight="1" x14ac:dyDescent="0.25">
      <c r="A2280" t="str">
        <f>MID(TB_CECO[[#This Row],[CECO_T]],1,5)</f>
        <v>2G31F</v>
      </c>
      <c r="B2280" t="str">
        <f>MID(TB_CECO[[#This Row],[TRABAJO]],1,SEARCH(",",TB_CECO[[#This Row],[TRABAJO]],1)-1)</f>
        <v>Ch 907 (Snv 878 NE)</v>
      </c>
      <c r="C22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878 NE),SERVICIO</v>
      </c>
      <c r="D22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80" s="47" t="s">
        <v>4509</v>
      </c>
      <c r="G2280" t="s">
        <v>4510</v>
      </c>
      <c r="H22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81" spans="1:8" ht="15" customHeight="1" x14ac:dyDescent="0.25">
      <c r="A2281" t="str">
        <f>MID(TB_CECO[[#This Row],[CECO_T]],1,5)</f>
        <v>2G31F</v>
      </c>
      <c r="B2281" t="str">
        <f>MID(TB_CECO[[#This Row],[TRABAJO]],1,SEARCH(",",TB_CECO[[#This Row],[TRABAJO]],1)-1)</f>
        <v>Ch 907 (Snv 878 NE)</v>
      </c>
      <c r="C22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878 NE),PERFORACION</v>
      </c>
      <c r="D22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81" s="47" t="s">
        <v>4511</v>
      </c>
      <c r="G2281" t="s">
        <v>4512</v>
      </c>
      <c r="H22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82" spans="1:8" ht="15" customHeight="1" x14ac:dyDescent="0.25">
      <c r="A2282" t="str">
        <f>MID(TB_CECO[[#This Row],[CECO_T]],1,5)</f>
        <v>2G31F</v>
      </c>
      <c r="B2282" t="str">
        <f>MID(TB_CECO[[#This Row],[TRABAJO]],1,SEARCH(",",TB_CECO[[#This Row],[TRABAJO]],1)-1)</f>
        <v>Ch 907 (Snv 878 NE)</v>
      </c>
      <c r="C22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878 NE),SOSTENIMIENTO</v>
      </c>
      <c r="D22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82" s="47" t="s">
        <v>4513</v>
      </c>
      <c r="G2282" t="s">
        <v>4514</v>
      </c>
      <c r="H22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83" spans="1:8" ht="15" customHeight="1" x14ac:dyDescent="0.25">
      <c r="A2283" t="str">
        <f>MID(TB_CECO[[#This Row],[CECO_T]],1,5)</f>
        <v>2G31F</v>
      </c>
      <c r="B2283" t="str">
        <f>MID(TB_CECO[[#This Row],[TRABAJO]],1,SEARCH(",",TB_CECO[[#This Row],[TRABAJO]],1)-1)</f>
        <v>Ch 907 (Snv 878 NE)</v>
      </c>
      <c r="C22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878 NE),VOLADURA</v>
      </c>
      <c r="D22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83" s="47" t="s">
        <v>4515</v>
      </c>
      <c r="G2283" t="s">
        <v>4516</v>
      </c>
      <c r="H22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84" spans="1:8" ht="15" customHeight="1" x14ac:dyDescent="0.25">
      <c r="A2284" t="str">
        <f>MID(TB_CECO[[#This Row],[CECO_T]],1,5)</f>
        <v>2G379</v>
      </c>
      <c r="B2284" t="str">
        <f>MID(TB_CECO[[#This Row],[TRABAJO]],1,SEARCH(",",TB_CECO[[#This Row],[TRABAJO]],1)-1)</f>
        <v>Ch 931 (Snv 938 SW)</v>
      </c>
      <c r="C22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931 (Snv 938 SW),LIMPIEZA</v>
      </c>
      <c r="D22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84" s="47" t="s">
        <v>4517</v>
      </c>
      <c r="G2284" t="s">
        <v>4518</v>
      </c>
      <c r="H22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85" spans="1:8" ht="15" customHeight="1" x14ac:dyDescent="0.25">
      <c r="A2285" t="str">
        <f>MID(TB_CECO[[#This Row],[CECO_T]],1,5)</f>
        <v>2G379</v>
      </c>
      <c r="B2285" t="str">
        <f>MID(TB_CECO[[#This Row],[TRABAJO]],1,SEARCH(",",TB_CECO[[#This Row],[TRABAJO]],1)-1)</f>
        <v>Ch 931 (Snv 938 SW)</v>
      </c>
      <c r="C22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931 (Snv 938 SW),SERVICIO</v>
      </c>
      <c r="D22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85" s="47" t="s">
        <v>4519</v>
      </c>
      <c r="G2285" t="s">
        <v>4520</v>
      </c>
      <c r="H22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86" spans="1:8" ht="15" customHeight="1" x14ac:dyDescent="0.25">
      <c r="A2286" t="str">
        <f>MID(TB_CECO[[#This Row],[CECO_T]],1,5)</f>
        <v>2G379</v>
      </c>
      <c r="B2286" t="str">
        <f>MID(TB_CECO[[#This Row],[TRABAJO]],1,SEARCH(",",TB_CECO[[#This Row],[TRABAJO]],1)-1)</f>
        <v>Ch 931 (Snv 938 SW)</v>
      </c>
      <c r="C22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931 (Snv 938 SW),PERFORACION</v>
      </c>
      <c r="D22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86" s="47" t="s">
        <v>4521</v>
      </c>
      <c r="G2286" t="s">
        <v>4522</v>
      </c>
      <c r="H22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87" spans="1:8" ht="15" customHeight="1" x14ac:dyDescent="0.25">
      <c r="A2287" t="str">
        <f>MID(TB_CECO[[#This Row],[CECO_T]],1,5)</f>
        <v>2G379</v>
      </c>
      <c r="B2287" t="str">
        <f>MID(TB_CECO[[#This Row],[TRABAJO]],1,SEARCH(",",TB_CECO[[#This Row],[TRABAJO]],1)-1)</f>
        <v>Ch 931 (Snv 938 SW)</v>
      </c>
      <c r="C22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931 (Snv 938 SW),SOSTENIMIENTO</v>
      </c>
      <c r="D22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87" s="47" t="s">
        <v>4523</v>
      </c>
      <c r="G2287" t="s">
        <v>4524</v>
      </c>
      <c r="H22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88" spans="1:8" ht="15" customHeight="1" x14ac:dyDescent="0.25">
      <c r="A2288" t="str">
        <f>MID(TB_CECO[[#This Row],[CECO_T]],1,5)</f>
        <v>2G379</v>
      </c>
      <c r="B2288" t="str">
        <f>MID(TB_CECO[[#This Row],[TRABAJO]],1,SEARCH(",",TB_CECO[[#This Row],[TRABAJO]],1)-1)</f>
        <v>Ch 931 (Snv 938 SW)</v>
      </c>
      <c r="C22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931 (Snv 938 SW),VOLADURA</v>
      </c>
      <c r="D22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88" s="47" t="s">
        <v>4525</v>
      </c>
      <c r="G2288" t="s">
        <v>4526</v>
      </c>
      <c r="H22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89" spans="1:8" ht="15" customHeight="1" x14ac:dyDescent="0.25">
      <c r="A2289" t="str">
        <f>MID(TB_CECO[[#This Row],[CECO_T]],1,5)</f>
        <v>2G411</v>
      </c>
      <c r="B2289" t="str">
        <f>MID(TB_CECO[[#This Row],[TRABAJO]],1,SEARCH(",",TB_CECO[[#This Row],[TRABAJO]],1)-1)</f>
        <v>Pq 938 (Est 935 NE)</v>
      </c>
      <c r="C22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938 (Est 935 NE),LIMPIEZA</v>
      </c>
      <c r="D22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89" s="47" t="s">
        <v>4527</v>
      </c>
      <c r="G2289" t="s">
        <v>4528</v>
      </c>
      <c r="H22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90" spans="1:8" ht="15" customHeight="1" x14ac:dyDescent="0.25">
      <c r="A2290" t="str">
        <f>MID(TB_CECO[[#This Row],[CECO_T]],1,5)</f>
        <v>2G411</v>
      </c>
      <c r="B2290" t="str">
        <f>MID(TB_CECO[[#This Row],[TRABAJO]],1,SEARCH(",",TB_CECO[[#This Row],[TRABAJO]],1)-1)</f>
        <v>Pq 938 (Est 935 NE)</v>
      </c>
      <c r="C22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938 (Est 935 NE),SERVICIO</v>
      </c>
      <c r="D22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90" s="47" t="s">
        <v>4529</v>
      </c>
      <c r="G2290" t="s">
        <v>4530</v>
      </c>
      <c r="H22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91" spans="1:8" ht="15" customHeight="1" x14ac:dyDescent="0.25">
      <c r="A2291" t="str">
        <f>MID(TB_CECO[[#This Row],[CECO_T]],1,5)</f>
        <v>2G411</v>
      </c>
      <c r="B2291" t="str">
        <f>MID(TB_CECO[[#This Row],[TRABAJO]],1,SEARCH(",",TB_CECO[[#This Row],[TRABAJO]],1)-1)</f>
        <v>Pq 938 (Est 935 NE)</v>
      </c>
      <c r="C22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938 (Est 935 NE),PERFORACION</v>
      </c>
      <c r="D22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91" s="47" t="s">
        <v>4531</v>
      </c>
      <c r="G2291" t="s">
        <v>4532</v>
      </c>
      <c r="H22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92" spans="1:8" ht="15" customHeight="1" x14ac:dyDescent="0.25">
      <c r="A2292" t="str">
        <f>MID(TB_CECO[[#This Row],[CECO_T]],1,5)</f>
        <v>2G411</v>
      </c>
      <c r="B2292" t="str">
        <f>MID(TB_CECO[[#This Row],[TRABAJO]],1,SEARCH(",",TB_CECO[[#This Row],[TRABAJO]],1)-1)</f>
        <v>Pq 938 (Est 935 NE)</v>
      </c>
      <c r="C22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938 (Est 935 NE),SOSTENIMIENTO</v>
      </c>
      <c r="D22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92" s="47" t="s">
        <v>4533</v>
      </c>
      <c r="G2292" t="s">
        <v>4534</v>
      </c>
      <c r="H22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93" spans="1:8" ht="15" customHeight="1" x14ac:dyDescent="0.25">
      <c r="A2293" t="str">
        <f>MID(TB_CECO[[#This Row],[CECO_T]],1,5)</f>
        <v>2G411</v>
      </c>
      <c r="B2293" t="str">
        <f>MID(TB_CECO[[#This Row],[TRABAJO]],1,SEARCH(",",TB_CECO[[#This Row],[TRABAJO]],1)-1)</f>
        <v>Pq 938 (Est 935 NE)</v>
      </c>
      <c r="C22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938 (Est 935 NE),VOLADURA</v>
      </c>
      <c r="D22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93" s="47" t="s">
        <v>4535</v>
      </c>
      <c r="G2293" t="s">
        <v>4536</v>
      </c>
      <c r="H22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94" spans="1:8" ht="15" customHeight="1" x14ac:dyDescent="0.25">
      <c r="A2294" t="str">
        <f>MID(TB_CECO[[#This Row],[CECO_T]],1,5)</f>
        <v>2G548</v>
      </c>
      <c r="B2294" t="str">
        <f>MID(TB_CECO[[#This Row],[TRABAJO]],1,SEARCH(",",TB_CECO[[#This Row],[TRABAJO]],1)-1)</f>
        <v>Snv 116 SE (Est 108 SE)</v>
      </c>
      <c r="C22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116 SE (Est 108 SE),SUMINISTROS</v>
      </c>
      <c r="D22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2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94" s="47" t="s">
        <v>4537</v>
      </c>
      <c r="G2294" t="s">
        <v>4538</v>
      </c>
      <c r="H22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95" spans="1:8" ht="15" customHeight="1" x14ac:dyDescent="0.25">
      <c r="A2295" t="str">
        <f>MID(TB_CECO[[#This Row],[CECO_T]],1,5)</f>
        <v>2G548</v>
      </c>
      <c r="B2295" t="str">
        <f>MID(TB_CECO[[#This Row],[TRABAJO]],1,SEARCH(",",TB_CECO[[#This Row],[TRABAJO]],1)-1)</f>
        <v>Snv 116 SE (Est 108 SE)</v>
      </c>
      <c r="C22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116 SE (Est 108 SE),SOSTENIMIENTO</v>
      </c>
      <c r="D22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2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95" s="47" t="s">
        <v>4539</v>
      </c>
      <c r="G2295" t="s">
        <v>4540</v>
      </c>
      <c r="H22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96" spans="1:8" ht="15" customHeight="1" x14ac:dyDescent="0.25">
      <c r="A2296" t="str">
        <f>MID(TB_CECO[[#This Row],[CECO_T]],1,5)</f>
        <v>2G548</v>
      </c>
      <c r="B2296" t="str">
        <f>MID(TB_CECO[[#This Row],[TRABAJO]],1,SEARCH(",",TB_CECO[[#This Row],[TRABAJO]],1)-1)</f>
        <v>Snv 116 SE (Est 108 SE)</v>
      </c>
      <c r="C22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116 SE (Est 108 SE),SERVICIO</v>
      </c>
      <c r="D22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2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96" s="47" t="s">
        <v>4541</v>
      </c>
      <c r="G2296" t="s">
        <v>4542</v>
      </c>
      <c r="H22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97" spans="1:8" ht="15" customHeight="1" x14ac:dyDescent="0.25">
      <c r="A2297" t="str">
        <f>MID(TB_CECO[[#This Row],[CECO_T]],1,5)</f>
        <v>2G548</v>
      </c>
      <c r="B2297" t="str">
        <f>MID(TB_CECO[[#This Row],[TRABAJO]],1,SEARCH(",",TB_CECO[[#This Row],[TRABAJO]],1)-1)</f>
        <v>Snv 116 SE (Est 108 SE)</v>
      </c>
      <c r="C22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116 SE (Est 108 SE),REHABILITACION</v>
      </c>
      <c r="D22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2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297" s="47" t="s">
        <v>4543</v>
      </c>
      <c r="G2297" t="s">
        <v>4544</v>
      </c>
      <c r="H22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98" spans="1:8" ht="15" customHeight="1" x14ac:dyDescent="0.25">
      <c r="A2298" t="str">
        <f>MID(TB_CECO[[#This Row],[CECO_T]],1,5)</f>
        <v>2G676</v>
      </c>
      <c r="B2298" t="str">
        <f>MID(TB_CECO[[#This Row],[TRABAJO]],1,SEARCH(",",TB_CECO[[#This Row],[TRABAJO]],1)-1)</f>
        <v>Est 901 NW (Snv 878 NE)</v>
      </c>
      <c r="C22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901 NW (Snv 878 NE),LIMPIEZA</v>
      </c>
      <c r="D22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98" s="47" t="s">
        <v>4545</v>
      </c>
      <c r="G2298" t="s">
        <v>4546</v>
      </c>
      <c r="H22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299" spans="1:8" ht="15" customHeight="1" x14ac:dyDescent="0.25">
      <c r="A2299" t="str">
        <f>MID(TB_CECO[[#This Row],[CECO_T]],1,5)</f>
        <v>2G676</v>
      </c>
      <c r="B2299" t="str">
        <f>MID(TB_CECO[[#This Row],[TRABAJO]],1,SEARCH(",",TB_CECO[[#This Row],[TRABAJO]],1)-1)</f>
        <v>Est 901 NW (Snv 878 NE)</v>
      </c>
      <c r="C22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901 NW (Snv 878 NE),SERVICIO</v>
      </c>
      <c r="D22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2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299" s="47" t="s">
        <v>4547</v>
      </c>
      <c r="G2299" t="s">
        <v>4548</v>
      </c>
      <c r="H22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00" spans="1:8" ht="15" customHeight="1" x14ac:dyDescent="0.25">
      <c r="A2300" t="str">
        <f>MID(TB_CECO[[#This Row],[CECO_T]],1,5)</f>
        <v>2G676</v>
      </c>
      <c r="B2300" t="str">
        <f>MID(TB_CECO[[#This Row],[TRABAJO]],1,SEARCH(",",TB_CECO[[#This Row],[TRABAJO]],1)-1)</f>
        <v>Est 901 NW (Snv 878 NE)</v>
      </c>
      <c r="C23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901 NW (Snv 878 NE),PERFORACION</v>
      </c>
      <c r="D23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3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00" s="47" t="s">
        <v>4549</v>
      </c>
      <c r="G2300" t="s">
        <v>4550</v>
      </c>
      <c r="H23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01" spans="1:8" ht="15" customHeight="1" x14ac:dyDescent="0.25">
      <c r="A2301" t="str">
        <f>MID(TB_CECO[[#This Row],[CECO_T]],1,5)</f>
        <v>2G676</v>
      </c>
      <c r="B2301" t="str">
        <f>MID(TB_CECO[[#This Row],[TRABAJO]],1,SEARCH(",",TB_CECO[[#This Row],[TRABAJO]],1)-1)</f>
        <v>Est 901 NW (Snv 878 NE)</v>
      </c>
      <c r="C23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901 NW (Snv 878 NE),SOSTENIMIENTO</v>
      </c>
      <c r="D23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3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01" s="47" t="s">
        <v>4551</v>
      </c>
      <c r="G2301" t="s">
        <v>4552</v>
      </c>
      <c r="H23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02" spans="1:8" ht="15" customHeight="1" x14ac:dyDescent="0.25">
      <c r="A2302" t="str">
        <f>MID(TB_CECO[[#This Row],[CECO_T]],1,5)</f>
        <v>2G676</v>
      </c>
      <c r="B2302" t="str">
        <f>MID(TB_CECO[[#This Row],[TRABAJO]],1,SEARCH(",",TB_CECO[[#This Row],[TRABAJO]],1)-1)</f>
        <v>Est 901 NW (Snv 878 NE)</v>
      </c>
      <c r="C23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901 NW (Snv 878 NE),VOLADURA</v>
      </c>
      <c r="D23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3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02" s="47" t="s">
        <v>4553</v>
      </c>
      <c r="G2302" t="s">
        <v>4554</v>
      </c>
      <c r="H23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03" spans="1:8" ht="15" customHeight="1" x14ac:dyDescent="0.25">
      <c r="A2303" t="str">
        <f>MID(TB_CECO[[#This Row],[CECO_T]],1,5)</f>
        <v>2G939</v>
      </c>
      <c r="B2303" t="str">
        <f>MID(TB_CECO[[#This Row],[TRABAJO]],1,SEARCH(",",TB_CECO[[#This Row],[TRABAJO]],1)-1)</f>
        <v>Ven 034 NE (Tj 880 SW)</v>
      </c>
      <c r="C23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034 NE (Tj 880 SW),LIMPIEZA</v>
      </c>
      <c r="D23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3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03" s="47" t="s">
        <v>4555</v>
      </c>
      <c r="G2303" t="s">
        <v>4556</v>
      </c>
      <c r="H23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04" spans="1:8" ht="15" customHeight="1" x14ac:dyDescent="0.25">
      <c r="A2304" t="str">
        <f>MID(TB_CECO[[#This Row],[CECO_T]],1,5)</f>
        <v>2G939</v>
      </c>
      <c r="B2304" t="str">
        <f>MID(TB_CECO[[#This Row],[TRABAJO]],1,SEARCH(",",TB_CECO[[#This Row],[TRABAJO]],1)-1)</f>
        <v>Ven 034 NE (Tj 880 SW)</v>
      </c>
      <c r="C23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034 NE (Tj 880 SW),SERVICIO</v>
      </c>
      <c r="D23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3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04" s="47" t="s">
        <v>4557</v>
      </c>
      <c r="G2304" t="s">
        <v>4558</v>
      </c>
      <c r="H23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05" spans="1:8" ht="15" customHeight="1" x14ac:dyDescent="0.25">
      <c r="A2305" t="str">
        <f>MID(TB_CECO[[#This Row],[CECO_T]],1,5)</f>
        <v>2G939</v>
      </c>
      <c r="B2305" t="str">
        <f>MID(TB_CECO[[#This Row],[TRABAJO]],1,SEARCH(",",TB_CECO[[#This Row],[TRABAJO]],1)-1)</f>
        <v>Ven 034 NE (Tj 880 SW)</v>
      </c>
      <c r="C23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034 NE (Tj 880 SW),PERFORACION</v>
      </c>
      <c r="D23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3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05" s="47" t="s">
        <v>4559</v>
      </c>
      <c r="G2305" t="s">
        <v>4560</v>
      </c>
      <c r="H23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06" spans="1:8" ht="15" customHeight="1" x14ac:dyDescent="0.25">
      <c r="A2306" t="str">
        <f>MID(TB_CECO[[#This Row],[CECO_T]],1,5)</f>
        <v>2G939</v>
      </c>
      <c r="B2306" t="str">
        <f>MID(TB_CECO[[#This Row],[TRABAJO]],1,SEARCH(",",TB_CECO[[#This Row],[TRABAJO]],1)-1)</f>
        <v>Ven 034 NE (Tj 880 SW)</v>
      </c>
      <c r="C23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034 NE (Tj 880 SW),SOSTENIMIENTO</v>
      </c>
      <c r="D23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3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06" s="47" t="s">
        <v>4561</v>
      </c>
      <c r="G2306" t="s">
        <v>4562</v>
      </c>
      <c r="H23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07" spans="1:8" ht="15" customHeight="1" x14ac:dyDescent="0.25">
      <c r="A2307" t="str">
        <f>MID(TB_CECO[[#This Row],[CECO_T]],1,5)</f>
        <v>2G939</v>
      </c>
      <c r="B2307" t="str">
        <f>MID(TB_CECO[[#This Row],[TRABAJO]],1,SEARCH(",",TB_CECO[[#This Row],[TRABAJO]],1)-1)</f>
        <v>Ven 034 NE (Tj 880 SW)</v>
      </c>
      <c r="C23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034 NE (Tj 880 SW),VOLADURA</v>
      </c>
      <c r="D23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23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07" s="47" t="s">
        <v>4563</v>
      </c>
      <c r="G2307" t="s">
        <v>4564</v>
      </c>
      <c r="H23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08" spans="1:8" ht="15" customHeight="1" x14ac:dyDescent="0.25">
      <c r="A2308" t="str">
        <f>MID(TB_CECO[[#This Row],[CECO_T]],1,5)</f>
        <v>2H129</v>
      </c>
      <c r="B2308" t="str">
        <f>MID(TB_CECO[[#This Row],[TRABAJO]],1,SEARCH(",",TB_CECO[[#This Row],[TRABAJO]],1)-1)</f>
        <v>Cx 648 SW (Cx 712 SW)</v>
      </c>
      <c r="C23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648 SW (Cx 712 SW),LIMPIEZA</v>
      </c>
      <c r="D23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08" s="47" t="s">
        <v>4565</v>
      </c>
      <c r="G2308" t="s">
        <v>4566</v>
      </c>
      <c r="H23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09" spans="1:8" ht="15" customHeight="1" x14ac:dyDescent="0.25">
      <c r="A2309" t="str">
        <f>MID(TB_CECO[[#This Row],[CECO_T]],1,5)</f>
        <v>2H129</v>
      </c>
      <c r="B2309" t="str">
        <f>MID(TB_CECO[[#This Row],[TRABAJO]],1,SEARCH(",",TB_CECO[[#This Row],[TRABAJO]],1)-1)</f>
        <v>Cx 648 SW (Cx 712 SW)</v>
      </c>
      <c r="C23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648 SW (Cx 712 SW),SERVICIO</v>
      </c>
      <c r="D23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09" s="47" t="s">
        <v>4567</v>
      </c>
      <c r="G2309" t="s">
        <v>4568</v>
      </c>
      <c r="H23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10" spans="1:8" ht="15" customHeight="1" x14ac:dyDescent="0.25">
      <c r="A2310" t="str">
        <f>MID(TB_CECO[[#This Row],[CECO_T]],1,5)</f>
        <v>2H129</v>
      </c>
      <c r="B2310" t="str">
        <f>MID(TB_CECO[[#This Row],[TRABAJO]],1,SEARCH(",",TB_CECO[[#This Row],[TRABAJO]],1)-1)</f>
        <v>Cx 648 SW (Cx 712 SW)</v>
      </c>
      <c r="C23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648 SW (Cx 712 SW),PERFORACION</v>
      </c>
      <c r="D23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10" s="47" t="s">
        <v>4569</v>
      </c>
      <c r="G2310" t="s">
        <v>4570</v>
      </c>
      <c r="H23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11" spans="1:8" ht="15" customHeight="1" x14ac:dyDescent="0.25">
      <c r="A2311" t="str">
        <f>MID(TB_CECO[[#This Row],[CECO_T]],1,5)</f>
        <v>2H129</v>
      </c>
      <c r="B2311" t="str">
        <f>MID(TB_CECO[[#This Row],[TRABAJO]],1,SEARCH(",",TB_CECO[[#This Row],[TRABAJO]],1)-1)</f>
        <v>Cx 648 SW (Cx 712 SW)</v>
      </c>
      <c r="C23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648 SW (Cx 712 SW),SOSTENIMIENTO</v>
      </c>
      <c r="D23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11" s="47" t="s">
        <v>4571</v>
      </c>
      <c r="G2311" t="s">
        <v>4572</v>
      </c>
      <c r="H23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12" spans="1:8" ht="15" customHeight="1" x14ac:dyDescent="0.25">
      <c r="A2312" t="str">
        <f>MID(TB_CECO[[#This Row],[CECO_T]],1,5)</f>
        <v>2H129</v>
      </c>
      <c r="B2312" t="str">
        <f>MID(TB_CECO[[#This Row],[TRABAJO]],1,SEARCH(",",TB_CECO[[#This Row],[TRABAJO]],1)-1)</f>
        <v>Cx 648 SW (Cx 712 SW)</v>
      </c>
      <c r="C23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648 SW (Cx 712 SW),VOLADURA</v>
      </c>
      <c r="D23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12" s="47" t="s">
        <v>4573</v>
      </c>
      <c r="G2312" t="s">
        <v>4574</v>
      </c>
      <c r="H23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13" spans="1:8" ht="15" customHeight="1" x14ac:dyDescent="0.25">
      <c r="A2313" t="str">
        <f>MID(TB_CECO[[#This Row],[CECO_T]],1,5)</f>
        <v>2H130</v>
      </c>
      <c r="B2313" t="str">
        <f>MID(TB_CECO[[#This Row],[TRABAJO]],1,SEARCH(",",TB_CECO[[#This Row],[TRABAJO]],1)-1)</f>
        <v>Cx 648 NE (Cx 712 SW)</v>
      </c>
      <c r="C23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648 NE (Cx 712 SW),LIMPIEZA</v>
      </c>
      <c r="D23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13" s="47" t="s">
        <v>4575</v>
      </c>
      <c r="G2313" t="s">
        <v>4576</v>
      </c>
      <c r="H23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14" spans="1:8" ht="15" customHeight="1" x14ac:dyDescent="0.25">
      <c r="A2314" t="str">
        <f>MID(TB_CECO[[#This Row],[CECO_T]],1,5)</f>
        <v>2H130</v>
      </c>
      <c r="B2314" t="str">
        <f>MID(TB_CECO[[#This Row],[TRABAJO]],1,SEARCH(",",TB_CECO[[#This Row],[TRABAJO]],1)-1)</f>
        <v>Cx 648 NE (Cx 712 SW)</v>
      </c>
      <c r="C23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648 NE (Cx 712 SW),SERVICIO</v>
      </c>
      <c r="D23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14" s="47" t="s">
        <v>4577</v>
      </c>
      <c r="G2314" t="s">
        <v>4578</v>
      </c>
      <c r="H23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15" spans="1:8" ht="15" customHeight="1" x14ac:dyDescent="0.25">
      <c r="A2315" t="str">
        <f>MID(TB_CECO[[#This Row],[CECO_T]],1,5)</f>
        <v>2H130</v>
      </c>
      <c r="B2315" t="str">
        <f>MID(TB_CECO[[#This Row],[TRABAJO]],1,SEARCH(",",TB_CECO[[#This Row],[TRABAJO]],1)-1)</f>
        <v>Cx 648 NE (Cx 712 SW)</v>
      </c>
      <c r="C23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648 NE (Cx 712 SW),PERFORACION</v>
      </c>
      <c r="D23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15" s="47" t="s">
        <v>4579</v>
      </c>
      <c r="G2315" t="s">
        <v>4580</v>
      </c>
      <c r="H23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16" spans="1:8" ht="15" customHeight="1" x14ac:dyDescent="0.25">
      <c r="A2316" t="str">
        <f>MID(TB_CECO[[#This Row],[CECO_T]],1,5)</f>
        <v>2H130</v>
      </c>
      <c r="B2316" t="str">
        <f>MID(TB_CECO[[#This Row],[TRABAJO]],1,SEARCH(",",TB_CECO[[#This Row],[TRABAJO]],1)-1)</f>
        <v>Cx 648 NE (Cx 712 SW)</v>
      </c>
      <c r="C23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648 NE (Cx 712 SW),SOSTENIMIENTO</v>
      </c>
      <c r="D23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16" s="47" t="s">
        <v>4581</v>
      </c>
      <c r="G2316" t="s">
        <v>4582</v>
      </c>
      <c r="H23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17" spans="1:8" ht="15" customHeight="1" x14ac:dyDescent="0.25">
      <c r="A2317" t="str">
        <f>MID(TB_CECO[[#This Row],[CECO_T]],1,5)</f>
        <v>2H130</v>
      </c>
      <c r="B2317" t="str">
        <f>MID(TB_CECO[[#This Row],[TRABAJO]],1,SEARCH(",",TB_CECO[[#This Row],[TRABAJO]],1)-1)</f>
        <v>Cx 648 NE (Cx 712 SW)</v>
      </c>
      <c r="C23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648 NE (Cx 712 SW),VOLADURA</v>
      </c>
      <c r="D23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17" s="47" t="s">
        <v>4583</v>
      </c>
      <c r="G2317" t="s">
        <v>4584</v>
      </c>
      <c r="H23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18" spans="1:8" ht="15" customHeight="1" x14ac:dyDescent="0.25">
      <c r="A2318" t="str">
        <f>MID(TB_CECO[[#This Row],[CECO_T]],1,5)</f>
        <v>2H218</v>
      </c>
      <c r="B2318" t="str">
        <f>MID(TB_CECO[[#This Row],[TRABAJO]],1,SEARCH(",",TB_CECO[[#This Row],[TRABAJO]],1)-1)</f>
        <v>Gal 708 SW (Cx683 NW)</v>
      </c>
      <c r="C23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708 SW (Cx683 NW),LIMPIEZA</v>
      </c>
      <c r="D23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18" s="47" t="s">
        <v>4585</v>
      </c>
      <c r="G2318" t="s">
        <v>4586</v>
      </c>
      <c r="H23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19" spans="1:8" ht="15" customHeight="1" x14ac:dyDescent="0.25">
      <c r="A2319" t="str">
        <f>MID(TB_CECO[[#This Row],[CECO_T]],1,5)</f>
        <v>2H218</v>
      </c>
      <c r="B2319" t="str">
        <f>MID(TB_CECO[[#This Row],[TRABAJO]],1,SEARCH(",",TB_CECO[[#This Row],[TRABAJO]],1)-1)</f>
        <v>Gal 708 SW (Cx683 NW)</v>
      </c>
      <c r="C23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708 SW (Cx683 NW),SERVICIO</v>
      </c>
      <c r="D23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19" s="47" t="s">
        <v>4587</v>
      </c>
      <c r="G2319" t="s">
        <v>4588</v>
      </c>
      <c r="H23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20" spans="1:8" ht="15" customHeight="1" x14ac:dyDescent="0.25">
      <c r="A2320" t="str">
        <f>MID(TB_CECO[[#This Row],[CECO_T]],1,5)</f>
        <v>2H218</v>
      </c>
      <c r="B2320" t="str">
        <f>MID(TB_CECO[[#This Row],[TRABAJO]],1,SEARCH(",",TB_CECO[[#This Row],[TRABAJO]],1)-1)</f>
        <v>Gal 708 SW (Cx683 NW)</v>
      </c>
      <c r="C23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708 SW (Cx683 NW),PERFORACION</v>
      </c>
      <c r="D23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20" s="47" t="s">
        <v>4589</v>
      </c>
      <c r="G2320" t="s">
        <v>4590</v>
      </c>
      <c r="H23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21" spans="1:8" ht="15" customHeight="1" x14ac:dyDescent="0.25">
      <c r="A2321" t="str">
        <f>MID(TB_CECO[[#This Row],[CECO_T]],1,5)</f>
        <v>2H218</v>
      </c>
      <c r="B2321" t="str">
        <f>MID(TB_CECO[[#This Row],[TRABAJO]],1,SEARCH(",",TB_CECO[[#This Row],[TRABAJO]],1)-1)</f>
        <v>Gal 708 SW (Cx683 NW)</v>
      </c>
      <c r="C23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708 SW (Cx683 NW),SOSTENIMIENTO</v>
      </c>
      <c r="D23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21" s="47" t="s">
        <v>4591</v>
      </c>
      <c r="G2321" t="s">
        <v>4592</v>
      </c>
      <c r="H23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22" spans="1:8" ht="15" customHeight="1" x14ac:dyDescent="0.25">
      <c r="A2322" t="str">
        <f>MID(TB_CECO[[#This Row],[CECO_T]],1,5)</f>
        <v>2H218</v>
      </c>
      <c r="B2322" t="str">
        <f>MID(TB_CECO[[#This Row],[TRABAJO]],1,SEARCH(",",TB_CECO[[#This Row],[TRABAJO]],1)-1)</f>
        <v>Gal 708 SW (Cx683 NW)</v>
      </c>
      <c r="C23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708 SW (Cx683 NW),VOLADURA</v>
      </c>
      <c r="D23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22" s="47" t="s">
        <v>4593</v>
      </c>
      <c r="G2322" t="s">
        <v>4594</v>
      </c>
      <c r="H23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23" spans="1:8" ht="15" customHeight="1" x14ac:dyDescent="0.25">
      <c r="A2323" t="str">
        <f>MID(TB_CECO[[#This Row],[CECO_T]],1,5)</f>
        <v>2H219</v>
      </c>
      <c r="B2323" t="str">
        <f>MID(TB_CECO[[#This Row],[TRABAJO]],1,SEARCH(",",TB_CECO[[#This Row],[TRABAJO]],1)-1)</f>
        <v>Gal 708 NE (Cx683 NW)</v>
      </c>
      <c r="C23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708 NE (Cx683 NW),LIMPIEZA</v>
      </c>
      <c r="D23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23" s="47" t="s">
        <v>4595</v>
      </c>
      <c r="G2323" t="s">
        <v>4596</v>
      </c>
      <c r="H23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24" spans="1:8" ht="15" customHeight="1" x14ac:dyDescent="0.25">
      <c r="A2324" t="str">
        <f>MID(TB_CECO[[#This Row],[CECO_T]],1,5)</f>
        <v>2H219</v>
      </c>
      <c r="B2324" t="str">
        <f>MID(TB_CECO[[#This Row],[TRABAJO]],1,SEARCH(",",TB_CECO[[#This Row],[TRABAJO]],1)-1)</f>
        <v>Gal 708 NE (Cx683 NW)</v>
      </c>
      <c r="C23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708 NE (Cx683 NW),SERVICIO</v>
      </c>
      <c r="D23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24" s="47" t="s">
        <v>4597</v>
      </c>
      <c r="G2324" t="s">
        <v>4598</v>
      </c>
      <c r="H23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25" spans="1:8" ht="15" customHeight="1" x14ac:dyDescent="0.25">
      <c r="A2325" t="str">
        <f>MID(TB_CECO[[#This Row],[CECO_T]],1,5)</f>
        <v>2H219</v>
      </c>
      <c r="B2325" t="str">
        <f>MID(TB_CECO[[#This Row],[TRABAJO]],1,SEARCH(",",TB_CECO[[#This Row],[TRABAJO]],1)-1)</f>
        <v>Gal 708 NE (Cx683 NW)</v>
      </c>
      <c r="C23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708 NE (Cx683 NW),PERFORACION</v>
      </c>
      <c r="D23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25" s="47" t="s">
        <v>4599</v>
      </c>
      <c r="G2325" t="s">
        <v>4600</v>
      </c>
      <c r="H23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26" spans="1:8" ht="15" customHeight="1" x14ac:dyDescent="0.25">
      <c r="A2326" t="str">
        <f>MID(TB_CECO[[#This Row],[CECO_T]],1,5)</f>
        <v>2H219</v>
      </c>
      <c r="B2326" t="str">
        <f>MID(TB_CECO[[#This Row],[TRABAJO]],1,SEARCH(",",TB_CECO[[#This Row],[TRABAJO]],1)-1)</f>
        <v>Gal 708 NE (Cx683 NW)</v>
      </c>
      <c r="C23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708 NE (Cx683 NW),SOSTENIMIENTO</v>
      </c>
      <c r="D23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26" s="47" t="s">
        <v>4601</v>
      </c>
      <c r="G2326" t="s">
        <v>4602</v>
      </c>
      <c r="H23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27" spans="1:8" ht="15" customHeight="1" x14ac:dyDescent="0.25">
      <c r="A2327" t="str">
        <f>MID(TB_CECO[[#This Row],[CECO_T]],1,5)</f>
        <v>2H219</v>
      </c>
      <c r="B2327" t="str">
        <f>MID(TB_CECO[[#This Row],[TRABAJO]],1,SEARCH(",",TB_CECO[[#This Row],[TRABAJO]],1)-1)</f>
        <v>Gal 708 NE (Cx683 NW)</v>
      </c>
      <c r="C23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708 NE (Cx683 NW),VOLADURA</v>
      </c>
      <c r="D23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27" s="47" t="s">
        <v>4603</v>
      </c>
      <c r="G2327" t="s">
        <v>4604</v>
      </c>
      <c r="H23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28" spans="1:8" ht="15" customHeight="1" x14ac:dyDescent="0.25">
      <c r="A2328" t="str">
        <f>MID(TB_CECO[[#This Row],[CECO_T]],1,5)</f>
        <v>2H385</v>
      </c>
      <c r="B2328" t="str">
        <f>MID(TB_CECO[[#This Row],[TRABAJO]],1,SEARCH(",",TB_CECO[[#This Row],[TRABAJO]],1)-1)</f>
        <v>Ch 669 (Gal 708 SW)</v>
      </c>
      <c r="C23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669 (Gal 708 SW),LIMPIEZA</v>
      </c>
      <c r="D23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28" s="47" t="s">
        <v>4605</v>
      </c>
      <c r="G2328" t="s">
        <v>4606</v>
      </c>
      <c r="H23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29" spans="1:8" ht="15" customHeight="1" x14ac:dyDescent="0.25">
      <c r="A2329" t="str">
        <f>MID(TB_CECO[[#This Row],[CECO_T]],1,5)</f>
        <v>2H385</v>
      </c>
      <c r="B2329" t="str">
        <f>MID(TB_CECO[[#This Row],[TRABAJO]],1,SEARCH(",",TB_CECO[[#This Row],[TRABAJO]],1)-1)</f>
        <v>Ch 669 (Gal 708 SW)</v>
      </c>
      <c r="C23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669 (Gal 708 SW),SERVICIO</v>
      </c>
      <c r="D23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29" s="47" t="s">
        <v>4607</v>
      </c>
      <c r="G2329" t="s">
        <v>4608</v>
      </c>
      <c r="H23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30" spans="1:8" ht="15" customHeight="1" x14ac:dyDescent="0.25">
      <c r="A2330" t="str">
        <f>MID(TB_CECO[[#This Row],[CECO_T]],1,5)</f>
        <v>2H385</v>
      </c>
      <c r="B2330" t="str">
        <f>MID(TB_CECO[[#This Row],[TRABAJO]],1,SEARCH(",",TB_CECO[[#This Row],[TRABAJO]],1)-1)</f>
        <v>Ch 669 (Gal 708 SW)</v>
      </c>
      <c r="C23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669 (Gal 708 SW),PERFORACION</v>
      </c>
      <c r="D23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30" s="47" t="s">
        <v>4609</v>
      </c>
      <c r="G2330" t="s">
        <v>4610</v>
      </c>
      <c r="H23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31" spans="1:8" ht="15" customHeight="1" x14ac:dyDescent="0.25">
      <c r="A2331" t="str">
        <f>MID(TB_CECO[[#This Row],[CECO_T]],1,5)</f>
        <v>2H385</v>
      </c>
      <c r="B2331" t="str">
        <f>MID(TB_CECO[[#This Row],[TRABAJO]],1,SEARCH(",",TB_CECO[[#This Row],[TRABAJO]],1)-1)</f>
        <v>Ch 669 (Gal 708 SW)</v>
      </c>
      <c r="C23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669 (Gal 708 SW),SOSTENIMIENTO</v>
      </c>
      <c r="D23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31" s="47" t="s">
        <v>4611</v>
      </c>
      <c r="G2331" t="s">
        <v>4612</v>
      </c>
      <c r="H23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32" spans="1:8" ht="15" customHeight="1" x14ac:dyDescent="0.25">
      <c r="A2332" t="str">
        <f>MID(TB_CECO[[#This Row],[CECO_T]],1,5)</f>
        <v>2H385</v>
      </c>
      <c r="B2332" t="str">
        <f>MID(TB_CECO[[#This Row],[TRABAJO]],1,SEARCH(",",TB_CECO[[#This Row],[TRABAJO]],1)-1)</f>
        <v>Ch 669 (Gal 708 SW)</v>
      </c>
      <c r="C23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669 (Gal 708 SW),VOLADURA</v>
      </c>
      <c r="D23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23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32" s="47" t="s">
        <v>4613</v>
      </c>
      <c r="G2332" t="s">
        <v>4614</v>
      </c>
      <c r="H23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33" spans="1:8" ht="15" customHeight="1" x14ac:dyDescent="0.25">
      <c r="A2333" t="str">
        <f>MID(TB_CECO[[#This Row],[CECO_T]],1,5)</f>
        <v>2J205</v>
      </c>
      <c r="B2333" t="str">
        <f>MID(TB_CECO[[#This Row],[TRABAJO]],1,SEARCH(",",TB_CECO[[#This Row],[TRABAJO]],1)-1)</f>
        <v>GAL 980 SW (CX 010 SW)</v>
      </c>
      <c r="C23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980 SW (CX 010 SW),SUMINISTROS</v>
      </c>
      <c r="D23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33" s="47" t="s">
        <v>4615</v>
      </c>
      <c r="G2333" t="s">
        <v>4616</v>
      </c>
      <c r="H23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34" spans="1:8" ht="15" customHeight="1" x14ac:dyDescent="0.25">
      <c r="A2334" t="str">
        <f>MID(TB_CECO[[#This Row],[CECO_T]],1,5)</f>
        <v>2J205</v>
      </c>
      <c r="B2334" t="str">
        <f>MID(TB_CECO[[#This Row],[TRABAJO]],1,SEARCH(",",TB_CECO[[#This Row],[TRABAJO]],1)-1)</f>
        <v>GAL 980 SW (CX 010 SW)</v>
      </c>
      <c r="C23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980 SW (CX 010 SW),SOSTENIMIENTO</v>
      </c>
      <c r="D23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34" s="47" t="s">
        <v>4617</v>
      </c>
      <c r="G2334" t="s">
        <v>4618</v>
      </c>
      <c r="H23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35" spans="1:8" ht="15" customHeight="1" x14ac:dyDescent="0.25">
      <c r="A2335" t="str">
        <f>MID(TB_CECO[[#This Row],[CECO_T]],1,5)</f>
        <v>2J205</v>
      </c>
      <c r="B2335" t="str">
        <f>MID(TB_CECO[[#This Row],[TRABAJO]],1,SEARCH(",",TB_CECO[[#This Row],[TRABAJO]],1)-1)</f>
        <v>GAL 980 SW (CX 010 SW)</v>
      </c>
      <c r="C23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980 SW (CX 010 SW),SERVICIO</v>
      </c>
      <c r="D23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35" s="47" t="s">
        <v>4619</v>
      </c>
      <c r="G2335" t="s">
        <v>4620</v>
      </c>
      <c r="H23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36" spans="1:8" ht="15" customHeight="1" x14ac:dyDescent="0.25">
      <c r="A2336" t="str">
        <f>MID(TB_CECO[[#This Row],[CECO_T]],1,5)</f>
        <v>2J205</v>
      </c>
      <c r="B2336" t="str">
        <f>MID(TB_CECO[[#This Row],[TRABAJO]],1,SEARCH(",",TB_CECO[[#This Row],[TRABAJO]],1)-1)</f>
        <v>GAL 980 SW (CX 010 SW)</v>
      </c>
      <c r="C23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980 SW (CX 010 SW),REHABILITACION</v>
      </c>
      <c r="D23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36" s="47" t="s">
        <v>4621</v>
      </c>
      <c r="G2336" t="s">
        <v>4622</v>
      </c>
      <c r="H23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37" spans="1:8" ht="15" customHeight="1" x14ac:dyDescent="0.25">
      <c r="A2337" t="str">
        <f>MID(TB_CECO[[#This Row],[CECO_T]],1,5)</f>
        <v>2J213</v>
      </c>
      <c r="B2337" t="str">
        <f>MID(TB_CECO[[#This Row],[TRABAJO]],1,SEARCH(",",TB_CECO[[#This Row],[TRABAJO]],1)-1)</f>
        <v>Gal 980 SW (Cx 712 SW)</v>
      </c>
      <c r="C23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980 SW (Cx 712 SW),LIMPIEZA</v>
      </c>
      <c r="D23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PAMELA</v>
      </c>
      <c r="E23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37" s="47" t="s">
        <v>4623</v>
      </c>
      <c r="G2337" t="s">
        <v>4624</v>
      </c>
      <c r="H23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38" spans="1:8" ht="15" customHeight="1" x14ac:dyDescent="0.25">
      <c r="A2338" t="str">
        <f>MID(TB_CECO[[#This Row],[CECO_T]],1,5)</f>
        <v>2J213</v>
      </c>
      <c r="B2338" t="str">
        <f>MID(TB_CECO[[#This Row],[TRABAJO]],1,SEARCH(",",TB_CECO[[#This Row],[TRABAJO]],1)-1)</f>
        <v>Gal 980 SW (Cx 712 SW)</v>
      </c>
      <c r="C23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980 SW (Cx 712 SW),SERVICIO</v>
      </c>
      <c r="D23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PAMELA</v>
      </c>
      <c r="E23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38" s="47" t="s">
        <v>4625</v>
      </c>
      <c r="G2338" t="s">
        <v>4626</v>
      </c>
      <c r="H23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39" spans="1:8" ht="15" customHeight="1" x14ac:dyDescent="0.25">
      <c r="A2339" t="str">
        <f>MID(TB_CECO[[#This Row],[CECO_T]],1,5)</f>
        <v>2J213</v>
      </c>
      <c r="B2339" t="str">
        <f>MID(TB_CECO[[#This Row],[TRABAJO]],1,SEARCH(",",TB_CECO[[#This Row],[TRABAJO]],1)-1)</f>
        <v>Gal 980 SW (Cx 712 SW)</v>
      </c>
      <c r="C23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980 SW (Cx 712 SW),PERFORACION</v>
      </c>
      <c r="D23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PAMELA</v>
      </c>
      <c r="E23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39" s="47" t="s">
        <v>4627</v>
      </c>
      <c r="G2339" t="s">
        <v>4628</v>
      </c>
      <c r="H23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40" spans="1:8" ht="15" customHeight="1" x14ac:dyDescent="0.25">
      <c r="A2340" t="str">
        <f>MID(TB_CECO[[#This Row],[CECO_T]],1,5)</f>
        <v>2J213</v>
      </c>
      <c r="B2340" t="str">
        <f>MID(TB_CECO[[#This Row],[TRABAJO]],1,SEARCH(",",TB_CECO[[#This Row],[TRABAJO]],1)-1)</f>
        <v>Gal 980 SW (Cx 712 SW)</v>
      </c>
      <c r="C23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980 SW (Cx 712 SW),SOSTENIMIENTO</v>
      </c>
      <c r="D23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PAMELA</v>
      </c>
      <c r="E23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40" s="47" t="s">
        <v>4629</v>
      </c>
      <c r="G2340" t="s">
        <v>4630</v>
      </c>
      <c r="H23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41" spans="1:8" ht="15" customHeight="1" x14ac:dyDescent="0.25">
      <c r="A2341" t="str">
        <f>MID(TB_CECO[[#This Row],[CECO_T]],1,5)</f>
        <v>2J213</v>
      </c>
      <c r="B2341" t="str">
        <f>MID(TB_CECO[[#This Row],[TRABAJO]],1,SEARCH(",",TB_CECO[[#This Row],[TRABAJO]],1)-1)</f>
        <v>Gal 980 SW (Cx 712 SW)</v>
      </c>
      <c r="C23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980 SW (Cx 712 SW),VOLADURA</v>
      </c>
      <c r="D23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PAMELA</v>
      </c>
      <c r="E23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41" s="47" t="s">
        <v>4631</v>
      </c>
      <c r="G2341" t="s">
        <v>4632</v>
      </c>
      <c r="H23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42" spans="1:8" ht="15" customHeight="1" x14ac:dyDescent="0.25">
      <c r="A2342" t="str">
        <f>MID(TB_CECO[[#This Row],[CECO_T]],1,5)</f>
        <v>2J342</v>
      </c>
      <c r="B2342" t="str">
        <f>MID(TB_CECO[[#This Row],[TRABAJO]],1,SEARCH(",",TB_CECO[[#This Row],[TRABAJO]],1)-1)</f>
        <v>CH 959 (GAL 980 SW)</v>
      </c>
      <c r="C23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959 (GAL 980 SW),SUMINISTROS</v>
      </c>
      <c r="D23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42" s="47" t="s">
        <v>4633</v>
      </c>
      <c r="G2342" t="s">
        <v>4634</v>
      </c>
      <c r="H23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43" spans="1:8" ht="15" customHeight="1" x14ac:dyDescent="0.25">
      <c r="A2343" t="str">
        <f>MID(TB_CECO[[#This Row],[CECO_T]],1,5)</f>
        <v>2J342</v>
      </c>
      <c r="B2343" t="str">
        <f>MID(TB_CECO[[#This Row],[TRABAJO]],1,SEARCH(",",TB_CECO[[#This Row],[TRABAJO]],1)-1)</f>
        <v>CH 959 (GAL 980 SW)</v>
      </c>
      <c r="C23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959 (GAL 980 SW),SOSTENIMIENTO</v>
      </c>
      <c r="D23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43" s="47" t="s">
        <v>4635</v>
      </c>
      <c r="G2343" t="s">
        <v>4636</v>
      </c>
      <c r="H23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44" spans="1:8" ht="15" customHeight="1" x14ac:dyDescent="0.25">
      <c r="A2344" t="str">
        <f>MID(TB_CECO[[#This Row],[CECO_T]],1,5)</f>
        <v>2J342</v>
      </c>
      <c r="B2344" t="str">
        <f>MID(TB_CECO[[#This Row],[TRABAJO]],1,SEARCH(",",TB_CECO[[#This Row],[TRABAJO]],1)-1)</f>
        <v>CH 959 (GAL 980 SW)</v>
      </c>
      <c r="C23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959 (GAL 980 SW),SERVICIO</v>
      </c>
      <c r="D23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44" s="47" t="s">
        <v>4637</v>
      </c>
      <c r="G2344" t="s">
        <v>4638</v>
      </c>
      <c r="H23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45" spans="1:8" ht="15" customHeight="1" x14ac:dyDescent="0.25">
      <c r="A2345" t="str">
        <f>MID(TB_CECO[[#This Row],[CECO_T]],1,5)</f>
        <v>2J342</v>
      </c>
      <c r="B2345" t="str">
        <f>MID(TB_CECO[[#This Row],[TRABAJO]],1,SEARCH(",",TB_CECO[[#This Row],[TRABAJO]],1)-1)</f>
        <v>CH 959 (GAL 980 SW)</v>
      </c>
      <c r="C23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959 (GAL 980 SW),REHABILITACION</v>
      </c>
      <c r="D23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45" s="47" t="s">
        <v>4639</v>
      </c>
      <c r="G2345" t="s">
        <v>4640</v>
      </c>
      <c r="H23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46" spans="1:8" ht="15" customHeight="1" x14ac:dyDescent="0.25">
      <c r="A2346" t="str">
        <f>MID(TB_CECO[[#This Row],[CECO_T]],1,5)</f>
        <v>2K542</v>
      </c>
      <c r="B2346" t="str">
        <f>MID(TB_CECO[[#This Row],[TRABAJO]],1,SEARCH(",",TB_CECO[[#This Row],[TRABAJO]],1)-1)</f>
        <v>SNV 087 SW (EST 092 SW)</v>
      </c>
      <c r="C23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087 SW (EST 092 SW),SUMINISTROS</v>
      </c>
      <c r="D23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46" s="47" t="s">
        <v>4641</v>
      </c>
      <c r="G2346" t="s">
        <v>4642</v>
      </c>
      <c r="H23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47" spans="1:8" ht="15" customHeight="1" x14ac:dyDescent="0.25">
      <c r="A2347" t="str">
        <f>MID(TB_CECO[[#This Row],[CECO_T]],1,5)</f>
        <v>2K542</v>
      </c>
      <c r="B2347" t="str">
        <f>MID(TB_CECO[[#This Row],[TRABAJO]],1,SEARCH(",",TB_CECO[[#This Row],[TRABAJO]],1)-1)</f>
        <v>SNV 087 SW (EST 092 SW)</v>
      </c>
      <c r="C23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087 SW (EST 092 SW),SOSTENIMIENTO</v>
      </c>
      <c r="D23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47" s="47" t="s">
        <v>4643</v>
      </c>
      <c r="G2347" t="s">
        <v>4644</v>
      </c>
      <c r="H23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48" spans="1:8" ht="15" customHeight="1" x14ac:dyDescent="0.25">
      <c r="A2348" t="str">
        <f>MID(TB_CECO[[#This Row],[CECO_T]],1,5)</f>
        <v>2K542</v>
      </c>
      <c r="B2348" t="str">
        <f>MID(TB_CECO[[#This Row],[TRABAJO]],1,SEARCH(",",TB_CECO[[#This Row],[TRABAJO]],1)-1)</f>
        <v>SNV 087 SW (EST 092 SW)</v>
      </c>
      <c r="C23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087 SW (EST 092 SW),SERVICIO</v>
      </c>
      <c r="D23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48" s="47" t="s">
        <v>4645</v>
      </c>
      <c r="G2348" t="s">
        <v>4646</v>
      </c>
      <c r="H23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49" spans="1:8" ht="15" customHeight="1" x14ac:dyDescent="0.25">
      <c r="A2349" t="str">
        <f>MID(TB_CECO[[#This Row],[CECO_T]],1,5)</f>
        <v>2K542</v>
      </c>
      <c r="B2349" t="str">
        <f>MID(TB_CECO[[#This Row],[TRABAJO]],1,SEARCH(",",TB_CECO[[#This Row],[TRABAJO]],1)-1)</f>
        <v>SNV 087 SW (EST 092 SW)</v>
      </c>
      <c r="C23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087 SW (EST 092 SW),REHABILITACION</v>
      </c>
      <c r="D23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49" s="47" t="s">
        <v>4647</v>
      </c>
      <c r="G2349" t="s">
        <v>4648</v>
      </c>
      <c r="H23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50" spans="1:8" ht="15" customHeight="1" x14ac:dyDescent="0.25">
      <c r="A2350" t="str">
        <f>MID(TB_CECO[[#This Row],[CECO_T]],1,5)</f>
        <v>2L118</v>
      </c>
      <c r="B2350" t="str">
        <f>MID(TB_CECO[[#This Row],[TRABAJO]],1,SEARCH(",",TB_CECO[[#This Row],[TRABAJO]],1)-1)</f>
        <v>Cx 199 NE (Cxl 169 NE)</v>
      </c>
      <c r="C23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199 NE (Cxl 169 NE),SUMINISTROS</v>
      </c>
      <c r="D23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50" s="47" t="s">
        <v>4649</v>
      </c>
      <c r="G2350" t="s">
        <v>4650</v>
      </c>
      <c r="H23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51" spans="1:8" ht="15" customHeight="1" x14ac:dyDescent="0.25">
      <c r="A2351" t="str">
        <f>MID(TB_CECO[[#This Row],[CECO_T]],1,5)</f>
        <v>2L118</v>
      </c>
      <c r="B2351" t="str">
        <f>MID(TB_CECO[[#This Row],[TRABAJO]],1,SEARCH(",",TB_CECO[[#This Row],[TRABAJO]],1)-1)</f>
        <v>Cx 199 NE (Cxl 169 NE)</v>
      </c>
      <c r="C23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199 NE (Cxl 169 NE),SOSTENIMIENTO</v>
      </c>
      <c r="D23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51" s="47" t="s">
        <v>4651</v>
      </c>
      <c r="G2351" t="s">
        <v>4652</v>
      </c>
      <c r="H23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52" spans="1:8" ht="15" customHeight="1" x14ac:dyDescent="0.25">
      <c r="A2352" t="str">
        <f>MID(TB_CECO[[#This Row],[CECO_T]],1,5)</f>
        <v>2L118</v>
      </c>
      <c r="B2352" t="str">
        <f>MID(TB_CECO[[#This Row],[TRABAJO]],1,SEARCH(",",TB_CECO[[#This Row],[TRABAJO]],1)-1)</f>
        <v>Cx 199 NE (Cxl 169 NE)</v>
      </c>
      <c r="C23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199 NE (Cxl 169 NE),SERVICIO</v>
      </c>
      <c r="D23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52" s="47" t="s">
        <v>4653</v>
      </c>
      <c r="G2352" t="s">
        <v>4654</v>
      </c>
      <c r="H23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53" spans="1:8" ht="15" customHeight="1" x14ac:dyDescent="0.25">
      <c r="A2353" t="str">
        <f>MID(TB_CECO[[#This Row],[CECO_T]],1,5)</f>
        <v>2L118</v>
      </c>
      <c r="B2353" t="str">
        <f>MID(TB_CECO[[#This Row],[TRABAJO]],1,SEARCH(",",TB_CECO[[#This Row],[TRABAJO]],1)-1)</f>
        <v>Cx 199 NE (Cxl 169 NE)</v>
      </c>
      <c r="C23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199 NE (Cxl 169 NE),REHABILITACION</v>
      </c>
      <c r="D23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53" s="47" t="s">
        <v>4655</v>
      </c>
      <c r="G2353" t="s">
        <v>4656</v>
      </c>
      <c r="H23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54" spans="1:8" ht="15" customHeight="1" x14ac:dyDescent="0.25">
      <c r="A2354" t="str">
        <f>MID(TB_CECO[[#This Row],[CECO_T]],1,5)</f>
        <v>2L118</v>
      </c>
      <c r="B2354" t="str">
        <f>MID(TB_CECO[[#This Row],[TRABAJO]],1,SEARCH(",",TB_CECO[[#This Row],[TRABAJO]],1)-1)</f>
        <v>Cx 199 NE (Cxl 169 NE)</v>
      </c>
      <c r="C23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199 NE (Cxl 169 NE),REFUGIO</v>
      </c>
      <c r="D23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54" s="47" t="s">
        <v>4657</v>
      </c>
      <c r="G2354" t="s">
        <v>4658</v>
      </c>
      <c r="H23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55" spans="1:8" ht="15" customHeight="1" x14ac:dyDescent="0.25">
      <c r="A2355" t="str">
        <f>MID(TB_CECO[[#This Row],[CECO_T]],1,5)</f>
        <v>2L119</v>
      </c>
      <c r="B2355" t="str">
        <f>MID(TB_CECO[[#This Row],[TRABAJO]],1,SEARCH(",",TB_CECO[[#This Row],[TRABAJO]],1)-1)</f>
        <v>Cx 199 NE (Cx 169 NE)</v>
      </c>
      <c r="C23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199 NE (Cx 169 NE),SUMINISTROS</v>
      </c>
      <c r="D23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55" s="47" t="s">
        <v>4659</v>
      </c>
      <c r="G2355" t="s">
        <v>4660</v>
      </c>
      <c r="H23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56" spans="1:8" ht="15" customHeight="1" x14ac:dyDescent="0.25">
      <c r="A2356" t="str">
        <f>MID(TB_CECO[[#This Row],[CECO_T]],1,5)</f>
        <v>2L119</v>
      </c>
      <c r="B2356" t="str">
        <f>MID(TB_CECO[[#This Row],[TRABAJO]],1,SEARCH(",",TB_CECO[[#This Row],[TRABAJO]],1)-1)</f>
        <v>Cx 199 NE (Cx 169 NE)</v>
      </c>
      <c r="C23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199 NE (Cx 169 NE),SOSTENIMIENTO</v>
      </c>
      <c r="D23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56" s="47" t="s">
        <v>4661</v>
      </c>
      <c r="G2356" t="s">
        <v>4662</v>
      </c>
      <c r="H23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57" spans="1:8" ht="15" customHeight="1" x14ac:dyDescent="0.25">
      <c r="A2357" t="str">
        <f>MID(TB_CECO[[#This Row],[CECO_T]],1,5)</f>
        <v>2L119</v>
      </c>
      <c r="B2357" t="str">
        <f>MID(TB_CECO[[#This Row],[TRABAJO]],1,SEARCH(",",TB_CECO[[#This Row],[TRABAJO]],1)-1)</f>
        <v>Cx 199 NE (Cx 169 NE)</v>
      </c>
      <c r="C23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199 NE (Cx 169 NE),SERVICIO</v>
      </c>
      <c r="D23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57" s="47" t="s">
        <v>4663</v>
      </c>
      <c r="G2357" t="s">
        <v>4664</v>
      </c>
      <c r="H23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58" spans="1:8" ht="15" customHeight="1" x14ac:dyDescent="0.25">
      <c r="A2358" t="str">
        <f>MID(TB_CECO[[#This Row],[CECO_T]],1,5)</f>
        <v>2L119</v>
      </c>
      <c r="B2358" t="str">
        <f>MID(TB_CECO[[#This Row],[TRABAJO]],1,SEARCH(",",TB_CECO[[#This Row],[TRABAJO]],1)-1)</f>
        <v>Cx 199 NE (Cx 169 NE)</v>
      </c>
      <c r="C23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199 NE (Cx 169 NE),REHABILITACION</v>
      </c>
      <c r="D23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58" s="47" t="s">
        <v>4665</v>
      </c>
      <c r="G2358" t="s">
        <v>4666</v>
      </c>
      <c r="H23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59" spans="1:8" ht="15" customHeight="1" x14ac:dyDescent="0.25">
      <c r="A2359" t="str">
        <f>MID(TB_CECO[[#This Row],[CECO_T]],1,5)</f>
        <v>2L119</v>
      </c>
      <c r="B2359" t="str">
        <f>MID(TB_CECO[[#This Row],[TRABAJO]],1,SEARCH(",",TB_CECO[[#This Row],[TRABAJO]],1)-1)</f>
        <v>Cx 199 NE (Cx 169 NE)</v>
      </c>
      <c r="C23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199 NE (Cx 169 NE),REFUGIO</v>
      </c>
      <c r="D23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59" s="47" t="s">
        <v>4667</v>
      </c>
      <c r="G2359" t="s">
        <v>4668</v>
      </c>
      <c r="H23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60" spans="1:8" ht="15" customHeight="1" x14ac:dyDescent="0.25">
      <c r="A2360" t="str">
        <f>MID(TB_CECO[[#This Row],[CECO_T]],1,5)</f>
        <v>2L120</v>
      </c>
      <c r="B2360" t="str">
        <f>MID(TB_CECO[[#This Row],[TRABAJO]],1,SEARCH(",",TB_CECO[[#This Row],[TRABAJO]],1)-1)</f>
        <v>Cx 245 NW (Cx 199 NE)</v>
      </c>
      <c r="C23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245 NW (Cx 199 NE),SUMINISTROS</v>
      </c>
      <c r="D23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60" s="47" t="s">
        <v>4669</v>
      </c>
      <c r="G2360" t="s">
        <v>4670</v>
      </c>
      <c r="H23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61" spans="1:8" ht="15" customHeight="1" x14ac:dyDescent="0.25">
      <c r="A2361" t="str">
        <f>MID(TB_CECO[[#This Row],[CECO_T]],1,5)</f>
        <v>2L120</v>
      </c>
      <c r="B2361" t="str">
        <f>MID(TB_CECO[[#This Row],[TRABAJO]],1,SEARCH(",",TB_CECO[[#This Row],[TRABAJO]],1)-1)</f>
        <v>Cx 245 NW (Cx 199 NE)</v>
      </c>
      <c r="C23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245 NW (Cx 199 NE),SOSTENIMIENTO</v>
      </c>
      <c r="D23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61" s="47" t="s">
        <v>4671</v>
      </c>
      <c r="G2361" t="s">
        <v>4672</v>
      </c>
      <c r="H23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62" spans="1:8" ht="15" customHeight="1" x14ac:dyDescent="0.25">
      <c r="A2362" t="str">
        <f>MID(TB_CECO[[#This Row],[CECO_T]],1,5)</f>
        <v>2L120</v>
      </c>
      <c r="B2362" t="str">
        <f>MID(TB_CECO[[#This Row],[TRABAJO]],1,SEARCH(",",TB_CECO[[#This Row],[TRABAJO]],1)-1)</f>
        <v>Cx 245 NW (Cx 199 NE)</v>
      </c>
      <c r="C23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245 NW (Cx 199 NE),SERVICIO</v>
      </c>
      <c r="D23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62" s="47" t="s">
        <v>4673</v>
      </c>
      <c r="G2362" t="s">
        <v>4674</v>
      </c>
      <c r="H23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63" spans="1:8" ht="15" customHeight="1" x14ac:dyDescent="0.25">
      <c r="A2363" t="str">
        <f>MID(TB_CECO[[#This Row],[CECO_T]],1,5)</f>
        <v>2L120</v>
      </c>
      <c r="B2363" t="str">
        <f>MID(TB_CECO[[#This Row],[TRABAJO]],1,SEARCH(",",TB_CECO[[#This Row],[TRABAJO]],1)-1)</f>
        <v>Cx 245 NW (Cx 199 NE)</v>
      </c>
      <c r="C23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245 NW (Cx 199 NE),REHABILITACION</v>
      </c>
      <c r="D23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63" s="47" t="s">
        <v>4675</v>
      </c>
      <c r="G2363" t="s">
        <v>4676</v>
      </c>
      <c r="H23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64" spans="1:8" ht="15" customHeight="1" x14ac:dyDescent="0.25">
      <c r="A2364" t="str">
        <f>MID(TB_CECO[[#This Row],[CECO_T]],1,5)</f>
        <v>2L120</v>
      </c>
      <c r="B2364" t="str">
        <f>MID(TB_CECO[[#This Row],[TRABAJO]],1,SEARCH(",",TB_CECO[[#This Row],[TRABAJO]],1)-1)</f>
        <v>Cx 245 NW (Cx 199 NE)</v>
      </c>
      <c r="C23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245 NW (Cx 199 NE),REFUGIO</v>
      </c>
      <c r="D23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64" s="47" t="s">
        <v>4677</v>
      </c>
      <c r="G2364" t="s">
        <v>4678</v>
      </c>
      <c r="H23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65" spans="1:8" ht="15" customHeight="1" x14ac:dyDescent="0.25">
      <c r="A2365" t="str">
        <f>MID(TB_CECO[[#This Row],[CECO_T]],1,5)</f>
        <v>2L122</v>
      </c>
      <c r="B2365" t="str">
        <f>MID(TB_CECO[[#This Row],[TRABAJO]],1,SEARCH(",",TB_CECO[[#This Row],[TRABAJO]],1)-1)</f>
        <v>Cx 225 SE (Cx 199 NE)</v>
      </c>
      <c r="C23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225 SE (Cx 199 NE),SUMINISTROS</v>
      </c>
      <c r="D23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65" s="47" t="s">
        <v>4679</v>
      </c>
      <c r="G2365" t="s">
        <v>4680</v>
      </c>
      <c r="H23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66" spans="1:8" ht="15" customHeight="1" x14ac:dyDescent="0.25">
      <c r="A2366" t="str">
        <f>MID(TB_CECO[[#This Row],[CECO_T]],1,5)</f>
        <v>2L122</v>
      </c>
      <c r="B2366" t="str">
        <f>MID(TB_CECO[[#This Row],[TRABAJO]],1,SEARCH(",",TB_CECO[[#This Row],[TRABAJO]],1)-1)</f>
        <v>Cx 225 SE (Cx 199 NE)</v>
      </c>
      <c r="C23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225 SE (Cx 199 NE),SOSTENIMIENTO</v>
      </c>
      <c r="D23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66" s="47" t="s">
        <v>4681</v>
      </c>
      <c r="G2366" t="s">
        <v>4682</v>
      </c>
      <c r="H23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67" spans="1:8" ht="15" customHeight="1" x14ac:dyDescent="0.25">
      <c r="A2367" t="str">
        <f>MID(TB_CECO[[#This Row],[CECO_T]],1,5)</f>
        <v>2L122</v>
      </c>
      <c r="B2367" t="str">
        <f>MID(TB_CECO[[#This Row],[TRABAJO]],1,SEARCH(",",TB_CECO[[#This Row],[TRABAJO]],1)-1)</f>
        <v>Cx 225 SE (Cx 199 NE)</v>
      </c>
      <c r="C23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225 SE (Cx 199 NE),SERVICIO</v>
      </c>
      <c r="D23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67" s="47" t="s">
        <v>4683</v>
      </c>
      <c r="G2367" t="s">
        <v>4684</v>
      </c>
      <c r="H23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68" spans="1:8" ht="15" customHeight="1" x14ac:dyDescent="0.25">
      <c r="A2368" t="str">
        <f>MID(TB_CECO[[#This Row],[CECO_T]],1,5)</f>
        <v>2L122</v>
      </c>
      <c r="B2368" t="str">
        <f>MID(TB_CECO[[#This Row],[TRABAJO]],1,SEARCH(",",TB_CECO[[#This Row],[TRABAJO]],1)-1)</f>
        <v>Cx 225 SE (Cx 199 NE)</v>
      </c>
      <c r="C23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225 SE (Cx 199 NE),REHABILITACION</v>
      </c>
      <c r="D23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68" s="47" t="s">
        <v>4685</v>
      </c>
      <c r="G2368" t="s">
        <v>4686</v>
      </c>
      <c r="H23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69" spans="1:8" ht="15" customHeight="1" x14ac:dyDescent="0.25">
      <c r="A2369" t="str">
        <f>MID(TB_CECO[[#This Row],[CECO_T]],1,5)</f>
        <v>2L124</v>
      </c>
      <c r="B2369" t="str">
        <f>MID(TB_CECO[[#This Row],[TRABAJO]],1,SEARCH(",",TB_CECO[[#This Row],[TRABAJO]],1)-1)</f>
        <v>Cx 236 SE (Pq 234)</v>
      </c>
      <c r="C23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236 SE (Pq 234),SUMINISTROS</v>
      </c>
      <c r="D23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69" s="47" t="s">
        <v>4687</v>
      </c>
      <c r="G2369" t="s">
        <v>4688</v>
      </c>
      <c r="H23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70" spans="1:8" ht="15" customHeight="1" x14ac:dyDescent="0.25">
      <c r="A2370" t="str">
        <f>MID(TB_CECO[[#This Row],[CECO_T]],1,5)</f>
        <v>2L124</v>
      </c>
      <c r="B2370" t="str">
        <f>MID(TB_CECO[[#This Row],[TRABAJO]],1,SEARCH(",",TB_CECO[[#This Row],[TRABAJO]],1)-1)</f>
        <v>Cx 236 SE (Pq 234)</v>
      </c>
      <c r="C23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236 SE (Pq 234),SOSTENIMIENTO</v>
      </c>
      <c r="D23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70" s="47" t="s">
        <v>4689</v>
      </c>
      <c r="G2370" t="s">
        <v>4690</v>
      </c>
      <c r="H23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71" spans="1:8" ht="15" customHeight="1" x14ac:dyDescent="0.25">
      <c r="A2371" t="str">
        <f>MID(TB_CECO[[#This Row],[CECO_T]],1,5)</f>
        <v>2L124</v>
      </c>
      <c r="B2371" t="str">
        <f>MID(TB_CECO[[#This Row],[TRABAJO]],1,SEARCH(",",TB_CECO[[#This Row],[TRABAJO]],1)-1)</f>
        <v>Cx 236 SE (Pq 234)</v>
      </c>
      <c r="C23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236 SE (Pq 234),SERVICIO</v>
      </c>
      <c r="D23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71" s="47" t="s">
        <v>4691</v>
      </c>
      <c r="G2371" t="s">
        <v>4692</v>
      </c>
      <c r="H23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72" spans="1:8" ht="15" customHeight="1" x14ac:dyDescent="0.25">
      <c r="A2372" t="str">
        <f>MID(TB_CECO[[#This Row],[CECO_T]],1,5)</f>
        <v>2L124</v>
      </c>
      <c r="B2372" t="str">
        <f>MID(TB_CECO[[#This Row],[TRABAJO]],1,SEARCH(",",TB_CECO[[#This Row],[TRABAJO]],1)-1)</f>
        <v>Cx 236 SE (Pq 234)</v>
      </c>
      <c r="C23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236 SE (Pq 234),REHABILITACION</v>
      </c>
      <c r="D23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72" s="47" t="s">
        <v>4693</v>
      </c>
      <c r="G2372" t="s">
        <v>4694</v>
      </c>
      <c r="H23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73" spans="1:8" ht="15" customHeight="1" x14ac:dyDescent="0.25">
      <c r="A2373" t="str">
        <f>MID(TB_CECO[[#This Row],[CECO_T]],1,5)</f>
        <v>2L31E</v>
      </c>
      <c r="B2373" t="str">
        <f>MID(TB_CECO[[#This Row],[TRABAJO]],1,SEARCH(",",TB_CECO[[#This Row],[TRABAJO]],1)-1)</f>
        <v>Ch 889 (Snv 152 SW)</v>
      </c>
      <c r="C23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889 (Snv 152 SW),LIMPIEZA</v>
      </c>
      <c r="D23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73" s="47" t="s">
        <v>4695</v>
      </c>
      <c r="G2373" t="s">
        <v>4696</v>
      </c>
      <c r="H23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74" spans="1:8" ht="15" customHeight="1" x14ac:dyDescent="0.25">
      <c r="A2374" t="str">
        <f>MID(TB_CECO[[#This Row],[CECO_T]],1,5)</f>
        <v>2L31E</v>
      </c>
      <c r="B2374" t="str">
        <f>MID(TB_CECO[[#This Row],[TRABAJO]],1,SEARCH(",",TB_CECO[[#This Row],[TRABAJO]],1)-1)</f>
        <v>Ch 889 (Snv 152 SW)</v>
      </c>
      <c r="C23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889 (Snv 152 SW),SERVICIO</v>
      </c>
      <c r="D23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74" s="47" t="s">
        <v>4697</v>
      </c>
      <c r="G2374" t="s">
        <v>4698</v>
      </c>
      <c r="H23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75" spans="1:8" ht="15" customHeight="1" x14ac:dyDescent="0.25">
      <c r="A2375" t="str">
        <f>MID(TB_CECO[[#This Row],[CECO_T]],1,5)</f>
        <v>2L31E</v>
      </c>
      <c r="B2375" t="str">
        <f>MID(TB_CECO[[#This Row],[TRABAJO]],1,SEARCH(",",TB_CECO[[#This Row],[TRABAJO]],1)-1)</f>
        <v>Ch 889 (Snv 152 SW)</v>
      </c>
      <c r="C23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889 (Snv 152 SW),PERFORACION</v>
      </c>
      <c r="D23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75" s="47" t="s">
        <v>4699</v>
      </c>
      <c r="G2375" t="s">
        <v>4700</v>
      </c>
      <c r="H23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76" spans="1:8" ht="15" customHeight="1" x14ac:dyDescent="0.25">
      <c r="A2376" t="str">
        <f>MID(TB_CECO[[#This Row],[CECO_T]],1,5)</f>
        <v>2L31E</v>
      </c>
      <c r="B2376" t="str">
        <f>MID(TB_CECO[[#This Row],[TRABAJO]],1,SEARCH(",",TB_CECO[[#This Row],[TRABAJO]],1)-1)</f>
        <v>Ch 889 (Snv 152 SW)</v>
      </c>
      <c r="C23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889 (Snv 152 SW),SOSTENIMIENTO</v>
      </c>
      <c r="D23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76" s="47" t="s">
        <v>4701</v>
      </c>
      <c r="G2376" t="s">
        <v>4702</v>
      </c>
      <c r="H23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77" spans="1:8" ht="15" customHeight="1" x14ac:dyDescent="0.25">
      <c r="A2377" t="str">
        <f>MID(TB_CECO[[#This Row],[CECO_T]],1,5)</f>
        <v>2L31E</v>
      </c>
      <c r="B2377" t="str">
        <f>MID(TB_CECO[[#This Row],[TRABAJO]],1,SEARCH(",",TB_CECO[[#This Row],[TRABAJO]],1)-1)</f>
        <v>Ch 889 (Snv 152 SW)</v>
      </c>
      <c r="C23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889 (Snv 152 SW),VOLADURA</v>
      </c>
      <c r="D23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77" s="47" t="s">
        <v>4703</v>
      </c>
      <c r="G2377" t="s">
        <v>4704</v>
      </c>
      <c r="H23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78" spans="1:8" ht="15" customHeight="1" x14ac:dyDescent="0.25">
      <c r="A2378" t="str">
        <f>MID(TB_CECO[[#This Row],[CECO_T]],1,5)</f>
        <v>2L31G</v>
      </c>
      <c r="B2378" t="str">
        <f>MID(TB_CECO[[#This Row],[TRABAJO]],1,SEARCH(",",TB_CECO[[#This Row],[TRABAJO]],1)-1)</f>
        <v xml:space="preserve"> Ch 944 (Snv 938 NE)</v>
      </c>
      <c r="C23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 944 (Snv 938 NE),LIMPIEZA</v>
      </c>
      <c r="D23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78" s="47" t="s">
        <v>4705</v>
      </c>
      <c r="G2378" t="s">
        <v>4706</v>
      </c>
      <c r="H23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79" spans="1:8" ht="15" customHeight="1" x14ac:dyDescent="0.25">
      <c r="A2379" t="str">
        <f>MID(TB_CECO[[#This Row],[CECO_T]],1,5)</f>
        <v>2L31G</v>
      </c>
      <c r="B2379" t="str">
        <f>MID(TB_CECO[[#This Row],[TRABAJO]],1,SEARCH(",",TB_CECO[[#This Row],[TRABAJO]],1)-1)</f>
        <v xml:space="preserve"> Ch 944 (Snv 938 NE)</v>
      </c>
      <c r="C23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 944 (Snv 938 NE),SERVICIO</v>
      </c>
      <c r="D23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79" s="47" t="s">
        <v>4707</v>
      </c>
      <c r="G2379" t="s">
        <v>4708</v>
      </c>
      <c r="H23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80" spans="1:8" ht="15" customHeight="1" x14ac:dyDescent="0.25">
      <c r="A2380" t="str">
        <f>MID(TB_CECO[[#This Row],[CECO_T]],1,5)</f>
        <v>2L31G</v>
      </c>
      <c r="B2380" t="str">
        <f>MID(TB_CECO[[#This Row],[TRABAJO]],1,SEARCH(",",TB_CECO[[#This Row],[TRABAJO]],1)-1)</f>
        <v xml:space="preserve"> Ch 944 (Snv 938 NE)</v>
      </c>
      <c r="C23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 944 (Snv 938 NE),PERFORACION</v>
      </c>
      <c r="D23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80" s="47" t="s">
        <v>4709</v>
      </c>
      <c r="G2380" t="s">
        <v>4710</v>
      </c>
      <c r="H23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81" spans="1:8" ht="15" customHeight="1" x14ac:dyDescent="0.25">
      <c r="A2381" t="str">
        <f>MID(TB_CECO[[#This Row],[CECO_T]],1,5)</f>
        <v>2L31G</v>
      </c>
      <c r="B2381" t="str">
        <f>MID(TB_CECO[[#This Row],[TRABAJO]],1,SEARCH(",",TB_CECO[[#This Row],[TRABAJO]],1)-1)</f>
        <v xml:space="preserve"> Ch 944 (Snv 938 NE)</v>
      </c>
      <c r="C23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 944 (Snv 938 NE),SOSTENIMIENTO</v>
      </c>
      <c r="D23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81" s="47" t="s">
        <v>4711</v>
      </c>
      <c r="G2381" t="s">
        <v>4712</v>
      </c>
      <c r="H23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82" spans="1:8" ht="15" customHeight="1" x14ac:dyDescent="0.25">
      <c r="A2382" t="str">
        <f>MID(TB_CECO[[#This Row],[CECO_T]],1,5)</f>
        <v>2L31G</v>
      </c>
      <c r="B2382" t="str">
        <f>MID(TB_CECO[[#This Row],[TRABAJO]],1,SEARCH(",",TB_CECO[[#This Row],[TRABAJO]],1)-1)</f>
        <v xml:space="preserve"> Ch 944 (Snv 938 NE)</v>
      </c>
      <c r="C23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 944 (Snv 938 NE),VOLADURA</v>
      </c>
      <c r="D23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82" s="47" t="s">
        <v>4713</v>
      </c>
      <c r="G2382" t="s">
        <v>4714</v>
      </c>
      <c r="H23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83" spans="1:8" ht="15" customHeight="1" x14ac:dyDescent="0.25">
      <c r="A2383" t="str">
        <f>MID(TB_CECO[[#This Row],[CECO_T]],1,5)</f>
        <v>2L375</v>
      </c>
      <c r="B2383" t="str">
        <f>MID(TB_CECO[[#This Row],[TRABAJO]],1,SEARCH(",",TB_CECO[[#This Row],[TRABAJO]],1)-1)</f>
        <v>Ch 030 (Snv 031 SW)</v>
      </c>
      <c r="C23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030 (Snv 031 SW),LIMPIEZA</v>
      </c>
      <c r="D23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83" s="47" t="s">
        <v>4715</v>
      </c>
      <c r="G2383" t="s">
        <v>4716</v>
      </c>
      <c r="H23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84" spans="1:8" ht="15" customHeight="1" x14ac:dyDescent="0.25">
      <c r="A2384" t="str">
        <f>MID(TB_CECO[[#This Row],[CECO_T]],1,5)</f>
        <v>2L375</v>
      </c>
      <c r="B2384" t="str">
        <f>MID(TB_CECO[[#This Row],[TRABAJO]],1,SEARCH(",",TB_CECO[[#This Row],[TRABAJO]],1)-1)</f>
        <v>Ch 030 (Snv 031 SW)</v>
      </c>
      <c r="C23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030 (Snv 031 SW),SERVICIO</v>
      </c>
      <c r="D23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84" s="47" t="s">
        <v>4717</v>
      </c>
      <c r="G2384" t="s">
        <v>4718</v>
      </c>
      <c r="H23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85" spans="1:8" ht="15" customHeight="1" x14ac:dyDescent="0.25">
      <c r="A2385" t="str">
        <f>MID(TB_CECO[[#This Row],[CECO_T]],1,5)</f>
        <v>2L375</v>
      </c>
      <c r="B2385" t="str">
        <f>MID(TB_CECO[[#This Row],[TRABAJO]],1,SEARCH(",",TB_CECO[[#This Row],[TRABAJO]],1)-1)</f>
        <v>Ch 030 (Snv 031 SW)</v>
      </c>
      <c r="C23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030 (Snv 031 SW),PERFORACION</v>
      </c>
      <c r="D23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85" s="47" t="s">
        <v>4719</v>
      </c>
      <c r="G2385" t="s">
        <v>4720</v>
      </c>
      <c r="H23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86" spans="1:8" ht="15" customHeight="1" x14ac:dyDescent="0.25">
      <c r="A2386" t="str">
        <f>MID(TB_CECO[[#This Row],[CECO_T]],1,5)</f>
        <v>2L375</v>
      </c>
      <c r="B2386" t="str">
        <f>MID(TB_CECO[[#This Row],[TRABAJO]],1,SEARCH(",",TB_CECO[[#This Row],[TRABAJO]],1)-1)</f>
        <v>Ch 030 (Snv 031 SW)</v>
      </c>
      <c r="C23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030 (Snv 031 SW),SOSTENIMIENTO</v>
      </c>
      <c r="D23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86" s="47" t="s">
        <v>4721</v>
      </c>
      <c r="G2386" t="s">
        <v>4722</v>
      </c>
      <c r="H23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87" spans="1:8" ht="15" customHeight="1" x14ac:dyDescent="0.25">
      <c r="A2387" t="str">
        <f>MID(TB_CECO[[#This Row],[CECO_T]],1,5)</f>
        <v>2L375</v>
      </c>
      <c r="B2387" t="str">
        <f>MID(TB_CECO[[#This Row],[TRABAJO]],1,SEARCH(",",TB_CECO[[#This Row],[TRABAJO]],1)-1)</f>
        <v>Ch 030 (Snv 031 SW)</v>
      </c>
      <c r="C23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030 (Snv 031 SW),VOLADURA</v>
      </c>
      <c r="D23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3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387" s="47" t="s">
        <v>4723</v>
      </c>
      <c r="G2387" t="s">
        <v>4724</v>
      </c>
      <c r="H23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88" spans="1:8" ht="15" customHeight="1" x14ac:dyDescent="0.25">
      <c r="A2388" t="str">
        <f>MID(TB_CECO[[#This Row],[CECO_T]],1,5)</f>
        <v>2L406</v>
      </c>
      <c r="B2388" t="str">
        <f>MID(TB_CECO[[#This Row],[TRABAJO]],1,SEARCH(",",TB_CECO[[#This Row],[TRABAJO]],1)-1)</f>
        <v>Pq 235 (Superf)</v>
      </c>
      <c r="C23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235 (Superf),SUMINISTROS</v>
      </c>
      <c r="D23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88" s="47" t="s">
        <v>4725</v>
      </c>
      <c r="G2388" t="s">
        <v>4726</v>
      </c>
      <c r="H23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89" spans="1:8" ht="15" customHeight="1" x14ac:dyDescent="0.25">
      <c r="A2389" t="str">
        <f>MID(TB_CECO[[#This Row],[CECO_T]],1,5)</f>
        <v>2L406</v>
      </c>
      <c r="B2389" t="str">
        <f>MID(TB_CECO[[#This Row],[TRABAJO]],1,SEARCH(",",TB_CECO[[#This Row],[TRABAJO]],1)-1)</f>
        <v>Pq 235 (Superf)</v>
      </c>
      <c r="C23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235 (Superf),SOSTENIMIENTO</v>
      </c>
      <c r="D23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89" s="47" t="s">
        <v>4727</v>
      </c>
      <c r="G2389" t="s">
        <v>4728</v>
      </c>
      <c r="H23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90" spans="1:8" ht="15" customHeight="1" x14ac:dyDescent="0.25">
      <c r="A2390" t="str">
        <f>MID(TB_CECO[[#This Row],[CECO_T]],1,5)</f>
        <v>2L406</v>
      </c>
      <c r="B2390" t="str">
        <f>MID(TB_CECO[[#This Row],[TRABAJO]],1,SEARCH(",",TB_CECO[[#This Row],[TRABAJO]],1)-1)</f>
        <v>Pq 235 (Superf)</v>
      </c>
      <c r="C23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235 (Superf),SERVICIO</v>
      </c>
      <c r="D23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90" s="47" t="s">
        <v>4729</v>
      </c>
      <c r="G2390" t="s">
        <v>4730</v>
      </c>
      <c r="H23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91" spans="1:8" ht="15" customHeight="1" x14ac:dyDescent="0.25">
      <c r="A2391" t="str">
        <f>MID(TB_CECO[[#This Row],[CECO_T]],1,5)</f>
        <v>2L406</v>
      </c>
      <c r="B2391" t="str">
        <f>MID(TB_CECO[[#This Row],[TRABAJO]],1,SEARCH(",",TB_CECO[[#This Row],[TRABAJO]],1)-1)</f>
        <v>Pq 235 (Superf)</v>
      </c>
      <c r="C23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235 (Superf),REHABILITACION</v>
      </c>
      <c r="D23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91" s="47" t="s">
        <v>4731</v>
      </c>
      <c r="G2391" t="s">
        <v>4732</v>
      </c>
      <c r="H23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92" spans="1:8" ht="15" customHeight="1" x14ac:dyDescent="0.25">
      <c r="A2392" t="str">
        <f>MID(TB_CECO[[#This Row],[CECO_T]],1,5)</f>
        <v>2L406</v>
      </c>
      <c r="B2392" t="str">
        <f>MID(TB_CECO[[#This Row],[TRABAJO]],1,SEARCH(",",TB_CECO[[#This Row],[TRABAJO]],1)-1)</f>
        <v>Pq 235 (Superf)</v>
      </c>
      <c r="C23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235 (Superf),TOLVA</v>
      </c>
      <c r="D23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92" s="47" t="s">
        <v>4733</v>
      </c>
      <c r="G2392" t="s">
        <v>4734</v>
      </c>
      <c r="H23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93" spans="1:8" ht="15" customHeight="1" x14ac:dyDescent="0.25">
      <c r="A2393" t="str">
        <f>MID(TB_CECO[[#This Row],[CECO_T]],1,5)</f>
        <v>2L407</v>
      </c>
      <c r="B2393" t="str">
        <f>MID(TB_CECO[[#This Row],[TRABAJO]],1,SEARCH(",",TB_CECO[[#This Row],[TRABAJO]],1)-1)</f>
        <v>Pq 228 (Ven 226 NE)</v>
      </c>
      <c r="C23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228 (Ven 226 NE),SUMINISTROS</v>
      </c>
      <c r="D23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93" s="47" t="s">
        <v>4735</v>
      </c>
      <c r="G2393" t="s">
        <v>4736</v>
      </c>
      <c r="H23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94" spans="1:8" ht="15" customHeight="1" x14ac:dyDescent="0.25">
      <c r="A2394" t="str">
        <f>MID(TB_CECO[[#This Row],[CECO_T]],1,5)</f>
        <v>2L407</v>
      </c>
      <c r="B2394" t="str">
        <f>MID(TB_CECO[[#This Row],[TRABAJO]],1,SEARCH(",",TB_CECO[[#This Row],[TRABAJO]],1)-1)</f>
        <v>Pq 228 (Ven 226 NE)</v>
      </c>
      <c r="C23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228 (Ven 226 NE),SOSTENIMIENTO</v>
      </c>
      <c r="D23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94" s="47" t="s">
        <v>4737</v>
      </c>
      <c r="G2394" t="s">
        <v>4738</v>
      </c>
      <c r="H23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95" spans="1:8" ht="15" customHeight="1" x14ac:dyDescent="0.25">
      <c r="A2395" t="str">
        <f>MID(TB_CECO[[#This Row],[CECO_T]],1,5)</f>
        <v>2L407</v>
      </c>
      <c r="B2395" t="str">
        <f>MID(TB_CECO[[#This Row],[TRABAJO]],1,SEARCH(",",TB_CECO[[#This Row],[TRABAJO]],1)-1)</f>
        <v>Pq 228 (Ven 226 NE)</v>
      </c>
      <c r="C23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228 (Ven 226 NE),SERVICIO</v>
      </c>
      <c r="D23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95" s="47" t="s">
        <v>4739</v>
      </c>
      <c r="G2395" t="s">
        <v>4740</v>
      </c>
      <c r="H23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96" spans="1:8" ht="15" customHeight="1" x14ac:dyDescent="0.25">
      <c r="A2396" t="str">
        <f>MID(TB_CECO[[#This Row],[CECO_T]],1,5)</f>
        <v>2L407</v>
      </c>
      <c r="B2396" t="str">
        <f>MID(TB_CECO[[#This Row],[TRABAJO]],1,SEARCH(",",TB_CECO[[#This Row],[TRABAJO]],1)-1)</f>
        <v>Pq 228 (Ven 226 NE)</v>
      </c>
      <c r="C23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228 (Ven 226 NE),REHABILITACION</v>
      </c>
      <c r="D23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96" s="47" t="s">
        <v>4741</v>
      </c>
      <c r="G2396" t="s">
        <v>4742</v>
      </c>
      <c r="H23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97" spans="1:8" ht="15" customHeight="1" x14ac:dyDescent="0.25">
      <c r="A2397" t="str">
        <f>MID(TB_CECO[[#This Row],[CECO_T]],1,5)</f>
        <v>2L407</v>
      </c>
      <c r="B2397" t="str">
        <f>MID(TB_CECO[[#This Row],[TRABAJO]],1,SEARCH(",",TB_CECO[[#This Row],[TRABAJO]],1)-1)</f>
        <v>Pq 228 (Ven 226 NE)</v>
      </c>
      <c r="C23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228 (Ven 226 NE),TOLVA</v>
      </c>
      <c r="D23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97" s="47" t="s">
        <v>4743</v>
      </c>
      <c r="G2397" t="s">
        <v>4744</v>
      </c>
      <c r="H23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98" spans="1:8" ht="15" customHeight="1" x14ac:dyDescent="0.25">
      <c r="A2398" t="str">
        <f>MID(TB_CECO[[#This Row],[CECO_T]],1,5)</f>
        <v>2L408</v>
      </c>
      <c r="B2398" t="str">
        <f>MID(TB_CECO[[#This Row],[TRABAJO]],1,SEARCH(",",TB_CECO[[#This Row],[TRABAJO]],1)-1)</f>
        <v>Pq 256 (Ven 254 SE)</v>
      </c>
      <c r="C23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256 (Ven 254 SE),SUMINISTROS</v>
      </c>
      <c r="D23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98" s="47" t="s">
        <v>4745</v>
      </c>
      <c r="G2398" t="s">
        <v>4746</v>
      </c>
      <c r="H23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399" spans="1:8" ht="15" customHeight="1" x14ac:dyDescent="0.25">
      <c r="A2399" t="str">
        <f>MID(TB_CECO[[#This Row],[CECO_T]],1,5)</f>
        <v>2L408</v>
      </c>
      <c r="B2399" t="str">
        <f>MID(TB_CECO[[#This Row],[TRABAJO]],1,SEARCH(",",TB_CECO[[#This Row],[TRABAJO]],1)-1)</f>
        <v>Pq 256 (Ven 254 SE)</v>
      </c>
      <c r="C23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256 (Ven 254 SE),SOSTENIMIENTO</v>
      </c>
      <c r="D23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3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399" s="47" t="s">
        <v>4747</v>
      </c>
      <c r="G2399" t="s">
        <v>4748</v>
      </c>
      <c r="H23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00" spans="1:8" ht="15" customHeight="1" x14ac:dyDescent="0.25">
      <c r="A2400" t="str">
        <f>MID(TB_CECO[[#This Row],[CECO_T]],1,5)</f>
        <v>2L408</v>
      </c>
      <c r="B2400" t="str">
        <f>MID(TB_CECO[[#This Row],[TRABAJO]],1,SEARCH(",",TB_CECO[[#This Row],[TRABAJO]],1)-1)</f>
        <v>Pq 256 (Ven 254 SE)</v>
      </c>
      <c r="C24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256 (Ven 254 SE),SERVICIO</v>
      </c>
      <c r="D24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00" s="47" t="s">
        <v>4749</v>
      </c>
      <c r="G2400" t="s">
        <v>4750</v>
      </c>
      <c r="H24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01" spans="1:8" ht="15" customHeight="1" x14ac:dyDescent="0.25">
      <c r="A2401" t="str">
        <f>MID(TB_CECO[[#This Row],[CECO_T]],1,5)</f>
        <v>2L408</v>
      </c>
      <c r="B2401" t="str">
        <f>MID(TB_CECO[[#This Row],[TRABAJO]],1,SEARCH(",",TB_CECO[[#This Row],[TRABAJO]],1)-1)</f>
        <v>Pq 256 (Ven 254 SE)</v>
      </c>
      <c r="C24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256 (Ven 254 SE),REHABILITACION</v>
      </c>
      <c r="D24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01" s="47" t="s">
        <v>4751</v>
      </c>
      <c r="G2401" t="s">
        <v>4752</v>
      </c>
      <c r="H24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02" spans="1:8" ht="15" customHeight="1" x14ac:dyDescent="0.25">
      <c r="A2402" t="str">
        <f>MID(TB_CECO[[#This Row],[CECO_T]],1,5)</f>
        <v>2L408</v>
      </c>
      <c r="B2402" t="str">
        <f>MID(TB_CECO[[#This Row],[TRABAJO]],1,SEARCH(",",TB_CECO[[#This Row],[TRABAJO]],1)-1)</f>
        <v>Pq 256 (Ven 254 SE)</v>
      </c>
      <c r="C24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 256 (Ven 254 SE),TOLVA</v>
      </c>
      <c r="D24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02" s="47" t="s">
        <v>4753</v>
      </c>
      <c r="G2402" t="s">
        <v>4754</v>
      </c>
      <c r="H24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03" spans="1:8" ht="15" customHeight="1" x14ac:dyDescent="0.25">
      <c r="A2403" t="str">
        <f>MID(TB_CECO[[#This Row],[CECO_T]],1,5)</f>
        <v>2L409</v>
      </c>
      <c r="B2403" t="str">
        <f>MID(TB_CECO[[#This Row],[TRABAJO]],1,SEARCH(",",TB_CECO[[#This Row],[TRABAJO]],1)-1)</f>
        <v>Pq 234 (Sup)</v>
      </c>
      <c r="C24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234 (Sup),SUMINISTROS</v>
      </c>
      <c r="D24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03" s="47" t="s">
        <v>4755</v>
      </c>
      <c r="G2403" t="s">
        <v>4756</v>
      </c>
      <c r="H24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04" spans="1:8" ht="15" customHeight="1" x14ac:dyDescent="0.25">
      <c r="A2404" t="str">
        <f>MID(TB_CECO[[#This Row],[CECO_T]],1,5)</f>
        <v>2L409</v>
      </c>
      <c r="B2404" t="str">
        <f>MID(TB_CECO[[#This Row],[TRABAJO]],1,SEARCH(",",TB_CECO[[#This Row],[TRABAJO]],1)-1)</f>
        <v>Pq 234 (Sup)</v>
      </c>
      <c r="C24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234 (Sup),SOSTENIMIENTO</v>
      </c>
      <c r="D24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04" s="47" t="s">
        <v>4757</v>
      </c>
      <c r="G2404" t="s">
        <v>4758</v>
      </c>
      <c r="H24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05" spans="1:8" ht="15" customHeight="1" x14ac:dyDescent="0.25">
      <c r="A2405" t="str">
        <f>MID(TB_CECO[[#This Row],[CECO_T]],1,5)</f>
        <v>2L409</v>
      </c>
      <c r="B2405" t="str">
        <f>MID(TB_CECO[[#This Row],[TRABAJO]],1,SEARCH(",",TB_CECO[[#This Row],[TRABAJO]],1)-1)</f>
        <v>Pq 234 (Sup)</v>
      </c>
      <c r="C24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234 (Sup),SERVICIO</v>
      </c>
      <c r="D24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05" s="47" t="s">
        <v>4759</v>
      </c>
      <c r="G2405" t="s">
        <v>4760</v>
      </c>
      <c r="H24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06" spans="1:8" ht="15" customHeight="1" x14ac:dyDescent="0.25">
      <c r="A2406" t="str">
        <f>MID(TB_CECO[[#This Row],[CECO_T]],1,5)</f>
        <v>2L409</v>
      </c>
      <c r="B2406" t="str">
        <f>MID(TB_CECO[[#This Row],[TRABAJO]],1,SEARCH(",",TB_CECO[[#This Row],[TRABAJO]],1)-1)</f>
        <v>Pq 234 (Sup)</v>
      </c>
      <c r="C24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234 (Sup),REHABILITACION</v>
      </c>
      <c r="D24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06" s="47" t="s">
        <v>4761</v>
      </c>
      <c r="G2406" t="s">
        <v>4762</v>
      </c>
      <c r="H24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07" spans="1:8" ht="15" customHeight="1" x14ac:dyDescent="0.25">
      <c r="A2407" t="str">
        <f>MID(TB_CECO[[#This Row],[CECO_T]],1,5)</f>
        <v>2L51A</v>
      </c>
      <c r="B2407" t="str">
        <f>MID(TB_CECO[[#This Row],[TRABAJO]],1,SEARCH(",",TB_CECO[[#This Row],[TRABAJO]],1)-1)</f>
        <v>Snv 256 SW (Est 255 SW)</v>
      </c>
      <c r="C24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256 SW (Est 255 SW),SUMINISTROS</v>
      </c>
      <c r="D24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07" s="47" t="s">
        <v>4763</v>
      </c>
      <c r="G2407" t="s">
        <v>4764</v>
      </c>
      <c r="H24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08" spans="1:8" ht="15" customHeight="1" x14ac:dyDescent="0.25">
      <c r="A2408" t="str">
        <f>MID(TB_CECO[[#This Row],[CECO_T]],1,5)</f>
        <v>2L51A</v>
      </c>
      <c r="B2408" t="str">
        <f>MID(TB_CECO[[#This Row],[TRABAJO]],1,SEARCH(",",TB_CECO[[#This Row],[TRABAJO]],1)-1)</f>
        <v>Snv 256 SW (Est 255 SW)</v>
      </c>
      <c r="C24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256 SW (Est 255 SW),SOSTENIMIENTO</v>
      </c>
      <c r="D24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08" s="47" t="s">
        <v>4765</v>
      </c>
      <c r="G2408" t="s">
        <v>4766</v>
      </c>
      <c r="H24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09" spans="1:8" ht="15" customHeight="1" x14ac:dyDescent="0.25">
      <c r="A2409" t="str">
        <f>MID(TB_CECO[[#This Row],[CECO_T]],1,5)</f>
        <v>2L51A</v>
      </c>
      <c r="B2409" t="str">
        <f>MID(TB_CECO[[#This Row],[TRABAJO]],1,SEARCH(",",TB_CECO[[#This Row],[TRABAJO]],1)-1)</f>
        <v>Snv 256 SW (Est 255 SW)</v>
      </c>
      <c r="C24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256 SW (Est 255 SW),SERVICIO</v>
      </c>
      <c r="D24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09" s="47" t="s">
        <v>4767</v>
      </c>
      <c r="G2409" t="s">
        <v>4768</v>
      </c>
      <c r="H24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10" spans="1:8" ht="15" customHeight="1" x14ac:dyDescent="0.25">
      <c r="A2410" t="str">
        <f>MID(TB_CECO[[#This Row],[CECO_T]],1,5)</f>
        <v>2L51A</v>
      </c>
      <c r="B2410" t="str">
        <f>MID(TB_CECO[[#This Row],[TRABAJO]],1,SEARCH(",",TB_CECO[[#This Row],[TRABAJO]],1)-1)</f>
        <v>Snv 256 SW (Est 255 SW)</v>
      </c>
      <c r="C24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256 SW (Est 255 SW),REHABILITACION</v>
      </c>
      <c r="D24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10" s="47" t="s">
        <v>4769</v>
      </c>
      <c r="G2410" t="s">
        <v>4770</v>
      </c>
      <c r="H24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11" spans="1:8" ht="15" customHeight="1" x14ac:dyDescent="0.25">
      <c r="A2411" t="str">
        <f>MID(TB_CECO[[#This Row],[CECO_T]],1,5)</f>
        <v>2L599</v>
      </c>
      <c r="B2411" t="str">
        <f>MID(TB_CECO[[#This Row],[TRABAJO]],1,SEARCH(",",TB_CECO[[#This Row],[TRABAJO]],1)-1)</f>
        <v>Snv 226 NE (Est 224 SW)</v>
      </c>
      <c r="C24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226 NE (Est 224 SW),SUMINISTROS</v>
      </c>
      <c r="D24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11" s="47" t="s">
        <v>4771</v>
      </c>
      <c r="G2411" t="s">
        <v>4772</v>
      </c>
      <c r="H24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12" spans="1:8" ht="15" customHeight="1" x14ac:dyDescent="0.25">
      <c r="A2412" t="str">
        <f>MID(TB_CECO[[#This Row],[CECO_T]],1,5)</f>
        <v>2L599</v>
      </c>
      <c r="B2412" t="str">
        <f>MID(TB_CECO[[#This Row],[TRABAJO]],1,SEARCH(",",TB_CECO[[#This Row],[TRABAJO]],1)-1)</f>
        <v>Snv 226 NE (Est 224 SW)</v>
      </c>
      <c r="C24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226 NE (Est 224 SW),SOSTENIMIENTO</v>
      </c>
      <c r="D24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12" s="47" t="s">
        <v>4773</v>
      </c>
      <c r="G2412" t="s">
        <v>4774</v>
      </c>
      <c r="H24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13" spans="1:8" ht="15" customHeight="1" x14ac:dyDescent="0.25">
      <c r="A2413" t="str">
        <f>MID(TB_CECO[[#This Row],[CECO_T]],1,5)</f>
        <v>2L599</v>
      </c>
      <c r="B2413" t="str">
        <f>MID(TB_CECO[[#This Row],[TRABAJO]],1,SEARCH(",",TB_CECO[[#This Row],[TRABAJO]],1)-1)</f>
        <v>Snv 226 NE (Est 224 SW)</v>
      </c>
      <c r="C24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226 NE (Est 224 SW),SERVICIO</v>
      </c>
      <c r="D24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13" s="47" t="s">
        <v>4775</v>
      </c>
      <c r="G2413" t="s">
        <v>4776</v>
      </c>
      <c r="H24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14" spans="1:8" ht="15" customHeight="1" x14ac:dyDescent="0.25">
      <c r="A2414" t="str">
        <f>MID(TB_CECO[[#This Row],[CECO_T]],1,5)</f>
        <v>2L599</v>
      </c>
      <c r="B2414" t="str">
        <f>MID(TB_CECO[[#This Row],[TRABAJO]],1,SEARCH(",",TB_CECO[[#This Row],[TRABAJO]],1)-1)</f>
        <v>Snv 226 NE (Est 224 SW)</v>
      </c>
      <c r="C24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226 NE (Est 224 SW),REHABILITACION</v>
      </c>
      <c r="D24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14" s="47" t="s">
        <v>4777</v>
      </c>
      <c r="G2414" t="s">
        <v>4778</v>
      </c>
      <c r="H24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15" spans="1:8" ht="15" customHeight="1" x14ac:dyDescent="0.25">
      <c r="A2415" t="str">
        <f>MID(TB_CECO[[#This Row],[CECO_T]],1,5)</f>
        <v>2L650</v>
      </c>
      <c r="B2415" t="str">
        <f>MID(TB_CECO[[#This Row],[TRABAJO]],1,SEARCH(",",TB_CECO[[#This Row],[TRABAJO]],1)-1)</f>
        <v>Est 008 SE (Nv 8)</v>
      </c>
      <c r="C24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008 SE (Nv 8),SUMINISTROS</v>
      </c>
      <c r="D24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15" s="47" t="s">
        <v>4779</v>
      </c>
      <c r="G2415" t="s">
        <v>4780</v>
      </c>
      <c r="H24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16" spans="1:8" ht="15" customHeight="1" x14ac:dyDescent="0.25">
      <c r="A2416" t="str">
        <f>MID(TB_CECO[[#This Row],[CECO_T]],1,5)</f>
        <v>2L650</v>
      </c>
      <c r="B2416" t="str">
        <f>MID(TB_CECO[[#This Row],[TRABAJO]],1,SEARCH(",",TB_CECO[[#This Row],[TRABAJO]],1)-1)</f>
        <v>Est 008 SE (Nv 8)</v>
      </c>
      <c r="C24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008 SE (Nv 8),SOSTENIMIENTO</v>
      </c>
      <c r="D24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16" s="47" t="s">
        <v>4781</v>
      </c>
      <c r="G2416" t="s">
        <v>4782</v>
      </c>
      <c r="H24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17" spans="1:8" ht="15" customHeight="1" x14ac:dyDescent="0.25">
      <c r="A2417" t="str">
        <f>MID(TB_CECO[[#This Row],[CECO_T]],1,5)</f>
        <v>2L650</v>
      </c>
      <c r="B2417" t="str">
        <f>MID(TB_CECO[[#This Row],[TRABAJO]],1,SEARCH(",",TB_CECO[[#This Row],[TRABAJO]],1)-1)</f>
        <v>Est 008 SE (Nv 8)</v>
      </c>
      <c r="C24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008 SE (Nv 8),SERVICIO</v>
      </c>
      <c r="D24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17" s="47" t="s">
        <v>4783</v>
      </c>
      <c r="G2417" t="s">
        <v>4784</v>
      </c>
      <c r="H24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18" spans="1:8" ht="15" customHeight="1" x14ac:dyDescent="0.25">
      <c r="A2418" t="str">
        <f>MID(TB_CECO[[#This Row],[CECO_T]],1,5)</f>
        <v>2L650</v>
      </c>
      <c r="B2418" t="str">
        <f>MID(TB_CECO[[#This Row],[TRABAJO]],1,SEARCH(",",TB_CECO[[#This Row],[TRABAJO]],1)-1)</f>
        <v>Est 008 SE (Nv 8)</v>
      </c>
      <c r="C24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008 SE (Nv 8),REHABILITACION</v>
      </c>
      <c r="D24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18" s="47" t="s">
        <v>4785</v>
      </c>
      <c r="G2418" t="s">
        <v>4786</v>
      </c>
      <c r="H24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19" spans="1:8" ht="15" customHeight="1" x14ac:dyDescent="0.25">
      <c r="A2419" t="str">
        <f>MID(TB_CECO[[#This Row],[CECO_T]],1,5)</f>
        <v>2L653</v>
      </c>
      <c r="B2419" t="str">
        <f>MID(TB_CECO[[#This Row],[TRABAJO]],1,SEARCH(",",TB_CECO[[#This Row],[TRABAJO]],1)-1)</f>
        <v>Est 018 NW (Cx 199 NE)</v>
      </c>
      <c r="C24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018 NW (Cx 199 NE),LIMPIEZA</v>
      </c>
      <c r="D24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19" s="47" t="s">
        <v>4787</v>
      </c>
      <c r="G2419" t="s">
        <v>4788</v>
      </c>
      <c r="H24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20" spans="1:8" ht="15" customHeight="1" x14ac:dyDescent="0.25">
      <c r="A2420" t="str">
        <f>MID(TB_CECO[[#This Row],[CECO_T]],1,5)</f>
        <v>2L653</v>
      </c>
      <c r="B2420" t="str">
        <f>MID(TB_CECO[[#This Row],[TRABAJO]],1,SEARCH(",",TB_CECO[[#This Row],[TRABAJO]],1)-1)</f>
        <v>Est 018 NW (Cx 199 NE)</v>
      </c>
      <c r="C24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018 NW (Cx 199 NE),SERVICIO</v>
      </c>
      <c r="D24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20" s="47" t="s">
        <v>4789</v>
      </c>
      <c r="G2420" t="s">
        <v>4790</v>
      </c>
      <c r="H24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21" spans="1:8" ht="15" customHeight="1" x14ac:dyDescent="0.25">
      <c r="A2421" t="str">
        <f>MID(TB_CECO[[#This Row],[CECO_T]],1,5)</f>
        <v>2L653</v>
      </c>
      <c r="B2421" t="str">
        <f>MID(TB_CECO[[#This Row],[TRABAJO]],1,SEARCH(",",TB_CECO[[#This Row],[TRABAJO]],1)-1)</f>
        <v>Est 018 NW (Cx 199 NE)</v>
      </c>
      <c r="C24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018 NW (Cx 199 NE),PERFORACION</v>
      </c>
      <c r="D24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21" s="47" t="s">
        <v>4791</v>
      </c>
      <c r="G2421" t="s">
        <v>4792</v>
      </c>
      <c r="H24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22" spans="1:8" ht="15" customHeight="1" x14ac:dyDescent="0.25">
      <c r="A2422" t="str">
        <f>MID(TB_CECO[[#This Row],[CECO_T]],1,5)</f>
        <v>2L653</v>
      </c>
      <c r="B2422" t="str">
        <f>MID(TB_CECO[[#This Row],[TRABAJO]],1,SEARCH(",",TB_CECO[[#This Row],[TRABAJO]],1)-1)</f>
        <v>Est 018 NW (Cx 199 NE)</v>
      </c>
      <c r="C24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018 NW (Cx 199 NE),SOSTENIMIENTO</v>
      </c>
      <c r="D24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22" s="47" t="s">
        <v>4793</v>
      </c>
      <c r="G2422" t="s">
        <v>4794</v>
      </c>
      <c r="H24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23" spans="1:8" ht="15" customHeight="1" x14ac:dyDescent="0.25">
      <c r="A2423" t="str">
        <f>MID(TB_CECO[[#This Row],[CECO_T]],1,5)</f>
        <v>2L653</v>
      </c>
      <c r="B2423" t="str">
        <f>MID(TB_CECO[[#This Row],[TRABAJO]],1,SEARCH(",",TB_CECO[[#This Row],[TRABAJO]],1)-1)</f>
        <v>Est 018 NW (Cx 199 NE)</v>
      </c>
      <c r="C24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018 NW (Cx 199 NE),VOLADURA</v>
      </c>
      <c r="D24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23" s="47" t="s">
        <v>4795</v>
      </c>
      <c r="G2423" t="s">
        <v>4796</v>
      </c>
      <c r="H24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24" spans="1:8" ht="15" customHeight="1" x14ac:dyDescent="0.25">
      <c r="A2424" t="str">
        <f>MID(TB_CECO[[#This Row],[CECO_T]],1,5)</f>
        <v>2L659</v>
      </c>
      <c r="B2424" t="str">
        <f>MID(TB_CECO[[#This Row],[TRABAJO]],1,SEARCH(",",TB_CECO[[#This Row],[TRABAJO]],1)-1)</f>
        <v>Est 004 NW (Snv 015 SW)</v>
      </c>
      <c r="C24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004 NW (Snv 015 SW),LIMPIEZA</v>
      </c>
      <c r="D24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24" s="47" t="s">
        <v>4797</v>
      </c>
      <c r="G2424" t="s">
        <v>4798</v>
      </c>
      <c r="H24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25" spans="1:8" ht="15" customHeight="1" x14ac:dyDescent="0.25">
      <c r="A2425" t="str">
        <f>MID(TB_CECO[[#This Row],[CECO_T]],1,5)</f>
        <v>2L659</v>
      </c>
      <c r="B2425" t="str">
        <f>MID(TB_CECO[[#This Row],[TRABAJO]],1,SEARCH(",",TB_CECO[[#This Row],[TRABAJO]],1)-1)</f>
        <v>Est 004 NW (Snv 015 SW)</v>
      </c>
      <c r="C24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004 NW (Snv 015 SW),SERVICIO</v>
      </c>
      <c r="D24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25" s="47" t="s">
        <v>4799</v>
      </c>
      <c r="G2425" t="s">
        <v>4800</v>
      </c>
      <c r="H24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26" spans="1:8" ht="15" customHeight="1" x14ac:dyDescent="0.25">
      <c r="A2426" t="str">
        <f>MID(TB_CECO[[#This Row],[CECO_T]],1,5)</f>
        <v>2L659</v>
      </c>
      <c r="B2426" t="str">
        <f>MID(TB_CECO[[#This Row],[TRABAJO]],1,SEARCH(",",TB_CECO[[#This Row],[TRABAJO]],1)-1)</f>
        <v>Est 004 NW (Snv 015 SW)</v>
      </c>
      <c r="C24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004 NW (Snv 015 SW),PERFORACION</v>
      </c>
      <c r="D24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26" s="47" t="s">
        <v>4801</v>
      </c>
      <c r="G2426" t="s">
        <v>4802</v>
      </c>
      <c r="H24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27" spans="1:8" ht="15" customHeight="1" x14ac:dyDescent="0.25">
      <c r="A2427" t="str">
        <f>MID(TB_CECO[[#This Row],[CECO_T]],1,5)</f>
        <v>2L659</v>
      </c>
      <c r="B2427" t="str">
        <f>MID(TB_CECO[[#This Row],[TRABAJO]],1,SEARCH(",",TB_CECO[[#This Row],[TRABAJO]],1)-1)</f>
        <v>Est 004 NW (Snv 015 SW)</v>
      </c>
      <c r="C24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004 NW (Snv 015 SW),SOSTENIMIENTO</v>
      </c>
      <c r="D24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27" s="47" t="s">
        <v>4803</v>
      </c>
      <c r="G2427" t="s">
        <v>4804</v>
      </c>
      <c r="H24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28" spans="1:8" ht="15" customHeight="1" x14ac:dyDescent="0.25">
      <c r="A2428" t="str">
        <f>MID(TB_CECO[[#This Row],[CECO_T]],1,5)</f>
        <v>2L659</v>
      </c>
      <c r="B2428" t="str">
        <f>MID(TB_CECO[[#This Row],[TRABAJO]],1,SEARCH(",",TB_CECO[[#This Row],[TRABAJO]],1)-1)</f>
        <v>Est 004 NW (Snv 015 SW)</v>
      </c>
      <c r="C24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004 NW (Snv 015 SW),VOLADURA</v>
      </c>
      <c r="D24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28" s="47" t="s">
        <v>4805</v>
      </c>
      <c r="G2428" t="s">
        <v>4806</v>
      </c>
      <c r="H24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29" spans="1:8" ht="15" customHeight="1" x14ac:dyDescent="0.25">
      <c r="A2429" t="str">
        <f>MID(TB_CECO[[#This Row],[CECO_T]],1,5)</f>
        <v>2L662</v>
      </c>
      <c r="B2429" t="str">
        <f>MID(TB_CECO[[#This Row],[TRABAJO]],1,SEARCH(",",TB_CECO[[#This Row],[TRABAJO]],1)-1)</f>
        <v>Est 991 NW (Snv 030 SW)</v>
      </c>
      <c r="C24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991 NW (Snv 030 SW),LIMPIEZA</v>
      </c>
      <c r="D24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29" s="47" t="s">
        <v>4807</v>
      </c>
      <c r="G2429" t="s">
        <v>4808</v>
      </c>
      <c r="H24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30" spans="1:8" ht="15" customHeight="1" x14ac:dyDescent="0.25">
      <c r="A2430" t="str">
        <f>MID(TB_CECO[[#This Row],[CECO_T]],1,5)</f>
        <v>2L662</v>
      </c>
      <c r="B2430" t="str">
        <f>MID(TB_CECO[[#This Row],[TRABAJO]],1,SEARCH(",",TB_CECO[[#This Row],[TRABAJO]],1)-1)</f>
        <v>Est 991 NW (Snv 030 SW)</v>
      </c>
      <c r="C24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991 NW (Snv 030 SW),SERVICIO</v>
      </c>
      <c r="D24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30" s="47" t="s">
        <v>4809</v>
      </c>
      <c r="G2430" t="s">
        <v>4810</v>
      </c>
      <c r="H24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31" spans="1:8" ht="15" customHeight="1" x14ac:dyDescent="0.25">
      <c r="A2431" t="str">
        <f>MID(TB_CECO[[#This Row],[CECO_T]],1,5)</f>
        <v>2L662</v>
      </c>
      <c r="B2431" t="str">
        <f>MID(TB_CECO[[#This Row],[TRABAJO]],1,SEARCH(",",TB_CECO[[#This Row],[TRABAJO]],1)-1)</f>
        <v>Est 991 NW (Snv 030 SW)</v>
      </c>
      <c r="C24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991 NW (Snv 030 SW),PERFORACION</v>
      </c>
      <c r="D24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31" s="47" t="s">
        <v>4811</v>
      </c>
      <c r="G2431" t="s">
        <v>4812</v>
      </c>
      <c r="H24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32" spans="1:8" ht="15" customHeight="1" x14ac:dyDescent="0.25">
      <c r="A2432" t="str">
        <f>MID(TB_CECO[[#This Row],[CECO_T]],1,5)</f>
        <v>2L662</v>
      </c>
      <c r="B2432" t="str">
        <f>MID(TB_CECO[[#This Row],[TRABAJO]],1,SEARCH(",",TB_CECO[[#This Row],[TRABAJO]],1)-1)</f>
        <v>Est 991 NW (Snv 030 SW)</v>
      </c>
      <c r="C24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991 NW (Snv 030 SW),SOSTENIMIENTO</v>
      </c>
      <c r="D24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32" s="47" t="s">
        <v>4813</v>
      </c>
      <c r="G2432" t="s">
        <v>4814</v>
      </c>
      <c r="H24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33" spans="1:8" ht="15" customHeight="1" x14ac:dyDescent="0.25">
      <c r="A2433" t="str">
        <f>MID(TB_CECO[[#This Row],[CECO_T]],1,5)</f>
        <v>2L662</v>
      </c>
      <c r="B2433" t="str">
        <f>MID(TB_CECO[[#This Row],[TRABAJO]],1,SEARCH(",",TB_CECO[[#This Row],[TRABAJO]],1)-1)</f>
        <v>Est 991 NW (Snv 030 SW)</v>
      </c>
      <c r="C24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991 NW (Snv 030 SW),VOLADURA</v>
      </c>
      <c r="D24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33" s="47" t="s">
        <v>4815</v>
      </c>
      <c r="G2433" t="s">
        <v>4816</v>
      </c>
      <c r="H24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34" spans="1:8" ht="15" customHeight="1" x14ac:dyDescent="0.25">
      <c r="A2434" t="str">
        <f>MID(TB_CECO[[#This Row],[CECO_T]],1,5)</f>
        <v>2L671</v>
      </c>
      <c r="B2434" t="str">
        <f>MID(TB_CECO[[#This Row],[TRABAJO]],1,SEARCH(",",TB_CECO[[#This Row],[TRABAJO]],1)-1)</f>
        <v>Est 971 SW (Cx 169 NE)</v>
      </c>
      <c r="C24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971 SW (Cx 169 NE),LIMPIEZA</v>
      </c>
      <c r="D24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34" s="47" t="s">
        <v>4817</v>
      </c>
      <c r="G2434" t="s">
        <v>4818</v>
      </c>
      <c r="H24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35" spans="1:8" ht="15" customHeight="1" x14ac:dyDescent="0.25">
      <c r="A2435" t="str">
        <f>MID(TB_CECO[[#This Row],[CECO_T]],1,5)</f>
        <v>2L671</v>
      </c>
      <c r="B2435" t="str">
        <f>MID(TB_CECO[[#This Row],[TRABAJO]],1,SEARCH(",",TB_CECO[[#This Row],[TRABAJO]],1)-1)</f>
        <v>Est 971 SW (Cx 169 NE)</v>
      </c>
      <c r="C24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971 SW (Cx 169 NE),SERVICIO</v>
      </c>
      <c r="D24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35" s="47" t="s">
        <v>4819</v>
      </c>
      <c r="G2435" t="s">
        <v>4820</v>
      </c>
      <c r="H24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36" spans="1:8" ht="15" customHeight="1" x14ac:dyDescent="0.25">
      <c r="A2436" t="str">
        <f>MID(TB_CECO[[#This Row],[CECO_T]],1,5)</f>
        <v>2L671</v>
      </c>
      <c r="B2436" t="str">
        <f>MID(TB_CECO[[#This Row],[TRABAJO]],1,SEARCH(",",TB_CECO[[#This Row],[TRABAJO]],1)-1)</f>
        <v>Est 971 SW (Cx 169 NE)</v>
      </c>
      <c r="C24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971 SW (Cx 169 NE),PERFORACION</v>
      </c>
      <c r="D24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36" s="47" t="s">
        <v>4821</v>
      </c>
      <c r="G2436" t="s">
        <v>4822</v>
      </c>
      <c r="H24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37" spans="1:8" ht="15" customHeight="1" x14ac:dyDescent="0.25">
      <c r="A2437" t="str">
        <f>MID(TB_CECO[[#This Row],[CECO_T]],1,5)</f>
        <v>2L671</v>
      </c>
      <c r="B2437" t="str">
        <f>MID(TB_CECO[[#This Row],[TRABAJO]],1,SEARCH(",",TB_CECO[[#This Row],[TRABAJO]],1)-1)</f>
        <v>Est 971 SW (Cx 169 NE)</v>
      </c>
      <c r="C24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971 SW (Cx 169 NE),SOSTENIMIENTO</v>
      </c>
      <c r="D24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37" s="47" t="s">
        <v>4823</v>
      </c>
      <c r="G2437" t="s">
        <v>4824</v>
      </c>
      <c r="H24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38" spans="1:8" ht="15" customHeight="1" x14ac:dyDescent="0.25">
      <c r="A2438" t="str">
        <f>MID(TB_CECO[[#This Row],[CECO_T]],1,5)</f>
        <v>2L671</v>
      </c>
      <c r="B2438" t="str">
        <f>MID(TB_CECO[[#This Row],[TRABAJO]],1,SEARCH(",",TB_CECO[[#This Row],[TRABAJO]],1)-1)</f>
        <v>Est 971 SW (Cx 169 NE)</v>
      </c>
      <c r="C24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971 SW (Cx 169 NE),VOLADURA</v>
      </c>
      <c r="D24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38" s="47" t="s">
        <v>4825</v>
      </c>
      <c r="G2438" t="s">
        <v>4826</v>
      </c>
      <c r="H24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39" spans="1:8" ht="15" customHeight="1" x14ac:dyDescent="0.25">
      <c r="A2439" t="str">
        <f>MID(TB_CECO[[#This Row],[CECO_T]],1,5)</f>
        <v>2L918</v>
      </c>
      <c r="B2439" t="str">
        <f>MID(TB_CECO[[#This Row],[TRABAJO]],1,SEARCH(",",TB_CECO[[#This Row],[TRABAJO]],1)-1)</f>
        <v>Ven 226 NE (Cx 219 SE)</v>
      </c>
      <c r="C24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226 NE (Cx 219 SE),SUMINISTROS</v>
      </c>
      <c r="D24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39" s="47" t="s">
        <v>4827</v>
      </c>
      <c r="G2439" t="s">
        <v>4828</v>
      </c>
      <c r="H24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40" spans="1:8" ht="15" customHeight="1" x14ac:dyDescent="0.25">
      <c r="A2440" t="str">
        <f>MID(TB_CECO[[#This Row],[CECO_T]],1,5)</f>
        <v>2L918</v>
      </c>
      <c r="B2440" t="str">
        <f>MID(TB_CECO[[#This Row],[TRABAJO]],1,SEARCH(",",TB_CECO[[#This Row],[TRABAJO]],1)-1)</f>
        <v>Ven 226 NE (Cx 219 SE)</v>
      </c>
      <c r="C24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226 NE (Cx 219 SE),SOSTENIMIENTO</v>
      </c>
      <c r="D24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40" s="47" t="s">
        <v>4829</v>
      </c>
      <c r="G2440" t="s">
        <v>4830</v>
      </c>
      <c r="H24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41" spans="1:8" ht="15" customHeight="1" x14ac:dyDescent="0.25">
      <c r="A2441" t="str">
        <f>MID(TB_CECO[[#This Row],[CECO_T]],1,5)</f>
        <v>2L919</v>
      </c>
      <c r="B2441" t="str">
        <f>MID(TB_CECO[[#This Row],[TRABAJO]],1,SEARCH(",",TB_CECO[[#This Row],[TRABAJO]],1)-1)</f>
        <v>Ven 254 SE (Cx 199 NE)</v>
      </c>
      <c r="C24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254 SE (Cx 199 NE),SUMINISTROS</v>
      </c>
      <c r="D24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41" s="47" t="s">
        <v>4831</v>
      </c>
      <c r="G2441" t="s">
        <v>4832</v>
      </c>
      <c r="H24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42" spans="1:8" ht="15" customHeight="1" x14ac:dyDescent="0.25">
      <c r="A2442" t="str">
        <f>MID(TB_CECO[[#This Row],[CECO_T]],1,5)</f>
        <v>2L919</v>
      </c>
      <c r="B2442" t="str">
        <f>MID(TB_CECO[[#This Row],[TRABAJO]],1,SEARCH(",",TB_CECO[[#This Row],[TRABAJO]],1)-1)</f>
        <v>Ven 254 SE (Cx 199 NE)</v>
      </c>
      <c r="C24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254 SE (Cx 199 NE),SOSTENIMIENTO</v>
      </c>
      <c r="D24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42" s="47" t="s">
        <v>4833</v>
      </c>
      <c r="G2442" t="s">
        <v>4834</v>
      </c>
      <c r="H24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43" spans="1:8" ht="15" customHeight="1" x14ac:dyDescent="0.25">
      <c r="A2443" t="str">
        <f>MID(TB_CECO[[#This Row],[CECO_T]],1,5)</f>
        <v>2L941</v>
      </c>
      <c r="B2443" t="str">
        <f>MID(TB_CECO[[#This Row],[TRABAJO]],1,SEARCH(",",TB_CECO[[#This Row],[TRABAJO]],1)-1)</f>
        <v>Ven 036 NE (Tj 157 SW)</v>
      </c>
      <c r="C24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036 NE (Tj 157 SW),LIMPIEZA</v>
      </c>
      <c r="D24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43" s="47" t="s">
        <v>4835</v>
      </c>
      <c r="G2443" t="s">
        <v>4836</v>
      </c>
      <c r="H24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44" spans="1:8" ht="15" customHeight="1" x14ac:dyDescent="0.25">
      <c r="A2444" t="str">
        <f>MID(TB_CECO[[#This Row],[CECO_T]],1,5)</f>
        <v>2L941</v>
      </c>
      <c r="B2444" t="str">
        <f>MID(TB_CECO[[#This Row],[TRABAJO]],1,SEARCH(",",TB_CECO[[#This Row],[TRABAJO]],1)-1)</f>
        <v>Ven 036 NE (Tj 157 SW)</v>
      </c>
      <c r="C24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036 NE (Tj 157 SW),SERVICIO</v>
      </c>
      <c r="D24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44" s="47" t="s">
        <v>4837</v>
      </c>
      <c r="G2444" t="s">
        <v>4838</v>
      </c>
      <c r="H24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45" spans="1:8" ht="15" customHeight="1" x14ac:dyDescent="0.25">
      <c r="A2445" t="str">
        <f>MID(TB_CECO[[#This Row],[CECO_T]],1,5)</f>
        <v>2L941</v>
      </c>
      <c r="B2445" t="str">
        <f>MID(TB_CECO[[#This Row],[TRABAJO]],1,SEARCH(",",TB_CECO[[#This Row],[TRABAJO]],1)-1)</f>
        <v>Ven 036 NE (Tj 157 SW)</v>
      </c>
      <c r="C24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036 NE (Tj 157 SW),PERFORACION</v>
      </c>
      <c r="D24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45" s="47" t="s">
        <v>4839</v>
      </c>
      <c r="G2445" t="s">
        <v>4840</v>
      </c>
      <c r="H24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46" spans="1:8" ht="15" customHeight="1" x14ac:dyDescent="0.25">
      <c r="A2446" t="str">
        <f>MID(TB_CECO[[#This Row],[CECO_T]],1,5)</f>
        <v>2L941</v>
      </c>
      <c r="B2446" t="str">
        <f>MID(TB_CECO[[#This Row],[TRABAJO]],1,SEARCH(",",TB_CECO[[#This Row],[TRABAJO]],1)-1)</f>
        <v>Ven 036 NE (Tj 157 SW)</v>
      </c>
      <c r="C24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036 NE (Tj 157 SW),SOSTENIMIENTO</v>
      </c>
      <c r="D24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46" s="47" t="s">
        <v>4841</v>
      </c>
      <c r="G2446" t="s">
        <v>4842</v>
      </c>
      <c r="H24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47" spans="1:8" ht="15" customHeight="1" x14ac:dyDescent="0.25">
      <c r="A2447" t="str">
        <f>MID(TB_CECO[[#This Row],[CECO_T]],1,5)</f>
        <v>2L941</v>
      </c>
      <c r="B2447" t="str">
        <f>MID(TB_CECO[[#This Row],[TRABAJO]],1,SEARCH(",",TB_CECO[[#This Row],[TRABAJO]],1)-1)</f>
        <v>Ven 036 NE (Tj 157 SW)</v>
      </c>
      <c r="C24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036 NE (Tj 157 SW),VOLADURA</v>
      </c>
      <c r="D24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4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47" s="47" t="s">
        <v>4843</v>
      </c>
      <c r="G2447" t="s">
        <v>4844</v>
      </c>
      <c r="H24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48" spans="1:8" ht="15" customHeight="1" x14ac:dyDescent="0.25">
      <c r="A2448" t="str">
        <f>MID(TB_CECO[[#This Row],[CECO_T]],1,5)</f>
        <v>2M216</v>
      </c>
      <c r="B2448" t="str">
        <f>MID(TB_CECO[[#This Row],[TRABAJO]],1,SEARCH(",",TB_CECO[[#This Row],[TRABAJO]],1)-1)</f>
        <v>Gal 639 SW (Cx 648 SW)</v>
      </c>
      <c r="C24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639 SW (Cx 648 SW),LIMPIEZA</v>
      </c>
      <c r="D24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48" s="47" t="s">
        <v>4845</v>
      </c>
      <c r="G2448" t="s">
        <v>4846</v>
      </c>
      <c r="H24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49" spans="1:8" ht="15" customHeight="1" x14ac:dyDescent="0.25">
      <c r="A2449" t="str">
        <f>MID(TB_CECO[[#This Row],[CECO_T]],1,5)</f>
        <v>2M216</v>
      </c>
      <c r="B2449" t="str">
        <f>MID(TB_CECO[[#This Row],[TRABAJO]],1,SEARCH(",",TB_CECO[[#This Row],[TRABAJO]],1)-1)</f>
        <v>Gal 639 SW (Cx 648 SW)</v>
      </c>
      <c r="C24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639 SW (Cx 648 SW),SERVICIO</v>
      </c>
      <c r="D24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49" s="47" t="s">
        <v>4847</v>
      </c>
      <c r="G2449" t="s">
        <v>4848</v>
      </c>
      <c r="H24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50" spans="1:8" ht="15" customHeight="1" x14ac:dyDescent="0.25">
      <c r="A2450" t="str">
        <f>MID(TB_CECO[[#This Row],[CECO_T]],1,5)</f>
        <v>2M216</v>
      </c>
      <c r="B2450" t="str">
        <f>MID(TB_CECO[[#This Row],[TRABAJO]],1,SEARCH(",",TB_CECO[[#This Row],[TRABAJO]],1)-1)</f>
        <v>Gal 639 SW (Cx 648 SW)</v>
      </c>
      <c r="C24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639 SW (Cx 648 SW),PERFORACION</v>
      </c>
      <c r="D24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50" s="47" t="s">
        <v>4849</v>
      </c>
      <c r="G2450" t="s">
        <v>4850</v>
      </c>
      <c r="H24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51" spans="1:8" ht="15" customHeight="1" x14ac:dyDescent="0.25">
      <c r="A2451" t="str">
        <f>MID(TB_CECO[[#This Row],[CECO_T]],1,5)</f>
        <v>2M216</v>
      </c>
      <c r="B2451" t="str">
        <f>MID(TB_CECO[[#This Row],[TRABAJO]],1,SEARCH(",",TB_CECO[[#This Row],[TRABAJO]],1)-1)</f>
        <v>Gal 639 SW (Cx 648 SW)</v>
      </c>
      <c r="C24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639 SW (Cx 648 SW),SOSTENIMIENTO</v>
      </c>
      <c r="D24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51" s="47" t="s">
        <v>4851</v>
      </c>
      <c r="G2451" t="s">
        <v>4852</v>
      </c>
      <c r="H24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52" spans="1:8" ht="15" customHeight="1" x14ac:dyDescent="0.25">
      <c r="A2452" t="str">
        <f>MID(TB_CECO[[#This Row],[CECO_T]],1,5)</f>
        <v>2M216</v>
      </c>
      <c r="B2452" t="str">
        <f>MID(TB_CECO[[#This Row],[TRABAJO]],1,SEARCH(",",TB_CECO[[#This Row],[TRABAJO]],1)-1)</f>
        <v>Gal 639 SW (Cx 648 SW)</v>
      </c>
      <c r="C24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639 SW (Cx 648 SW),VOLADURA</v>
      </c>
      <c r="D24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52" s="47" t="s">
        <v>4853</v>
      </c>
      <c r="G2452" t="s">
        <v>4854</v>
      </c>
      <c r="H24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53" spans="1:8" ht="15" customHeight="1" x14ac:dyDescent="0.25">
      <c r="A2453" t="str">
        <f>MID(TB_CECO[[#This Row],[CECO_T]],1,5)</f>
        <v>2M217</v>
      </c>
      <c r="B2453" t="str">
        <f>MID(TB_CECO[[#This Row],[TRABAJO]],1,SEARCH(",",TB_CECO[[#This Row],[TRABAJO]],1)-1)</f>
        <v>Gal 639 NE (Cx 648 SW)</v>
      </c>
      <c r="C24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639 NE (Cx 648 SW),LIMPIEZA</v>
      </c>
      <c r="D24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53" s="47" t="s">
        <v>4855</v>
      </c>
      <c r="G2453" t="s">
        <v>4856</v>
      </c>
      <c r="H24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54" spans="1:8" ht="15" customHeight="1" x14ac:dyDescent="0.25">
      <c r="A2454" t="str">
        <f>MID(TB_CECO[[#This Row],[CECO_T]],1,5)</f>
        <v>2M217</v>
      </c>
      <c r="B2454" t="str">
        <f>MID(TB_CECO[[#This Row],[TRABAJO]],1,SEARCH(",",TB_CECO[[#This Row],[TRABAJO]],1)-1)</f>
        <v>Gal 639 NE (Cx 648 SW)</v>
      </c>
      <c r="C24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639 NE (Cx 648 SW),SERVICIO</v>
      </c>
      <c r="D24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54" s="47" t="s">
        <v>4857</v>
      </c>
      <c r="G2454" t="s">
        <v>4858</v>
      </c>
      <c r="H24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55" spans="1:8" ht="15" customHeight="1" x14ac:dyDescent="0.25">
      <c r="A2455" t="str">
        <f>MID(TB_CECO[[#This Row],[CECO_T]],1,5)</f>
        <v>2M217</v>
      </c>
      <c r="B2455" t="str">
        <f>MID(TB_CECO[[#This Row],[TRABAJO]],1,SEARCH(",",TB_CECO[[#This Row],[TRABAJO]],1)-1)</f>
        <v>Gal 639 NE (Cx 648 SW)</v>
      </c>
      <c r="C24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639 NE (Cx 648 SW),PERFORACION</v>
      </c>
      <c r="D24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55" s="47" t="s">
        <v>4859</v>
      </c>
      <c r="G2455" t="s">
        <v>4860</v>
      </c>
      <c r="H24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56" spans="1:8" ht="15" customHeight="1" x14ac:dyDescent="0.25">
      <c r="A2456" t="str">
        <f>MID(TB_CECO[[#This Row],[CECO_T]],1,5)</f>
        <v>2M217</v>
      </c>
      <c r="B2456" t="str">
        <f>MID(TB_CECO[[#This Row],[TRABAJO]],1,SEARCH(",",TB_CECO[[#This Row],[TRABAJO]],1)-1)</f>
        <v>Gal 639 NE (Cx 648 SW)</v>
      </c>
      <c r="C24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639 NE (Cx 648 SW),SOSTENIMIENTO</v>
      </c>
      <c r="D24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56" s="47" t="s">
        <v>4861</v>
      </c>
      <c r="G2456" t="s">
        <v>4862</v>
      </c>
      <c r="H24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57" spans="1:8" ht="15" customHeight="1" x14ac:dyDescent="0.25">
      <c r="A2457" t="str">
        <f>MID(TB_CECO[[#This Row],[CECO_T]],1,5)</f>
        <v>2M217</v>
      </c>
      <c r="B2457" t="str">
        <f>MID(TB_CECO[[#This Row],[TRABAJO]],1,SEARCH(",",TB_CECO[[#This Row],[TRABAJO]],1)-1)</f>
        <v>Gal 639 NE (Cx 648 SW)</v>
      </c>
      <c r="C24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639 NE (Cx 648 SW),VOLADURA</v>
      </c>
      <c r="D24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57" s="47" t="s">
        <v>4863</v>
      </c>
      <c r="G2457" t="s">
        <v>4864</v>
      </c>
      <c r="H24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58" spans="1:8" ht="15" customHeight="1" x14ac:dyDescent="0.25">
      <c r="A2458" t="str">
        <f>MID(TB_CECO[[#This Row],[CECO_T]],1,5)</f>
        <v>2M674</v>
      </c>
      <c r="B2458" t="str">
        <f>MID(TB_CECO[[#This Row],[TRABAJO]],1,SEARCH(",",TB_CECO[[#This Row],[TRABAJO]],1)-1)</f>
        <v>Est 640 SE (Inc 642 SW)</v>
      </c>
      <c r="C24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640 SE (Inc 642 SW),LIMPIEZA</v>
      </c>
      <c r="D24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58" s="47" t="s">
        <v>4865</v>
      </c>
      <c r="G2458" t="s">
        <v>4866</v>
      </c>
      <c r="H24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59" spans="1:8" ht="15" customHeight="1" x14ac:dyDescent="0.25">
      <c r="A2459" t="str">
        <f>MID(TB_CECO[[#This Row],[CECO_T]],1,5)</f>
        <v>2M674</v>
      </c>
      <c r="B2459" t="str">
        <f>MID(TB_CECO[[#This Row],[TRABAJO]],1,SEARCH(",",TB_CECO[[#This Row],[TRABAJO]],1)-1)</f>
        <v>Est 640 SE (Inc 642 SW)</v>
      </c>
      <c r="C24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640 SE (Inc 642 SW),SERVICIO</v>
      </c>
      <c r="D24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59" s="47" t="s">
        <v>4867</v>
      </c>
      <c r="G2459" t="s">
        <v>4868</v>
      </c>
      <c r="H24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60" spans="1:8" ht="15" customHeight="1" x14ac:dyDescent="0.25">
      <c r="A2460" t="str">
        <f>MID(TB_CECO[[#This Row],[CECO_T]],1,5)</f>
        <v>2M674</v>
      </c>
      <c r="B2460" t="str">
        <f>MID(TB_CECO[[#This Row],[TRABAJO]],1,SEARCH(",",TB_CECO[[#This Row],[TRABAJO]],1)-1)</f>
        <v>Est 640 SE (Inc 642 SW)</v>
      </c>
      <c r="C24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640 SE (Inc 642 SW),PERFORACION</v>
      </c>
      <c r="D24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60" s="47" t="s">
        <v>4869</v>
      </c>
      <c r="G2460" t="s">
        <v>4870</v>
      </c>
      <c r="H24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61" spans="1:8" ht="15" customHeight="1" x14ac:dyDescent="0.25">
      <c r="A2461" t="str">
        <f>MID(TB_CECO[[#This Row],[CECO_T]],1,5)</f>
        <v>2M674</v>
      </c>
      <c r="B2461" t="str">
        <f>MID(TB_CECO[[#This Row],[TRABAJO]],1,SEARCH(",",TB_CECO[[#This Row],[TRABAJO]],1)-1)</f>
        <v>Est 640 SE (Inc 642 SW)</v>
      </c>
      <c r="C24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640 SE (Inc 642 SW),SOSTENIMIENTO</v>
      </c>
      <c r="D24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61" s="47" t="s">
        <v>4871</v>
      </c>
      <c r="G2461" t="s">
        <v>4872</v>
      </c>
      <c r="H24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62" spans="1:8" ht="15" customHeight="1" x14ac:dyDescent="0.25">
      <c r="A2462" t="str">
        <f>MID(TB_CECO[[#This Row],[CECO_T]],1,5)</f>
        <v>2M674</v>
      </c>
      <c r="B2462" t="str">
        <f>MID(TB_CECO[[#This Row],[TRABAJO]],1,SEARCH(",",TB_CECO[[#This Row],[TRABAJO]],1)-1)</f>
        <v>Est 640 SE (Inc 642 SW)</v>
      </c>
      <c r="C24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640 SE (Inc 642 SW),VOLADURA</v>
      </c>
      <c r="D24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62" s="47" t="s">
        <v>4873</v>
      </c>
      <c r="G2462" t="s">
        <v>4874</v>
      </c>
      <c r="H24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63" spans="1:8" ht="15" customHeight="1" x14ac:dyDescent="0.25">
      <c r="A2463" t="str">
        <f>MID(TB_CECO[[#This Row],[CECO_T]],1,5)</f>
        <v>2MD02</v>
      </c>
      <c r="B2463" t="str">
        <f>MID(TB_CECO[[#This Row],[TRABAJO]],1,SEARCH(",",TB_CECO[[#This Row],[TRABAJO]],1)-1)</f>
        <v>Inc 636 SW (Cx 648 SW)</v>
      </c>
      <c r="C24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636 SW (Cx 648 SW),LIMPIEZA</v>
      </c>
      <c r="D24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63" s="47" t="s">
        <v>4875</v>
      </c>
      <c r="G2463" t="s">
        <v>4876</v>
      </c>
      <c r="H24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64" spans="1:8" ht="15" customHeight="1" x14ac:dyDescent="0.25">
      <c r="A2464" t="str">
        <f>MID(TB_CECO[[#This Row],[CECO_T]],1,5)</f>
        <v>2MD02</v>
      </c>
      <c r="B2464" t="str">
        <f>MID(TB_CECO[[#This Row],[TRABAJO]],1,SEARCH(",",TB_CECO[[#This Row],[TRABAJO]],1)-1)</f>
        <v>Inc 636 SW (Cx 648 SW)</v>
      </c>
      <c r="C24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636 SW (Cx 648 SW),SERVICIO</v>
      </c>
      <c r="D24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64" s="47" t="s">
        <v>4877</v>
      </c>
      <c r="G2464" t="s">
        <v>4878</v>
      </c>
      <c r="H24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65" spans="1:8" ht="15" customHeight="1" x14ac:dyDescent="0.25">
      <c r="A2465" t="str">
        <f>MID(TB_CECO[[#This Row],[CECO_T]],1,5)</f>
        <v>2MD02</v>
      </c>
      <c r="B2465" t="str">
        <f>MID(TB_CECO[[#This Row],[TRABAJO]],1,SEARCH(",",TB_CECO[[#This Row],[TRABAJO]],1)-1)</f>
        <v>Inc 636 SW (Cx 648 SW)</v>
      </c>
      <c r="C24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636 SW (Cx 648 SW),PERFORACION</v>
      </c>
      <c r="D24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65" s="47" t="s">
        <v>4879</v>
      </c>
      <c r="G2465" t="s">
        <v>4880</v>
      </c>
      <c r="H24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66" spans="1:8" ht="15" customHeight="1" x14ac:dyDescent="0.25">
      <c r="A2466" t="str">
        <f>MID(TB_CECO[[#This Row],[CECO_T]],1,5)</f>
        <v>2MD02</v>
      </c>
      <c r="B2466" t="str">
        <f>MID(TB_CECO[[#This Row],[TRABAJO]],1,SEARCH(",",TB_CECO[[#This Row],[TRABAJO]],1)-1)</f>
        <v>Inc 636 SW (Cx 648 SW)</v>
      </c>
      <c r="C24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636 SW (Cx 648 SW),SOSTENIMIENTO</v>
      </c>
      <c r="D24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66" s="47" t="s">
        <v>4881</v>
      </c>
      <c r="G2466" t="s">
        <v>4882</v>
      </c>
      <c r="H24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67" spans="1:8" ht="15" customHeight="1" x14ac:dyDescent="0.25">
      <c r="A2467" t="str">
        <f>MID(TB_CECO[[#This Row],[CECO_T]],1,5)</f>
        <v>2MD02</v>
      </c>
      <c r="B2467" t="str">
        <f>MID(TB_CECO[[#This Row],[TRABAJO]],1,SEARCH(",",TB_CECO[[#This Row],[TRABAJO]],1)-1)</f>
        <v>Inc 636 SW (Cx 648 SW)</v>
      </c>
      <c r="C24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636 SW (Cx 648 SW),VOLADURA</v>
      </c>
      <c r="D24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67" s="47" t="s">
        <v>4883</v>
      </c>
      <c r="G2467" t="s">
        <v>4884</v>
      </c>
      <c r="H24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68" spans="1:8" ht="15" customHeight="1" x14ac:dyDescent="0.25">
      <c r="A2468" t="str">
        <f>MID(TB_CECO[[#This Row],[CECO_T]],1,5)</f>
        <v>2MD03</v>
      </c>
      <c r="B2468" t="str">
        <f>MID(TB_CECO[[#This Row],[TRABAJO]],1,SEARCH(",",TB_CECO[[#This Row],[TRABAJO]],1)-1)</f>
        <v>Inc 642 SW (Cx 648 SW)</v>
      </c>
      <c r="C24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642 SW (Cx 648 SW),LIMPIEZA</v>
      </c>
      <c r="D24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68" s="47" t="s">
        <v>4885</v>
      </c>
      <c r="G2468" t="s">
        <v>4886</v>
      </c>
      <c r="H24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69" spans="1:8" ht="15" customHeight="1" x14ac:dyDescent="0.25">
      <c r="A2469" t="str">
        <f>MID(TB_CECO[[#This Row],[CECO_T]],1,5)</f>
        <v>2MD03</v>
      </c>
      <c r="B2469" t="str">
        <f>MID(TB_CECO[[#This Row],[TRABAJO]],1,SEARCH(",",TB_CECO[[#This Row],[TRABAJO]],1)-1)</f>
        <v>Inc 642 SW (Cx 648 SW)</v>
      </c>
      <c r="C24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642 SW (Cx 648 SW),SERVICIO</v>
      </c>
      <c r="D24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69" s="47" t="s">
        <v>4887</v>
      </c>
      <c r="G2469" t="s">
        <v>4888</v>
      </c>
      <c r="H24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70" spans="1:8" ht="15" customHeight="1" x14ac:dyDescent="0.25">
      <c r="A2470" t="str">
        <f>MID(TB_CECO[[#This Row],[CECO_T]],1,5)</f>
        <v>2MD03</v>
      </c>
      <c r="B2470" t="str">
        <f>MID(TB_CECO[[#This Row],[TRABAJO]],1,SEARCH(",",TB_CECO[[#This Row],[TRABAJO]],1)-1)</f>
        <v>Inc 642 SW (Cx 648 SW)</v>
      </c>
      <c r="C24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642 SW (Cx 648 SW),PERFORACION</v>
      </c>
      <c r="D24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70" s="47" t="s">
        <v>4889</v>
      </c>
      <c r="G2470" t="s">
        <v>4890</v>
      </c>
      <c r="H24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71" spans="1:8" ht="15" customHeight="1" x14ac:dyDescent="0.25">
      <c r="A2471" t="str">
        <f>MID(TB_CECO[[#This Row],[CECO_T]],1,5)</f>
        <v>2MD03</v>
      </c>
      <c r="B2471" t="str">
        <f>MID(TB_CECO[[#This Row],[TRABAJO]],1,SEARCH(",",TB_CECO[[#This Row],[TRABAJO]],1)-1)</f>
        <v>Inc 642 SW (Cx 648 SW)</v>
      </c>
      <c r="C24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642 SW (Cx 648 SW),SOSTENIMIENTO</v>
      </c>
      <c r="D24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71" s="47" t="s">
        <v>4891</v>
      </c>
      <c r="G2471" t="s">
        <v>4892</v>
      </c>
      <c r="H24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72" spans="1:8" ht="15" customHeight="1" x14ac:dyDescent="0.25">
      <c r="A2472" t="str">
        <f>MID(TB_CECO[[#This Row],[CECO_T]],1,5)</f>
        <v>2MD03</v>
      </c>
      <c r="B2472" t="str">
        <f>MID(TB_CECO[[#This Row],[TRABAJO]],1,SEARCH(",",TB_CECO[[#This Row],[TRABAJO]],1)-1)</f>
        <v>Inc 642 SW (Cx 648 SW)</v>
      </c>
      <c r="C24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642 SW (Cx 648 SW),VOLADURA</v>
      </c>
      <c r="D24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24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72" s="47" t="s">
        <v>4893</v>
      </c>
      <c r="G2472" t="s">
        <v>4894</v>
      </c>
      <c r="H24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73" spans="1:8" ht="15" customHeight="1" x14ac:dyDescent="0.25">
      <c r="A2473" t="str">
        <f>MID(TB_CECO[[#This Row],[CECO_T]],1,5)</f>
        <v>31403</v>
      </c>
      <c r="B2473" t="str">
        <f>MID(TB_CECO[[#This Row],[TRABAJO]],1,SEARCH(",",TB_CECO[[#This Row],[TRABAJO]],1)-1)</f>
        <v xml:space="preserve"> SN. 320 NE Est. 845-2 NE </v>
      </c>
      <c r="C24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VOLADU</v>
      </c>
      <c r="D24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2473" s="47" t="s">
        <v>4895</v>
      </c>
      <c r="G2473" t="s">
        <v>4896</v>
      </c>
      <c r="H24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74" spans="1:8" ht="15" customHeight="1" x14ac:dyDescent="0.25">
      <c r="A2474" t="str">
        <f>MID(TB_CECO[[#This Row],[CECO_T]],1,5)</f>
        <v>31403</v>
      </c>
      <c r="B2474" t="str">
        <f>MID(TB_CECO[[#This Row],[TRABAJO]],1,SEARCH(",",TB_CECO[[#This Row],[TRABAJO]],1)-1)</f>
        <v xml:space="preserve"> SN. 320 NE Est. 845-2 NE </v>
      </c>
      <c r="C24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CAMINO</v>
      </c>
      <c r="D24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2474" s="47" t="s">
        <v>4897</v>
      </c>
      <c r="G2474" t="s">
        <v>4898</v>
      </c>
      <c r="H24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75" spans="1:8" ht="15" customHeight="1" x14ac:dyDescent="0.25">
      <c r="A2475" t="str">
        <f>MID(TB_CECO[[#This Row],[CECO_T]],1,5)</f>
        <v>31403</v>
      </c>
      <c r="B2475" t="str">
        <f>MID(TB_CECO[[#This Row],[TRABAJO]],1,SEARCH(",",TB_CECO[[#This Row],[TRABAJO]],1)-1)</f>
        <v xml:space="preserve"> SN. 320 NE Est. 845-2 NE </v>
      </c>
      <c r="C24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INST D</v>
      </c>
      <c r="D24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2475" s="47" t="s">
        <v>4899</v>
      </c>
      <c r="G2475" t="s">
        <v>4900</v>
      </c>
      <c r="H24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76" spans="1:8" ht="15" customHeight="1" x14ac:dyDescent="0.25">
      <c r="A2476" t="str">
        <f>MID(TB_CECO[[#This Row],[CECO_T]],1,5)</f>
        <v>31403</v>
      </c>
      <c r="B2476" t="str">
        <f>MID(TB_CECO[[#This Row],[TRABAJO]],1,SEARCH(",",TB_CECO[[#This Row],[TRABAJO]],1)-1)</f>
        <v>SN.320 NE Est.845-2 NE</v>
      </c>
      <c r="C24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SN.320 NE Est.845-2 NE, REHABILIT </v>
      </c>
      <c r="D24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2476" s="47" t="s">
        <v>4901</v>
      </c>
      <c r="G2476" t="s">
        <v>4902</v>
      </c>
      <c r="H24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77" spans="1:8" ht="15" customHeight="1" x14ac:dyDescent="0.25">
      <c r="A2477" t="str">
        <f>MID(TB_CECO[[#This Row],[CECO_T]],1,5)</f>
        <v>31404</v>
      </c>
      <c r="B2477" t="str">
        <f>MID(TB_CECO[[#This Row],[TRABAJO]],1,SEARCH(",",TB_CECO[[#This Row],[TRABAJO]],1)-1)</f>
        <v xml:space="preserve"> SN. 320 SW Est. 845-2 NE </v>
      </c>
      <c r="C24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VOLADU</v>
      </c>
      <c r="D24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2477" s="47" t="s">
        <v>4903</v>
      </c>
      <c r="G2477" t="s">
        <v>4904</v>
      </c>
      <c r="H24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78" spans="1:8" ht="15" customHeight="1" x14ac:dyDescent="0.25">
      <c r="A2478" t="str">
        <f>MID(TB_CECO[[#This Row],[CECO_T]],1,5)</f>
        <v>31404</v>
      </c>
      <c r="B2478" t="str">
        <f>MID(TB_CECO[[#This Row],[TRABAJO]],1,SEARCH(",",TB_CECO[[#This Row],[TRABAJO]],1)-1)</f>
        <v xml:space="preserve"> SN. 320 SW Est. 845-2 NE </v>
      </c>
      <c r="C24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CAMINO</v>
      </c>
      <c r="D24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2478" s="47" t="s">
        <v>4905</v>
      </c>
      <c r="G2478" t="s">
        <v>4906</v>
      </c>
      <c r="H24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79" spans="1:8" ht="15" customHeight="1" x14ac:dyDescent="0.25">
      <c r="A2479" t="str">
        <f>MID(TB_CECO[[#This Row],[CECO_T]],1,5)</f>
        <v>31404</v>
      </c>
      <c r="B2479" t="str">
        <f>MID(TB_CECO[[#This Row],[TRABAJO]],1,SEARCH(",",TB_CECO[[#This Row],[TRABAJO]],1)-1)</f>
        <v xml:space="preserve"> SN. 320 SW Est. 845-2 NE </v>
      </c>
      <c r="C24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INST D</v>
      </c>
      <c r="D24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2479" s="47" t="s">
        <v>4907</v>
      </c>
      <c r="G2479" t="s">
        <v>4908</v>
      </c>
      <c r="H24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80" spans="1:8" ht="15" customHeight="1" x14ac:dyDescent="0.25">
      <c r="A2480" t="str">
        <f>MID(TB_CECO[[#This Row],[CECO_T]],1,5)</f>
        <v>31404</v>
      </c>
      <c r="B2480" t="str">
        <f>MID(TB_CECO[[#This Row],[TRABAJO]],1,SEARCH(",",TB_CECO[[#This Row],[TRABAJO]],1)-1)</f>
        <v xml:space="preserve">SN.320 SW Est.845-2 NE </v>
      </c>
      <c r="C24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SN.320 SW Est.845-2 NE , REHABILIT </v>
      </c>
      <c r="D24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2480" s="47" t="s">
        <v>4909</v>
      </c>
      <c r="G2480" t="s">
        <v>4910</v>
      </c>
      <c r="H24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81" spans="1:8" ht="15" customHeight="1" x14ac:dyDescent="0.25">
      <c r="A2481" t="str">
        <f>MID(TB_CECO[[#This Row],[CECO_T]],1,5)</f>
        <v>33206</v>
      </c>
      <c r="B2481" t="str">
        <f>MID(TB_CECO[[#This Row],[TRABAJO]],1,SEARCH(",",TB_CECO[[#This Row],[TRABAJO]],1)-1)</f>
        <v xml:space="preserve"> CH. 862-1  SNv. 320 NE </v>
      </c>
      <c r="C24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VOLADURA</v>
      </c>
      <c r="D24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81" s="47" t="s">
        <v>4911</v>
      </c>
      <c r="G2481" t="s">
        <v>4912</v>
      </c>
      <c r="H24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82" spans="1:8" ht="15" customHeight="1" x14ac:dyDescent="0.25">
      <c r="A2482" t="str">
        <f>MID(TB_CECO[[#This Row],[CECO_T]],1,5)</f>
        <v>33206</v>
      </c>
      <c r="B2482" t="str">
        <f>MID(TB_CECO[[#This Row],[TRABAJO]],1,SEARCH(",",TB_CECO[[#This Row],[TRABAJO]],1)-1)</f>
        <v xml:space="preserve"> CH. 862-1  SNv. 320 NE </v>
      </c>
      <c r="C24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CAMINOS </v>
      </c>
      <c r="D24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82" s="47" t="s">
        <v>4913</v>
      </c>
      <c r="G2482" t="s">
        <v>4914</v>
      </c>
      <c r="H24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83" spans="1:8" ht="15" customHeight="1" x14ac:dyDescent="0.25">
      <c r="A2483" t="str">
        <f>MID(TB_CECO[[#This Row],[CECO_T]],1,5)</f>
        <v>33206</v>
      </c>
      <c r="B2483" t="str">
        <f>MID(TB_CECO[[#This Row],[TRABAJO]],1,SEARCH(",",TB_CECO[[#This Row],[TRABAJO]],1)-1)</f>
        <v xml:space="preserve"> CH. 862-1  SNv. 320 NE </v>
      </c>
      <c r="C24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CH. 862-1  SNv. 320 NE , INST DE </v>
      </c>
      <c r="D24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83" s="47" t="s">
        <v>4915</v>
      </c>
      <c r="G2483" t="s">
        <v>4916</v>
      </c>
      <c r="H24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84" spans="1:8" ht="15" customHeight="1" x14ac:dyDescent="0.25">
      <c r="A2484" t="str">
        <f>MID(TB_CECO[[#This Row],[CECO_T]],1,5)</f>
        <v>33206</v>
      </c>
      <c r="B2484" t="str">
        <f>MID(TB_CECO[[#This Row],[TRABAJO]],1,SEARCH(",",TB_CECO[[#This Row],[TRABAJO]],1)-1)</f>
        <v>CH.862-1  SNv.320 NE</v>
      </c>
      <c r="C24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CH.862-1  SNv.320 NE,REHABILIT DE </v>
      </c>
      <c r="D24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84" s="47" t="s">
        <v>4917</v>
      </c>
      <c r="G2484" t="s">
        <v>4918</v>
      </c>
      <c r="H24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85" spans="1:8" ht="15" customHeight="1" x14ac:dyDescent="0.25">
      <c r="A2485" t="str">
        <f>MID(TB_CECO[[#This Row],[CECO_T]],1,5)</f>
        <v>33207</v>
      </c>
      <c r="B2485" t="str">
        <f>MID(TB_CECO[[#This Row],[TRABAJO]],1,SEARCH(",",TB_CECO[[#This Row],[TRABAJO]],1)-1)</f>
        <v>CH 886-1 SNV 320 NE</v>
      </c>
      <c r="C24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NE,VOLADURA         </v>
      </c>
      <c r="D24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4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85" s="47" t="s">
        <v>4919</v>
      </c>
      <c r="G2485" t="s">
        <v>4920</v>
      </c>
      <c r="H24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86" spans="1:8" ht="15" customHeight="1" x14ac:dyDescent="0.25">
      <c r="A2486" t="str">
        <f>MID(TB_CECO[[#This Row],[CECO_T]],1,5)</f>
        <v>33207</v>
      </c>
      <c r="B2486" t="str">
        <f>MID(TB_CECO[[#This Row],[TRABAJO]],1,SEARCH(",",TB_CECO[[#This Row],[TRABAJO]],1)-1)</f>
        <v>CH 886-1 SNV 320 NE</v>
      </c>
      <c r="C24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NE,CAMINOS          </v>
      </c>
      <c r="D24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4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86" s="47" t="s">
        <v>4921</v>
      </c>
      <c r="G2486" t="s">
        <v>4922</v>
      </c>
      <c r="H24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87" spans="1:8" ht="15" customHeight="1" x14ac:dyDescent="0.25">
      <c r="A2487" t="str">
        <f>MID(TB_CECO[[#This Row],[CECO_T]],1,5)</f>
        <v>33207</v>
      </c>
      <c r="B2487" t="str">
        <f>MID(TB_CECO[[#This Row],[TRABAJO]],1,SEARCH(",",TB_CECO[[#This Row],[TRABAJO]],1)-1)</f>
        <v>CH 886-1 SNV 320 NE</v>
      </c>
      <c r="C24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NE,INST DE RIELES   </v>
      </c>
      <c r="D24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4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87" s="47" t="s">
        <v>4923</v>
      </c>
      <c r="G2487" t="s">
        <v>4924</v>
      </c>
      <c r="H24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88" spans="1:8" ht="15" customHeight="1" x14ac:dyDescent="0.25">
      <c r="A2488" t="str">
        <f>MID(TB_CECO[[#This Row],[CECO_T]],1,5)</f>
        <v>33207</v>
      </c>
      <c r="B2488" t="str">
        <f>MID(TB_CECO[[#This Row],[TRABAJO]],1,SEARCH(",",TB_CECO[[#This Row],[TRABAJO]],1)-1)</f>
        <v>CH 886-1 SNV 320 NE</v>
      </c>
      <c r="C24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886-1 SNV 320 NE,REHAB DE LABORES </v>
      </c>
      <c r="D24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4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88" s="47" t="s">
        <v>4925</v>
      </c>
      <c r="G2488" t="s">
        <v>4926</v>
      </c>
      <c r="H24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89" spans="1:8" ht="15" customHeight="1" x14ac:dyDescent="0.25">
      <c r="A2489" t="str">
        <f>MID(TB_CECO[[#This Row],[CECO_T]],1,5)</f>
        <v>33403</v>
      </c>
      <c r="B2489" t="str">
        <f>MID(TB_CECO[[#This Row],[TRABAJO]],1,SEARCH(",",TB_CECO[[#This Row],[TRABAJO]],1)-1)</f>
        <v xml:space="preserve"> SN. 320 NE Est. 845-2 NE </v>
      </c>
      <c r="C24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VOLADU</v>
      </c>
      <c r="D24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89" s="47" t="s">
        <v>4927</v>
      </c>
      <c r="G2489" t="s">
        <v>4928</v>
      </c>
      <c r="H24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90" spans="1:8" ht="15" customHeight="1" x14ac:dyDescent="0.25">
      <c r="A2490" t="str">
        <f>MID(TB_CECO[[#This Row],[CECO_T]],1,5)</f>
        <v>33403</v>
      </c>
      <c r="B2490" t="str">
        <f>MID(TB_CECO[[#This Row],[TRABAJO]],1,SEARCH(",",TB_CECO[[#This Row],[TRABAJO]],1)-1)</f>
        <v xml:space="preserve"> SN. 320 NE Est. 845-2 NE </v>
      </c>
      <c r="C24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CAMINO</v>
      </c>
      <c r="D24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90" s="47" t="s">
        <v>4929</v>
      </c>
      <c r="G2490" t="s">
        <v>4930</v>
      </c>
      <c r="H24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91" spans="1:8" ht="15" customHeight="1" x14ac:dyDescent="0.25">
      <c r="A2491" t="str">
        <f>MID(TB_CECO[[#This Row],[CECO_T]],1,5)</f>
        <v>33403</v>
      </c>
      <c r="B2491" t="str">
        <f>MID(TB_CECO[[#This Row],[TRABAJO]],1,SEARCH(",",TB_CECO[[#This Row],[TRABAJO]],1)-1)</f>
        <v xml:space="preserve"> SN. 320 NE Est. 845-2 NE </v>
      </c>
      <c r="C24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NE Est. 845-2 NE , INST D</v>
      </c>
      <c r="D24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91" s="47" t="s">
        <v>4931</v>
      </c>
      <c r="G2491" t="s">
        <v>4932</v>
      </c>
      <c r="H24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92" spans="1:8" ht="15" customHeight="1" x14ac:dyDescent="0.25">
      <c r="A2492" t="str">
        <f>MID(TB_CECO[[#This Row],[CECO_T]],1,5)</f>
        <v>33403</v>
      </c>
      <c r="B2492" t="str">
        <f>MID(TB_CECO[[#This Row],[TRABAJO]],1,SEARCH(",",TB_CECO[[#This Row],[TRABAJO]],1)-1)</f>
        <v>SN.320 NE Est.845-2 NE</v>
      </c>
      <c r="C24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SN.320 NE Est.845-2 NE, REHABILIT D</v>
      </c>
      <c r="D24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92" s="47" t="s">
        <v>4933</v>
      </c>
      <c r="G2492" t="s">
        <v>4934</v>
      </c>
      <c r="H24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93" spans="1:8" ht="15" customHeight="1" x14ac:dyDescent="0.25">
      <c r="A2493" t="str">
        <f>MID(TB_CECO[[#This Row],[CECO_T]],1,5)</f>
        <v>33404</v>
      </c>
      <c r="B2493" t="str">
        <f>MID(TB_CECO[[#This Row],[TRABAJO]],1,SEARCH(",",TB_CECO[[#This Row],[TRABAJO]],1)-1)</f>
        <v xml:space="preserve"> SN. 320 SW Est. 845-2 NE </v>
      </c>
      <c r="C24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VOLADU</v>
      </c>
      <c r="D24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93" s="47" t="s">
        <v>4935</v>
      </c>
      <c r="G2493" t="s">
        <v>4936</v>
      </c>
      <c r="H24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94" spans="1:8" ht="15" customHeight="1" x14ac:dyDescent="0.25">
      <c r="A2494" t="str">
        <f>MID(TB_CECO[[#This Row],[CECO_T]],1,5)</f>
        <v>33404</v>
      </c>
      <c r="B2494" t="str">
        <f>MID(TB_CECO[[#This Row],[TRABAJO]],1,SEARCH(",",TB_CECO[[#This Row],[TRABAJO]],1)-1)</f>
        <v xml:space="preserve"> SN. 320 SW Est. 845-2 NE </v>
      </c>
      <c r="C24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CAMINO</v>
      </c>
      <c r="D24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94" s="47" t="s">
        <v>4937</v>
      </c>
      <c r="G2494" t="s">
        <v>4938</v>
      </c>
      <c r="H24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95" spans="1:8" ht="15" customHeight="1" x14ac:dyDescent="0.25">
      <c r="A2495" t="str">
        <f>MID(TB_CECO[[#This Row],[CECO_T]],1,5)</f>
        <v>33404</v>
      </c>
      <c r="B2495" t="str">
        <f>MID(TB_CECO[[#This Row],[TRABAJO]],1,SEARCH(",",TB_CECO[[#This Row],[TRABAJO]],1)-1)</f>
        <v xml:space="preserve"> SN. 320 SW Est. 845-2 NE </v>
      </c>
      <c r="C24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SN. 320 SW Est. 845-2 NE , INST D</v>
      </c>
      <c r="D24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95" s="47" t="s">
        <v>4939</v>
      </c>
      <c r="G2495" t="s">
        <v>4940</v>
      </c>
      <c r="H24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96" spans="1:8" ht="15" customHeight="1" x14ac:dyDescent="0.25">
      <c r="A2496" t="str">
        <f>MID(TB_CECO[[#This Row],[CECO_T]],1,5)</f>
        <v>33404</v>
      </c>
      <c r="B2496" t="str">
        <f>MID(TB_CECO[[#This Row],[TRABAJO]],1,SEARCH(",",TB_CECO[[#This Row],[TRABAJO]],1)-1)</f>
        <v>SN.320 SW Est.845-2 NE</v>
      </c>
      <c r="C24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SN.320 SW Est.845-2 NE, REHABILIT </v>
      </c>
      <c r="D24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4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2496" s="47" t="s">
        <v>4941</v>
      </c>
      <c r="G2496" t="s">
        <v>4942</v>
      </c>
      <c r="H24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97" spans="1:8" ht="15" customHeight="1" x14ac:dyDescent="0.25">
      <c r="A2497" t="str">
        <f>MID(TB_CECO[[#This Row],[CECO_T]],1,5)</f>
        <v>34504</v>
      </c>
      <c r="B2497" t="str">
        <f>MID(TB_CECO[[#This Row],[TRABAJO]],1,SEARCH(",",TB_CECO[[#This Row],[TRABAJO]],1)-1)</f>
        <v xml:space="preserve"> EST.845-2 NE PQ. 845 </v>
      </c>
      <c r="C24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VOLADURA    </v>
      </c>
      <c r="D24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4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97" s="47" t="s">
        <v>4943</v>
      </c>
      <c r="G2497" t="s">
        <v>4944</v>
      </c>
      <c r="H24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98" spans="1:8" ht="15" customHeight="1" x14ac:dyDescent="0.25">
      <c r="A2498" t="str">
        <f>MID(TB_CECO[[#This Row],[CECO_T]],1,5)</f>
        <v>34504</v>
      </c>
      <c r="B2498" t="str">
        <f>MID(TB_CECO[[#This Row],[TRABAJO]],1,SEARCH(",",TB_CECO[[#This Row],[TRABAJO]],1)-1)</f>
        <v xml:space="preserve"> EST.845-2 NE PQ. 845 </v>
      </c>
      <c r="C24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CAMINOS     </v>
      </c>
      <c r="D24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4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98" s="47" t="s">
        <v>4945</v>
      </c>
      <c r="G2498" t="s">
        <v>4946</v>
      </c>
      <c r="H24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499" spans="1:8" ht="15" customHeight="1" x14ac:dyDescent="0.25">
      <c r="A2499" t="str">
        <f>MID(TB_CECO[[#This Row],[CECO_T]],1,5)</f>
        <v>34504</v>
      </c>
      <c r="B2499" t="str">
        <f>MID(TB_CECO[[#This Row],[TRABAJO]],1,SEARCH(",",TB_CECO[[#This Row],[TRABAJO]],1)-1)</f>
        <v xml:space="preserve"> EST.845-2 NE PQ. 845 </v>
      </c>
      <c r="C24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INSTAL.RIELE</v>
      </c>
      <c r="D24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4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499" s="47" t="s">
        <v>4947</v>
      </c>
      <c r="G2499" t="s">
        <v>4948</v>
      </c>
      <c r="H24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00" spans="1:8" ht="15" customHeight="1" x14ac:dyDescent="0.25">
      <c r="A2500" t="str">
        <f>MID(TB_CECO[[#This Row],[CECO_T]],1,5)</f>
        <v>34504</v>
      </c>
      <c r="B2500" t="str">
        <f>MID(TB_CECO[[#This Row],[TRABAJO]],1,SEARCH(",",TB_CECO[[#This Row],[TRABAJO]],1)-1)</f>
        <v xml:space="preserve"> EST.845-2 NE PQ. 845 </v>
      </c>
      <c r="C25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EST.845-2 NE PQ. 845 , REHABILIT.LA</v>
      </c>
      <c r="D25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00" s="47" t="s">
        <v>4949</v>
      </c>
      <c r="G2500" t="s">
        <v>4950</v>
      </c>
      <c r="H25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01" spans="1:8" ht="15" customHeight="1" x14ac:dyDescent="0.25">
      <c r="A2501" t="str">
        <f>MID(TB_CECO[[#This Row],[CECO_T]],1,5)</f>
        <v>34602</v>
      </c>
      <c r="B2501" t="str">
        <f>MID(TB_CECO[[#This Row],[TRABAJO]],1,SEARCH(",",TB_CECO[[#This Row],[TRABAJO]],1)-1)</f>
        <v xml:space="preserve"> PQ. 845_SN. 318 NE </v>
      </c>
      <c r="C25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VOLADURA      </v>
      </c>
      <c r="D25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01" s="47" t="s">
        <v>4951</v>
      </c>
      <c r="G2501" t="s">
        <v>4952</v>
      </c>
      <c r="H25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02" spans="1:8" ht="15" customHeight="1" x14ac:dyDescent="0.25">
      <c r="A2502" t="str">
        <f>MID(TB_CECO[[#This Row],[CECO_T]],1,5)</f>
        <v>34602</v>
      </c>
      <c r="B2502" t="str">
        <f>MID(TB_CECO[[#This Row],[TRABAJO]],1,SEARCH(",",TB_CECO[[#This Row],[TRABAJO]],1)-1)</f>
        <v xml:space="preserve"> PQ. 845_SN. 318 NE </v>
      </c>
      <c r="C25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CAMINOS       </v>
      </c>
      <c r="D25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02" s="47" t="s">
        <v>4953</v>
      </c>
      <c r="G2502" t="s">
        <v>4954</v>
      </c>
      <c r="H25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03" spans="1:8" ht="15" customHeight="1" x14ac:dyDescent="0.25">
      <c r="A2503" t="str">
        <f>MID(TB_CECO[[#This Row],[CECO_T]],1,5)</f>
        <v>34602</v>
      </c>
      <c r="B2503" t="str">
        <f>MID(TB_CECO[[#This Row],[TRABAJO]],1,SEARCH(",",TB_CECO[[#This Row],[TRABAJO]],1)-1)</f>
        <v xml:space="preserve"> PQ. 845_SN. 318 NE </v>
      </c>
      <c r="C25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INSTAL.RIELES </v>
      </c>
      <c r="D25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03" s="47" t="s">
        <v>4955</v>
      </c>
      <c r="G2503" t="s">
        <v>4956</v>
      </c>
      <c r="H25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04" spans="1:8" ht="15" customHeight="1" x14ac:dyDescent="0.25">
      <c r="A2504" t="str">
        <f>MID(TB_CECO[[#This Row],[CECO_T]],1,5)</f>
        <v>34602</v>
      </c>
      <c r="B2504" t="str">
        <f>MID(TB_CECO[[#This Row],[TRABAJO]],1,SEARCH(",",TB_CECO[[#This Row],[TRABAJO]],1)-1)</f>
        <v xml:space="preserve"> PQ. 845_SN. 318 NE </v>
      </c>
      <c r="C25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PQ. 845_SN. 318 NE , REHABILIT.LABO</v>
      </c>
      <c r="D25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04" s="47" t="s">
        <v>4957</v>
      </c>
      <c r="G2504" t="s">
        <v>4958</v>
      </c>
      <c r="H25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05" spans="1:8" ht="15" customHeight="1" x14ac:dyDescent="0.25">
      <c r="A2505" t="str">
        <f>MID(TB_CECO[[#This Row],[CECO_T]],1,5)</f>
        <v>3A501</v>
      </c>
      <c r="B2505" t="str">
        <f>MID(TB_CECO[[#This Row],[TRABAJO]],1,SEARCH(",",TB_CECO[[#This Row],[TRABAJO]],1)-1)</f>
        <v>SNV 590-1 NE (CHA10)</v>
      </c>
      <c r="C25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590-1 NE (CHA10),SUMINISTROS  </v>
      </c>
      <c r="D25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05" s="47" t="s">
        <v>4959</v>
      </c>
      <c r="G2505" t="s">
        <v>4960</v>
      </c>
      <c r="H25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06" spans="1:8" ht="15" customHeight="1" x14ac:dyDescent="0.25">
      <c r="A2506" t="str">
        <f>MID(TB_CECO[[#This Row],[CECO_T]],1,5)</f>
        <v>3A501</v>
      </c>
      <c r="B2506" t="str">
        <f>MID(TB_CECO[[#This Row],[TRABAJO]],1,SEARCH(",",TB_CECO[[#This Row],[TRABAJO]],1)-1)</f>
        <v>SNV 590-1 NE (CHA10)</v>
      </c>
      <c r="C25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590-1 NE (CHA10),SOSTENIMIENTO</v>
      </c>
      <c r="D25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06" s="47" t="s">
        <v>4961</v>
      </c>
      <c r="G2506" t="s">
        <v>4962</v>
      </c>
      <c r="H25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07" spans="1:8" ht="15" customHeight="1" x14ac:dyDescent="0.25">
      <c r="A2507" t="str">
        <f>MID(TB_CECO[[#This Row],[CECO_T]],1,5)</f>
        <v>3A501</v>
      </c>
      <c r="B2507" t="str">
        <f>MID(TB_CECO[[#This Row],[TRABAJO]],1,SEARCH(",",TB_CECO[[#This Row],[TRABAJO]],1)-1)</f>
        <v>SNV 590-1 NE (CHA10)</v>
      </c>
      <c r="C25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590-1 NE (CHA10),SERVICIO     </v>
      </c>
      <c r="D25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07" s="47" t="s">
        <v>4963</v>
      </c>
      <c r="G2507" t="s">
        <v>4964</v>
      </c>
      <c r="H25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08" spans="1:8" ht="15" customHeight="1" x14ac:dyDescent="0.25">
      <c r="A2508" t="str">
        <f>MID(TB_CECO[[#This Row],[CECO_T]],1,5)</f>
        <v>3A501</v>
      </c>
      <c r="B2508" t="str">
        <f>MID(TB_CECO[[#This Row],[TRABAJO]],1,SEARCH(",",TB_CECO[[#This Row],[TRABAJO]],1)-1)</f>
        <v>SNV 590-1 NE (CHA10)</v>
      </c>
      <c r="C25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590-1 NE (CHA10),REHABILITACIO</v>
      </c>
      <c r="D25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08" s="47" t="s">
        <v>4965</v>
      </c>
      <c r="G2508" t="s">
        <v>4966</v>
      </c>
      <c r="H25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09" spans="1:8" ht="15" customHeight="1" x14ac:dyDescent="0.25">
      <c r="A2509" t="str">
        <f>MID(TB_CECO[[#This Row],[CECO_T]],1,5)</f>
        <v>3A507</v>
      </c>
      <c r="B2509" t="str">
        <f>MID(TB_CECO[[#This Row],[TRABAJO]],1,SEARCH(",",TB_CECO[[#This Row],[TRABAJO]],1)-1)</f>
        <v>SNV 080 SW (CH 078)</v>
      </c>
      <c r="C25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080 SW (CH 078),SUMINISTROS   </v>
      </c>
      <c r="D25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09" s="47" t="s">
        <v>4967</v>
      </c>
      <c r="G2509" t="s">
        <v>4968</v>
      </c>
      <c r="H25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10" spans="1:8" ht="15" customHeight="1" x14ac:dyDescent="0.25">
      <c r="A2510" t="str">
        <f>MID(TB_CECO[[#This Row],[CECO_T]],1,5)</f>
        <v>3A507</v>
      </c>
      <c r="B2510" t="str">
        <f>MID(TB_CECO[[#This Row],[TRABAJO]],1,SEARCH(",",TB_CECO[[#This Row],[TRABAJO]],1)-1)</f>
        <v>SNV 080 SW (CH 078)</v>
      </c>
      <c r="C25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080 SW (CH 078),SOSTENIMIENTO </v>
      </c>
      <c r="D25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10" s="47" t="s">
        <v>4969</v>
      </c>
      <c r="G2510" t="s">
        <v>4970</v>
      </c>
      <c r="H25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11" spans="1:8" ht="15" customHeight="1" x14ac:dyDescent="0.25">
      <c r="A2511" t="str">
        <f>MID(TB_CECO[[#This Row],[CECO_T]],1,5)</f>
        <v>3A507</v>
      </c>
      <c r="B2511" t="str">
        <f>MID(TB_CECO[[#This Row],[TRABAJO]],1,SEARCH(",",TB_CECO[[#This Row],[TRABAJO]],1)-1)</f>
        <v>SNV 080 SW (CH 078)</v>
      </c>
      <c r="C25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080 SW (CH 078),SERVICIO      </v>
      </c>
      <c r="D25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11" s="47" t="s">
        <v>4971</v>
      </c>
      <c r="G2511" t="s">
        <v>4972</v>
      </c>
      <c r="H25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12" spans="1:8" ht="15" customHeight="1" x14ac:dyDescent="0.25">
      <c r="A2512" t="str">
        <f>MID(TB_CECO[[#This Row],[CECO_T]],1,5)</f>
        <v>3A507</v>
      </c>
      <c r="B2512" t="str">
        <f>MID(TB_CECO[[#This Row],[TRABAJO]],1,SEARCH(",",TB_CECO[[#This Row],[TRABAJO]],1)-1)</f>
        <v>SNV 080 SW (CH 078)</v>
      </c>
      <c r="C25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080 SW (CH 078),REHABILITACION</v>
      </c>
      <c r="D25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12" s="47" t="s">
        <v>4973</v>
      </c>
      <c r="G2512" t="s">
        <v>4974</v>
      </c>
      <c r="H25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13" spans="1:8" ht="15" customHeight="1" x14ac:dyDescent="0.25">
      <c r="A2513" t="str">
        <f>MID(TB_CECO[[#This Row],[CECO_T]],1,5)</f>
        <v>3A508</v>
      </c>
      <c r="B2513" t="str">
        <f>MID(TB_CECO[[#This Row],[TRABAJO]],1,SEARCH(",",TB_CECO[[#This Row],[TRABAJO]],1)-1)</f>
        <v>SNV 076-1 SW (CH 078)</v>
      </c>
      <c r="C25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076-1 SW (CH 078),SUMINISTROS</v>
      </c>
      <c r="D25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13" s="47" t="s">
        <v>4975</v>
      </c>
      <c r="G2513" t="s">
        <v>4976</v>
      </c>
      <c r="H25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14" spans="1:8" ht="15" customHeight="1" x14ac:dyDescent="0.25">
      <c r="A2514" t="str">
        <f>MID(TB_CECO[[#This Row],[CECO_T]],1,5)</f>
        <v>3A508</v>
      </c>
      <c r="B2514" t="str">
        <f>MID(TB_CECO[[#This Row],[TRABAJO]],1,SEARCH(",",TB_CECO[[#This Row],[TRABAJO]],1)-1)</f>
        <v>SNV 076-1 SW (CH 078)</v>
      </c>
      <c r="C25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076-1 SW (CH 078),SOSTENIMIENTO</v>
      </c>
      <c r="D25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14" s="47" t="s">
        <v>4977</v>
      </c>
      <c r="G2514" t="s">
        <v>4978</v>
      </c>
      <c r="H25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15" spans="1:8" ht="15" customHeight="1" x14ac:dyDescent="0.25">
      <c r="A2515" t="str">
        <f>MID(TB_CECO[[#This Row],[CECO_T]],1,5)</f>
        <v>3A508</v>
      </c>
      <c r="B2515" t="str">
        <f>MID(TB_CECO[[#This Row],[TRABAJO]],1,SEARCH(",",TB_CECO[[#This Row],[TRABAJO]],1)-1)</f>
        <v>SNV 076-1 SW (CH 078)</v>
      </c>
      <c r="C25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076-1 SW (CH 078),SERVICIO</v>
      </c>
      <c r="D25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15" s="47" t="s">
        <v>4979</v>
      </c>
      <c r="G2515" t="s">
        <v>4980</v>
      </c>
      <c r="H25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16" spans="1:8" ht="15" customHeight="1" x14ac:dyDescent="0.25">
      <c r="A2516" t="str">
        <f>MID(TB_CECO[[#This Row],[CECO_T]],1,5)</f>
        <v>3A508</v>
      </c>
      <c r="B2516" t="str">
        <f>MID(TB_CECO[[#This Row],[TRABAJO]],1,SEARCH(",",TB_CECO[[#This Row],[TRABAJO]],1)-1)</f>
        <v>SNV 076-1 SW (CH 078)</v>
      </c>
      <c r="C25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076-1 SW (CH 078),REHABILITACION</v>
      </c>
      <c r="D25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16" s="47" t="s">
        <v>4981</v>
      </c>
      <c r="G2516" t="s">
        <v>4982</v>
      </c>
      <c r="H25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17" spans="1:8" ht="15" customHeight="1" x14ac:dyDescent="0.25">
      <c r="A2517" t="str">
        <f>MID(TB_CECO[[#This Row],[CECO_T]],1,5)</f>
        <v>3A509</v>
      </c>
      <c r="B2517" t="str">
        <f>MID(TB_CECO[[#This Row],[TRABAJO]],1,SEARCH(",",TB_CECO[[#This Row],[TRABAJO]],1)-1)</f>
        <v>SNV 616-4 SW (CH 610)</v>
      </c>
      <c r="C25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616-4 SW (CH 610),SUMINISTROS</v>
      </c>
      <c r="D25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17" s="47" t="s">
        <v>4983</v>
      </c>
      <c r="G2517" t="s">
        <v>4984</v>
      </c>
      <c r="H25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18" spans="1:8" ht="15" customHeight="1" x14ac:dyDescent="0.25">
      <c r="A2518" t="str">
        <f>MID(TB_CECO[[#This Row],[CECO_T]],1,5)</f>
        <v>3A509</v>
      </c>
      <c r="B2518" t="str">
        <f>MID(TB_CECO[[#This Row],[TRABAJO]],1,SEARCH(",",TB_CECO[[#This Row],[TRABAJO]],1)-1)</f>
        <v>SNV 616-4 SW (CH 610)</v>
      </c>
      <c r="C25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616-4 SW (CH 610),SOSTENIMIENTO</v>
      </c>
      <c r="D25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18" s="47" t="s">
        <v>4985</v>
      </c>
      <c r="G2518" t="s">
        <v>4986</v>
      </c>
      <c r="H25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19" spans="1:8" ht="15" customHeight="1" x14ac:dyDescent="0.25">
      <c r="A2519" t="str">
        <f>MID(TB_CECO[[#This Row],[CECO_T]],1,5)</f>
        <v>3A509</v>
      </c>
      <c r="B2519" t="str">
        <f>MID(TB_CECO[[#This Row],[TRABAJO]],1,SEARCH(",",TB_CECO[[#This Row],[TRABAJO]],1)-1)</f>
        <v>SNV 616-4 SW (CH 610)</v>
      </c>
      <c r="C25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616-4 SW (CH 610),SERVICIO</v>
      </c>
      <c r="D25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19" s="47" t="s">
        <v>4987</v>
      </c>
      <c r="G2519" t="s">
        <v>4988</v>
      </c>
      <c r="H25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20" spans="1:8" ht="15" customHeight="1" x14ac:dyDescent="0.25">
      <c r="A2520" t="str">
        <f>MID(TB_CECO[[#This Row],[CECO_T]],1,5)</f>
        <v>3A509</v>
      </c>
      <c r="B2520" t="str">
        <f>MID(TB_CECO[[#This Row],[TRABAJO]],1,SEARCH(",",TB_CECO[[#This Row],[TRABAJO]],1)-1)</f>
        <v>SNV 616-4 SW (CH 610)</v>
      </c>
      <c r="C25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616-4 SW (CH 610),REHABILITACION</v>
      </c>
      <c r="D25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20" s="47" t="s">
        <v>4989</v>
      </c>
      <c r="G2520" t="s">
        <v>4990</v>
      </c>
      <c r="H25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21" spans="1:8" ht="15" customHeight="1" x14ac:dyDescent="0.25">
      <c r="A2521" t="str">
        <f>MID(TB_CECO[[#This Row],[CECO_T]],1,5)</f>
        <v>3A514</v>
      </c>
      <c r="B2521" t="str">
        <f>MID(TB_CECO[[#This Row],[TRABAJO]],1,SEARCH(",",TB_CECO[[#This Row],[TRABAJO]],1)-1)</f>
        <v>SNV 039 (CH 025)</v>
      </c>
      <c r="C25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039 (CH 025),SUMINISTROS</v>
      </c>
      <c r="D25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21" s="47" t="s">
        <v>4991</v>
      </c>
      <c r="G2521" t="s">
        <v>4992</v>
      </c>
      <c r="H25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22" spans="1:8" ht="15" customHeight="1" x14ac:dyDescent="0.25">
      <c r="A2522" t="str">
        <f>MID(TB_CECO[[#This Row],[CECO_T]],1,5)</f>
        <v>3A514</v>
      </c>
      <c r="B2522" t="str">
        <f>MID(TB_CECO[[#This Row],[TRABAJO]],1,SEARCH(",",TB_CECO[[#This Row],[TRABAJO]],1)-1)</f>
        <v>SNV 039 (CH 025)</v>
      </c>
      <c r="C25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039 (CH 025),SOSTENIMIENTO</v>
      </c>
      <c r="D25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22" s="47" t="s">
        <v>4993</v>
      </c>
      <c r="G2522" t="s">
        <v>4994</v>
      </c>
      <c r="H25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23" spans="1:8" ht="15" customHeight="1" x14ac:dyDescent="0.25">
      <c r="A2523" t="str">
        <f>MID(TB_CECO[[#This Row],[CECO_T]],1,5)</f>
        <v>3A514</v>
      </c>
      <c r="B2523" t="str">
        <f>MID(TB_CECO[[#This Row],[TRABAJO]],1,SEARCH(",",TB_CECO[[#This Row],[TRABAJO]],1)-1)</f>
        <v>SNV 039 (CH 025)</v>
      </c>
      <c r="C25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039 (CH 025),SERVICIO</v>
      </c>
      <c r="D25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23" s="47" t="s">
        <v>4995</v>
      </c>
      <c r="G2523" t="s">
        <v>4996</v>
      </c>
      <c r="H25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24" spans="1:8" ht="15" customHeight="1" x14ac:dyDescent="0.25">
      <c r="A2524" t="str">
        <f>MID(TB_CECO[[#This Row],[CECO_T]],1,5)</f>
        <v>3A514</v>
      </c>
      <c r="B2524" t="str">
        <f>MID(TB_CECO[[#This Row],[TRABAJO]],1,SEARCH(",",TB_CECO[[#This Row],[TRABAJO]],1)-1)</f>
        <v>SNV 039 (CH 025)</v>
      </c>
      <c r="C25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039 (CH 025),REHABILITACION</v>
      </c>
      <c r="D25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24" s="47" t="s">
        <v>4997</v>
      </c>
      <c r="G2524" t="s">
        <v>4998</v>
      </c>
      <c r="H25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25" spans="1:8" ht="15" customHeight="1" x14ac:dyDescent="0.25">
      <c r="A2525" t="str">
        <f>MID(TB_CECO[[#This Row],[CECO_T]],1,5)</f>
        <v>3A529</v>
      </c>
      <c r="B2525" t="str">
        <f>MID(TB_CECO[[#This Row],[TRABAJO]],1,SEARCH(",",TB_CECO[[#This Row],[TRABAJO]],1)-1)</f>
        <v>SNV 595 NE (CH 580-1)</v>
      </c>
      <c r="C25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595 NE (CH 580-1),SUMINISTROS</v>
      </c>
      <c r="D25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25" s="47" t="s">
        <v>4999</v>
      </c>
      <c r="G2525" t="s">
        <v>5000</v>
      </c>
      <c r="H25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26" spans="1:8" ht="15" customHeight="1" x14ac:dyDescent="0.25">
      <c r="A2526" t="str">
        <f>MID(TB_CECO[[#This Row],[CECO_T]],1,5)</f>
        <v>3A529</v>
      </c>
      <c r="B2526" t="str">
        <f>MID(TB_CECO[[#This Row],[TRABAJO]],1,SEARCH(",",TB_CECO[[#This Row],[TRABAJO]],1)-1)</f>
        <v>SNV 595 NE (CH 580-1)</v>
      </c>
      <c r="C25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595 NE (CH 580-1),SOSTENIMIENTO</v>
      </c>
      <c r="D25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26" s="47" t="s">
        <v>5001</v>
      </c>
      <c r="G2526" t="s">
        <v>5002</v>
      </c>
      <c r="H25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27" spans="1:8" ht="15" customHeight="1" x14ac:dyDescent="0.25">
      <c r="A2527" t="str">
        <f>MID(TB_CECO[[#This Row],[CECO_T]],1,5)</f>
        <v>3A529</v>
      </c>
      <c r="B2527" t="str">
        <f>MID(TB_CECO[[#This Row],[TRABAJO]],1,SEARCH(",",TB_CECO[[#This Row],[TRABAJO]],1)-1)</f>
        <v>SNV 595 NE (CH 580-1)</v>
      </c>
      <c r="C25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595 NE (CH 580-1),SERVICIO</v>
      </c>
      <c r="D25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27" s="47" t="s">
        <v>5003</v>
      </c>
      <c r="G2527" t="s">
        <v>5004</v>
      </c>
      <c r="H25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28" spans="1:8" ht="15" customHeight="1" x14ac:dyDescent="0.25">
      <c r="A2528" t="str">
        <f>MID(TB_CECO[[#This Row],[CECO_T]],1,5)</f>
        <v>3A529</v>
      </c>
      <c r="B2528" t="str">
        <f>MID(TB_CECO[[#This Row],[TRABAJO]],1,SEARCH(",",TB_CECO[[#This Row],[TRABAJO]],1)-1)</f>
        <v>SNV 595 NE (CH 580-1)</v>
      </c>
      <c r="C25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595 NE (CH 580-1),REHABILITACION</v>
      </c>
      <c r="D25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28" s="47" t="s">
        <v>5005</v>
      </c>
      <c r="G2528" t="s">
        <v>5006</v>
      </c>
      <c r="H25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29" spans="1:8" ht="15" customHeight="1" x14ac:dyDescent="0.25">
      <c r="A2529" t="str">
        <f>MID(TB_CECO[[#This Row],[CECO_T]],1,5)</f>
        <v>3B220</v>
      </c>
      <c r="B2529" t="str">
        <f>MID(TB_CECO[[#This Row],[TRABAJO]],1,SEARCH(",",TB_CECO[[#This Row],[TRABAJO]],1)-1)</f>
        <v>Gal 515 NW (Cor 990)</v>
      </c>
      <c r="C25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515 NW (Cor 990),LIMPIEZA</v>
      </c>
      <c r="D25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29" s="47" t="s">
        <v>5007</v>
      </c>
      <c r="G2529" t="s">
        <v>5008</v>
      </c>
      <c r="H25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30" spans="1:8" ht="15" customHeight="1" x14ac:dyDescent="0.25">
      <c r="A2530" t="str">
        <f>MID(TB_CECO[[#This Row],[CECO_T]],1,5)</f>
        <v>3B220</v>
      </c>
      <c r="B2530" t="str">
        <f>MID(TB_CECO[[#This Row],[TRABAJO]],1,SEARCH(",",TB_CECO[[#This Row],[TRABAJO]],1)-1)</f>
        <v>Gal 515 NW (Cor 990)</v>
      </c>
      <c r="C25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515 NW (Cor 990),SERVICIO</v>
      </c>
      <c r="D25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30" s="47" t="s">
        <v>5009</v>
      </c>
      <c r="G2530" t="s">
        <v>5010</v>
      </c>
      <c r="H25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31" spans="1:8" ht="15" customHeight="1" x14ac:dyDescent="0.25">
      <c r="A2531" t="str">
        <f>MID(TB_CECO[[#This Row],[CECO_T]],1,5)</f>
        <v>3B220</v>
      </c>
      <c r="B2531" t="str">
        <f>MID(TB_CECO[[#This Row],[TRABAJO]],1,SEARCH(",",TB_CECO[[#This Row],[TRABAJO]],1)-1)</f>
        <v>Gal 515 NW (Cor 990)</v>
      </c>
      <c r="C25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515 NW (Cor 990),PERFORACION</v>
      </c>
      <c r="D25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31" s="47" t="s">
        <v>5011</v>
      </c>
      <c r="G2531" t="s">
        <v>5012</v>
      </c>
      <c r="H25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32" spans="1:8" ht="15" customHeight="1" x14ac:dyDescent="0.25">
      <c r="A2532" t="str">
        <f>MID(TB_CECO[[#This Row],[CECO_T]],1,5)</f>
        <v>3B220</v>
      </c>
      <c r="B2532" t="str">
        <f>MID(TB_CECO[[#This Row],[TRABAJO]],1,SEARCH(",",TB_CECO[[#This Row],[TRABAJO]],1)-1)</f>
        <v>Gal 515 NW (Cor 990)</v>
      </c>
      <c r="C25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515 NW (Cor 990),SOSTENIMIENTO</v>
      </c>
      <c r="D25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32" s="47" t="s">
        <v>5013</v>
      </c>
      <c r="G2532" t="s">
        <v>5014</v>
      </c>
      <c r="H25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33" spans="1:8" ht="15" customHeight="1" x14ac:dyDescent="0.25">
      <c r="A2533" t="str">
        <f>MID(TB_CECO[[#This Row],[CECO_T]],1,5)</f>
        <v>3B220</v>
      </c>
      <c r="B2533" t="str">
        <f>MID(TB_CECO[[#This Row],[TRABAJO]],1,SEARCH(",",TB_CECO[[#This Row],[TRABAJO]],1)-1)</f>
        <v>Gal 515 NW (Cor 990)</v>
      </c>
      <c r="C25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515 NW (Cor 990),VOLADURA</v>
      </c>
      <c r="D25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33" s="47" t="s">
        <v>5015</v>
      </c>
      <c r="G2533" t="s">
        <v>5016</v>
      </c>
      <c r="H25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34" spans="1:8" ht="15" customHeight="1" x14ac:dyDescent="0.25">
      <c r="A2534" t="str">
        <f>MID(TB_CECO[[#This Row],[CECO_T]],1,5)</f>
        <v>3B338</v>
      </c>
      <c r="B2534" t="str">
        <f>MID(TB_CECO[[#This Row],[TRABAJO]],1,SEARCH(",",TB_CECO[[#This Row],[TRABAJO]],1)-1)</f>
        <v>CH 605 (SNV 612-1 NW)</v>
      </c>
      <c r="C25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605 (SNV 612-1 NW),SUMINISTROS</v>
      </c>
      <c r="D25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34" s="47" t="s">
        <v>5017</v>
      </c>
      <c r="G2534" t="s">
        <v>5018</v>
      </c>
      <c r="H25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35" spans="1:8" ht="15" customHeight="1" x14ac:dyDescent="0.25">
      <c r="A2535" t="str">
        <f>MID(TB_CECO[[#This Row],[CECO_T]],1,5)</f>
        <v>3B338</v>
      </c>
      <c r="B2535" t="str">
        <f>MID(TB_CECO[[#This Row],[TRABAJO]],1,SEARCH(",",TB_CECO[[#This Row],[TRABAJO]],1)-1)</f>
        <v>CH 605 (SNV 612-1 NW)</v>
      </c>
      <c r="C25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605 (SNV 612-1 NW),SOSTENIMIENTO</v>
      </c>
      <c r="D25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35" s="47" t="s">
        <v>5019</v>
      </c>
      <c r="G2535" t="s">
        <v>5020</v>
      </c>
      <c r="H25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36" spans="1:8" ht="15" customHeight="1" x14ac:dyDescent="0.25">
      <c r="A2536" t="str">
        <f>MID(TB_CECO[[#This Row],[CECO_T]],1,5)</f>
        <v>3B338</v>
      </c>
      <c r="B2536" t="str">
        <f>MID(TB_CECO[[#This Row],[TRABAJO]],1,SEARCH(",",TB_CECO[[#This Row],[TRABAJO]],1)-1)</f>
        <v>CH 605 (SNV 612-1 NW)</v>
      </c>
      <c r="C25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605 (SNV 612-1 NW),SERVICIO</v>
      </c>
      <c r="D25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36" s="47" t="s">
        <v>5021</v>
      </c>
      <c r="G2536" t="s">
        <v>5022</v>
      </c>
      <c r="H25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37" spans="1:8" ht="15" customHeight="1" x14ac:dyDescent="0.25">
      <c r="A2537" t="str">
        <f>MID(TB_CECO[[#This Row],[CECO_T]],1,5)</f>
        <v>3B338</v>
      </c>
      <c r="B2537" t="str">
        <f>MID(TB_CECO[[#This Row],[TRABAJO]],1,SEARCH(",",TB_CECO[[#This Row],[TRABAJO]],1)-1)</f>
        <v>CH 605 (SNV 612-1 NW)</v>
      </c>
      <c r="C25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605 (SNV 612-1 NW),REHABILITACION</v>
      </c>
      <c r="D25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37" s="47" t="s">
        <v>5023</v>
      </c>
      <c r="G2537" t="s">
        <v>5024</v>
      </c>
      <c r="H25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38" spans="1:8" ht="15" customHeight="1" x14ac:dyDescent="0.25">
      <c r="A2538" t="str">
        <f>MID(TB_CECO[[#This Row],[CECO_T]],1,5)</f>
        <v>3B386</v>
      </c>
      <c r="B2538" t="str">
        <f>MID(TB_CECO[[#This Row],[TRABAJO]],1,SEARCH(",",TB_CECO[[#This Row],[TRABAJO]],1)-1)</f>
        <v>Ch 620 (Gal 515 NW)</v>
      </c>
      <c r="C25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620 (Gal 515 NW),LIMPIEZA</v>
      </c>
      <c r="D25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38" s="47" t="s">
        <v>5025</v>
      </c>
      <c r="G2538" t="s">
        <v>5026</v>
      </c>
      <c r="H25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39" spans="1:8" ht="15" customHeight="1" x14ac:dyDescent="0.25">
      <c r="A2539" t="str">
        <f>MID(TB_CECO[[#This Row],[CECO_T]],1,5)</f>
        <v>3B386</v>
      </c>
      <c r="B2539" t="str">
        <f>MID(TB_CECO[[#This Row],[TRABAJO]],1,SEARCH(",",TB_CECO[[#This Row],[TRABAJO]],1)-1)</f>
        <v>Ch 620 (Gal 515 NW)</v>
      </c>
      <c r="C25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620 (Gal 515 NW),SERVICIO</v>
      </c>
      <c r="D25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39" s="47" t="s">
        <v>5027</v>
      </c>
      <c r="G2539" t="s">
        <v>5028</v>
      </c>
      <c r="H25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40" spans="1:8" ht="15" customHeight="1" x14ac:dyDescent="0.25">
      <c r="A2540" t="str">
        <f>MID(TB_CECO[[#This Row],[CECO_T]],1,5)</f>
        <v>3B386</v>
      </c>
      <c r="B2540" t="str">
        <f>MID(TB_CECO[[#This Row],[TRABAJO]],1,SEARCH(",",TB_CECO[[#This Row],[TRABAJO]],1)-1)</f>
        <v>Ch 620 (Gal 515 NW)</v>
      </c>
      <c r="C25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620 (Gal 515 NW),PERFORACION</v>
      </c>
      <c r="D25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40" s="47" t="s">
        <v>5029</v>
      </c>
      <c r="G2540" t="s">
        <v>5030</v>
      </c>
      <c r="H25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41" spans="1:8" ht="15" customHeight="1" x14ac:dyDescent="0.25">
      <c r="A2541" t="str">
        <f>MID(TB_CECO[[#This Row],[CECO_T]],1,5)</f>
        <v>3B386</v>
      </c>
      <c r="B2541" t="str">
        <f>MID(TB_CECO[[#This Row],[TRABAJO]],1,SEARCH(",",TB_CECO[[#This Row],[TRABAJO]],1)-1)</f>
        <v>Ch 620 (Gal 515 NW)</v>
      </c>
      <c r="C25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620 (Gal 515 NW),SOSTENIMIENTO</v>
      </c>
      <c r="D25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41" s="47" t="s">
        <v>5031</v>
      </c>
      <c r="G2541" t="s">
        <v>5032</v>
      </c>
      <c r="H25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42" spans="1:8" ht="15" customHeight="1" x14ac:dyDescent="0.25">
      <c r="A2542" t="str">
        <f>MID(TB_CECO[[#This Row],[CECO_T]],1,5)</f>
        <v>3B386</v>
      </c>
      <c r="B2542" t="str">
        <f>MID(TB_CECO[[#This Row],[TRABAJO]],1,SEARCH(",",TB_CECO[[#This Row],[TRABAJO]],1)-1)</f>
        <v>Ch 620 (Gal 515 NW)</v>
      </c>
      <c r="C25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620 (Gal 515 NW),VOLADURA</v>
      </c>
      <c r="D25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42" s="47" t="s">
        <v>5033</v>
      </c>
      <c r="G2542" t="s">
        <v>5034</v>
      </c>
      <c r="H25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43" spans="1:8" ht="15" customHeight="1" x14ac:dyDescent="0.25">
      <c r="A2543" t="str">
        <f>MID(TB_CECO[[#This Row],[CECO_T]],1,5)</f>
        <v>3B387</v>
      </c>
      <c r="B2543" t="str">
        <f>MID(TB_CECO[[#This Row],[TRABAJO]],1,SEARCH(",",TB_CECO[[#This Row],[TRABAJO]],1)-1)</f>
        <v>Ch 640 (Gal 650 SE)</v>
      </c>
      <c r="C25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640 (Gal 650 SE),LIMPIEZA</v>
      </c>
      <c r="D25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43" s="47" t="s">
        <v>5035</v>
      </c>
      <c r="G2543" t="s">
        <v>5036</v>
      </c>
      <c r="H25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44" spans="1:8" ht="15" customHeight="1" x14ac:dyDescent="0.25">
      <c r="A2544" t="str">
        <f>MID(TB_CECO[[#This Row],[CECO_T]],1,5)</f>
        <v>3B387</v>
      </c>
      <c r="B2544" t="str">
        <f>MID(TB_CECO[[#This Row],[TRABAJO]],1,SEARCH(",",TB_CECO[[#This Row],[TRABAJO]],1)-1)</f>
        <v>Ch 640 (Gal 650 SE)</v>
      </c>
      <c r="C25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640 (Gal 650 SE),SERVICIO</v>
      </c>
      <c r="D25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44" s="47" t="s">
        <v>5037</v>
      </c>
      <c r="G2544" t="s">
        <v>5038</v>
      </c>
      <c r="H25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45" spans="1:8" ht="15" customHeight="1" x14ac:dyDescent="0.25">
      <c r="A2545" t="str">
        <f>MID(TB_CECO[[#This Row],[CECO_T]],1,5)</f>
        <v>3B387</v>
      </c>
      <c r="B2545" t="str">
        <f>MID(TB_CECO[[#This Row],[TRABAJO]],1,SEARCH(",",TB_CECO[[#This Row],[TRABAJO]],1)-1)</f>
        <v>Ch 640 (Gal 650 SE)</v>
      </c>
      <c r="C25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640 (Gal 650 SE),PERFORACION</v>
      </c>
      <c r="D25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45" s="47" t="s">
        <v>5039</v>
      </c>
      <c r="G2545" t="s">
        <v>5040</v>
      </c>
      <c r="H25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46" spans="1:8" ht="15" customHeight="1" x14ac:dyDescent="0.25">
      <c r="A2546" t="str">
        <f>MID(TB_CECO[[#This Row],[CECO_T]],1,5)</f>
        <v>3B387</v>
      </c>
      <c r="B2546" t="str">
        <f>MID(TB_CECO[[#This Row],[TRABAJO]],1,SEARCH(",",TB_CECO[[#This Row],[TRABAJO]],1)-1)</f>
        <v>Ch 640 (Gal 650 SE)</v>
      </c>
      <c r="C25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640 (Gal 650 SE),SOSTENIMIENTO</v>
      </c>
      <c r="D25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46" s="47" t="s">
        <v>5041</v>
      </c>
      <c r="G2546" t="s">
        <v>5042</v>
      </c>
      <c r="H25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47" spans="1:8" ht="15" customHeight="1" x14ac:dyDescent="0.25">
      <c r="A2547" t="str">
        <f>MID(TB_CECO[[#This Row],[CECO_T]],1,5)</f>
        <v>3B387</v>
      </c>
      <c r="B2547" t="str">
        <f>MID(TB_CECO[[#This Row],[TRABAJO]],1,SEARCH(",",TB_CECO[[#This Row],[TRABAJO]],1)-1)</f>
        <v>Ch 640 (Gal 650 SE)</v>
      </c>
      <c r="C25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640 (Gal 650 SE),VOLADURA</v>
      </c>
      <c r="D25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25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47" s="47" t="s">
        <v>5043</v>
      </c>
      <c r="G2547" t="s">
        <v>5044</v>
      </c>
      <c r="H25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48" spans="1:8" ht="15" customHeight="1" x14ac:dyDescent="0.25">
      <c r="A2548" t="str">
        <f>MID(TB_CECO[[#This Row],[CECO_T]],1,5)</f>
        <v>3B51B</v>
      </c>
      <c r="B2548" t="str">
        <f>MID(TB_CECO[[#This Row],[TRABAJO]],1,SEARCH(",",TB_CECO[[#This Row],[TRABAJO]],1)-1)</f>
        <v>Snv 615 SE (Est 615 SE)</v>
      </c>
      <c r="C25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615 SE (Est 615 SE),SUMINISTROS</v>
      </c>
      <c r="D25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48" s="47" t="s">
        <v>5045</v>
      </c>
      <c r="G2548" t="s">
        <v>5046</v>
      </c>
      <c r="H25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49" spans="1:8" ht="15" customHeight="1" x14ac:dyDescent="0.25">
      <c r="A2549" t="str">
        <f>MID(TB_CECO[[#This Row],[CECO_T]],1,5)</f>
        <v>3B51B</v>
      </c>
      <c r="B2549" t="str">
        <f>MID(TB_CECO[[#This Row],[TRABAJO]],1,SEARCH(",",TB_CECO[[#This Row],[TRABAJO]],1)-1)</f>
        <v>Snv 615 SE (Est 615 SE)</v>
      </c>
      <c r="C25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615 SE (Est 615 SE),SOSTENIMIENTO</v>
      </c>
      <c r="D25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49" s="47" t="s">
        <v>5047</v>
      </c>
      <c r="G2549" t="s">
        <v>5048</v>
      </c>
      <c r="H25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50" spans="1:8" ht="15" customHeight="1" x14ac:dyDescent="0.25">
      <c r="A2550" t="str">
        <f>MID(TB_CECO[[#This Row],[CECO_T]],1,5)</f>
        <v>3B51B</v>
      </c>
      <c r="B2550" t="str">
        <f>MID(TB_CECO[[#This Row],[TRABAJO]],1,SEARCH(",",TB_CECO[[#This Row],[TRABAJO]],1)-1)</f>
        <v>Snv 615 SE (Est 615 SE)</v>
      </c>
      <c r="C25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615 SE (Est 615 SE),SERVICIO</v>
      </c>
      <c r="D25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50" s="47" t="s">
        <v>5049</v>
      </c>
      <c r="G2550" t="s">
        <v>5050</v>
      </c>
      <c r="H25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51" spans="1:8" ht="15" customHeight="1" x14ac:dyDescent="0.25">
      <c r="A2551" t="str">
        <f>MID(TB_CECO[[#This Row],[CECO_T]],1,5)</f>
        <v>3B51B</v>
      </c>
      <c r="B2551" t="str">
        <f>MID(TB_CECO[[#This Row],[TRABAJO]],1,SEARCH(",",TB_CECO[[#This Row],[TRABAJO]],1)-1)</f>
        <v>Snv 615 SE (Est 615 SE)</v>
      </c>
      <c r="C25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615 SE (Est 615 SE),REHABILITACION</v>
      </c>
      <c r="D25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51" s="47" t="s">
        <v>5051</v>
      </c>
      <c r="G2551" t="s">
        <v>5052</v>
      </c>
      <c r="H25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52" spans="1:8" ht="15" customHeight="1" x14ac:dyDescent="0.25">
      <c r="A2552" t="str">
        <f>MID(TB_CECO[[#This Row],[CECO_T]],1,5)</f>
        <v>3B524</v>
      </c>
      <c r="B2552" t="str">
        <f>MID(TB_CECO[[#This Row],[TRABAJO]],1,SEARCH(",",TB_CECO[[#This Row],[TRABAJO]],1)-1)</f>
        <v>SNV 618 NW (INC 618 SE)</v>
      </c>
      <c r="C25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618 NW (INC 618 SE),SUMINISTROS</v>
      </c>
      <c r="D25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52" s="47" t="s">
        <v>5053</v>
      </c>
      <c r="G2552" t="s">
        <v>5054</v>
      </c>
      <c r="H25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53" spans="1:8" ht="15" customHeight="1" x14ac:dyDescent="0.25">
      <c r="A2553" t="str">
        <f>MID(TB_CECO[[#This Row],[CECO_T]],1,5)</f>
        <v>3B524</v>
      </c>
      <c r="B2553" t="str">
        <f>MID(TB_CECO[[#This Row],[TRABAJO]],1,SEARCH(",",TB_CECO[[#This Row],[TRABAJO]],1)-1)</f>
        <v>SNV 618 NW (INC 618 SE)</v>
      </c>
      <c r="C25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618 NW (INC 618 SE),SOSTENIMIENTO</v>
      </c>
      <c r="D25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53" s="47" t="s">
        <v>5055</v>
      </c>
      <c r="G2553" t="s">
        <v>5056</v>
      </c>
      <c r="H25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54" spans="1:8" ht="15" customHeight="1" x14ac:dyDescent="0.25">
      <c r="A2554" t="str">
        <f>MID(TB_CECO[[#This Row],[CECO_T]],1,5)</f>
        <v>3B524</v>
      </c>
      <c r="B2554" t="str">
        <f>MID(TB_CECO[[#This Row],[TRABAJO]],1,SEARCH(",",TB_CECO[[#This Row],[TRABAJO]],1)-1)</f>
        <v>SNV 618 NW (INC 618 SE)</v>
      </c>
      <c r="C25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618 NW (INC 618 SE),SERVICIO</v>
      </c>
      <c r="D25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54" s="47" t="s">
        <v>5057</v>
      </c>
      <c r="G2554" t="s">
        <v>5058</v>
      </c>
      <c r="H25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55" spans="1:8" ht="15" customHeight="1" x14ac:dyDescent="0.25">
      <c r="A2555" t="str">
        <f>MID(TB_CECO[[#This Row],[CECO_T]],1,5)</f>
        <v>3B524</v>
      </c>
      <c r="B2555" t="str">
        <f>MID(TB_CECO[[#This Row],[TRABAJO]],1,SEARCH(",",TB_CECO[[#This Row],[TRABAJO]],1)-1)</f>
        <v>SNV 618 NW (INC 618 SE)</v>
      </c>
      <c r="C25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618 NW (INC 618 SE),REHABILITACION</v>
      </c>
      <c r="D25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55" s="47" t="s">
        <v>5059</v>
      </c>
      <c r="G2555" t="s">
        <v>5060</v>
      </c>
      <c r="H25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56" spans="1:8" ht="15" customHeight="1" x14ac:dyDescent="0.25">
      <c r="A2556" t="str">
        <f>MID(TB_CECO[[#This Row],[CECO_T]],1,5)</f>
        <v>3B525</v>
      </c>
      <c r="B2556" t="str">
        <f>MID(TB_CECO[[#This Row],[TRABAJO]],1,SEARCH(",",TB_CECO[[#This Row],[TRABAJO]],1)-1)</f>
        <v>SNV 618 SE (INC 618 SE)</v>
      </c>
      <c r="C25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618 SE (INC 618 SE),SUMINISTROS</v>
      </c>
      <c r="D25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56" s="47" t="s">
        <v>5061</v>
      </c>
      <c r="G2556" t="s">
        <v>5062</v>
      </c>
      <c r="H25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57" spans="1:8" ht="15" customHeight="1" x14ac:dyDescent="0.25">
      <c r="A2557" t="str">
        <f>MID(TB_CECO[[#This Row],[CECO_T]],1,5)</f>
        <v>3B525</v>
      </c>
      <c r="B2557" t="str">
        <f>MID(TB_CECO[[#This Row],[TRABAJO]],1,SEARCH(",",TB_CECO[[#This Row],[TRABAJO]],1)-1)</f>
        <v>SNV 618 SE (INC 618 SE)</v>
      </c>
      <c r="C25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618 SE (INC 618 SE),SOSTENIMIENTO</v>
      </c>
      <c r="D25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57" s="47" t="s">
        <v>5063</v>
      </c>
      <c r="G2557" t="s">
        <v>5064</v>
      </c>
      <c r="H25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58" spans="1:8" ht="15" customHeight="1" x14ac:dyDescent="0.25">
      <c r="A2558" t="str">
        <f>MID(TB_CECO[[#This Row],[CECO_T]],1,5)</f>
        <v>3B525</v>
      </c>
      <c r="B2558" t="str">
        <f>MID(TB_CECO[[#This Row],[TRABAJO]],1,SEARCH(",",TB_CECO[[#This Row],[TRABAJO]],1)-1)</f>
        <v>SNV 618 SE (INC 618 SE)</v>
      </c>
      <c r="C25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618 SE (INC 618 SE),SERVICIO</v>
      </c>
      <c r="D25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58" s="47" t="s">
        <v>5065</v>
      </c>
      <c r="G2558" t="s">
        <v>5066</v>
      </c>
      <c r="H25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59" spans="1:8" ht="15" customHeight="1" x14ac:dyDescent="0.25">
      <c r="A2559" t="str">
        <f>MID(TB_CECO[[#This Row],[CECO_T]],1,5)</f>
        <v>3B525</v>
      </c>
      <c r="B2559" t="str">
        <f>MID(TB_CECO[[#This Row],[TRABAJO]],1,SEARCH(",",TB_CECO[[#This Row],[TRABAJO]],1)-1)</f>
        <v>SNV 618 SE (INC 618 SE)</v>
      </c>
      <c r="C25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618 SE (INC 618 SE),REHABILITACION</v>
      </c>
      <c r="D25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59" s="47" t="s">
        <v>5067</v>
      </c>
      <c r="G2559" t="s">
        <v>5068</v>
      </c>
      <c r="H25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60" spans="1:8" ht="15" customHeight="1" x14ac:dyDescent="0.25">
      <c r="A2560" t="str">
        <f>MID(TB_CECO[[#This Row],[CECO_T]],1,5)</f>
        <v>3C361</v>
      </c>
      <c r="B2560" t="str">
        <f>MID(TB_CECO[[#This Row],[TRABAJO]],1,SEARCH(",",TB_CECO[[#This Row],[TRABAJO]],1)-1)</f>
        <v>Ch 843 (Snv 319 SW)</v>
      </c>
      <c r="C25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843 (Snv 319 SW),SUMINISTROS</v>
      </c>
      <c r="D25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60" s="47" t="s">
        <v>5069</v>
      </c>
      <c r="G2560" t="s">
        <v>5070</v>
      </c>
      <c r="H25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61" spans="1:8" ht="15" customHeight="1" x14ac:dyDescent="0.25">
      <c r="A2561" t="str">
        <f>MID(TB_CECO[[#This Row],[CECO_T]],1,5)</f>
        <v>3C361</v>
      </c>
      <c r="B2561" t="str">
        <f>MID(TB_CECO[[#This Row],[TRABAJO]],1,SEARCH(",",TB_CECO[[#This Row],[TRABAJO]],1)-1)</f>
        <v>Ch 843 (Snv 319 SW)</v>
      </c>
      <c r="C25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843 (Snv 319 SW),SOSTENIMIENTO</v>
      </c>
      <c r="D25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61" s="47" t="s">
        <v>5071</v>
      </c>
      <c r="G2561" t="s">
        <v>5072</v>
      </c>
      <c r="H25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62" spans="1:8" ht="15" customHeight="1" x14ac:dyDescent="0.25">
      <c r="A2562" t="str">
        <f>MID(TB_CECO[[#This Row],[CECO_T]],1,5)</f>
        <v>3C361</v>
      </c>
      <c r="B2562" t="str">
        <f>MID(TB_CECO[[#This Row],[TRABAJO]],1,SEARCH(",",TB_CECO[[#This Row],[TRABAJO]],1)-1)</f>
        <v>Ch 843 (Snv 319 SW)</v>
      </c>
      <c r="C25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843 (Snv 319 SW),SERVICIO</v>
      </c>
      <c r="D25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62" s="47" t="s">
        <v>5073</v>
      </c>
      <c r="G2562" t="s">
        <v>5074</v>
      </c>
      <c r="H25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63" spans="1:8" ht="15" customHeight="1" x14ac:dyDescent="0.25">
      <c r="A2563" t="str">
        <f>MID(TB_CECO[[#This Row],[CECO_T]],1,5)</f>
        <v>3C361</v>
      </c>
      <c r="B2563" t="str">
        <f>MID(TB_CECO[[#This Row],[TRABAJO]],1,SEARCH(",",TB_CECO[[#This Row],[TRABAJO]],1)-1)</f>
        <v>Ch 843 (Snv 319 SW)</v>
      </c>
      <c r="C25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843 (Snv 319 SW),REHABILITACION</v>
      </c>
      <c r="D25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63" s="47" t="s">
        <v>5075</v>
      </c>
      <c r="G2563" t="s">
        <v>5076</v>
      </c>
      <c r="H25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64" spans="1:8" ht="15" customHeight="1" x14ac:dyDescent="0.25">
      <c r="A2564" t="str">
        <f>MID(TB_CECO[[#This Row],[CECO_T]],1,5)</f>
        <v>3C363</v>
      </c>
      <c r="B2564" t="str">
        <f>MID(TB_CECO[[#This Row],[TRABAJO]],1,SEARCH(",",TB_CECO[[#This Row],[TRABAJO]],1)-1)</f>
        <v>Ch 862 (Snv 319 NE)</v>
      </c>
      <c r="C25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 862 (Snv 319 NE),SUMINISTROS</v>
      </c>
      <c r="D25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64" s="47" t="s">
        <v>5077</v>
      </c>
      <c r="G2564" t="s">
        <v>5078</v>
      </c>
      <c r="H25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65" spans="1:8" ht="15" customHeight="1" x14ac:dyDescent="0.25">
      <c r="A2565" t="str">
        <f>MID(TB_CECO[[#This Row],[CECO_T]],1,5)</f>
        <v>3C363</v>
      </c>
      <c r="B2565" t="str">
        <f>MID(TB_CECO[[#This Row],[TRABAJO]],1,SEARCH(",",TB_CECO[[#This Row],[TRABAJO]],1)-1)</f>
        <v>Ch 862 (Snv 319 NE)</v>
      </c>
      <c r="C25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 862 (Snv 319 NE),SOSTENIMIENTO</v>
      </c>
      <c r="D25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65" s="47" t="s">
        <v>5079</v>
      </c>
      <c r="G2565" t="s">
        <v>5080</v>
      </c>
      <c r="H25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66" spans="1:8" ht="15" customHeight="1" x14ac:dyDescent="0.25">
      <c r="A2566" t="str">
        <f>MID(TB_CECO[[#This Row],[CECO_T]],1,5)</f>
        <v>3C363</v>
      </c>
      <c r="B2566" t="str">
        <f>MID(TB_CECO[[#This Row],[TRABAJO]],1,SEARCH(",",TB_CECO[[#This Row],[TRABAJO]],1)-1)</f>
        <v>Ch 862 (Snv 319 NE)</v>
      </c>
      <c r="C25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 862 (Snv 319 NE),SERVICIO</v>
      </c>
      <c r="D25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66" s="47" t="s">
        <v>5081</v>
      </c>
      <c r="G2566" t="s">
        <v>5082</v>
      </c>
      <c r="H25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67" spans="1:8" ht="15" customHeight="1" x14ac:dyDescent="0.25">
      <c r="A2567" t="str">
        <f>MID(TB_CECO[[#This Row],[CECO_T]],1,5)</f>
        <v>3C363</v>
      </c>
      <c r="B2567" t="str">
        <f>MID(TB_CECO[[#This Row],[TRABAJO]],1,SEARCH(",",TB_CECO[[#This Row],[TRABAJO]],1)-1)</f>
        <v>Ch 862 (Snv 319 NE)</v>
      </c>
      <c r="C25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 862 (Snv 319 NE),REHABILITACION</v>
      </c>
      <c r="D25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67" s="47" t="s">
        <v>5083</v>
      </c>
      <c r="G2567" t="s">
        <v>5084</v>
      </c>
      <c r="H25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68" spans="1:8" ht="15" customHeight="1" x14ac:dyDescent="0.25">
      <c r="A2568" t="str">
        <f>MID(TB_CECO[[#This Row],[CECO_T]],1,5)</f>
        <v>3C376</v>
      </c>
      <c r="B2568" t="str">
        <f>MID(TB_CECO[[#This Row],[TRABAJO]],1,SEARCH(",",TB_CECO[[#This Row],[TRABAJO]],1)-1)</f>
        <v>Ch 653 (Snv 327 NE)</v>
      </c>
      <c r="C25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653 (Snv 327 NE),LIMPIEZA</v>
      </c>
      <c r="D25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68" s="47" t="s">
        <v>5085</v>
      </c>
      <c r="G2568" t="s">
        <v>5086</v>
      </c>
      <c r="H25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69" spans="1:8" ht="15" customHeight="1" x14ac:dyDescent="0.25">
      <c r="A2569" t="str">
        <f>MID(TB_CECO[[#This Row],[CECO_T]],1,5)</f>
        <v>3C376</v>
      </c>
      <c r="B2569" t="str">
        <f>MID(TB_CECO[[#This Row],[TRABAJO]],1,SEARCH(",",TB_CECO[[#This Row],[TRABAJO]],1)-1)</f>
        <v>Ch 653 (Snv 327 NE)</v>
      </c>
      <c r="C25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653 (Snv 327 NE),SERVICIO</v>
      </c>
      <c r="D25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69" s="47" t="s">
        <v>5087</v>
      </c>
      <c r="G2569" t="s">
        <v>5088</v>
      </c>
      <c r="H25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70" spans="1:8" ht="15" customHeight="1" x14ac:dyDescent="0.25">
      <c r="A2570" t="str">
        <f>MID(TB_CECO[[#This Row],[CECO_T]],1,5)</f>
        <v>3C376</v>
      </c>
      <c r="B2570" t="str">
        <f>MID(TB_CECO[[#This Row],[TRABAJO]],1,SEARCH(",",TB_CECO[[#This Row],[TRABAJO]],1)-1)</f>
        <v>Ch 653 (Snv 327 NE)</v>
      </c>
      <c r="C25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653 (Snv 327 NE),PERFORACION</v>
      </c>
      <c r="D25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70" s="47" t="s">
        <v>5089</v>
      </c>
      <c r="G2570" t="s">
        <v>5090</v>
      </c>
      <c r="H25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71" spans="1:8" ht="15" customHeight="1" x14ac:dyDescent="0.25">
      <c r="A2571" t="str">
        <f>MID(TB_CECO[[#This Row],[CECO_T]],1,5)</f>
        <v>3C376</v>
      </c>
      <c r="B2571" t="str">
        <f>MID(TB_CECO[[#This Row],[TRABAJO]],1,SEARCH(",",TB_CECO[[#This Row],[TRABAJO]],1)-1)</f>
        <v>Ch 653 (Snv 327 NE)</v>
      </c>
      <c r="C25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653 (Snv 327 NE),SOSTENIMIENTO</v>
      </c>
      <c r="D25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71" s="47" t="s">
        <v>5091</v>
      </c>
      <c r="G2571" t="s">
        <v>5092</v>
      </c>
      <c r="H25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72" spans="1:8" ht="15" customHeight="1" x14ac:dyDescent="0.25">
      <c r="A2572" t="str">
        <f>MID(TB_CECO[[#This Row],[CECO_T]],1,5)</f>
        <v>3C376</v>
      </c>
      <c r="B2572" t="str">
        <f>MID(TB_CECO[[#This Row],[TRABAJO]],1,SEARCH(",",TB_CECO[[#This Row],[TRABAJO]],1)-1)</f>
        <v>Ch 653 (Snv 327 NE)</v>
      </c>
      <c r="C25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653 (Snv 327 NE),VOLADURA</v>
      </c>
      <c r="D25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72" s="47" t="s">
        <v>5093</v>
      </c>
      <c r="G2572" t="s">
        <v>5094</v>
      </c>
      <c r="H25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73" spans="1:8" ht="15" customHeight="1" x14ac:dyDescent="0.25">
      <c r="A2573" t="str">
        <f>MID(TB_CECO[[#This Row],[CECO_T]],1,5)</f>
        <v>3C51C</v>
      </c>
      <c r="B2573" t="str">
        <f>MID(TB_CECO[[#This Row],[TRABAJO]],1,SEARCH(",",TB_CECO[[#This Row],[TRABAJO]],1)-1)</f>
        <v>Snv 846 SW (Ch 843)</v>
      </c>
      <c r="C25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846 SW (Ch 843),SUMINISTROS</v>
      </c>
      <c r="D25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73" s="47" t="s">
        <v>5095</v>
      </c>
      <c r="G2573" t="s">
        <v>5096</v>
      </c>
      <c r="H25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74" spans="1:8" ht="15" customHeight="1" x14ac:dyDescent="0.25">
      <c r="A2574" t="str">
        <f>MID(TB_CECO[[#This Row],[CECO_T]],1,5)</f>
        <v>3C51C</v>
      </c>
      <c r="B2574" t="str">
        <f>MID(TB_CECO[[#This Row],[TRABAJO]],1,SEARCH(",",TB_CECO[[#This Row],[TRABAJO]],1)-1)</f>
        <v>Snv 846 SW (Ch 843)</v>
      </c>
      <c r="C25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846 SW (Ch 843),SOSTENIMIENTO</v>
      </c>
      <c r="D25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74" s="47" t="s">
        <v>5097</v>
      </c>
      <c r="G2574" t="s">
        <v>5098</v>
      </c>
      <c r="H25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75" spans="1:8" ht="15" customHeight="1" x14ac:dyDescent="0.25">
      <c r="A2575" t="str">
        <f>MID(TB_CECO[[#This Row],[CECO_T]],1,5)</f>
        <v>3C51C</v>
      </c>
      <c r="B2575" t="str">
        <f>MID(TB_CECO[[#This Row],[TRABAJO]],1,SEARCH(",",TB_CECO[[#This Row],[TRABAJO]],1)-1)</f>
        <v>Snv 846 SW (Ch 843)</v>
      </c>
      <c r="C25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846 SW (Ch 843),SERVICIO</v>
      </c>
      <c r="D25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75" s="47" t="s">
        <v>5099</v>
      </c>
      <c r="G2575" t="s">
        <v>5100</v>
      </c>
      <c r="H25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76" spans="1:8" ht="15" customHeight="1" x14ac:dyDescent="0.25">
      <c r="A2576" t="str">
        <f>MID(TB_CECO[[#This Row],[CECO_T]],1,5)</f>
        <v>3C51C</v>
      </c>
      <c r="B2576" t="str">
        <f>MID(TB_CECO[[#This Row],[TRABAJO]],1,SEARCH(",",TB_CECO[[#This Row],[TRABAJO]],1)-1)</f>
        <v>Snv 846 SW (Ch 843)</v>
      </c>
      <c r="C25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846 SW (Ch 843),REHABILITACION</v>
      </c>
      <c r="D25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76" s="47" t="s">
        <v>5101</v>
      </c>
      <c r="G2576" t="s">
        <v>5102</v>
      </c>
      <c r="H25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77" spans="1:8" ht="15" customHeight="1" x14ac:dyDescent="0.25">
      <c r="A2577" t="str">
        <f>MID(TB_CECO[[#This Row],[CECO_T]],1,5)</f>
        <v>3C51E</v>
      </c>
      <c r="B2577" t="str">
        <f>MID(TB_CECO[[#This Row],[TRABAJO]],1,SEARCH(",",TB_CECO[[#This Row],[TRABAJO]],1)-1)</f>
        <v>Snv 840 SW (Ch 843)</v>
      </c>
      <c r="C25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840 SW (Ch 843),SUMINISTROS</v>
      </c>
      <c r="D25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77" s="47" t="s">
        <v>5103</v>
      </c>
      <c r="G2577" t="s">
        <v>5104</v>
      </c>
      <c r="H25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78" spans="1:8" ht="15" customHeight="1" x14ac:dyDescent="0.25">
      <c r="A2578" t="str">
        <f>MID(TB_CECO[[#This Row],[CECO_T]],1,5)</f>
        <v>3C51E</v>
      </c>
      <c r="B2578" t="str">
        <f>MID(TB_CECO[[#This Row],[TRABAJO]],1,SEARCH(",",TB_CECO[[#This Row],[TRABAJO]],1)-1)</f>
        <v>Snv 840 SW (Ch 843)</v>
      </c>
      <c r="C25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840 SW (Ch 843),SOSTENIMIENTO</v>
      </c>
      <c r="D25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78" s="47" t="s">
        <v>5105</v>
      </c>
      <c r="G2578" t="s">
        <v>5106</v>
      </c>
      <c r="H25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79" spans="1:8" ht="15" customHeight="1" x14ac:dyDescent="0.25">
      <c r="A2579" t="str">
        <f>MID(TB_CECO[[#This Row],[CECO_T]],1,5)</f>
        <v>3C51E</v>
      </c>
      <c r="B2579" t="str">
        <f>MID(TB_CECO[[#This Row],[TRABAJO]],1,SEARCH(",",TB_CECO[[#This Row],[TRABAJO]],1)-1)</f>
        <v>Snv 840 SW (Ch 843)</v>
      </c>
      <c r="C25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840 SW (Ch 843),SERVICIO</v>
      </c>
      <c r="D25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79" s="47" t="s">
        <v>5107</v>
      </c>
      <c r="G2579" t="s">
        <v>5108</v>
      </c>
      <c r="H25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80" spans="1:8" ht="15" customHeight="1" x14ac:dyDescent="0.25">
      <c r="A2580" t="str">
        <f>MID(TB_CECO[[#This Row],[CECO_T]],1,5)</f>
        <v>3C51E</v>
      </c>
      <c r="B2580" t="str">
        <f>MID(TB_CECO[[#This Row],[TRABAJO]],1,SEARCH(",",TB_CECO[[#This Row],[TRABAJO]],1)-1)</f>
        <v>Snv 840 SW (Ch 843)</v>
      </c>
      <c r="C25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840 SW (Ch 843),REHABILITACION</v>
      </c>
      <c r="D25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80" s="47" t="s">
        <v>5109</v>
      </c>
      <c r="G2580" t="s">
        <v>5110</v>
      </c>
      <c r="H25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81" spans="1:8" ht="15" customHeight="1" x14ac:dyDescent="0.25">
      <c r="A2581" t="str">
        <f>MID(TB_CECO[[#This Row],[CECO_T]],1,5)</f>
        <v>3C51G</v>
      </c>
      <c r="B2581" t="str">
        <f>MID(TB_CECO[[#This Row],[TRABAJO]],1,SEARCH(",",TB_CECO[[#This Row],[TRABAJO]],1)-1)</f>
        <v>Snv 644 NE (Ch 862-1)</v>
      </c>
      <c r="C25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644 NE (Ch 862-1),SUMINISTROS</v>
      </c>
      <c r="D25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81" s="47" t="s">
        <v>5111</v>
      </c>
      <c r="G2581" t="s">
        <v>5112</v>
      </c>
      <c r="H25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82" spans="1:8" ht="15" customHeight="1" x14ac:dyDescent="0.25">
      <c r="A2582" t="str">
        <f>MID(TB_CECO[[#This Row],[CECO_T]],1,5)</f>
        <v>3C51G</v>
      </c>
      <c r="B2582" t="str">
        <f>MID(TB_CECO[[#This Row],[TRABAJO]],1,SEARCH(",",TB_CECO[[#This Row],[TRABAJO]],1)-1)</f>
        <v>Snv 644 NE (Ch 862-1)</v>
      </c>
      <c r="C25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644 NE (Ch 862-1),SOSTENIMIENTO</v>
      </c>
      <c r="D25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82" s="47" t="s">
        <v>5113</v>
      </c>
      <c r="G2582" t="s">
        <v>5114</v>
      </c>
      <c r="H25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83" spans="1:8" ht="15" customHeight="1" x14ac:dyDescent="0.25">
      <c r="A2583" t="str">
        <f>MID(TB_CECO[[#This Row],[CECO_T]],1,5)</f>
        <v>3C51G</v>
      </c>
      <c r="B2583" t="str">
        <f>MID(TB_CECO[[#This Row],[TRABAJO]],1,SEARCH(",",TB_CECO[[#This Row],[TRABAJO]],1)-1)</f>
        <v>Snv 644 NE (Ch 862-1)</v>
      </c>
      <c r="C25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644 NE (Ch 862-1),SERVICIO</v>
      </c>
      <c r="D25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83" s="47" t="s">
        <v>5115</v>
      </c>
      <c r="G2583" t="s">
        <v>5116</v>
      </c>
      <c r="H25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84" spans="1:8" ht="15" customHeight="1" x14ac:dyDescent="0.25">
      <c r="A2584" t="str">
        <f>MID(TB_CECO[[#This Row],[CECO_T]],1,5)</f>
        <v>3C51G</v>
      </c>
      <c r="B2584" t="str">
        <f>MID(TB_CECO[[#This Row],[TRABAJO]],1,SEARCH(",",TB_CECO[[#This Row],[TRABAJO]],1)-1)</f>
        <v>Snv 644 NE (Ch 862-1)</v>
      </c>
      <c r="C25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644 NE (Ch 862-1),REHABILITACION</v>
      </c>
      <c r="D25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84" s="47" t="s">
        <v>5117</v>
      </c>
      <c r="G2584" t="s">
        <v>5118</v>
      </c>
      <c r="H25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85" spans="1:8" ht="15" customHeight="1" x14ac:dyDescent="0.25">
      <c r="A2585" t="str">
        <f>MID(TB_CECO[[#This Row],[CECO_T]],1,5)</f>
        <v>3C51H</v>
      </c>
      <c r="B2585" t="str">
        <f>MID(TB_CECO[[#This Row],[TRABAJO]],1,SEARCH(",",TB_CECO[[#This Row],[TRABAJO]],1)-1)</f>
        <v>Snv 644 SW (Ch 862-1)</v>
      </c>
      <c r="C25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644 SW (Ch 862-1),SUMINISTROS</v>
      </c>
      <c r="D25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85" s="47" t="s">
        <v>5119</v>
      </c>
      <c r="G2585" t="s">
        <v>5120</v>
      </c>
      <c r="H25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86" spans="1:8" ht="15" customHeight="1" x14ac:dyDescent="0.25">
      <c r="A2586" t="str">
        <f>MID(TB_CECO[[#This Row],[CECO_T]],1,5)</f>
        <v>3C51H</v>
      </c>
      <c r="B2586" t="str">
        <f>MID(TB_CECO[[#This Row],[TRABAJO]],1,SEARCH(",",TB_CECO[[#This Row],[TRABAJO]],1)-1)</f>
        <v>Snv 644 SW (Ch 862-1)</v>
      </c>
      <c r="C25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644 SW (Ch 862-1),SOSTENIMIENTO</v>
      </c>
      <c r="D25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86" s="47" t="s">
        <v>5121</v>
      </c>
      <c r="G2586" t="s">
        <v>5122</v>
      </c>
      <c r="H25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87" spans="1:8" ht="15" customHeight="1" x14ac:dyDescent="0.25">
      <c r="A2587" t="str">
        <f>MID(TB_CECO[[#This Row],[CECO_T]],1,5)</f>
        <v>3C51H</v>
      </c>
      <c r="B2587" t="str">
        <f>MID(TB_CECO[[#This Row],[TRABAJO]],1,SEARCH(",",TB_CECO[[#This Row],[TRABAJO]],1)-1)</f>
        <v>Snv 644 SW (Ch 862-1)</v>
      </c>
      <c r="C25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644 SW (Ch 862-1),SERVICIO</v>
      </c>
      <c r="D25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87" s="47" t="s">
        <v>5123</v>
      </c>
      <c r="G2587" t="s">
        <v>5124</v>
      </c>
      <c r="H25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88" spans="1:8" ht="15" customHeight="1" x14ac:dyDescent="0.25">
      <c r="A2588" t="str">
        <f>MID(TB_CECO[[#This Row],[CECO_T]],1,5)</f>
        <v>3C51H</v>
      </c>
      <c r="B2588" t="str">
        <f>MID(TB_CECO[[#This Row],[TRABAJO]],1,SEARCH(",",TB_CECO[[#This Row],[TRABAJO]],1)-1)</f>
        <v>Snv 644 SW (Ch 862-1)</v>
      </c>
      <c r="C25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644 SW (Ch 862-1),REHABILITACION</v>
      </c>
      <c r="D25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5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588" s="47" t="s">
        <v>5125</v>
      </c>
      <c r="G2588" t="s">
        <v>5126</v>
      </c>
      <c r="H25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89" spans="1:8" ht="15" customHeight="1" x14ac:dyDescent="0.25">
      <c r="A2589" t="str">
        <f>MID(TB_CECO[[#This Row],[CECO_T]],1,5)</f>
        <v>3C51J</v>
      </c>
      <c r="B2589" t="str">
        <f>MID(TB_CECO[[#This Row],[TRABAJO]],1,SEARCH(",",TB_CECO[[#This Row],[TRABAJO]],1)-1)</f>
        <v>Snv 642 NE (Ch 862-1)</v>
      </c>
      <c r="C25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642 NE (Ch 862-1),LIMPIEZA</v>
      </c>
      <c r="D25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89" s="47" t="s">
        <v>5127</v>
      </c>
      <c r="G2589" t="s">
        <v>5128</v>
      </c>
      <c r="H25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90" spans="1:8" ht="15" customHeight="1" x14ac:dyDescent="0.25">
      <c r="A2590" t="str">
        <f>MID(TB_CECO[[#This Row],[CECO_T]],1,5)</f>
        <v>3C51J</v>
      </c>
      <c r="B2590" t="str">
        <f>MID(TB_CECO[[#This Row],[TRABAJO]],1,SEARCH(",",TB_CECO[[#This Row],[TRABAJO]],1)-1)</f>
        <v>Snv 642 NE (Ch 862-1)</v>
      </c>
      <c r="C25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642 NE (Ch 862-1),SERVICIO</v>
      </c>
      <c r="D25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90" s="47" t="s">
        <v>5129</v>
      </c>
      <c r="G2590" t="s">
        <v>5130</v>
      </c>
      <c r="H25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91" spans="1:8" ht="15" customHeight="1" x14ac:dyDescent="0.25">
      <c r="A2591" t="str">
        <f>MID(TB_CECO[[#This Row],[CECO_T]],1,5)</f>
        <v>3C51J</v>
      </c>
      <c r="B2591" t="str">
        <f>MID(TB_CECO[[#This Row],[TRABAJO]],1,SEARCH(",",TB_CECO[[#This Row],[TRABAJO]],1)-1)</f>
        <v>Snv 642 NE (Ch 862-1)</v>
      </c>
      <c r="C25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642 NE (Ch 862-1),PERFORACION</v>
      </c>
      <c r="D25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91" s="47" t="s">
        <v>5131</v>
      </c>
      <c r="G2591" t="s">
        <v>5132</v>
      </c>
      <c r="H25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92" spans="1:8" ht="15" customHeight="1" x14ac:dyDescent="0.25">
      <c r="A2592" t="str">
        <f>MID(TB_CECO[[#This Row],[CECO_T]],1,5)</f>
        <v>3C51J</v>
      </c>
      <c r="B2592" t="str">
        <f>MID(TB_CECO[[#This Row],[TRABAJO]],1,SEARCH(",",TB_CECO[[#This Row],[TRABAJO]],1)-1)</f>
        <v>Snv 642 NE (Ch 862-1)</v>
      </c>
      <c r="C25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642 NE (Ch 862-1),SOSTENIMIENTO</v>
      </c>
      <c r="D25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92" s="47" t="s">
        <v>5133</v>
      </c>
      <c r="G2592" t="s">
        <v>5134</v>
      </c>
      <c r="H25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93" spans="1:8" ht="15" customHeight="1" x14ac:dyDescent="0.25">
      <c r="A2593" t="str">
        <f>MID(TB_CECO[[#This Row],[CECO_T]],1,5)</f>
        <v>3C51J</v>
      </c>
      <c r="B2593" t="str">
        <f>MID(TB_CECO[[#This Row],[TRABAJO]],1,SEARCH(",",TB_CECO[[#This Row],[TRABAJO]],1)-1)</f>
        <v>Snv 642 NE (Ch 862-1)</v>
      </c>
      <c r="C25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642 NE (Ch 862-1),VOLADURA</v>
      </c>
      <c r="D25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93" s="47" t="s">
        <v>5135</v>
      </c>
      <c r="G2593" t="s">
        <v>5136</v>
      </c>
      <c r="H25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94" spans="1:8" ht="15" customHeight="1" x14ac:dyDescent="0.25">
      <c r="A2594" t="str">
        <f>MID(TB_CECO[[#This Row],[CECO_T]],1,5)</f>
        <v>3C51K</v>
      </c>
      <c r="B2594" t="str">
        <f>MID(TB_CECO[[#This Row],[TRABAJO]],1,SEARCH(",",TB_CECO[[#This Row],[TRABAJO]],1)-1)</f>
        <v>Snv 642 SW (Ch 862-1)</v>
      </c>
      <c r="C25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642 SW (Ch 862-1),LIMPIEZA</v>
      </c>
      <c r="D25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94" s="47" t="s">
        <v>5137</v>
      </c>
      <c r="G2594" t="s">
        <v>5138</v>
      </c>
      <c r="H25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95" spans="1:8" ht="15" customHeight="1" x14ac:dyDescent="0.25">
      <c r="A2595" t="str">
        <f>MID(TB_CECO[[#This Row],[CECO_T]],1,5)</f>
        <v>3C51K</v>
      </c>
      <c r="B2595" t="str">
        <f>MID(TB_CECO[[#This Row],[TRABAJO]],1,SEARCH(",",TB_CECO[[#This Row],[TRABAJO]],1)-1)</f>
        <v>Snv 642 SW (Ch 862-1)</v>
      </c>
      <c r="C25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642 SW (Ch 862-1),SERVICIO</v>
      </c>
      <c r="D25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95" s="47" t="s">
        <v>5139</v>
      </c>
      <c r="G2595" t="s">
        <v>5140</v>
      </c>
      <c r="H25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96" spans="1:8" ht="15" customHeight="1" x14ac:dyDescent="0.25">
      <c r="A2596" t="str">
        <f>MID(TB_CECO[[#This Row],[CECO_T]],1,5)</f>
        <v>3C51K</v>
      </c>
      <c r="B2596" t="str">
        <f>MID(TB_CECO[[#This Row],[TRABAJO]],1,SEARCH(",",TB_CECO[[#This Row],[TRABAJO]],1)-1)</f>
        <v>Snv 642 SW (Ch 862-1)</v>
      </c>
      <c r="C25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642 SW (Ch 862-1),PERFORACION</v>
      </c>
      <c r="D25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96" s="47" t="s">
        <v>5141</v>
      </c>
      <c r="G2596" t="s">
        <v>5142</v>
      </c>
      <c r="H25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97" spans="1:8" ht="15" customHeight="1" x14ac:dyDescent="0.25">
      <c r="A2597" t="str">
        <f>MID(TB_CECO[[#This Row],[CECO_T]],1,5)</f>
        <v>3C51K</v>
      </c>
      <c r="B2597" t="str">
        <f>MID(TB_CECO[[#This Row],[TRABAJO]],1,SEARCH(",",TB_CECO[[#This Row],[TRABAJO]],1)-1)</f>
        <v>Snv 642 SW (Ch 862-1)</v>
      </c>
      <c r="C25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642 SW (Ch 862-1),SOSTENIMIENTO</v>
      </c>
      <c r="D25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97" s="47" t="s">
        <v>5143</v>
      </c>
      <c r="G2597" t="s">
        <v>5144</v>
      </c>
      <c r="H25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98" spans="1:8" ht="15" customHeight="1" x14ac:dyDescent="0.25">
      <c r="A2598" t="str">
        <f>MID(TB_CECO[[#This Row],[CECO_T]],1,5)</f>
        <v>3C51K</v>
      </c>
      <c r="B2598" t="str">
        <f>MID(TB_CECO[[#This Row],[TRABAJO]],1,SEARCH(",",TB_CECO[[#This Row],[TRABAJO]],1)-1)</f>
        <v>Snv 642 SW (Ch 862-1)</v>
      </c>
      <c r="C25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642 SW (Ch 862-1),VOLADURA</v>
      </c>
      <c r="D25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98" s="47" t="s">
        <v>5145</v>
      </c>
      <c r="G2598" t="s">
        <v>5146</v>
      </c>
      <c r="H25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599" spans="1:8" ht="15" customHeight="1" x14ac:dyDescent="0.25">
      <c r="A2599" t="str">
        <f>MID(TB_CECO[[#This Row],[CECO_T]],1,5)</f>
        <v>3C51Q</v>
      </c>
      <c r="B2599" t="str">
        <f>MID(TB_CECO[[#This Row],[TRABAJO]],1,SEARCH(",",TB_CECO[[#This Row],[TRABAJO]],1)-1)</f>
        <v>Snv 643 NE (Ch 862-1)</v>
      </c>
      <c r="C25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643 NE (Ch 862-1),LIMPIEZA</v>
      </c>
      <c r="D25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5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599" s="47" t="s">
        <v>5147</v>
      </c>
      <c r="G2599" t="s">
        <v>5148</v>
      </c>
      <c r="H25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00" spans="1:8" ht="15" customHeight="1" x14ac:dyDescent="0.25">
      <c r="A2600" t="str">
        <f>MID(TB_CECO[[#This Row],[CECO_T]],1,5)</f>
        <v>3C51Q</v>
      </c>
      <c r="B2600" t="str">
        <f>MID(TB_CECO[[#This Row],[TRABAJO]],1,SEARCH(",",TB_CECO[[#This Row],[TRABAJO]],1)-1)</f>
        <v>Snv 643 NE (Ch 862-1)</v>
      </c>
      <c r="C26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643 NE (Ch 862-1),SERVICIO</v>
      </c>
      <c r="D26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00" s="47" t="s">
        <v>5149</v>
      </c>
      <c r="G2600" t="s">
        <v>5150</v>
      </c>
      <c r="H26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01" spans="1:8" ht="15" customHeight="1" x14ac:dyDescent="0.25">
      <c r="A2601" t="str">
        <f>MID(TB_CECO[[#This Row],[CECO_T]],1,5)</f>
        <v>3C51Q</v>
      </c>
      <c r="B2601" t="str">
        <f>MID(TB_CECO[[#This Row],[TRABAJO]],1,SEARCH(",",TB_CECO[[#This Row],[TRABAJO]],1)-1)</f>
        <v>Snv 643 NE (Ch 862-1)</v>
      </c>
      <c r="C26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643 NE (Ch 862-1),PERFORACION</v>
      </c>
      <c r="D26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01" s="47" t="s">
        <v>5151</v>
      </c>
      <c r="G2601" t="s">
        <v>5152</v>
      </c>
      <c r="H26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02" spans="1:8" ht="15" customHeight="1" x14ac:dyDescent="0.25">
      <c r="A2602" t="str">
        <f>MID(TB_CECO[[#This Row],[CECO_T]],1,5)</f>
        <v>3C51Q</v>
      </c>
      <c r="B2602" t="str">
        <f>MID(TB_CECO[[#This Row],[TRABAJO]],1,SEARCH(",",TB_CECO[[#This Row],[TRABAJO]],1)-1)</f>
        <v>Snv 643 NE (Ch 862-1)</v>
      </c>
      <c r="C26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643 NE (Ch 862-1),SOSTENIMIENTO</v>
      </c>
      <c r="D26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02" s="47" t="s">
        <v>5153</v>
      </c>
      <c r="G2602" t="s">
        <v>5154</v>
      </c>
      <c r="H26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03" spans="1:8" ht="15" customHeight="1" x14ac:dyDescent="0.25">
      <c r="A2603" t="str">
        <f>MID(TB_CECO[[#This Row],[CECO_T]],1,5)</f>
        <v>3C51Q</v>
      </c>
      <c r="B2603" t="str">
        <f>MID(TB_CECO[[#This Row],[TRABAJO]],1,SEARCH(",",TB_CECO[[#This Row],[TRABAJO]],1)-1)</f>
        <v>Snv 643 NE (Ch 862-1)</v>
      </c>
      <c r="C26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643 NE (Ch 862-1),VOLADURA</v>
      </c>
      <c r="D26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03" s="47" t="s">
        <v>5155</v>
      </c>
      <c r="G2603" t="s">
        <v>5156</v>
      </c>
      <c r="H26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04" spans="1:8" ht="15" customHeight="1" x14ac:dyDescent="0.25">
      <c r="A2604" t="str">
        <f>MID(TB_CECO[[#This Row],[CECO_T]],1,5)</f>
        <v>3C51R</v>
      </c>
      <c r="B2604" t="str">
        <f>MID(TB_CECO[[#This Row],[TRABAJO]],1,SEARCH(",",TB_CECO[[#This Row],[TRABAJO]],1)-1)</f>
        <v>Snv 327 NE (Inc 875 SE)</v>
      </c>
      <c r="C26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327 NE (Inc 875 SE),LIMPIEZA</v>
      </c>
      <c r="D26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04" s="47" t="s">
        <v>5157</v>
      </c>
      <c r="G2604" t="s">
        <v>5158</v>
      </c>
      <c r="H26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05" spans="1:8" ht="15" customHeight="1" x14ac:dyDescent="0.25">
      <c r="A2605" t="str">
        <f>MID(TB_CECO[[#This Row],[CECO_T]],1,5)</f>
        <v>3C51R</v>
      </c>
      <c r="B2605" t="str">
        <f>MID(TB_CECO[[#This Row],[TRABAJO]],1,SEARCH(",",TB_CECO[[#This Row],[TRABAJO]],1)-1)</f>
        <v>Snv 327 NE (Inc 875 SE)</v>
      </c>
      <c r="C26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327 NE (Inc 875 SE),SERVICIO</v>
      </c>
      <c r="D26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05" s="47" t="s">
        <v>5159</v>
      </c>
      <c r="G2605" t="s">
        <v>5160</v>
      </c>
      <c r="H26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06" spans="1:8" ht="15" customHeight="1" x14ac:dyDescent="0.25">
      <c r="A2606" t="str">
        <f>MID(TB_CECO[[#This Row],[CECO_T]],1,5)</f>
        <v>3C51R</v>
      </c>
      <c r="B2606" t="str">
        <f>MID(TB_CECO[[#This Row],[TRABAJO]],1,SEARCH(",",TB_CECO[[#This Row],[TRABAJO]],1)-1)</f>
        <v>Snv 327 NE (Inc 875 SE)</v>
      </c>
      <c r="C26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327 NE (Inc 875 SE),PERFORACION</v>
      </c>
      <c r="D26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06" s="47" t="s">
        <v>5161</v>
      </c>
      <c r="G2606" t="s">
        <v>5162</v>
      </c>
      <c r="H26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07" spans="1:8" ht="15" customHeight="1" x14ac:dyDescent="0.25">
      <c r="A2607" t="str">
        <f>MID(TB_CECO[[#This Row],[CECO_T]],1,5)</f>
        <v>3C51R</v>
      </c>
      <c r="B2607" t="str">
        <f>MID(TB_CECO[[#This Row],[TRABAJO]],1,SEARCH(",",TB_CECO[[#This Row],[TRABAJO]],1)-1)</f>
        <v>Snv 327 NE (Inc 875 SE)</v>
      </c>
      <c r="C26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327 NE (Inc 875 SE),SOSTENIMIENTO</v>
      </c>
      <c r="D26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07" s="47" t="s">
        <v>5163</v>
      </c>
      <c r="G2607" t="s">
        <v>5164</v>
      </c>
      <c r="H26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08" spans="1:8" ht="15" customHeight="1" x14ac:dyDescent="0.25">
      <c r="A2608" t="str">
        <f>MID(TB_CECO[[#This Row],[CECO_T]],1,5)</f>
        <v>3C51R</v>
      </c>
      <c r="B2608" t="str">
        <f>MID(TB_CECO[[#This Row],[TRABAJO]],1,SEARCH(",",TB_CECO[[#This Row],[TRABAJO]],1)-1)</f>
        <v>Snv 327 NE (Inc 875 SE)</v>
      </c>
      <c r="C26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327 NE (Inc 875 SE),VOLADURA</v>
      </c>
      <c r="D26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08" s="47" t="s">
        <v>5165</v>
      </c>
      <c r="G2608" t="s">
        <v>5166</v>
      </c>
      <c r="H26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09" spans="1:8" ht="15" customHeight="1" x14ac:dyDescent="0.25">
      <c r="A2609" t="str">
        <f>MID(TB_CECO[[#This Row],[CECO_T]],1,5)</f>
        <v>3C51S</v>
      </c>
      <c r="B2609" t="str">
        <f>MID(TB_CECO[[#This Row],[TRABAJO]],1,SEARCH(",",TB_CECO[[#This Row],[TRABAJO]],1)-1)</f>
        <v>Snv 327 SW (Inc 875 SE)</v>
      </c>
      <c r="C26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327 SW (Inc 875 SE),LIMPIEZA</v>
      </c>
      <c r="D26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09" s="47" t="s">
        <v>5167</v>
      </c>
      <c r="G2609" t="s">
        <v>5168</v>
      </c>
      <c r="H26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10" spans="1:8" ht="15" customHeight="1" x14ac:dyDescent="0.25">
      <c r="A2610" t="str">
        <f>MID(TB_CECO[[#This Row],[CECO_T]],1,5)</f>
        <v>3C51S</v>
      </c>
      <c r="B2610" t="str">
        <f>MID(TB_CECO[[#This Row],[TRABAJO]],1,SEARCH(",",TB_CECO[[#This Row],[TRABAJO]],1)-1)</f>
        <v>Snv 327 SW (Inc 875 SE)</v>
      </c>
      <c r="C26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327 SW (Inc 875 SE),SERVICIO</v>
      </c>
      <c r="D26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10" s="47" t="s">
        <v>5169</v>
      </c>
      <c r="G2610" t="s">
        <v>5170</v>
      </c>
      <c r="H26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11" spans="1:8" ht="15" customHeight="1" x14ac:dyDescent="0.25">
      <c r="A2611" t="str">
        <f>MID(TB_CECO[[#This Row],[CECO_T]],1,5)</f>
        <v>3C51S</v>
      </c>
      <c r="B2611" t="str">
        <f>MID(TB_CECO[[#This Row],[TRABAJO]],1,SEARCH(",",TB_CECO[[#This Row],[TRABAJO]],1)-1)</f>
        <v>Snv 327 SW (Inc 875 SE)</v>
      </c>
      <c r="C26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327 SW (Inc 875 SE),PERFORACION</v>
      </c>
      <c r="D26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11" s="47" t="s">
        <v>5171</v>
      </c>
      <c r="G2611" t="s">
        <v>5172</v>
      </c>
      <c r="H26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12" spans="1:8" ht="15" customHeight="1" x14ac:dyDescent="0.25">
      <c r="A2612" t="str">
        <f>MID(TB_CECO[[#This Row],[CECO_T]],1,5)</f>
        <v>3C51S</v>
      </c>
      <c r="B2612" t="str">
        <f>MID(TB_CECO[[#This Row],[TRABAJO]],1,SEARCH(",",TB_CECO[[#This Row],[TRABAJO]],1)-1)</f>
        <v>Snv 327 SW (Inc 875 SE)</v>
      </c>
      <c r="C26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327 SW (Inc 875 SE),SOSTENIMIENTO</v>
      </c>
      <c r="D26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12" s="47" t="s">
        <v>5173</v>
      </c>
      <c r="G2612" t="s">
        <v>5174</v>
      </c>
      <c r="H26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13" spans="1:8" ht="15" customHeight="1" x14ac:dyDescent="0.25">
      <c r="A2613" t="str">
        <f>MID(TB_CECO[[#This Row],[CECO_T]],1,5)</f>
        <v>3C51S</v>
      </c>
      <c r="B2613" t="str">
        <f>MID(TB_CECO[[#This Row],[TRABAJO]],1,SEARCH(",",TB_CECO[[#This Row],[TRABAJO]],1)-1)</f>
        <v>Snv 327 SW (Inc 875 SE)</v>
      </c>
      <c r="C26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327 SW (Inc 875 SE),VOLADURA</v>
      </c>
      <c r="D26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13" s="47" t="s">
        <v>5175</v>
      </c>
      <c r="G2613" t="s">
        <v>5176</v>
      </c>
      <c r="H26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14" spans="1:8" ht="15" customHeight="1" x14ac:dyDescent="0.25">
      <c r="A2614" t="str">
        <f>MID(TB_CECO[[#This Row],[CECO_T]],1,5)</f>
        <v>3C52S</v>
      </c>
      <c r="B2614" t="str">
        <f>MID(TB_CECO[[#This Row],[TRABAJO]],1,SEARCH(",",TB_CECO[[#This Row],[TRABAJO]],1)-1)</f>
        <v>Snv 650 NE (Tj 862-1 NE)</v>
      </c>
      <c r="C26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650 NE (Tj 862-1 NE),LIMPIEZA</v>
      </c>
      <c r="D26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14" s="47" t="s">
        <v>5177</v>
      </c>
      <c r="G2614" t="s">
        <v>5178</v>
      </c>
      <c r="H26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15" spans="1:8" ht="15" customHeight="1" x14ac:dyDescent="0.25">
      <c r="A2615" t="str">
        <f>MID(TB_CECO[[#This Row],[CECO_T]],1,5)</f>
        <v>3C52S</v>
      </c>
      <c r="B2615" t="str">
        <f>MID(TB_CECO[[#This Row],[TRABAJO]],1,SEARCH(",",TB_CECO[[#This Row],[TRABAJO]],1)-1)</f>
        <v>Snv 650 NE (Tj 862-1 NE)</v>
      </c>
      <c r="C26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650 NE (Tj 862-1 NE),SERVICIO</v>
      </c>
      <c r="D26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15" s="47" t="s">
        <v>5179</v>
      </c>
      <c r="G2615" t="s">
        <v>5180</v>
      </c>
      <c r="H26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16" spans="1:8" ht="15" customHeight="1" x14ac:dyDescent="0.25">
      <c r="A2616" t="str">
        <f>MID(TB_CECO[[#This Row],[CECO_T]],1,5)</f>
        <v>3C52S</v>
      </c>
      <c r="B2616" t="str">
        <f>MID(TB_CECO[[#This Row],[TRABAJO]],1,SEARCH(",",TB_CECO[[#This Row],[TRABAJO]],1)-1)</f>
        <v>Snv 650 NE (Tj 862-1 NE)</v>
      </c>
      <c r="C26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650 NE (Tj 862-1 NE),PERFORACION</v>
      </c>
      <c r="D26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16" s="47" t="s">
        <v>5181</v>
      </c>
      <c r="G2616" t="s">
        <v>5182</v>
      </c>
      <c r="H26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17" spans="1:8" ht="15" customHeight="1" x14ac:dyDescent="0.25">
      <c r="A2617" t="str">
        <f>MID(TB_CECO[[#This Row],[CECO_T]],1,5)</f>
        <v>3C52S</v>
      </c>
      <c r="B2617" t="str">
        <f>MID(TB_CECO[[#This Row],[TRABAJO]],1,SEARCH(",",TB_CECO[[#This Row],[TRABAJO]],1)-1)</f>
        <v>Snv 650 NE (Tj 862-1 NE)</v>
      </c>
      <c r="C26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650 NE (Tj 862-1 NE),SOSTENIMIENTO</v>
      </c>
      <c r="D26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17" s="47" t="s">
        <v>5183</v>
      </c>
      <c r="G2617" t="s">
        <v>5184</v>
      </c>
      <c r="H26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18" spans="1:8" ht="15" customHeight="1" x14ac:dyDescent="0.25">
      <c r="A2618" t="str">
        <f>MID(TB_CECO[[#This Row],[CECO_T]],1,5)</f>
        <v>3C52S</v>
      </c>
      <c r="B2618" t="str">
        <f>MID(TB_CECO[[#This Row],[TRABAJO]],1,SEARCH(",",TB_CECO[[#This Row],[TRABAJO]],1)-1)</f>
        <v>Snv 650 NE (Tj 862-1 NE)</v>
      </c>
      <c r="C26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650 NE (Tj 862-1 NE),VOLADURA</v>
      </c>
      <c r="D26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26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18" s="47" t="s">
        <v>5185</v>
      </c>
      <c r="G2618" t="s">
        <v>5186</v>
      </c>
      <c r="H26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19" spans="1:8" ht="15" customHeight="1" x14ac:dyDescent="0.25">
      <c r="A2619" t="str">
        <f>MID(TB_CECO[[#This Row],[CECO_T]],1,5)</f>
        <v>3C589</v>
      </c>
      <c r="B2619" t="str">
        <f>MID(TB_CECO[[#This Row],[TRABAJO]],1,SEARCH(",",TB_CECO[[#This Row],[TRABAJO]],1)-1)</f>
        <v>Snv 862 SW (Tj 862 SW)</v>
      </c>
      <c r="C26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862 SW (Tj 862 SW),SUMINISTROS</v>
      </c>
      <c r="D26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19" s="47" t="s">
        <v>5187</v>
      </c>
      <c r="G2619" t="s">
        <v>5188</v>
      </c>
      <c r="H26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20" spans="1:8" ht="15" customHeight="1" x14ac:dyDescent="0.25">
      <c r="A2620" t="str">
        <f>MID(TB_CECO[[#This Row],[CECO_T]],1,5)</f>
        <v>3C589</v>
      </c>
      <c r="B2620" t="str">
        <f>MID(TB_CECO[[#This Row],[TRABAJO]],1,SEARCH(",",TB_CECO[[#This Row],[TRABAJO]],1)-1)</f>
        <v>Snv 862 SW (Tj 862 SW)</v>
      </c>
      <c r="C26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862 SW (Tj 862 SW),SOSTENIMIENTO</v>
      </c>
      <c r="D26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20" s="47" t="s">
        <v>5189</v>
      </c>
      <c r="G2620" t="s">
        <v>5190</v>
      </c>
      <c r="H26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21" spans="1:8" ht="15" customHeight="1" x14ac:dyDescent="0.25">
      <c r="A2621" t="str">
        <f>MID(TB_CECO[[#This Row],[CECO_T]],1,5)</f>
        <v>3C589</v>
      </c>
      <c r="B2621" t="str">
        <f>MID(TB_CECO[[#This Row],[TRABAJO]],1,SEARCH(",",TB_CECO[[#This Row],[TRABAJO]],1)-1)</f>
        <v>Snv 862 SW (Tj 862 SW)</v>
      </c>
      <c r="C26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862 SW (Tj 862 SW),SERVICIO</v>
      </c>
      <c r="D26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21" s="47" t="s">
        <v>5191</v>
      </c>
      <c r="G2621" t="s">
        <v>5192</v>
      </c>
      <c r="H26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22" spans="1:8" ht="15" customHeight="1" x14ac:dyDescent="0.25">
      <c r="A2622" t="str">
        <f>MID(TB_CECO[[#This Row],[CECO_T]],1,5)</f>
        <v>3C589</v>
      </c>
      <c r="B2622" t="str">
        <f>MID(TB_CECO[[#This Row],[TRABAJO]],1,SEARCH(",",TB_CECO[[#This Row],[TRABAJO]],1)-1)</f>
        <v>Snv 862 SW (Tj 862 SW)</v>
      </c>
      <c r="C26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862 SW (Tj 862 SW),REHABILITACION</v>
      </c>
      <c r="D26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22" s="47" t="s">
        <v>5193</v>
      </c>
      <c r="G2622" t="s">
        <v>5194</v>
      </c>
      <c r="H26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23" spans="1:8" ht="15" customHeight="1" x14ac:dyDescent="0.25">
      <c r="A2623" t="str">
        <f>MID(TB_CECO[[#This Row],[CECO_T]],1,5)</f>
        <v>3C590</v>
      </c>
      <c r="B2623" t="str">
        <f>MID(TB_CECO[[#This Row],[TRABAJO]],1,SEARCH(",",TB_CECO[[#This Row],[TRABAJO]],1)-1)</f>
        <v>Snv 290 NE (Inc 875 SE)</v>
      </c>
      <c r="C26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290 NE (Inc 875 SE),SUMINISTROS</v>
      </c>
      <c r="D26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23" s="47" t="s">
        <v>5195</v>
      </c>
      <c r="G2623" t="s">
        <v>5196</v>
      </c>
      <c r="H26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24" spans="1:8" ht="15" customHeight="1" x14ac:dyDescent="0.25">
      <c r="A2624" t="str">
        <f>MID(TB_CECO[[#This Row],[CECO_T]],1,5)</f>
        <v>3C590</v>
      </c>
      <c r="B2624" t="str">
        <f>MID(TB_CECO[[#This Row],[TRABAJO]],1,SEARCH(",",TB_CECO[[#This Row],[TRABAJO]],1)-1)</f>
        <v>Snv 290 NE (Inc 875 SE)</v>
      </c>
      <c r="C26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290 NE (Inc 875 SE),SOSTENIMIENTO</v>
      </c>
      <c r="D26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24" s="47" t="s">
        <v>5197</v>
      </c>
      <c r="G2624" t="s">
        <v>5198</v>
      </c>
      <c r="H26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25" spans="1:8" ht="15" customHeight="1" x14ac:dyDescent="0.25">
      <c r="A2625" t="str">
        <f>MID(TB_CECO[[#This Row],[CECO_T]],1,5)</f>
        <v>3C590</v>
      </c>
      <c r="B2625" t="str">
        <f>MID(TB_CECO[[#This Row],[TRABAJO]],1,SEARCH(",",TB_CECO[[#This Row],[TRABAJO]],1)-1)</f>
        <v>Snv 290 NE (Inc 875 SE)</v>
      </c>
      <c r="C26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290 NE (Inc 875 SE),SERVICIO</v>
      </c>
      <c r="D26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25" s="47" t="s">
        <v>5199</v>
      </c>
      <c r="G2625" t="s">
        <v>5200</v>
      </c>
      <c r="H26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26" spans="1:8" ht="15" customHeight="1" x14ac:dyDescent="0.25">
      <c r="A2626" t="str">
        <f>MID(TB_CECO[[#This Row],[CECO_T]],1,5)</f>
        <v>3C590</v>
      </c>
      <c r="B2626" t="str">
        <f>MID(TB_CECO[[#This Row],[TRABAJO]],1,SEARCH(",",TB_CECO[[#This Row],[TRABAJO]],1)-1)</f>
        <v>Snv 290 NE (Inc 875 SE)</v>
      </c>
      <c r="C26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290 NE (Inc 875 SE),REHABILITACION</v>
      </c>
      <c r="D26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26" s="47" t="s">
        <v>5201</v>
      </c>
      <c r="G2626" t="s">
        <v>5202</v>
      </c>
      <c r="H26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27" spans="1:8" ht="15" customHeight="1" x14ac:dyDescent="0.25">
      <c r="A2627" t="str">
        <f>MID(TB_CECO[[#This Row],[CECO_T]],1,5)</f>
        <v>3C598</v>
      </c>
      <c r="B2627" t="str">
        <f>MID(TB_CECO[[#This Row],[TRABAJO]],1,SEARCH(",",TB_CECO[[#This Row],[TRABAJO]],1)-1)</f>
        <v>Snv 290 SW (Inc 875 SE)</v>
      </c>
      <c r="C26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290 SW (Inc 875 SE),SUMINISTROS</v>
      </c>
      <c r="D26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27" s="47" t="s">
        <v>5203</v>
      </c>
      <c r="G2627" t="s">
        <v>5204</v>
      </c>
      <c r="H26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28" spans="1:8" ht="15" customHeight="1" x14ac:dyDescent="0.25">
      <c r="A2628" t="str">
        <f>MID(TB_CECO[[#This Row],[CECO_T]],1,5)</f>
        <v>3C598</v>
      </c>
      <c r="B2628" t="str">
        <f>MID(TB_CECO[[#This Row],[TRABAJO]],1,SEARCH(",",TB_CECO[[#This Row],[TRABAJO]],1)-1)</f>
        <v>Snv 290 SW (Inc 875 SE)</v>
      </c>
      <c r="C26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290 SW (Inc 875 SE),SOSTENIMIENTO</v>
      </c>
      <c r="D26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28" s="47" t="s">
        <v>5205</v>
      </c>
      <c r="G2628" t="s">
        <v>5206</v>
      </c>
      <c r="H26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29" spans="1:8" ht="15" customHeight="1" x14ac:dyDescent="0.25">
      <c r="A2629" t="str">
        <f>MID(TB_CECO[[#This Row],[CECO_T]],1,5)</f>
        <v>3C598</v>
      </c>
      <c r="B2629" t="str">
        <f>MID(TB_CECO[[#This Row],[TRABAJO]],1,SEARCH(",",TB_CECO[[#This Row],[TRABAJO]],1)-1)</f>
        <v>Snv 290 SW (Inc 875 SE)</v>
      </c>
      <c r="C26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290 SW (Inc 875 SE),SERVICIO</v>
      </c>
      <c r="D26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29" s="47" t="s">
        <v>5207</v>
      </c>
      <c r="G2629" t="s">
        <v>5208</v>
      </c>
      <c r="H26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30" spans="1:8" ht="15" customHeight="1" x14ac:dyDescent="0.25">
      <c r="A2630" t="str">
        <f>MID(TB_CECO[[#This Row],[CECO_T]],1,5)</f>
        <v>3C598</v>
      </c>
      <c r="B2630" t="str">
        <f>MID(TB_CECO[[#This Row],[TRABAJO]],1,SEARCH(",",TB_CECO[[#This Row],[TRABAJO]],1)-1)</f>
        <v>Snv 290 SW (Inc 875 SE)</v>
      </c>
      <c r="C26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290 SW (Inc 875 SE),REHABILITACION</v>
      </c>
      <c r="D26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30" s="47" t="s">
        <v>5209</v>
      </c>
      <c r="G2630" t="s">
        <v>5210</v>
      </c>
      <c r="H26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31" spans="1:8" ht="15" customHeight="1" x14ac:dyDescent="0.25">
      <c r="A2631" t="str">
        <f>MID(TB_CECO[[#This Row],[CECO_T]],1,5)</f>
        <v>3D31V</v>
      </c>
      <c r="B2631" t="str">
        <f>MID(TB_CECO[[#This Row],[TRABAJO]],1,SEARCH(",",TB_CECO[[#This Row],[TRABAJO]],1)-1)</f>
        <v>Ch 914 (Snv 885 SW)</v>
      </c>
      <c r="C26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914 (Snv 885 SW),LIMPIEZA</v>
      </c>
      <c r="D26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31" s="47" t="s">
        <v>5211</v>
      </c>
      <c r="G2631" t="s">
        <v>5212</v>
      </c>
      <c r="H26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32" spans="1:8" ht="15" customHeight="1" x14ac:dyDescent="0.25">
      <c r="A2632" t="str">
        <f>MID(TB_CECO[[#This Row],[CECO_T]],1,5)</f>
        <v>3D31V</v>
      </c>
      <c r="B2632" t="str">
        <f>MID(TB_CECO[[#This Row],[TRABAJO]],1,SEARCH(",",TB_CECO[[#This Row],[TRABAJO]],1)-1)</f>
        <v>Ch 914 (Snv 885 SW)</v>
      </c>
      <c r="C26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914 (Snv 885 SW),SERVICIO</v>
      </c>
      <c r="D26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32" s="47" t="s">
        <v>5213</v>
      </c>
      <c r="G2632" t="s">
        <v>5214</v>
      </c>
      <c r="H26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33" spans="1:8" ht="15" customHeight="1" x14ac:dyDescent="0.25">
      <c r="A2633" t="str">
        <f>MID(TB_CECO[[#This Row],[CECO_T]],1,5)</f>
        <v>3D31V</v>
      </c>
      <c r="B2633" t="str">
        <f>MID(TB_CECO[[#This Row],[TRABAJO]],1,SEARCH(",",TB_CECO[[#This Row],[TRABAJO]],1)-1)</f>
        <v>Ch 914 (Snv 885 SW)</v>
      </c>
      <c r="C26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914 (Snv 885 SW),PERFORACION</v>
      </c>
      <c r="D26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33" s="47" t="s">
        <v>5215</v>
      </c>
      <c r="G2633" t="s">
        <v>5216</v>
      </c>
      <c r="H26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34" spans="1:8" ht="15" customHeight="1" x14ac:dyDescent="0.25">
      <c r="A2634" t="str">
        <f>MID(TB_CECO[[#This Row],[CECO_T]],1,5)</f>
        <v>3D31V</v>
      </c>
      <c r="B2634" t="str">
        <f>MID(TB_CECO[[#This Row],[TRABAJO]],1,SEARCH(",",TB_CECO[[#This Row],[TRABAJO]],1)-1)</f>
        <v>Ch 914 (Snv 885 SW)</v>
      </c>
      <c r="C26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914 (Snv 885 SW),SOSTENIMIENTO</v>
      </c>
      <c r="D26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34" s="47" t="s">
        <v>5217</v>
      </c>
      <c r="G2634" t="s">
        <v>5218</v>
      </c>
      <c r="H26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35" spans="1:8" ht="15" customHeight="1" x14ac:dyDescent="0.25">
      <c r="A2635" t="str">
        <f>MID(TB_CECO[[#This Row],[CECO_T]],1,5)</f>
        <v>3D31V</v>
      </c>
      <c r="B2635" t="str">
        <f>MID(TB_CECO[[#This Row],[TRABAJO]],1,SEARCH(",",TB_CECO[[#This Row],[TRABAJO]],1)-1)</f>
        <v>Ch 914 (Snv 885 SW)</v>
      </c>
      <c r="C26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914 (Snv 885 SW),VOLADURA</v>
      </c>
      <c r="D26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35" s="47" t="s">
        <v>5219</v>
      </c>
      <c r="G2635" t="s">
        <v>5220</v>
      </c>
      <c r="H26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36" spans="1:8" ht="15" customHeight="1" x14ac:dyDescent="0.25">
      <c r="A2636" t="str">
        <f>MID(TB_CECO[[#This Row],[CECO_T]],1,5)</f>
        <v>3D364</v>
      </c>
      <c r="B2636" t="str">
        <f>MID(TB_CECO[[#This Row],[TRABAJO]],1,SEARCH(",",TB_CECO[[#This Row],[TRABAJO]],1)-1)</f>
        <v>Ch 122 (Snv 102 SW)</v>
      </c>
      <c r="C26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122 (Snv 102 SW),SUMINISTROS</v>
      </c>
      <c r="D26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36" s="47" t="s">
        <v>5221</v>
      </c>
      <c r="G2636" t="s">
        <v>5222</v>
      </c>
      <c r="H26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37" spans="1:8" ht="15" customHeight="1" x14ac:dyDescent="0.25">
      <c r="A2637" t="str">
        <f>MID(TB_CECO[[#This Row],[CECO_T]],1,5)</f>
        <v>3D364</v>
      </c>
      <c r="B2637" t="str">
        <f>MID(TB_CECO[[#This Row],[TRABAJO]],1,SEARCH(",",TB_CECO[[#This Row],[TRABAJO]],1)-1)</f>
        <v>Ch 122 (Snv 102 SW)</v>
      </c>
      <c r="C26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122 (Snv 102 SW),SOSTENIMIENTO</v>
      </c>
      <c r="D26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37" s="47" t="s">
        <v>5223</v>
      </c>
      <c r="G2637" t="s">
        <v>5224</v>
      </c>
      <c r="H26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38" spans="1:8" ht="15" customHeight="1" x14ac:dyDescent="0.25">
      <c r="A2638" t="str">
        <f>MID(TB_CECO[[#This Row],[CECO_T]],1,5)</f>
        <v>3D364</v>
      </c>
      <c r="B2638" t="str">
        <f>MID(TB_CECO[[#This Row],[TRABAJO]],1,SEARCH(",",TB_CECO[[#This Row],[TRABAJO]],1)-1)</f>
        <v>Ch 122 (Snv 102 SW)</v>
      </c>
      <c r="C26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122 (Snv 102 SW),SERVICIO</v>
      </c>
      <c r="D26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38" s="47" t="s">
        <v>5225</v>
      </c>
      <c r="G2638" t="s">
        <v>5226</v>
      </c>
      <c r="H26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39" spans="1:8" ht="15" customHeight="1" x14ac:dyDescent="0.25">
      <c r="A2639" t="str">
        <f>MID(TB_CECO[[#This Row],[CECO_T]],1,5)</f>
        <v>3D364</v>
      </c>
      <c r="B2639" t="str">
        <f>MID(TB_CECO[[#This Row],[TRABAJO]],1,SEARCH(",",TB_CECO[[#This Row],[TRABAJO]],1)-1)</f>
        <v>Ch 122 (Snv 102 SW)</v>
      </c>
      <c r="C26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122 (Snv 102 SW),REHABILITACION</v>
      </c>
      <c r="D26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39" s="47" t="s">
        <v>5227</v>
      </c>
      <c r="G2639" t="s">
        <v>5228</v>
      </c>
      <c r="H26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40" spans="1:8" ht="15" customHeight="1" x14ac:dyDescent="0.25">
      <c r="A2640" t="str">
        <f>MID(TB_CECO[[#This Row],[CECO_T]],1,5)</f>
        <v>3D368</v>
      </c>
      <c r="B2640" t="str">
        <f>MID(TB_CECO[[#This Row],[TRABAJO]],1,SEARCH(",",TB_CECO[[#This Row],[TRABAJO]],1)-1)</f>
        <v>Ch 056 (Snv 089 NE)</v>
      </c>
      <c r="C26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056 (Snv 089 NE),SUMINISTROS</v>
      </c>
      <c r="D26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40" s="47" t="s">
        <v>5229</v>
      </c>
      <c r="G2640" t="s">
        <v>5230</v>
      </c>
      <c r="H26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41" spans="1:8" ht="15" customHeight="1" x14ac:dyDescent="0.25">
      <c r="A2641" t="str">
        <f>MID(TB_CECO[[#This Row],[CECO_T]],1,5)</f>
        <v>3D368</v>
      </c>
      <c r="B2641" t="str">
        <f>MID(TB_CECO[[#This Row],[TRABAJO]],1,SEARCH(",",TB_CECO[[#This Row],[TRABAJO]],1)-1)</f>
        <v>Ch 056 (Snv 089 NE)</v>
      </c>
      <c r="C26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056 (Snv 089 NE),SOSTENIMIENTO</v>
      </c>
      <c r="D26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41" s="47" t="s">
        <v>5231</v>
      </c>
      <c r="G2641" t="s">
        <v>5232</v>
      </c>
      <c r="H26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42" spans="1:8" ht="15" customHeight="1" x14ac:dyDescent="0.25">
      <c r="A2642" t="str">
        <f>MID(TB_CECO[[#This Row],[CECO_T]],1,5)</f>
        <v>3D368</v>
      </c>
      <c r="B2642" t="str">
        <f>MID(TB_CECO[[#This Row],[TRABAJO]],1,SEARCH(",",TB_CECO[[#This Row],[TRABAJO]],1)-1)</f>
        <v>Ch 056 (Snv 089 NE)</v>
      </c>
      <c r="C26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056 (Snv 089 NE),SERVICIO</v>
      </c>
      <c r="D26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42" s="47" t="s">
        <v>5233</v>
      </c>
      <c r="G2642" t="s">
        <v>5234</v>
      </c>
      <c r="H26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43" spans="1:8" ht="15" customHeight="1" x14ac:dyDescent="0.25">
      <c r="A2643" t="str">
        <f>MID(TB_CECO[[#This Row],[CECO_T]],1,5)</f>
        <v>3D368</v>
      </c>
      <c r="B2643" t="str">
        <f>MID(TB_CECO[[#This Row],[TRABAJO]],1,SEARCH(",",TB_CECO[[#This Row],[TRABAJO]],1)-1)</f>
        <v>Ch 056 (Snv 089 NE)</v>
      </c>
      <c r="C26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056 (Snv 089 NE),REHABILITACION</v>
      </c>
      <c r="D26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43" s="47" t="s">
        <v>5235</v>
      </c>
      <c r="G2643" t="s">
        <v>5236</v>
      </c>
      <c r="H26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44" spans="1:8" ht="15" customHeight="1" x14ac:dyDescent="0.25">
      <c r="A2644" t="str">
        <f>MID(TB_CECO[[#This Row],[CECO_T]],1,5)</f>
        <v>3D373</v>
      </c>
      <c r="B2644" t="str">
        <f>MID(TB_CECO[[#This Row],[TRABAJO]],1,SEARCH(",",TB_CECO[[#This Row],[TRABAJO]],1)-1)</f>
        <v>Ch 072 (Snv 089 NE)</v>
      </c>
      <c r="C26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072 (Snv 089 NE),LIMPIEZA</v>
      </c>
      <c r="D26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44" s="47" t="s">
        <v>5237</v>
      </c>
      <c r="G2644" t="s">
        <v>5238</v>
      </c>
      <c r="H26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45" spans="1:8" ht="15" customHeight="1" x14ac:dyDescent="0.25">
      <c r="A2645" t="str">
        <f>MID(TB_CECO[[#This Row],[CECO_T]],1,5)</f>
        <v>3D373</v>
      </c>
      <c r="B2645" t="str">
        <f>MID(TB_CECO[[#This Row],[TRABAJO]],1,SEARCH(",",TB_CECO[[#This Row],[TRABAJO]],1)-1)</f>
        <v>Ch 072 (Snv 089 NE)</v>
      </c>
      <c r="C26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072 (Snv 089 NE),SERVICIO</v>
      </c>
      <c r="D26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45" s="47" t="s">
        <v>5239</v>
      </c>
      <c r="G2645" t="s">
        <v>5240</v>
      </c>
      <c r="H26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46" spans="1:8" ht="15" customHeight="1" x14ac:dyDescent="0.25">
      <c r="A2646" t="str">
        <f>MID(TB_CECO[[#This Row],[CECO_T]],1,5)</f>
        <v>3D373</v>
      </c>
      <c r="B2646" t="str">
        <f>MID(TB_CECO[[#This Row],[TRABAJO]],1,SEARCH(",",TB_CECO[[#This Row],[TRABAJO]],1)-1)</f>
        <v>Ch 072 (Snv 089 NE)</v>
      </c>
      <c r="C26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072 (Snv 089 NE),PERFORACION</v>
      </c>
      <c r="D26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46" s="47" t="s">
        <v>5241</v>
      </c>
      <c r="G2646" t="s">
        <v>5242</v>
      </c>
      <c r="H26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47" spans="1:8" ht="15" customHeight="1" x14ac:dyDescent="0.25">
      <c r="A2647" t="str">
        <f>MID(TB_CECO[[#This Row],[CECO_T]],1,5)</f>
        <v>3D373</v>
      </c>
      <c r="B2647" t="str">
        <f>MID(TB_CECO[[#This Row],[TRABAJO]],1,SEARCH(",",TB_CECO[[#This Row],[TRABAJO]],1)-1)</f>
        <v>Ch 072 (Snv 089 NE)</v>
      </c>
      <c r="C26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072 (Snv 089 NE),SOSTENIMIENTO</v>
      </c>
      <c r="D26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47" s="47" t="s">
        <v>5243</v>
      </c>
      <c r="G2647" t="s">
        <v>5244</v>
      </c>
      <c r="H26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48" spans="1:8" ht="15" customHeight="1" x14ac:dyDescent="0.25">
      <c r="A2648" t="str">
        <f>MID(TB_CECO[[#This Row],[CECO_T]],1,5)</f>
        <v>3D373</v>
      </c>
      <c r="B2648" t="str">
        <f>MID(TB_CECO[[#This Row],[TRABAJO]],1,SEARCH(",",TB_CECO[[#This Row],[TRABAJO]],1)-1)</f>
        <v>Ch 072 (Snv 089 NE)</v>
      </c>
      <c r="C26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072 (Snv 089 NE),VOLADURA</v>
      </c>
      <c r="D26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48" s="47" t="s">
        <v>5245</v>
      </c>
      <c r="G2648" t="s">
        <v>5246</v>
      </c>
      <c r="H26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49" spans="1:8" ht="15" customHeight="1" x14ac:dyDescent="0.25">
      <c r="A2649" t="str">
        <f>MID(TB_CECO[[#This Row],[CECO_T]],1,5)</f>
        <v>3D384</v>
      </c>
      <c r="B2649" t="str">
        <f>MID(TB_CECO[[#This Row],[TRABAJO]],1,SEARCH(",",TB_CECO[[#This Row],[TRABAJO]],1)-1)</f>
        <v>Ch 121 (Tj 080 SW)</v>
      </c>
      <c r="C26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121 (Tj 080 SW),LIMPIEZA</v>
      </c>
      <c r="D26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49" s="47" t="s">
        <v>5247</v>
      </c>
      <c r="G2649" t="s">
        <v>5248</v>
      </c>
      <c r="H26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50" spans="1:8" ht="15" customHeight="1" x14ac:dyDescent="0.25">
      <c r="A2650" t="str">
        <f>MID(TB_CECO[[#This Row],[CECO_T]],1,5)</f>
        <v>3D384</v>
      </c>
      <c r="B2650" t="str">
        <f>MID(TB_CECO[[#This Row],[TRABAJO]],1,SEARCH(",",TB_CECO[[#This Row],[TRABAJO]],1)-1)</f>
        <v>Ch 121 (Tj 080 SW)</v>
      </c>
      <c r="C26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121 (Tj 080 SW),SERVICIO</v>
      </c>
      <c r="D26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50" s="47" t="s">
        <v>5249</v>
      </c>
      <c r="G2650" t="s">
        <v>5250</v>
      </c>
      <c r="H26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51" spans="1:8" ht="15" customHeight="1" x14ac:dyDescent="0.25">
      <c r="A2651" t="str">
        <f>MID(TB_CECO[[#This Row],[CECO_T]],1,5)</f>
        <v>3D384</v>
      </c>
      <c r="B2651" t="str">
        <f>MID(TB_CECO[[#This Row],[TRABAJO]],1,SEARCH(",",TB_CECO[[#This Row],[TRABAJO]],1)-1)</f>
        <v>Ch 121 (Tj 080 SW)</v>
      </c>
      <c r="C26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121 (Tj 080 SW),PERFORACION</v>
      </c>
      <c r="D26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51" s="47" t="s">
        <v>5251</v>
      </c>
      <c r="G2651" t="s">
        <v>5252</v>
      </c>
      <c r="H26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52" spans="1:8" ht="15" customHeight="1" x14ac:dyDescent="0.25">
      <c r="A2652" t="str">
        <f>MID(TB_CECO[[#This Row],[CECO_T]],1,5)</f>
        <v>3D384</v>
      </c>
      <c r="B2652" t="str">
        <f>MID(TB_CECO[[#This Row],[TRABAJO]],1,SEARCH(",",TB_CECO[[#This Row],[TRABAJO]],1)-1)</f>
        <v>Ch 121 (Tj 080 SW)</v>
      </c>
      <c r="C26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121 (Tj 080 SW),SOSTENIMIENTO</v>
      </c>
      <c r="D26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52" s="47" t="s">
        <v>5253</v>
      </c>
      <c r="G2652" t="s">
        <v>5254</v>
      </c>
      <c r="H26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53" spans="1:8" ht="15" customHeight="1" x14ac:dyDescent="0.25">
      <c r="A2653" t="str">
        <f>MID(TB_CECO[[#This Row],[CECO_T]],1,5)</f>
        <v>3D384</v>
      </c>
      <c r="B2653" t="str">
        <f>MID(TB_CECO[[#This Row],[TRABAJO]],1,SEARCH(",",TB_CECO[[#This Row],[TRABAJO]],1)-1)</f>
        <v>Ch 121 (Tj 080 SW)</v>
      </c>
      <c r="C26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121 (Tj 080 SW),VOLADURA</v>
      </c>
      <c r="D26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53" s="47" t="s">
        <v>5255</v>
      </c>
      <c r="G2653" t="s">
        <v>5256</v>
      </c>
      <c r="H26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54" spans="1:8" ht="15" customHeight="1" x14ac:dyDescent="0.25">
      <c r="A2654" t="str">
        <f>MID(TB_CECO[[#This Row],[CECO_T]],1,5)</f>
        <v>3D394</v>
      </c>
      <c r="B2654" t="str">
        <f>MID(TB_CECO[[#This Row],[TRABAJO]],1,SEARCH(",",TB_CECO[[#This Row],[TRABAJO]],1)-1)</f>
        <v>Ch 936 (Snv 915 NE)</v>
      </c>
      <c r="C26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936 (Snv 915 NE),LIMPIEZA</v>
      </c>
      <c r="D26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54" s="47" t="s">
        <v>5257</v>
      </c>
      <c r="G2654" t="s">
        <v>5258</v>
      </c>
      <c r="H26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55" spans="1:8" ht="15" customHeight="1" x14ac:dyDescent="0.25">
      <c r="A2655" t="str">
        <f>MID(TB_CECO[[#This Row],[CECO_T]],1,5)</f>
        <v>3D394</v>
      </c>
      <c r="B2655" t="str">
        <f>MID(TB_CECO[[#This Row],[TRABAJO]],1,SEARCH(",",TB_CECO[[#This Row],[TRABAJO]],1)-1)</f>
        <v>Ch 936 (Snv 915 NE)</v>
      </c>
      <c r="C26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936 (Snv 915 NE),SERVICIO</v>
      </c>
      <c r="D26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55" s="47" t="s">
        <v>5259</v>
      </c>
      <c r="G2655" t="s">
        <v>5260</v>
      </c>
      <c r="H26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56" spans="1:8" ht="15" customHeight="1" x14ac:dyDescent="0.25">
      <c r="A2656" t="str">
        <f>MID(TB_CECO[[#This Row],[CECO_T]],1,5)</f>
        <v>3D394</v>
      </c>
      <c r="B2656" t="str">
        <f>MID(TB_CECO[[#This Row],[TRABAJO]],1,SEARCH(",",TB_CECO[[#This Row],[TRABAJO]],1)-1)</f>
        <v>Ch 936 (Snv 915 NE)</v>
      </c>
      <c r="C26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936 (Snv 915 NE),PERFORACION</v>
      </c>
      <c r="D26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56" s="47" t="s">
        <v>5261</v>
      </c>
      <c r="G2656" t="s">
        <v>5262</v>
      </c>
      <c r="H26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57" spans="1:8" ht="15" customHeight="1" x14ac:dyDescent="0.25">
      <c r="A2657" t="str">
        <f>MID(TB_CECO[[#This Row],[CECO_T]],1,5)</f>
        <v>3D394</v>
      </c>
      <c r="B2657" t="str">
        <f>MID(TB_CECO[[#This Row],[TRABAJO]],1,SEARCH(",",TB_CECO[[#This Row],[TRABAJO]],1)-1)</f>
        <v>Ch 936 (Snv 915 NE)</v>
      </c>
      <c r="C26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936 (Snv 915 NE),SOSTENIMIENTO</v>
      </c>
      <c r="D26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57" s="47" t="s">
        <v>5263</v>
      </c>
      <c r="G2657" t="s">
        <v>5264</v>
      </c>
      <c r="H26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58" spans="1:8" ht="15" customHeight="1" x14ac:dyDescent="0.25">
      <c r="A2658" t="str">
        <f>MID(TB_CECO[[#This Row],[CECO_T]],1,5)</f>
        <v>3D394</v>
      </c>
      <c r="B2658" t="str">
        <f>MID(TB_CECO[[#This Row],[TRABAJO]],1,SEARCH(",",TB_CECO[[#This Row],[TRABAJO]],1)-1)</f>
        <v>Ch 936 (Snv 915 NE)</v>
      </c>
      <c r="C26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936 (Snv 915 NE),VOLADURA</v>
      </c>
      <c r="D26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58" s="47" t="s">
        <v>5265</v>
      </c>
      <c r="G2658" t="s">
        <v>5266</v>
      </c>
      <c r="H26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59" spans="1:8" ht="15" customHeight="1" x14ac:dyDescent="0.25">
      <c r="A2659" t="str">
        <f>MID(TB_CECO[[#This Row],[CECO_T]],1,5)</f>
        <v>3D51I</v>
      </c>
      <c r="B2659" t="str">
        <f>MID(TB_CECO[[#This Row],[TRABAJO]],1,SEARCH(",",TB_CECO[[#This Row],[TRABAJO]],1)-1)</f>
        <v>Snv 094 NE (Tj 080 SW)</v>
      </c>
      <c r="C26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NE (Tj 080 SW),LIMPIEZA</v>
      </c>
      <c r="D26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59" s="47" t="s">
        <v>5267</v>
      </c>
      <c r="G2659" t="s">
        <v>5268</v>
      </c>
      <c r="H26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60" spans="1:8" ht="15" customHeight="1" x14ac:dyDescent="0.25">
      <c r="A2660" t="str">
        <f>MID(TB_CECO[[#This Row],[CECO_T]],1,5)</f>
        <v>3D51I</v>
      </c>
      <c r="B2660" t="str">
        <f>MID(TB_CECO[[#This Row],[TRABAJO]],1,SEARCH(",",TB_CECO[[#This Row],[TRABAJO]],1)-1)</f>
        <v>Snv 094 NE (Tj 080 SW)</v>
      </c>
      <c r="C26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NE (Tj 080 SW),SERVICIO</v>
      </c>
      <c r="D26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60" s="47" t="s">
        <v>5269</v>
      </c>
      <c r="G2660" t="s">
        <v>5270</v>
      </c>
      <c r="H26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61" spans="1:8" ht="15" customHeight="1" x14ac:dyDescent="0.25">
      <c r="A2661" t="str">
        <f>MID(TB_CECO[[#This Row],[CECO_T]],1,5)</f>
        <v>3D51I</v>
      </c>
      <c r="B2661" t="str">
        <f>MID(TB_CECO[[#This Row],[TRABAJO]],1,SEARCH(",",TB_CECO[[#This Row],[TRABAJO]],1)-1)</f>
        <v>Snv 094 NE (Tj 080 SW)</v>
      </c>
      <c r="C26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NE (Tj 080 SW),PERFORACION</v>
      </c>
      <c r="D26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61" s="47" t="s">
        <v>5271</v>
      </c>
      <c r="G2661" t="s">
        <v>5272</v>
      </c>
      <c r="H26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62" spans="1:8" ht="15" customHeight="1" x14ac:dyDescent="0.25">
      <c r="A2662" t="str">
        <f>MID(TB_CECO[[#This Row],[CECO_T]],1,5)</f>
        <v>3D51I</v>
      </c>
      <c r="B2662" t="str">
        <f>MID(TB_CECO[[#This Row],[TRABAJO]],1,SEARCH(",",TB_CECO[[#This Row],[TRABAJO]],1)-1)</f>
        <v>Snv 094 NE (Tj 080 SW)</v>
      </c>
      <c r="C26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NE (Tj 080 SW),SOSTENIMIENTO</v>
      </c>
      <c r="D26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62" s="47" t="s">
        <v>5273</v>
      </c>
      <c r="G2662" t="s">
        <v>5274</v>
      </c>
      <c r="H26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63" spans="1:8" ht="15" customHeight="1" x14ac:dyDescent="0.25">
      <c r="A2663" t="str">
        <f>MID(TB_CECO[[#This Row],[CECO_T]],1,5)</f>
        <v>3D51I</v>
      </c>
      <c r="B2663" t="str">
        <f>MID(TB_CECO[[#This Row],[TRABAJO]],1,SEARCH(",",TB_CECO[[#This Row],[TRABAJO]],1)-1)</f>
        <v>Snv 094 NE (Tj 080 SW)</v>
      </c>
      <c r="C26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NE (Tj 080 SW),VOLADURA</v>
      </c>
      <c r="D26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63" s="47" t="s">
        <v>5275</v>
      </c>
      <c r="G2663" t="s">
        <v>5276</v>
      </c>
      <c r="H26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64" spans="1:8" ht="15" customHeight="1" x14ac:dyDescent="0.25">
      <c r="A2664" t="str">
        <f>MID(TB_CECO[[#This Row],[CECO_T]],1,5)</f>
        <v>3D51L</v>
      </c>
      <c r="B2664" t="str">
        <f>MID(TB_CECO[[#This Row],[TRABAJO]],1,SEARCH(",",TB_CECO[[#This Row],[TRABAJO]],1)-1)</f>
        <v>Snv 070 NE (Ch 056)</v>
      </c>
      <c r="C26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(Ch 056),LIMPIEZA</v>
      </c>
      <c r="D26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64" s="47" t="s">
        <v>5277</v>
      </c>
      <c r="G2664" t="s">
        <v>5278</v>
      </c>
      <c r="H26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65" spans="1:8" ht="15" customHeight="1" x14ac:dyDescent="0.25">
      <c r="A2665" t="str">
        <f>MID(TB_CECO[[#This Row],[CECO_T]],1,5)</f>
        <v>3D51L</v>
      </c>
      <c r="B2665" t="str">
        <f>MID(TB_CECO[[#This Row],[TRABAJO]],1,SEARCH(",",TB_CECO[[#This Row],[TRABAJO]],1)-1)</f>
        <v>Snv 070 NE (Ch 056)</v>
      </c>
      <c r="C26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(Ch 056),SERVICIO</v>
      </c>
      <c r="D26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65" s="47" t="s">
        <v>5279</v>
      </c>
      <c r="G2665" t="s">
        <v>5280</v>
      </c>
      <c r="H26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66" spans="1:8" ht="15" customHeight="1" x14ac:dyDescent="0.25">
      <c r="A2666" t="str">
        <f>MID(TB_CECO[[#This Row],[CECO_T]],1,5)</f>
        <v>3D51L</v>
      </c>
      <c r="B2666" t="str">
        <f>MID(TB_CECO[[#This Row],[TRABAJO]],1,SEARCH(",",TB_CECO[[#This Row],[TRABAJO]],1)-1)</f>
        <v>Snv 070 NE (Ch 056)</v>
      </c>
      <c r="C26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(Ch 056),PERFORACION</v>
      </c>
      <c r="D26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66" s="47" t="s">
        <v>5281</v>
      </c>
      <c r="G2666" t="s">
        <v>5282</v>
      </c>
      <c r="H26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67" spans="1:8" ht="15" customHeight="1" x14ac:dyDescent="0.25">
      <c r="A2667" t="str">
        <f>MID(TB_CECO[[#This Row],[CECO_T]],1,5)</f>
        <v>3D51L</v>
      </c>
      <c r="B2667" t="str">
        <f>MID(TB_CECO[[#This Row],[TRABAJO]],1,SEARCH(",",TB_CECO[[#This Row],[TRABAJO]],1)-1)</f>
        <v>Snv 070 NE (Ch 056)</v>
      </c>
      <c r="C26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(Ch 056),SOSTENIMIENTO</v>
      </c>
      <c r="D26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67" s="47" t="s">
        <v>5283</v>
      </c>
      <c r="G2667" t="s">
        <v>5284</v>
      </c>
      <c r="H26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68" spans="1:8" ht="15" customHeight="1" x14ac:dyDescent="0.25">
      <c r="A2668" t="str">
        <f>MID(TB_CECO[[#This Row],[CECO_T]],1,5)</f>
        <v>3D51L</v>
      </c>
      <c r="B2668" t="str">
        <f>MID(TB_CECO[[#This Row],[TRABAJO]],1,SEARCH(",",TB_CECO[[#This Row],[TRABAJO]],1)-1)</f>
        <v>Snv 070 NE (Ch 056)</v>
      </c>
      <c r="C26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(Ch 056),VOLADURA</v>
      </c>
      <c r="D26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68" s="47" t="s">
        <v>5285</v>
      </c>
      <c r="G2668" t="s">
        <v>5286</v>
      </c>
      <c r="H26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69" spans="1:8" ht="15" customHeight="1" x14ac:dyDescent="0.25">
      <c r="A2669" t="str">
        <f>MID(TB_CECO[[#This Row],[CECO_T]],1,5)</f>
        <v>3D51M</v>
      </c>
      <c r="B2669" t="str">
        <f>MID(TB_CECO[[#This Row],[TRABAJO]],1,SEARCH(",",TB_CECO[[#This Row],[TRABAJO]],1)-1)</f>
        <v>Snv 070 SW (Ch 056)</v>
      </c>
      <c r="C26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(Ch 056),LIMPIEZA</v>
      </c>
      <c r="D26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69" s="47" t="s">
        <v>5287</v>
      </c>
      <c r="G2669" t="s">
        <v>5288</v>
      </c>
      <c r="H26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70" spans="1:8" ht="15" customHeight="1" x14ac:dyDescent="0.25">
      <c r="A2670" t="str">
        <f>MID(TB_CECO[[#This Row],[CECO_T]],1,5)</f>
        <v>3D51M</v>
      </c>
      <c r="B2670" t="str">
        <f>MID(TB_CECO[[#This Row],[TRABAJO]],1,SEARCH(",",TB_CECO[[#This Row],[TRABAJO]],1)-1)</f>
        <v>Snv 070 SW (Ch 056)</v>
      </c>
      <c r="C26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(Ch 056),SERVICIO</v>
      </c>
      <c r="D26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70" s="47" t="s">
        <v>5289</v>
      </c>
      <c r="G2670" t="s">
        <v>5290</v>
      </c>
      <c r="H26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71" spans="1:8" ht="15" customHeight="1" x14ac:dyDescent="0.25">
      <c r="A2671" t="str">
        <f>MID(TB_CECO[[#This Row],[CECO_T]],1,5)</f>
        <v>3D51M</v>
      </c>
      <c r="B2671" t="str">
        <f>MID(TB_CECO[[#This Row],[TRABAJO]],1,SEARCH(",",TB_CECO[[#This Row],[TRABAJO]],1)-1)</f>
        <v>Snv 070 SW (Ch 056)</v>
      </c>
      <c r="C26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(Ch 056),PERFORACION</v>
      </c>
      <c r="D26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71" s="47" t="s">
        <v>5291</v>
      </c>
      <c r="G2671" t="s">
        <v>5292</v>
      </c>
      <c r="H26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72" spans="1:8" ht="15" customHeight="1" x14ac:dyDescent="0.25">
      <c r="A2672" t="str">
        <f>MID(TB_CECO[[#This Row],[CECO_T]],1,5)</f>
        <v>3D51M</v>
      </c>
      <c r="B2672" t="str">
        <f>MID(TB_CECO[[#This Row],[TRABAJO]],1,SEARCH(",",TB_CECO[[#This Row],[TRABAJO]],1)-1)</f>
        <v>Snv 070 SW (Ch 056)</v>
      </c>
      <c r="C26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(Ch 056),SOSTENIMIENTO</v>
      </c>
      <c r="D26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72" s="47" t="s">
        <v>5293</v>
      </c>
      <c r="G2672" t="s">
        <v>5294</v>
      </c>
      <c r="H26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73" spans="1:8" ht="15" customHeight="1" x14ac:dyDescent="0.25">
      <c r="A2673" t="str">
        <f>MID(TB_CECO[[#This Row],[CECO_T]],1,5)</f>
        <v>3D51M</v>
      </c>
      <c r="B2673" t="str">
        <f>MID(TB_CECO[[#This Row],[TRABAJO]],1,SEARCH(",",TB_CECO[[#This Row],[TRABAJO]],1)-1)</f>
        <v>Snv 070 SW (Ch 056)</v>
      </c>
      <c r="C26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(Ch 056),VOLADURA</v>
      </c>
      <c r="D26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73" s="47" t="s">
        <v>5295</v>
      </c>
      <c r="G2673" t="s">
        <v>5296</v>
      </c>
      <c r="H26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74" spans="1:8" ht="15" customHeight="1" x14ac:dyDescent="0.25">
      <c r="A2674" t="str">
        <f>MID(TB_CECO[[#This Row],[CECO_T]],1,5)</f>
        <v>3D51N</v>
      </c>
      <c r="B2674" t="str">
        <f>MID(TB_CECO[[#This Row],[TRABAJO]],1,SEARCH(",",TB_CECO[[#This Row],[TRABAJO]],1)-1)</f>
        <v>Snv 070 NE (Ch 072)</v>
      </c>
      <c r="C26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(Ch 072),LIMPIEZA</v>
      </c>
      <c r="D26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74" s="47" t="s">
        <v>5297</v>
      </c>
      <c r="G2674" t="s">
        <v>5298</v>
      </c>
      <c r="H26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75" spans="1:8" ht="15" customHeight="1" x14ac:dyDescent="0.25">
      <c r="A2675" t="str">
        <f>MID(TB_CECO[[#This Row],[CECO_T]],1,5)</f>
        <v>3D51N</v>
      </c>
      <c r="B2675" t="str">
        <f>MID(TB_CECO[[#This Row],[TRABAJO]],1,SEARCH(",",TB_CECO[[#This Row],[TRABAJO]],1)-1)</f>
        <v>Snv 070 NE (Ch 072)</v>
      </c>
      <c r="C26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(Ch 072),SERVICIO</v>
      </c>
      <c r="D26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75" s="47" t="s">
        <v>5299</v>
      </c>
      <c r="G2675" t="s">
        <v>5300</v>
      </c>
      <c r="H26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76" spans="1:8" ht="15" customHeight="1" x14ac:dyDescent="0.25">
      <c r="A2676" t="str">
        <f>MID(TB_CECO[[#This Row],[CECO_T]],1,5)</f>
        <v>3D51N</v>
      </c>
      <c r="B2676" t="str">
        <f>MID(TB_CECO[[#This Row],[TRABAJO]],1,SEARCH(",",TB_CECO[[#This Row],[TRABAJO]],1)-1)</f>
        <v>Snv 070 NE (Ch 072)</v>
      </c>
      <c r="C26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(Ch 072),PERFORACION</v>
      </c>
      <c r="D26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76" s="47" t="s">
        <v>5301</v>
      </c>
      <c r="G2676" t="s">
        <v>5302</v>
      </c>
      <c r="H26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77" spans="1:8" ht="15" customHeight="1" x14ac:dyDescent="0.25">
      <c r="A2677" t="str">
        <f>MID(TB_CECO[[#This Row],[CECO_T]],1,5)</f>
        <v>3D51N</v>
      </c>
      <c r="B2677" t="str">
        <f>MID(TB_CECO[[#This Row],[TRABAJO]],1,SEARCH(",",TB_CECO[[#This Row],[TRABAJO]],1)-1)</f>
        <v>Snv 070 NE (Ch 072)</v>
      </c>
      <c r="C26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(Ch 072),SOSTENIMIENTO</v>
      </c>
      <c r="D26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77" s="47" t="s">
        <v>5303</v>
      </c>
      <c r="G2677" t="s">
        <v>5304</v>
      </c>
      <c r="H26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78" spans="1:8" ht="15" customHeight="1" x14ac:dyDescent="0.25">
      <c r="A2678" t="str">
        <f>MID(TB_CECO[[#This Row],[CECO_T]],1,5)</f>
        <v>3D51N</v>
      </c>
      <c r="B2678" t="str">
        <f>MID(TB_CECO[[#This Row],[TRABAJO]],1,SEARCH(",",TB_CECO[[#This Row],[TRABAJO]],1)-1)</f>
        <v>Snv 070 NE (Ch 072)</v>
      </c>
      <c r="C26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NE (Ch 072),VOLADURA</v>
      </c>
      <c r="D26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78" s="47" t="s">
        <v>5305</v>
      </c>
      <c r="G2678" t="s">
        <v>5306</v>
      </c>
      <c r="H26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79" spans="1:8" ht="15" customHeight="1" x14ac:dyDescent="0.25">
      <c r="A2679" t="str">
        <f>MID(TB_CECO[[#This Row],[CECO_T]],1,5)</f>
        <v>3D51O</v>
      </c>
      <c r="B2679" t="str">
        <f>MID(TB_CECO[[#This Row],[TRABAJO]],1,SEARCH(",",TB_CECO[[#This Row],[TRABAJO]],1)-1)</f>
        <v>Snv 070 SW (Ch 072)</v>
      </c>
      <c r="C26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(Ch 072),LIMPIEZA</v>
      </c>
      <c r="D26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79" s="47" t="s">
        <v>5307</v>
      </c>
      <c r="G2679" t="s">
        <v>5308</v>
      </c>
      <c r="H26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80" spans="1:8" ht="15" customHeight="1" x14ac:dyDescent="0.25">
      <c r="A2680" t="str">
        <f>MID(TB_CECO[[#This Row],[CECO_T]],1,5)</f>
        <v>3D51O</v>
      </c>
      <c r="B2680" t="str">
        <f>MID(TB_CECO[[#This Row],[TRABAJO]],1,SEARCH(",",TB_CECO[[#This Row],[TRABAJO]],1)-1)</f>
        <v>Snv 070 SW (Ch 072)</v>
      </c>
      <c r="C26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(Ch 072),SERVICIO</v>
      </c>
      <c r="D26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80" s="47" t="s">
        <v>5309</v>
      </c>
      <c r="G2680" t="s">
        <v>5310</v>
      </c>
      <c r="H26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81" spans="1:8" ht="15" customHeight="1" x14ac:dyDescent="0.25">
      <c r="A2681" t="str">
        <f>MID(TB_CECO[[#This Row],[CECO_T]],1,5)</f>
        <v>3D51O</v>
      </c>
      <c r="B2681" t="str">
        <f>MID(TB_CECO[[#This Row],[TRABAJO]],1,SEARCH(",",TB_CECO[[#This Row],[TRABAJO]],1)-1)</f>
        <v>Snv 070 SW (Ch 072)</v>
      </c>
      <c r="C26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(Ch 072),PERFORACION</v>
      </c>
      <c r="D26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81" s="47" t="s">
        <v>5311</v>
      </c>
      <c r="G2681" t="s">
        <v>5312</v>
      </c>
      <c r="H26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82" spans="1:8" ht="15" customHeight="1" x14ac:dyDescent="0.25">
      <c r="A2682" t="str">
        <f>MID(TB_CECO[[#This Row],[CECO_T]],1,5)</f>
        <v>3D51O</v>
      </c>
      <c r="B2682" t="str">
        <f>MID(TB_CECO[[#This Row],[TRABAJO]],1,SEARCH(",",TB_CECO[[#This Row],[TRABAJO]],1)-1)</f>
        <v>Snv 070 SW (Ch 072)</v>
      </c>
      <c r="C26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(Ch 072),SOSTENIMIENTO</v>
      </c>
      <c r="D26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82" s="47" t="s">
        <v>5313</v>
      </c>
      <c r="G2682" t="s">
        <v>5314</v>
      </c>
      <c r="H26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83" spans="1:8" ht="15" customHeight="1" x14ac:dyDescent="0.25">
      <c r="A2683" t="str">
        <f>MID(TB_CECO[[#This Row],[CECO_T]],1,5)</f>
        <v>3D51O</v>
      </c>
      <c r="B2683" t="str">
        <f>MID(TB_CECO[[#This Row],[TRABAJO]],1,SEARCH(",",TB_CECO[[#This Row],[TRABAJO]],1)-1)</f>
        <v>Snv 070 SW (Ch 072)</v>
      </c>
      <c r="C26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070 SW (Ch 072),VOLADURA</v>
      </c>
      <c r="D26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83" s="47" t="s">
        <v>5315</v>
      </c>
      <c r="G2683" t="s">
        <v>5316</v>
      </c>
      <c r="H26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84" spans="1:8" ht="15" customHeight="1" x14ac:dyDescent="0.25">
      <c r="A2684" t="str">
        <f>MID(TB_CECO[[#This Row],[CECO_T]],1,5)</f>
        <v>3D52N</v>
      </c>
      <c r="B2684" t="str">
        <f>MID(TB_CECO[[#This Row],[TRABAJO]],1,SEARCH(",",TB_CECO[[#This Row],[TRABAJO]],1)-1)</f>
        <v>Snv 094 SW (Ch 121)</v>
      </c>
      <c r="C26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SW (Ch 121),LIMPIEZA</v>
      </c>
      <c r="D26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84" s="47" t="s">
        <v>5317</v>
      </c>
      <c r="G2684" t="s">
        <v>5318</v>
      </c>
      <c r="H26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85" spans="1:8" ht="15" customHeight="1" x14ac:dyDescent="0.25">
      <c r="A2685" t="str">
        <f>MID(TB_CECO[[#This Row],[CECO_T]],1,5)</f>
        <v>3D52N</v>
      </c>
      <c r="B2685" t="str">
        <f>MID(TB_CECO[[#This Row],[TRABAJO]],1,SEARCH(",",TB_CECO[[#This Row],[TRABAJO]],1)-1)</f>
        <v>Snv 094 SW (Ch 121)</v>
      </c>
      <c r="C26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SW (Ch 121),SERVICIO</v>
      </c>
      <c r="D26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85" s="47" t="s">
        <v>5319</v>
      </c>
      <c r="G2685" t="s">
        <v>5320</v>
      </c>
      <c r="H26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86" spans="1:8" ht="15" customHeight="1" x14ac:dyDescent="0.25">
      <c r="A2686" t="str">
        <f>MID(TB_CECO[[#This Row],[CECO_T]],1,5)</f>
        <v>3D52N</v>
      </c>
      <c r="B2686" t="str">
        <f>MID(TB_CECO[[#This Row],[TRABAJO]],1,SEARCH(",",TB_CECO[[#This Row],[TRABAJO]],1)-1)</f>
        <v>Snv 094 SW (Ch 121)</v>
      </c>
      <c r="C26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SW (Ch 121),PERFORACION</v>
      </c>
      <c r="D26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86" s="47" t="s">
        <v>5321</v>
      </c>
      <c r="G2686" t="s">
        <v>5322</v>
      </c>
      <c r="H26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87" spans="1:8" ht="15" customHeight="1" x14ac:dyDescent="0.25">
      <c r="A2687" t="str">
        <f>MID(TB_CECO[[#This Row],[CECO_T]],1,5)</f>
        <v>3D52N</v>
      </c>
      <c r="B2687" t="str">
        <f>MID(TB_CECO[[#This Row],[TRABAJO]],1,SEARCH(",",TB_CECO[[#This Row],[TRABAJO]],1)-1)</f>
        <v>Snv 094 SW (Ch 121)</v>
      </c>
      <c r="C26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SW (Ch 121),SOSTENIMIENTO</v>
      </c>
      <c r="D26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87" s="47" t="s">
        <v>5323</v>
      </c>
      <c r="G2687" t="s">
        <v>5324</v>
      </c>
      <c r="H26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88" spans="1:8" ht="15" customHeight="1" x14ac:dyDescent="0.25">
      <c r="A2688" t="str">
        <f>MID(TB_CECO[[#This Row],[CECO_T]],1,5)</f>
        <v>3D52N</v>
      </c>
      <c r="B2688" t="str">
        <f>MID(TB_CECO[[#This Row],[TRABAJO]],1,SEARCH(",",TB_CECO[[#This Row],[TRABAJO]],1)-1)</f>
        <v>Snv 094 SW (Ch 121)</v>
      </c>
      <c r="C26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SW (Ch 121),VOLADURA</v>
      </c>
      <c r="D26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88" s="47" t="s">
        <v>5325</v>
      </c>
      <c r="G2688" t="s">
        <v>5326</v>
      </c>
      <c r="H26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89" spans="1:8" ht="15" customHeight="1" x14ac:dyDescent="0.25">
      <c r="A2689" t="str">
        <f>MID(TB_CECO[[#This Row],[CECO_T]],1,5)</f>
        <v>3D52P</v>
      </c>
      <c r="B2689" t="str">
        <f>MID(TB_CECO[[#This Row],[TRABAJO]],1,SEARCH(",",TB_CECO[[#This Row],[TRABAJO]],1)-1)</f>
        <v>Snv 080 SW (Tj 080 SW)</v>
      </c>
      <c r="C26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080 SW (Tj 080 SW),LIMPIEZA</v>
      </c>
      <c r="D26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89" s="47" t="s">
        <v>5327</v>
      </c>
      <c r="G2689" t="s">
        <v>5328</v>
      </c>
      <c r="H26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90" spans="1:8" ht="15" customHeight="1" x14ac:dyDescent="0.25">
      <c r="A2690" t="str">
        <f>MID(TB_CECO[[#This Row],[CECO_T]],1,5)</f>
        <v>3D52P</v>
      </c>
      <c r="B2690" t="str">
        <f>MID(TB_CECO[[#This Row],[TRABAJO]],1,SEARCH(",",TB_CECO[[#This Row],[TRABAJO]],1)-1)</f>
        <v>Snv 080 SW (Tj 080 SW)</v>
      </c>
      <c r="C26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080 SW (Tj 080 SW),SERVICIO</v>
      </c>
      <c r="D26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90" s="47" t="s">
        <v>5329</v>
      </c>
      <c r="G2690" t="s">
        <v>5330</v>
      </c>
      <c r="H26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91" spans="1:8" ht="15" customHeight="1" x14ac:dyDescent="0.25">
      <c r="A2691" t="str">
        <f>MID(TB_CECO[[#This Row],[CECO_T]],1,5)</f>
        <v>3D52P</v>
      </c>
      <c r="B2691" t="str">
        <f>MID(TB_CECO[[#This Row],[TRABAJO]],1,SEARCH(",",TB_CECO[[#This Row],[TRABAJO]],1)-1)</f>
        <v>Snv 080 SW (Tj 080 SW)</v>
      </c>
      <c r="C26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080 SW (Tj 080 SW),PERFORACION</v>
      </c>
      <c r="D26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91" s="47" t="s">
        <v>5331</v>
      </c>
      <c r="G2691" t="s">
        <v>5332</v>
      </c>
      <c r="H26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92" spans="1:8" ht="15" customHeight="1" x14ac:dyDescent="0.25">
      <c r="A2692" t="str">
        <f>MID(TB_CECO[[#This Row],[CECO_T]],1,5)</f>
        <v>3D52P</v>
      </c>
      <c r="B2692" t="str">
        <f>MID(TB_CECO[[#This Row],[TRABAJO]],1,SEARCH(",",TB_CECO[[#This Row],[TRABAJO]],1)-1)</f>
        <v>Snv 080 SW (Tj 080 SW)</v>
      </c>
      <c r="C26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080 SW (Tj 080 SW),SOSTENIMIENTO</v>
      </c>
      <c r="D26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92" s="47" t="s">
        <v>5333</v>
      </c>
      <c r="G2692" t="s">
        <v>5334</v>
      </c>
      <c r="H26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93" spans="1:8" ht="15" customHeight="1" x14ac:dyDescent="0.25">
      <c r="A2693" t="str">
        <f>MID(TB_CECO[[#This Row],[CECO_T]],1,5)</f>
        <v>3D52P</v>
      </c>
      <c r="B2693" t="str">
        <f>MID(TB_CECO[[#This Row],[TRABAJO]],1,SEARCH(",",TB_CECO[[#This Row],[TRABAJO]],1)-1)</f>
        <v>Snv 080 SW (Tj 080 SW)</v>
      </c>
      <c r="C26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080 SW (Tj 080 SW),VOLADURA</v>
      </c>
      <c r="D26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93" s="47" t="s">
        <v>5335</v>
      </c>
      <c r="G2693" t="s">
        <v>5336</v>
      </c>
      <c r="H26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94" spans="1:8" ht="15" customHeight="1" x14ac:dyDescent="0.25">
      <c r="A2694" t="str">
        <f>MID(TB_CECO[[#This Row],[CECO_T]],1,5)</f>
        <v>3D52Q</v>
      </c>
      <c r="B2694" t="str">
        <f>MID(TB_CECO[[#This Row],[TRABAJO]],1,SEARCH(",",TB_CECO[[#This Row],[TRABAJO]],1)-1)</f>
        <v>Snv 081 SW (Tj 080 SW)</v>
      </c>
      <c r="C26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081 SW (Tj 080 SW),LIMPIEZA</v>
      </c>
      <c r="D26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94" s="47" t="s">
        <v>5337</v>
      </c>
      <c r="G2694" t="s">
        <v>5338</v>
      </c>
      <c r="H26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95" spans="1:8" ht="15" customHeight="1" x14ac:dyDescent="0.25">
      <c r="A2695" t="str">
        <f>MID(TB_CECO[[#This Row],[CECO_T]],1,5)</f>
        <v>3D52Q</v>
      </c>
      <c r="B2695" t="str">
        <f>MID(TB_CECO[[#This Row],[TRABAJO]],1,SEARCH(",",TB_CECO[[#This Row],[TRABAJO]],1)-1)</f>
        <v>Snv 081 SW (Tj 080 SW)</v>
      </c>
      <c r="C26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081 SW (Tj 080 SW),SERVICIO</v>
      </c>
      <c r="D26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95" s="47" t="s">
        <v>5339</v>
      </c>
      <c r="G2695" t="s">
        <v>5340</v>
      </c>
      <c r="H26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96" spans="1:8" ht="15" customHeight="1" x14ac:dyDescent="0.25">
      <c r="A2696" t="str">
        <f>MID(TB_CECO[[#This Row],[CECO_T]],1,5)</f>
        <v>3D52Q</v>
      </c>
      <c r="B2696" t="str">
        <f>MID(TB_CECO[[#This Row],[TRABAJO]],1,SEARCH(",",TB_CECO[[#This Row],[TRABAJO]],1)-1)</f>
        <v>Snv 081 SW (Tj 080 SW)</v>
      </c>
      <c r="C26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081 SW (Tj 080 SW),PERFORACION</v>
      </c>
      <c r="D26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96" s="47" t="s">
        <v>5341</v>
      </c>
      <c r="G2696" t="s">
        <v>5342</v>
      </c>
      <c r="H26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97" spans="1:8" ht="15" customHeight="1" x14ac:dyDescent="0.25">
      <c r="A2697" t="str">
        <f>MID(TB_CECO[[#This Row],[CECO_T]],1,5)</f>
        <v>3D52Q</v>
      </c>
      <c r="B2697" t="str">
        <f>MID(TB_CECO[[#This Row],[TRABAJO]],1,SEARCH(",",TB_CECO[[#This Row],[TRABAJO]],1)-1)</f>
        <v>Snv 081 SW (Tj 080 SW)</v>
      </c>
      <c r="C26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081 SW (Tj 080 SW),SOSTENIMIENTO</v>
      </c>
      <c r="D26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97" s="47" t="s">
        <v>5343</v>
      </c>
      <c r="G2697" t="s">
        <v>5344</v>
      </c>
      <c r="H26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98" spans="1:8" ht="15" customHeight="1" x14ac:dyDescent="0.25">
      <c r="A2698" t="str">
        <f>MID(TB_CECO[[#This Row],[CECO_T]],1,5)</f>
        <v>3D52Q</v>
      </c>
      <c r="B2698" t="str">
        <f>MID(TB_CECO[[#This Row],[TRABAJO]],1,SEARCH(",",TB_CECO[[#This Row],[TRABAJO]],1)-1)</f>
        <v>Snv 081 SW (Tj 080 SW)</v>
      </c>
      <c r="C26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081 SW (Tj 080 SW),VOLADURA</v>
      </c>
      <c r="D26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6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698" s="47" t="s">
        <v>5345</v>
      </c>
      <c r="G2698" t="s">
        <v>5346</v>
      </c>
      <c r="H26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699" spans="1:8" ht="15" customHeight="1" x14ac:dyDescent="0.25">
      <c r="A2699" t="str">
        <f>MID(TB_CECO[[#This Row],[CECO_T]],1,5)</f>
        <v>3D530</v>
      </c>
      <c r="B2699" t="str">
        <f>MID(TB_CECO[[#This Row],[TRABAJO]],1,SEARCH(",",TB_CECO[[#This Row],[TRABAJO]],1)-1)</f>
        <v>SNV 094 SW (TJ 100)</v>
      </c>
      <c r="C26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SW (TJ 100),SUMINISTROS</v>
      </c>
      <c r="D26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6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699" s="47" t="s">
        <v>5347</v>
      </c>
      <c r="G2699" t="s">
        <v>5348</v>
      </c>
      <c r="H26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00" spans="1:8" ht="15" customHeight="1" x14ac:dyDescent="0.25">
      <c r="A2700" t="str">
        <f>MID(TB_CECO[[#This Row],[CECO_T]],1,5)</f>
        <v>3D530</v>
      </c>
      <c r="B2700" t="str">
        <f>MID(TB_CECO[[#This Row],[TRABAJO]],1,SEARCH(",",TB_CECO[[#This Row],[TRABAJO]],1)-1)</f>
        <v>SNV 094 SW (TJ 100)</v>
      </c>
      <c r="C27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SW (TJ 100),SOSTENIMIENTO</v>
      </c>
      <c r="D27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00" s="47" t="s">
        <v>5349</v>
      </c>
      <c r="G2700" t="s">
        <v>5350</v>
      </c>
      <c r="H27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01" spans="1:8" ht="15" customHeight="1" x14ac:dyDescent="0.25">
      <c r="A2701" t="str">
        <f>MID(TB_CECO[[#This Row],[CECO_T]],1,5)</f>
        <v>3D530</v>
      </c>
      <c r="B2701" t="str">
        <f>MID(TB_CECO[[#This Row],[TRABAJO]],1,SEARCH(",",TB_CECO[[#This Row],[TRABAJO]],1)-1)</f>
        <v>SNV 094 SW (TJ 100)</v>
      </c>
      <c r="C27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SW (TJ 100),SERVICIO</v>
      </c>
      <c r="D27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01" s="47" t="s">
        <v>5351</v>
      </c>
      <c r="G2701" t="s">
        <v>5352</v>
      </c>
      <c r="H27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02" spans="1:8" ht="15" customHeight="1" x14ac:dyDescent="0.25">
      <c r="A2702" t="str">
        <f>MID(TB_CECO[[#This Row],[CECO_T]],1,5)</f>
        <v>3D530</v>
      </c>
      <c r="B2702" t="str">
        <f>MID(TB_CECO[[#This Row],[TRABAJO]],1,SEARCH(",",TB_CECO[[#This Row],[TRABAJO]],1)-1)</f>
        <v>SNV 094 SW (TJ 100)</v>
      </c>
      <c r="C27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SW (TJ 100),REHABILITACION</v>
      </c>
      <c r="D27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02" s="47" t="s">
        <v>5353</v>
      </c>
      <c r="G2702" t="s">
        <v>5354</v>
      </c>
      <c r="H27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03" spans="1:8" ht="15" customHeight="1" x14ac:dyDescent="0.25">
      <c r="A2703" t="str">
        <f>MID(TB_CECO[[#This Row],[CECO_T]],1,5)</f>
        <v>3D531</v>
      </c>
      <c r="B2703" t="str">
        <f>MID(TB_CECO[[#This Row],[TRABAJO]],1,SEARCH(",",TB_CECO[[#This Row],[TRABAJO]],1)-1)</f>
        <v>SNV 125 NE (TJ 056)</v>
      </c>
      <c r="C27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NE (TJ 056),SUMINISTROS</v>
      </c>
      <c r="D27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03" s="47" t="s">
        <v>5355</v>
      </c>
      <c r="G2703" t="s">
        <v>5356</v>
      </c>
      <c r="H27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04" spans="1:8" ht="15" customHeight="1" x14ac:dyDescent="0.25">
      <c r="A2704" t="str">
        <f>MID(TB_CECO[[#This Row],[CECO_T]],1,5)</f>
        <v>3D531</v>
      </c>
      <c r="B2704" t="str">
        <f>MID(TB_CECO[[#This Row],[TRABAJO]],1,SEARCH(",",TB_CECO[[#This Row],[TRABAJO]],1)-1)</f>
        <v>SNV 125 NE (TJ 056)</v>
      </c>
      <c r="C27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NE (TJ 056),SOSTENIMIENTO</v>
      </c>
      <c r="D27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04" s="47" t="s">
        <v>5357</v>
      </c>
      <c r="G2704" t="s">
        <v>5358</v>
      </c>
      <c r="H27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05" spans="1:8" ht="15" customHeight="1" x14ac:dyDescent="0.25">
      <c r="A2705" t="str">
        <f>MID(TB_CECO[[#This Row],[CECO_T]],1,5)</f>
        <v>3D531</v>
      </c>
      <c r="B2705" t="str">
        <f>MID(TB_CECO[[#This Row],[TRABAJO]],1,SEARCH(",",TB_CECO[[#This Row],[TRABAJO]],1)-1)</f>
        <v>SNV 125 NE (TJ 056)</v>
      </c>
      <c r="C27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NE (TJ 056),SERVICIO</v>
      </c>
      <c r="D27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05" s="47" t="s">
        <v>5359</v>
      </c>
      <c r="G2705" t="s">
        <v>5360</v>
      </c>
      <c r="H27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06" spans="1:8" ht="15" customHeight="1" x14ac:dyDescent="0.25">
      <c r="A2706" t="str">
        <f>MID(TB_CECO[[#This Row],[CECO_T]],1,5)</f>
        <v>3D531</v>
      </c>
      <c r="B2706" t="str">
        <f>MID(TB_CECO[[#This Row],[TRABAJO]],1,SEARCH(",",TB_CECO[[#This Row],[TRABAJO]],1)-1)</f>
        <v>SNV 125 NE (TJ 056)</v>
      </c>
      <c r="C27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NE (TJ 056),REHABILITACION</v>
      </c>
      <c r="D27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06" s="47" t="s">
        <v>5361</v>
      </c>
      <c r="G2706" t="s">
        <v>5362</v>
      </c>
      <c r="H27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07" spans="1:8" ht="15" customHeight="1" x14ac:dyDescent="0.25">
      <c r="A2707" t="str">
        <f>MID(TB_CECO[[#This Row],[CECO_T]],1,5)</f>
        <v>3D537</v>
      </c>
      <c r="B2707" t="str">
        <f>MID(TB_CECO[[#This Row],[TRABAJO]],1,SEARCH(",",TB_CECO[[#This Row],[TRABAJO]],1)-1)</f>
        <v>SNV 102 SW (TJ 100 SW)</v>
      </c>
      <c r="C27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SW (TJ 100 SW),SUMINISTROS</v>
      </c>
      <c r="D27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07" s="47" t="s">
        <v>5363</v>
      </c>
      <c r="G2707" t="s">
        <v>5364</v>
      </c>
      <c r="H27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08" spans="1:8" ht="15" customHeight="1" x14ac:dyDescent="0.25">
      <c r="A2708" t="str">
        <f>MID(TB_CECO[[#This Row],[CECO_T]],1,5)</f>
        <v>3D537</v>
      </c>
      <c r="B2708" t="str">
        <f>MID(TB_CECO[[#This Row],[TRABAJO]],1,SEARCH(",",TB_CECO[[#This Row],[TRABAJO]],1)-1)</f>
        <v>SNV 102 SW (TJ 100 SW)</v>
      </c>
      <c r="C27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SW (TJ 100 SW),SOSTENIMIENTO</v>
      </c>
      <c r="D27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08" s="47" t="s">
        <v>5365</v>
      </c>
      <c r="G2708" t="s">
        <v>5366</v>
      </c>
      <c r="H27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09" spans="1:8" ht="15" customHeight="1" x14ac:dyDescent="0.25">
      <c r="A2709" t="str">
        <f>MID(TB_CECO[[#This Row],[CECO_T]],1,5)</f>
        <v>3D537</v>
      </c>
      <c r="B2709" t="str">
        <f>MID(TB_CECO[[#This Row],[TRABAJO]],1,SEARCH(",",TB_CECO[[#This Row],[TRABAJO]],1)-1)</f>
        <v>SNV 102 SW (TJ 100 SW)</v>
      </c>
      <c r="C27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SW (TJ 100 SW),SERVICIO</v>
      </c>
      <c r="D27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09" s="47" t="s">
        <v>5367</v>
      </c>
      <c r="G2709" t="s">
        <v>5368</v>
      </c>
      <c r="H27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10" spans="1:8" ht="15" customHeight="1" x14ac:dyDescent="0.25">
      <c r="A2710" t="str">
        <f>MID(TB_CECO[[#This Row],[CECO_T]],1,5)</f>
        <v>3D537</v>
      </c>
      <c r="B2710" t="str">
        <f>MID(TB_CECO[[#This Row],[TRABAJO]],1,SEARCH(",",TB_CECO[[#This Row],[TRABAJO]],1)-1)</f>
        <v>SNV 102 SW (TJ 100 SW)</v>
      </c>
      <c r="C27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102 SW (TJ 100 SW),REHABILITACION</v>
      </c>
      <c r="D27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10" s="47" t="s">
        <v>5369</v>
      </c>
      <c r="G2710" t="s">
        <v>5370</v>
      </c>
      <c r="H27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11" spans="1:8" ht="15" customHeight="1" x14ac:dyDescent="0.25">
      <c r="A2711" t="str">
        <f>MID(TB_CECO[[#This Row],[CECO_T]],1,5)</f>
        <v>3D539</v>
      </c>
      <c r="B2711" t="str">
        <f>MID(TB_CECO[[#This Row],[TRABAJO]],1,SEARCH(",",TB_CECO[[#This Row],[TRABAJO]],1)-1)</f>
        <v>SNV 107 SW (TJ 120)</v>
      </c>
      <c r="C27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SW (TJ 120),SUMINISTROS</v>
      </c>
      <c r="D27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11" s="47" t="s">
        <v>5371</v>
      </c>
      <c r="G2711" t="s">
        <v>5372</v>
      </c>
      <c r="H27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12" spans="1:8" ht="15" customHeight="1" x14ac:dyDescent="0.25">
      <c r="A2712" t="str">
        <f>MID(TB_CECO[[#This Row],[CECO_T]],1,5)</f>
        <v>3D539</v>
      </c>
      <c r="B2712" t="str">
        <f>MID(TB_CECO[[#This Row],[TRABAJO]],1,SEARCH(",",TB_CECO[[#This Row],[TRABAJO]],1)-1)</f>
        <v>SNV 107 SW (TJ 120)</v>
      </c>
      <c r="C27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SW (TJ 120),SOSTENIMIENTO</v>
      </c>
      <c r="D27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12" s="47" t="s">
        <v>5373</v>
      </c>
      <c r="G2712" t="s">
        <v>5374</v>
      </c>
      <c r="H27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13" spans="1:8" ht="15" customHeight="1" x14ac:dyDescent="0.25">
      <c r="A2713" t="str">
        <f>MID(TB_CECO[[#This Row],[CECO_T]],1,5)</f>
        <v>3D539</v>
      </c>
      <c r="B2713" t="str">
        <f>MID(TB_CECO[[#This Row],[TRABAJO]],1,SEARCH(",",TB_CECO[[#This Row],[TRABAJO]],1)-1)</f>
        <v>SNV 107 SW (TJ 120)</v>
      </c>
      <c r="C27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SW (TJ 120),SERVICIO</v>
      </c>
      <c r="D27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13" s="47" t="s">
        <v>5375</v>
      </c>
      <c r="G2713" t="s">
        <v>5376</v>
      </c>
      <c r="H27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14" spans="1:8" ht="15" customHeight="1" x14ac:dyDescent="0.25">
      <c r="A2714" t="str">
        <f>MID(TB_CECO[[#This Row],[CECO_T]],1,5)</f>
        <v>3D539</v>
      </c>
      <c r="B2714" t="str">
        <f>MID(TB_CECO[[#This Row],[TRABAJO]],1,SEARCH(",",TB_CECO[[#This Row],[TRABAJO]],1)-1)</f>
        <v>SNV 107 SW (TJ 120)</v>
      </c>
      <c r="C27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107 SW (TJ 120),REHABILITACION</v>
      </c>
      <c r="D27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7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714" s="47" t="s">
        <v>5377</v>
      </c>
      <c r="G2714" t="s">
        <v>5378</v>
      </c>
      <c r="H27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15" spans="1:8" ht="15" customHeight="1" x14ac:dyDescent="0.25">
      <c r="A2715" t="str">
        <f>MID(TB_CECO[[#This Row],[CECO_T]],1,5)</f>
        <v>3D53L</v>
      </c>
      <c r="B2715" t="str">
        <f>MID(TB_CECO[[#This Row],[TRABAJO]],1,SEARCH(",",TB_CECO[[#This Row],[TRABAJO]],1)-1)</f>
        <v>Snv 069 NE (Est 069 SE)</v>
      </c>
      <c r="C27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NE (Est 069 SE),LIMPIEZA</v>
      </c>
      <c r="D27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15" s="47" t="s">
        <v>5379</v>
      </c>
      <c r="G2715" t="s">
        <v>5380</v>
      </c>
      <c r="H27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16" spans="1:8" ht="15" customHeight="1" x14ac:dyDescent="0.25">
      <c r="A2716" t="str">
        <f>MID(TB_CECO[[#This Row],[CECO_T]],1,5)</f>
        <v>3D53L</v>
      </c>
      <c r="B2716" t="str">
        <f>MID(TB_CECO[[#This Row],[TRABAJO]],1,SEARCH(",",TB_CECO[[#This Row],[TRABAJO]],1)-1)</f>
        <v>Snv 069 NE (Est 069 SE)</v>
      </c>
      <c r="C27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NE (Est 069 SE),SERVICIO</v>
      </c>
      <c r="D27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16" s="47" t="s">
        <v>5381</v>
      </c>
      <c r="G2716" t="s">
        <v>5382</v>
      </c>
      <c r="H27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17" spans="1:8" ht="15" customHeight="1" x14ac:dyDescent="0.25">
      <c r="A2717" t="str">
        <f>MID(TB_CECO[[#This Row],[CECO_T]],1,5)</f>
        <v>3D53L</v>
      </c>
      <c r="B2717" t="str">
        <f>MID(TB_CECO[[#This Row],[TRABAJO]],1,SEARCH(",",TB_CECO[[#This Row],[TRABAJO]],1)-1)</f>
        <v>Snv 069 NE (Est 069 SE)</v>
      </c>
      <c r="C27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NE (Est 069 SE),PERFORACION</v>
      </c>
      <c r="D27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17" s="47" t="s">
        <v>5383</v>
      </c>
      <c r="G2717" t="s">
        <v>5384</v>
      </c>
      <c r="H27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18" spans="1:8" ht="15" customHeight="1" x14ac:dyDescent="0.25">
      <c r="A2718" t="str">
        <f>MID(TB_CECO[[#This Row],[CECO_T]],1,5)</f>
        <v>3D53L</v>
      </c>
      <c r="B2718" t="str">
        <f>MID(TB_CECO[[#This Row],[TRABAJO]],1,SEARCH(",",TB_CECO[[#This Row],[TRABAJO]],1)-1)</f>
        <v>Snv 069 NE (Est 069 SE)</v>
      </c>
      <c r="C27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NE (Est 069 SE),SOSTENIMIENTO</v>
      </c>
      <c r="D27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18" s="47" t="s">
        <v>5385</v>
      </c>
      <c r="G2718" t="s">
        <v>5386</v>
      </c>
      <c r="H27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19" spans="1:8" ht="15" customHeight="1" x14ac:dyDescent="0.25">
      <c r="A2719" t="str">
        <f>MID(TB_CECO[[#This Row],[CECO_T]],1,5)</f>
        <v>3D53L</v>
      </c>
      <c r="B2719" t="str">
        <f>MID(TB_CECO[[#This Row],[TRABAJO]],1,SEARCH(",",TB_CECO[[#This Row],[TRABAJO]],1)-1)</f>
        <v>Snv 069 NE (Est 069 SE)</v>
      </c>
      <c r="C27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NE (Est 069 SE),VOLADURA</v>
      </c>
      <c r="D27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19" s="47" t="s">
        <v>5387</v>
      </c>
      <c r="G2719" t="s">
        <v>5388</v>
      </c>
      <c r="H27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20" spans="1:8" ht="15" customHeight="1" x14ac:dyDescent="0.25">
      <c r="A2720" t="str">
        <f>MID(TB_CECO[[#This Row],[CECO_T]],1,5)</f>
        <v>3D53M</v>
      </c>
      <c r="B2720" t="str">
        <f>MID(TB_CECO[[#This Row],[TRABAJO]],1,SEARCH(",",TB_CECO[[#This Row],[TRABAJO]],1)-1)</f>
        <v>Snv 069 SW (Est 069 SE)</v>
      </c>
      <c r="C27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SW (Est 069 SE),LIMPIEZA</v>
      </c>
      <c r="D27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20" s="47" t="s">
        <v>5389</v>
      </c>
      <c r="G2720" t="s">
        <v>5390</v>
      </c>
      <c r="H27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21" spans="1:8" ht="15" customHeight="1" x14ac:dyDescent="0.25">
      <c r="A2721" t="str">
        <f>MID(TB_CECO[[#This Row],[CECO_T]],1,5)</f>
        <v>3D53M</v>
      </c>
      <c r="B2721" t="str">
        <f>MID(TB_CECO[[#This Row],[TRABAJO]],1,SEARCH(",",TB_CECO[[#This Row],[TRABAJO]],1)-1)</f>
        <v>Snv 069 SW (Est 069 SE)</v>
      </c>
      <c r="C27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SW (Est 069 SE),SERVICIO</v>
      </c>
      <c r="D27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21" s="47" t="s">
        <v>5391</v>
      </c>
      <c r="G2721" t="s">
        <v>5392</v>
      </c>
      <c r="H27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22" spans="1:8" ht="15" customHeight="1" x14ac:dyDescent="0.25">
      <c r="A2722" t="str">
        <f>MID(TB_CECO[[#This Row],[CECO_T]],1,5)</f>
        <v>3D53M</v>
      </c>
      <c r="B2722" t="str">
        <f>MID(TB_CECO[[#This Row],[TRABAJO]],1,SEARCH(",",TB_CECO[[#This Row],[TRABAJO]],1)-1)</f>
        <v>Snv 069 SW (Est 069 SE)</v>
      </c>
      <c r="C27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SW (Est 069 SE),PERFORACION</v>
      </c>
      <c r="D27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22" s="47" t="s">
        <v>5393</v>
      </c>
      <c r="G2722" t="s">
        <v>5394</v>
      </c>
      <c r="H27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23" spans="1:8" ht="15" customHeight="1" x14ac:dyDescent="0.25">
      <c r="A2723" t="str">
        <f>MID(TB_CECO[[#This Row],[CECO_T]],1,5)</f>
        <v>3D53M</v>
      </c>
      <c r="B2723" t="str">
        <f>MID(TB_CECO[[#This Row],[TRABAJO]],1,SEARCH(",",TB_CECO[[#This Row],[TRABAJO]],1)-1)</f>
        <v>Snv 069 SW (Est 069 SE)</v>
      </c>
      <c r="C27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SW (Est 069 SE),SOSTENIMIENTO</v>
      </c>
      <c r="D27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23" s="47" t="s">
        <v>5395</v>
      </c>
      <c r="G2723" t="s">
        <v>5396</v>
      </c>
      <c r="H27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24" spans="1:8" ht="15" customHeight="1" x14ac:dyDescent="0.25">
      <c r="A2724" t="str">
        <f>MID(TB_CECO[[#This Row],[CECO_T]],1,5)</f>
        <v>3D53M</v>
      </c>
      <c r="B2724" t="str">
        <f>MID(TB_CECO[[#This Row],[TRABAJO]],1,SEARCH(",",TB_CECO[[#This Row],[TRABAJO]],1)-1)</f>
        <v>Snv 069 SW (Est 069 SE)</v>
      </c>
      <c r="C27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069 SW (Est 069 SE),VOLADURA</v>
      </c>
      <c r="D27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24" s="47" t="s">
        <v>5397</v>
      </c>
      <c r="G2724" t="s">
        <v>5398</v>
      </c>
      <c r="H27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25" spans="1:8" ht="15" customHeight="1" x14ac:dyDescent="0.25">
      <c r="A2725" t="str">
        <f>MID(TB_CECO[[#This Row],[CECO_T]],1,5)</f>
        <v>3D53P</v>
      </c>
      <c r="B2725" t="str">
        <f>MID(TB_CECO[[#This Row],[TRABAJO]],1,SEARCH(",",TB_CECO[[#This Row],[TRABAJO]],1)-1)</f>
        <v>Snv 912 NE (Est 912 SE)</v>
      </c>
      <c r="C27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912 NE (Est 912 SE),LIMPIEZA</v>
      </c>
      <c r="D27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25" s="47" t="s">
        <v>5399</v>
      </c>
      <c r="G2725" t="s">
        <v>5400</v>
      </c>
      <c r="H27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26" spans="1:8" ht="15" customHeight="1" x14ac:dyDescent="0.25">
      <c r="A2726" t="str">
        <f>MID(TB_CECO[[#This Row],[CECO_T]],1,5)</f>
        <v>3D53P</v>
      </c>
      <c r="B2726" t="str">
        <f>MID(TB_CECO[[#This Row],[TRABAJO]],1,SEARCH(",",TB_CECO[[#This Row],[TRABAJO]],1)-1)</f>
        <v>Snv 912 NE (Est 912 SE)</v>
      </c>
      <c r="C27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912 NE (Est 912 SE),SERVICIO</v>
      </c>
      <c r="D27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26" s="47" t="s">
        <v>5401</v>
      </c>
      <c r="G2726" t="s">
        <v>5402</v>
      </c>
      <c r="H27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27" spans="1:8" ht="15" customHeight="1" x14ac:dyDescent="0.25">
      <c r="A2727" t="str">
        <f>MID(TB_CECO[[#This Row],[CECO_T]],1,5)</f>
        <v>3D53P</v>
      </c>
      <c r="B2727" t="str">
        <f>MID(TB_CECO[[#This Row],[TRABAJO]],1,SEARCH(",",TB_CECO[[#This Row],[TRABAJO]],1)-1)</f>
        <v>Snv 912 NE (Est 912 SE)</v>
      </c>
      <c r="C27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912 NE (Est 912 SE),PERFORACION</v>
      </c>
      <c r="D27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27" s="47" t="s">
        <v>5403</v>
      </c>
      <c r="G2727" t="s">
        <v>5404</v>
      </c>
      <c r="H27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28" spans="1:8" ht="15" customHeight="1" x14ac:dyDescent="0.25">
      <c r="A2728" t="str">
        <f>MID(TB_CECO[[#This Row],[CECO_T]],1,5)</f>
        <v>3D53P</v>
      </c>
      <c r="B2728" t="str">
        <f>MID(TB_CECO[[#This Row],[TRABAJO]],1,SEARCH(",",TB_CECO[[#This Row],[TRABAJO]],1)-1)</f>
        <v>Snv 912 NE (Est 912 SE)</v>
      </c>
      <c r="C27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912 NE (Est 912 SE),SOSTENIMIENTO</v>
      </c>
      <c r="D27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28" s="47" t="s">
        <v>5405</v>
      </c>
      <c r="G2728" t="s">
        <v>5406</v>
      </c>
      <c r="H27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29" spans="1:8" ht="15" customHeight="1" x14ac:dyDescent="0.25">
      <c r="A2729" t="str">
        <f>MID(TB_CECO[[#This Row],[CECO_T]],1,5)</f>
        <v>3D53P</v>
      </c>
      <c r="B2729" t="str">
        <f>MID(TB_CECO[[#This Row],[TRABAJO]],1,SEARCH(",",TB_CECO[[#This Row],[TRABAJO]],1)-1)</f>
        <v>Snv 912 NE (Est 912 SE)</v>
      </c>
      <c r="C27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912 NE (Est 912 SE),VOLADURA</v>
      </c>
      <c r="D27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29" s="47" t="s">
        <v>5407</v>
      </c>
      <c r="G2729" t="s">
        <v>5408</v>
      </c>
      <c r="H27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30" spans="1:8" ht="15" customHeight="1" x14ac:dyDescent="0.25">
      <c r="A2730" t="str">
        <f>MID(TB_CECO[[#This Row],[CECO_T]],1,5)</f>
        <v>3D53Q</v>
      </c>
      <c r="B2730" t="str">
        <f>MID(TB_CECO[[#This Row],[TRABAJO]],1,SEARCH(",",TB_CECO[[#This Row],[TRABAJO]],1)-1)</f>
        <v>Snv 915 NE (Est 912 SE)</v>
      </c>
      <c r="C27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915 NE (Est 912 SE),LIMPIEZA</v>
      </c>
      <c r="D27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30" s="47" t="s">
        <v>5409</v>
      </c>
      <c r="G2730" t="s">
        <v>5410</v>
      </c>
      <c r="H27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31" spans="1:8" ht="15" customHeight="1" x14ac:dyDescent="0.25">
      <c r="A2731" t="str">
        <f>MID(TB_CECO[[#This Row],[CECO_T]],1,5)</f>
        <v>3D53Q</v>
      </c>
      <c r="B2731" t="str">
        <f>MID(TB_CECO[[#This Row],[TRABAJO]],1,SEARCH(",",TB_CECO[[#This Row],[TRABAJO]],1)-1)</f>
        <v>Snv 915 NE (Est 912 SE)</v>
      </c>
      <c r="C27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915 NE (Est 912 SE),SERVICIO</v>
      </c>
      <c r="D27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31" s="47" t="s">
        <v>5411</v>
      </c>
      <c r="G2731" t="s">
        <v>5412</v>
      </c>
      <c r="H27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32" spans="1:8" ht="15" customHeight="1" x14ac:dyDescent="0.25">
      <c r="A2732" t="str">
        <f>MID(TB_CECO[[#This Row],[CECO_T]],1,5)</f>
        <v>3D53Q</v>
      </c>
      <c r="B2732" t="str">
        <f>MID(TB_CECO[[#This Row],[TRABAJO]],1,SEARCH(",",TB_CECO[[#This Row],[TRABAJO]],1)-1)</f>
        <v>Snv 915 NE (Est 912 SE)</v>
      </c>
      <c r="C27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915 NE (Est 912 SE),PERFORACION</v>
      </c>
      <c r="D27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32" s="47" t="s">
        <v>5413</v>
      </c>
      <c r="G2732" t="s">
        <v>5414</v>
      </c>
      <c r="H27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33" spans="1:8" ht="15" customHeight="1" x14ac:dyDescent="0.25">
      <c r="A2733" t="str">
        <f>MID(TB_CECO[[#This Row],[CECO_T]],1,5)</f>
        <v>3D53Q</v>
      </c>
      <c r="B2733" t="str">
        <f>MID(TB_CECO[[#This Row],[TRABAJO]],1,SEARCH(",",TB_CECO[[#This Row],[TRABAJO]],1)-1)</f>
        <v>Snv 915 NE (Est 912 SE)</v>
      </c>
      <c r="C27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915 NE (Est 912 SE),SOSTENIMIENTO</v>
      </c>
      <c r="D27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33" s="47" t="s">
        <v>5415</v>
      </c>
      <c r="G2733" t="s">
        <v>5416</v>
      </c>
      <c r="H27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34" spans="1:8" ht="15" customHeight="1" x14ac:dyDescent="0.25">
      <c r="A2734" t="str">
        <f>MID(TB_CECO[[#This Row],[CECO_T]],1,5)</f>
        <v>3D53Q</v>
      </c>
      <c r="B2734" t="str">
        <f>MID(TB_CECO[[#This Row],[TRABAJO]],1,SEARCH(",",TB_CECO[[#This Row],[TRABAJO]],1)-1)</f>
        <v>Snv 915 NE (Est 912 SE)</v>
      </c>
      <c r="C27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915 NE (Est 912 SE),VOLADURA</v>
      </c>
      <c r="D27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34" s="47" t="s">
        <v>5417</v>
      </c>
      <c r="G2734" t="s">
        <v>5418</v>
      </c>
      <c r="H27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35" spans="1:8" ht="15" customHeight="1" x14ac:dyDescent="0.25">
      <c r="A2735" t="str">
        <f>MID(TB_CECO[[#This Row],[CECO_T]],1,5)</f>
        <v>3D53S</v>
      </c>
      <c r="B2735" t="str">
        <f>MID(TB_CECO[[#This Row],[TRABAJO]],1,SEARCH(",",TB_CECO[[#This Row],[TRABAJO]],1)-1)</f>
        <v>Snv 915 SW (Est 912 SE)</v>
      </c>
      <c r="C27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915 SW (Est 912 SE),LIMPIEZA</v>
      </c>
      <c r="D27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35" s="47" t="s">
        <v>5419</v>
      </c>
      <c r="G2735" t="s">
        <v>5420</v>
      </c>
      <c r="H27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36" spans="1:8" ht="15" customHeight="1" x14ac:dyDescent="0.25">
      <c r="A2736" t="str">
        <f>MID(TB_CECO[[#This Row],[CECO_T]],1,5)</f>
        <v>3D53S</v>
      </c>
      <c r="B2736" t="str">
        <f>MID(TB_CECO[[#This Row],[TRABAJO]],1,SEARCH(",",TB_CECO[[#This Row],[TRABAJO]],1)-1)</f>
        <v>Snv 915 SW (Est 912 SE)</v>
      </c>
      <c r="C27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915 SW (Est 912 SE),SERVICIO</v>
      </c>
      <c r="D27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36" s="47" t="s">
        <v>5421</v>
      </c>
      <c r="G2736" t="s">
        <v>5422</v>
      </c>
      <c r="H27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37" spans="1:8" ht="15" customHeight="1" x14ac:dyDescent="0.25">
      <c r="A2737" t="str">
        <f>MID(TB_CECO[[#This Row],[CECO_T]],1,5)</f>
        <v>3D53S</v>
      </c>
      <c r="B2737" t="str">
        <f>MID(TB_CECO[[#This Row],[TRABAJO]],1,SEARCH(",",TB_CECO[[#This Row],[TRABAJO]],1)-1)</f>
        <v>Snv 915 SW (Est 912 SE)</v>
      </c>
      <c r="C27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915 SW (Est 912 SE),PERFORACION</v>
      </c>
      <c r="D27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37" s="47" t="s">
        <v>5423</v>
      </c>
      <c r="G2737" t="s">
        <v>5424</v>
      </c>
      <c r="H27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38" spans="1:8" ht="15" customHeight="1" x14ac:dyDescent="0.25">
      <c r="A2738" t="str">
        <f>MID(TB_CECO[[#This Row],[CECO_T]],1,5)</f>
        <v>3D53S</v>
      </c>
      <c r="B2738" t="str">
        <f>MID(TB_CECO[[#This Row],[TRABAJO]],1,SEARCH(",",TB_CECO[[#This Row],[TRABAJO]],1)-1)</f>
        <v>Snv 915 SW (Est 912 SE)</v>
      </c>
      <c r="C27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915 SW (Est 912 SE),SOSTENIMIENTO</v>
      </c>
      <c r="D27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38" s="47" t="s">
        <v>5425</v>
      </c>
      <c r="G2738" t="s">
        <v>5426</v>
      </c>
      <c r="H27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39" spans="1:8" ht="15" customHeight="1" x14ac:dyDescent="0.25">
      <c r="A2739" t="str">
        <f>MID(TB_CECO[[#This Row],[CECO_T]],1,5)</f>
        <v>3D53S</v>
      </c>
      <c r="B2739" t="str">
        <f>MID(TB_CECO[[#This Row],[TRABAJO]],1,SEARCH(",",TB_CECO[[#This Row],[TRABAJO]],1)-1)</f>
        <v>Snv 915 SW (Est 912 SE)</v>
      </c>
      <c r="C27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915 SW (Est 912 SE),VOLADURA</v>
      </c>
      <c r="D27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39" s="47" t="s">
        <v>5427</v>
      </c>
      <c r="G2739" t="s">
        <v>5428</v>
      </c>
      <c r="H27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40" spans="1:8" ht="15" customHeight="1" x14ac:dyDescent="0.25">
      <c r="A2740" t="str">
        <f>MID(TB_CECO[[#This Row],[CECO_T]],1,5)</f>
        <v>3D54I</v>
      </c>
      <c r="B2740" t="str">
        <f>MID(TB_CECO[[#This Row],[TRABAJO]],1,SEARCH(",",TB_CECO[[#This Row],[TRABAJO]],1)-1)</f>
        <v>Snv 918 NE (Ch 936)</v>
      </c>
      <c r="C27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918 NE (Ch 936),LIMPIEZA</v>
      </c>
      <c r="D27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40" s="47" t="s">
        <v>5429</v>
      </c>
      <c r="G2740" t="s">
        <v>5430</v>
      </c>
      <c r="H27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41" spans="1:8" ht="15" customHeight="1" x14ac:dyDescent="0.25">
      <c r="A2741" t="str">
        <f>MID(TB_CECO[[#This Row],[CECO_T]],1,5)</f>
        <v>3D54I</v>
      </c>
      <c r="B2741" t="str">
        <f>MID(TB_CECO[[#This Row],[TRABAJO]],1,SEARCH(",",TB_CECO[[#This Row],[TRABAJO]],1)-1)</f>
        <v>Snv 918 NE (Ch 936)</v>
      </c>
      <c r="C27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918 NE (Ch 936),SERVICIO</v>
      </c>
      <c r="D27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41" s="47" t="s">
        <v>5431</v>
      </c>
      <c r="G2741" t="s">
        <v>5432</v>
      </c>
      <c r="H27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42" spans="1:8" ht="15" customHeight="1" x14ac:dyDescent="0.25">
      <c r="A2742" t="str">
        <f>MID(TB_CECO[[#This Row],[CECO_T]],1,5)</f>
        <v>3D54I</v>
      </c>
      <c r="B2742" t="str">
        <f>MID(TB_CECO[[#This Row],[TRABAJO]],1,SEARCH(",",TB_CECO[[#This Row],[TRABAJO]],1)-1)</f>
        <v>Snv 918 NE (Ch 936)</v>
      </c>
      <c r="C27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918 NE (Ch 936),PERFORACION</v>
      </c>
      <c r="D27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42" s="47" t="s">
        <v>5433</v>
      </c>
      <c r="G2742" t="s">
        <v>5434</v>
      </c>
      <c r="H27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43" spans="1:8" ht="15" customHeight="1" x14ac:dyDescent="0.25">
      <c r="A2743" t="str">
        <f>MID(TB_CECO[[#This Row],[CECO_T]],1,5)</f>
        <v>3D54I</v>
      </c>
      <c r="B2743" t="str">
        <f>MID(TB_CECO[[#This Row],[TRABAJO]],1,SEARCH(",",TB_CECO[[#This Row],[TRABAJO]],1)-1)</f>
        <v>Snv 918 NE (Ch 936)</v>
      </c>
      <c r="C27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918 NE (Ch 936),SOSTENIMIENTO</v>
      </c>
      <c r="D27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43" s="47" t="s">
        <v>5435</v>
      </c>
      <c r="G2743" t="s">
        <v>5436</v>
      </c>
      <c r="H27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44" spans="1:8" ht="15" customHeight="1" x14ac:dyDescent="0.25">
      <c r="A2744" t="str">
        <f>MID(TB_CECO[[#This Row],[CECO_T]],1,5)</f>
        <v>3D54I</v>
      </c>
      <c r="B2744" t="str">
        <f>MID(TB_CECO[[#This Row],[TRABAJO]],1,SEARCH(",",TB_CECO[[#This Row],[TRABAJO]],1)-1)</f>
        <v>Snv 918 NE (Ch 936)</v>
      </c>
      <c r="C27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918 NE (Ch 936),VOLADURA</v>
      </c>
      <c r="D27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44" s="47" t="s">
        <v>5437</v>
      </c>
      <c r="G2744" t="s">
        <v>5438</v>
      </c>
      <c r="H27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45" spans="1:8" ht="15" customHeight="1" x14ac:dyDescent="0.25">
      <c r="A2745" t="str">
        <f>MID(TB_CECO[[#This Row],[CECO_T]],1,5)</f>
        <v>3D54J</v>
      </c>
      <c r="B2745" t="str">
        <f>MID(TB_CECO[[#This Row],[TRABAJO]],1,SEARCH(",",TB_CECO[[#This Row],[TRABAJO]],1)-1)</f>
        <v>Snv 920 NE (Ch 936)</v>
      </c>
      <c r="C27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920 NE (Ch 936),LIMPIEZA</v>
      </c>
      <c r="D27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45" s="47" t="s">
        <v>5439</v>
      </c>
      <c r="G2745" t="s">
        <v>5440</v>
      </c>
      <c r="H27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46" spans="1:8" ht="15" customHeight="1" x14ac:dyDescent="0.25">
      <c r="A2746" t="str">
        <f>MID(TB_CECO[[#This Row],[CECO_T]],1,5)</f>
        <v>3D54J</v>
      </c>
      <c r="B2746" t="str">
        <f>MID(TB_CECO[[#This Row],[TRABAJO]],1,SEARCH(",",TB_CECO[[#This Row],[TRABAJO]],1)-1)</f>
        <v>Snv 920 NE (Ch 936)</v>
      </c>
      <c r="C27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920 NE (Ch 936),SERVICIO</v>
      </c>
      <c r="D27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46" s="47" t="s">
        <v>5441</v>
      </c>
      <c r="G2746" t="s">
        <v>5442</v>
      </c>
      <c r="H27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47" spans="1:8" ht="15" customHeight="1" x14ac:dyDescent="0.25">
      <c r="A2747" t="str">
        <f>MID(TB_CECO[[#This Row],[CECO_T]],1,5)</f>
        <v>3D54J</v>
      </c>
      <c r="B2747" t="str">
        <f>MID(TB_CECO[[#This Row],[TRABAJO]],1,SEARCH(",",TB_CECO[[#This Row],[TRABAJO]],1)-1)</f>
        <v>Snv 920 NE (Ch 936)</v>
      </c>
      <c r="C27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920 NE (Ch 936),PERFORACION</v>
      </c>
      <c r="D27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47" s="47" t="s">
        <v>5443</v>
      </c>
      <c r="G2747" t="s">
        <v>5444</v>
      </c>
      <c r="H27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48" spans="1:8" ht="15" customHeight="1" x14ac:dyDescent="0.25">
      <c r="A2748" t="str">
        <f>MID(TB_CECO[[#This Row],[CECO_T]],1,5)</f>
        <v>3D54J</v>
      </c>
      <c r="B2748" t="str">
        <f>MID(TB_CECO[[#This Row],[TRABAJO]],1,SEARCH(",",TB_CECO[[#This Row],[TRABAJO]],1)-1)</f>
        <v>Snv 920 NE (Ch 936)</v>
      </c>
      <c r="C27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920 NE (Ch 936),SOSTENIMIENTO</v>
      </c>
      <c r="D27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48" s="47" t="s">
        <v>5445</v>
      </c>
      <c r="G2748" t="s">
        <v>5446</v>
      </c>
      <c r="H27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49" spans="1:8" ht="15" customHeight="1" x14ac:dyDescent="0.25">
      <c r="A2749" t="str">
        <f>MID(TB_CECO[[#This Row],[CECO_T]],1,5)</f>
        <v>3D54J</v>
      </c>
      <c r="B2749" t="str">
        <f>MID(TB_CECO[[#This Row],[TRABAJO]],1,SEARCH(",",TB_CECO[[#This Row],[TRABAJO]],1)-1)</f>
        <v>Snv 920 NE (Ch 936)</v>
      </c>
      <c r="C27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920 NE (Ch 936),VOLADURA</v>
      </c>
      <c r="D27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49" s="47" t="s">
        <v>5447</v>
      </c>
      <c r="G2749" t="s">
        <v>5448</v>
      </c>
      <c r="H27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50" spans="1:8" ht="15" customHeight="1" x14ac:dyDescent="0.25">
      <c r="A2750" t="str">
        <f>MID(TB_CECO[[#This Row],[CECO_T]],1,5)</f>
        <v>3D54R</v>
      </c>
      <c r="B2750" t="str">
        <f>MID(TB_CECO[[#This Row],[TRABAJO]],1,SEARCH(",",TB_CECO[[#This Row],[TRABAJO]],1)-1)</f>
        <v>Snv 917 SW (Tj 050 SW)</v>
      </c>
      <c r="C27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917 SW (Tj 050 SW),LIMPIEZA</v>
      </c>
      <c r="D27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50" s="47" t="s">
        <v>5449</v>
      </c>
      <c r="G2750" t="s">
        <v>5450</v>
      </c>
      <c r="H27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51" spans="1:8" ht="15" customHeight="1" x14ac:dyDescent="0.25">
      <c r="A2751" t="str">
        <f>MID(TB_CECO[[#This Row],[CECO_T]],1,5)</f>
        <v>3D54R</v>
      </c>
      <c r="B2751" t="str">
        <f>MID(TB_CECO[[#This Row],[TRABAJO]],1,SEARCH(",",TB_CECO[[#This Row],[TRABAJO]],1)-1)</f>
        <v>Snv 917 SW (Tj 050 SW)</v>
      </c>
      <c r="C27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917 SW (Tj 050 SW),SERVICIO</v>
      </c>
      <c r="D27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51" s="47" t="s">
        <v>5451</v>
      </c>
      <c r="G2751" t="s">
        <v>5452</v>
      </c>
      <c r="H27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52" spans="1:8" ht="15" customHeight="1" x14ac:dyDescent="0.25">
      <c r="A2752" t="str">
        <f>MID(TB_CECO[[#This Row],[CECO_T]],1,5)</f>
        <v>3D54R</v>
      </c>
      <c r="B2752" t="str">
        <f>MID(TB_CECO[[#This Row],[TRABAJO]],1,SEARCH(",",TB_CECO[[#This Row],[TRABAJO]],1)-1)</f>
        <v>Snv 917 SW (Tj 050 SW)</v>
      </c>
      <c r="C27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917 SW (Tj 050 SW),PERFORACION</v>
      </c>
      <c r="D27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52" s="47" t="s">
        <v>5453</v>
      </c>
      <c r="G2752" t="s">
        <v>5454</v>
      </c>
      <c r="H27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53" spans="1:8" ht="15" customHeight="1" x14ac:dyDescent="0.25">
      <c r="A2753" t="str">
        <f>MID(TB_CECO[[#This Row],[CECO_T]],1,5)</f>
        <v>3D54R</v>
      </c>
      <c r="B2753" t="str">
        <f>MID(TB_CECO[[#This Row],[TRABAJO]],1,SEARCH(",",TB_CECO[[#This Row],[TRABAJO]],1)-1)</f>
        <v>Snv 917 SW (Tj 050 SW)</v>
      </c>
      <c r="C27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917 SW (Tj 050 SW),SOSTENIMIENTO</v>
      </c>
      <c r="D27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53" s="47" t="s">
        <v>5455</v>
      </c>
      <c r="G2753" t="s">
        <v>5456</v>
      </c>
      <c r="H27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54" spans="1:8" ht="15" customHeight="1" x14ac:dyDescent="0.25">
      <c r="A2754" t="str">
        <f>MID(TB_CECO[[#This Row],[CECO_T]],1,5)</f>
        <v>3D54R</v>
      </c>
      <c r="B2754" t="str">
        <f>MID(TB_CECO[[#This Row],[TRABAJO]],1,SEARCH(",",TB_CECO[[#This Row],[TRABAJO]],1)-1)</f>
        <v>Snv 917 SW (Tj 050 SW)</v>
      </c>
      <c r="C27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917 SW (Tj 050 SW),VOLADURA</v>
      </c>
      <c r="D27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54" s="47" t="s">
        <v>5457</v>
      </c>
      <c r="G2754" t="s">
        <v>5458</v>
      </c>
      <c r="H27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55" spans="1:8" ht="15" customHeight="1" x14ac:dyDescent="0.25">
      <c r="A2755" t="str">
        <f>MID(TB_CECO[[#This Row],[CECO_T]],1,5)</f>
        <v>3D54U</v>
      </c>
      <c r="B2755" t="str">
        <f>MID(TB_CECO[[#This Row],[TRABAJO]],1,SEARCH(",",TB_CECO[[#This Row],[TRABAJO]],1)-1)</f>
        <v>Snv 079 SW (Est 079 NW)</v>
      </c>
      <c r="C27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079 SW (Est 079 NW),LIMPIEZA</v>
      </c>
      <c r="D27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55" s="47" t="s">
        <v>5459</v>
      </c>
      <c r="G2755" t="s">
        <v>5460</v>
      </c>
      <c r="H27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56" spans="1:8" ht="15" customHeight="1" x14ac:dyDescent="0.25">
      <c r="A2756" t="str">
        <f>MID(TB_CECO[[#This Row],[CECO_T]],1,5)</f>
        <v>3D54U</v>
      </c>
      <c r="B2756" t="str">
        <f>MID(TB_CECO[[#This Row],[TRABAJO]],1,SEARCH(",",TB_CECO[[#This Row],[TRABAJO]],1)-1)</f>
        <v>Snv 079 SW (Est 079 NW)</v>
      </c>
      <c r="C27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079 SW (Est 079 NW),SERVICIO</v>
      </c>
      <c r="D27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56" s="47" t="s">
        <v>5461</v>
      </c>
      <c r="G2756" t="s">
        <v>5462</v>
      </c>
      <c r="H27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57" spans="1:8" ht="15" customHeight="1" x14ac:dyDescent="0.25">
      <c r="A2757" t="str">
        <f>MID(TB_CECO[[#This Row],[CECO_T]],1,5)</f>
        <v>3D54U</v>
      </c>
      <c r="B2757" t="str">
        <f>MID(TB_CECO[[#This Row],[TRABAJO]],1,SEARCH(",",TB_CECO[[#This Row],[TRABAJO]],1)-1)</f>
        <v>Snv 079 SW (Est 079 NW)</v>
      </c>
      <c r="C27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079 SW (Est 079 NW),PERFORACION</v>
      </c>
      <c r="D27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57" s="47" t="s">
        <v>5463</v>
      </c>
      <c r="G2757" t="s">
        <v>5464</v>
      </c>
      <c r="H27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58" spans="1:8" ht="15" customHeight="1" x14ac:dyDescent="0.25">
      <c r="A2758" t="str">
        <f>MID(TB_CECO[[#This Row],[CECO_T]],1,5)</f>
        <v>3D54U</v>
      </c>
      <c r="B2758" t="str">
        <f>MID(TB_CECO[[#This Row],[TRABAJO]],1,SEARCH(",",TB_CECO[[#This Row],[TRABAJO]],1)-1)</f>
        <v>Snv 079 SW (Est 079 NW)</v>
      </c>
      <c r="C27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079 SW (Est 079 NW),SOSTENIMIENTO</v>
      </c>
      <c r="D27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58" s="47" t="s">
        <v>5465</v>
      </c>
      <c r="G2758" t="s">
        <v>5466</v>
      </c>
      <c r="H27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59" spans="1:8" ht="15" customHeight="1" x14ac:dyDescent="0.25">
      <c r="A2759" t="str">
        <f>MID(TB_CECO[[#This Row],[CECO_T]],1,5)</f>
        <v>3D54U</v>
      </c>
      <c r="B2759" t="str">
        <f>MID(TB_CECO[[#This Row],[TRABAJO]],1,SEARCH(",",TB_CECO[[#This Row],[TRABAJO]],1)-1)</f>
        <v>Snv 079 SW (Est 079 NW)</v>
      </c>
      <c r="C27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079 SW (Est 079 NW),VOLADURA</v>
      </c>
      <c r="D27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59" s="47" t="s">
        <v>5467</v>
      </c>
      <c r="G2759" t="s">
        <v>5468</v>
      </c>
      <c r="H27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60" spans="1:8" ht="15" customHeight="1" x14ac:dyDescent="0.25">
      <c r="A2760" t="str">
        <f>MID(TB_CECO[[#This Row],[CECO_T]],1,5)</f>
        <v>3D54V</v>
      </c>
      <c r="B2760" t="str">
        <f>MID(TB_CECO[[#This Row],[TRABAJO]],1,SEARCH(",",TB_CECO[[#This Row],[TRABAJO]],1)-1)</f>
        <v>Snv 079 NE (Est 079 NW)</v>
      </c>
      <c r="C27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079 NE (Est 079 NW),LIMPIEZA</v>
      </c>
      <c r="D27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60" s="47" t="s">
        <v>5469</v>
      </c>
      <c r="G2760" t="s">
        <v>5470</v>
      </c>
      <c r="H27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61" spans="1:8" ht="15" customHeight="1" x14ac:dyDescent="0.25">
      <c r="A2761" t="str">
        <f>MID(TB_CECO[[#This Row],[CECO_T]],1,5)</f>
        <v>3D54V</v>
      </c>
      <c r="B2761" t="str">
        <f>MID(TB_CECO[[#This Row],[TRABAJO]],1,SEARCH(",",TB_CECO[[#This Row],[TRABAJO]],1)-1)</f>
        <v>Snv 079 NE (Est 079 NW)</v>
      </c>
      <c r="C27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079 NE (Est 079 NW),SERVICIO</v>
      </c>
      <c r="D27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61" s="47" t="s">
        <v>5471</v>
      </c>
      <c r="G2761" t="s">
        <v>5472</v>
      </c>
      <c r="H27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62" spans="1:8" ht="15" customHeight="1" x14ac:dyDescent="0.25">
      <c r="A2762" t="str">
        <f>MID(TB_CECO[[#This Row],[CECO_T]],1,5)</f>
        <v>3D54V</v>
      </c>
      <c r="B2762" t="str">
        <f>MID(TB_CECO[[#This Row],[TRABAJO]],1,SEARCH(",",TB_CECO[[#This Row],[TRABAJO]],1)-1)</f>
        <v>Snv 079 NE (Est 079 NW)</v>
      </c>
      <c r="C27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079 NE (Est 079 NW),PERFORACION</v>
      </c>
      <c r="D27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62" s="47" t="s">
        <v>5473</v>
      </c>
      <c r="G2762" t="s">
        <v>5474</v>
      </c>
      <c r="H27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63" spans="1:8" ht="15" customHeight="1" x14ac:dyDescent="0.25">
      <c r="A2763" t="str">
        <f>MID(TB_CECO[[#This Row],[CECO_T]],1,5)</f>
        <v>3D54V</v>
      </c>
      <c r="B2763" t="str">
        <f>MID(TB_CECO[[#This Row],[TRABAJO]],1,SEARCH(",",TB_CECO[[#This Row],[TRABAJO]],1)-1)</f>
        <v>Snv 079 NE (Est 079 NW)</v>
      </c>
      <c r="C27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079 NE (Est 079 NW),SOSTENIMIENTO</v>
      </c>
      <c r="D27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63" s="47" t="s">
        <v>5475</v>
      </c>
      <c r="G2763" t="s">
        <v>5476</v>
      </c>
      <c r="H27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64" spans="1:8" ht="15" customHeight="1" x14ac:dyDescent="0.25">
      <c r="A2764" t="str">
        <f>MID(TB_CECO[[#This Row],[CECO_T]],1,5)</f>
        <v>3D54V</v>
      </c>
      <c r="B2764" t="str">
        <f>MID(TB_CECO[[#This Row],[TRABAJO]],1,SEARCH(",",TB_CECO[[#This Row],[TRABAJO]],1)-1)</f>
        <v>Snv 079 NE (Est 079 NW)</v>
      </c>
      <c r="C27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079 NE (Est 079 NW),VOLADURA</v>
      </c>
      <c r="D27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64" s="47" t="s">
        <v>5477</v>
      </c>
      <c r="G2764" t="s">
        <v>5478</v>
      </c>
      <c r="H27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65" spans="1:8" ht="15" customHeight="1" x14ac:dyDescent="0.25">
      <c r="A2765" t="str">
        <f>MID(TB_CECO[[#This Row],[CECO_T]],1,5)</f>
        <v>3D55B</v>
      </c>
      <c r="B2765" t="str">
        <f>MID(TB_CECO[[#This Row],[TRABAJO]],1,SEARCH(",",TB_CECO[[#This Row],[TRABAJO]],1)-1)</f>
        <v>Snv 082 NE (Est 079 NW)</v>
      </c>
      <c r="C27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082 NE (Est 079 NW),LIMPIEZA</v>
      </c>
      <c r="D27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65" s="47" t="s">
        <v>5479</v>
      </c>
      <c r="G2765" t="s">
        <v>5480</v>
      </c>
      <c r="H27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66" spans="1:8" ht="15" customHeight="1" x14ac:dyDescent="0.25">
      <c r="A2766" t="str">
        <f>MID(TB_CECO[[#This Row],[CECO_T]],1,5)</f>
        <v>3D55B</v>
      </c>
      <c r="B2766" t="str">
        <f>MID(TB_CECO[[#This Row],[TRABAJO]],1,SEARCH(",",TB_CECO[[#This Row],[TRABAJO]],1)-1)</f>
        <v>Snv 082 NE (Est 079 NW)</v>
      </c>
      <c r="C27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082 NE (Est 079 NW),LIMPIEZA</v>
      </c>
      <c r="D27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66" s="47" t="s">
        <v>5479</v>
      </c>
      <c r="G2766" t="s">
        <v>5480</v>
      </c>
      <c r="H27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67" spans="1:8" ht="15" customHeight="1" x14ac:dyDescent="0.25">
      <c r="A2767" t="str">
        <f>MID(TB_CECO[[#This Row],[CECO_T]],1,5)</f>
        <v>3D55B</v>
      </c>
      <c r="B2767" t="str">
        <f>MID(TB_CECO[[#This Row],[TRABAJO]],1,SEARCH(",",TB_CECO[[#This Row],[TRABAJO]],1)-1)</f>
        <v>Snv 082 NE (Est 079 NW)</v>
      </c>
      <c r="C27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082 NE (Est 079 NW),SERVICIO</v>
      </c>
      <c r="D27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67" s="47" t="s">
        <v>5481</v>
      </c>
      <c r="G2767" t="s">
        <v>5482</v>
      </c>
      <c r="H27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68" spans="1:8" ht="15" customHeight="1" x14ac:dyDescent="0.25">
      <c r="A2768" t="str">
        <f>MID(TB_CECO[[#This Row],[CECO_T]],1,5)</f>
        <v>3D55B</v>
      </c>
      <c r="B2768" t="str">
        <f>MID(TB_CECO[[#This Row],[TRABAJO]],1,SEARCH(",",TB_CECO[[#This Row],[TRABAJO]],1)-1)</f>
        <v>Snv 082 NE (Est 079 NW)</v>
      </c>
      <c r="C27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082 NE (Est 079 NW),SERVICIO</v>
      </c>
      <c r="D27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68" s="47" t="s">
        <v>5481</v>
      </c>
      <c r="G2768" t="s">
        <v>5482</v>
      </c>
      <c r="H27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69" spans="1:8" ht="15" customHeight="1" x14ac:dyDescent="0.25">
      <c r="A2769" t="str">
        <f>MID(TB_CECO[[#This Row],[CECO_T]],1,5)</f>
        <v>3D55B</v>
      </c>
      <c r="B2769" t="str">
        <f>MID(TB_CECO[[#This Row],[TRABAJO]],1,SEARCH(",",TB_CECO[[#This Row],[TRABAJO]],1)-1)</f>
        <v>Snv 082 NE (Est 079 NW)</v>
      </c>
      <c r="C27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082 NE (Est 079 NW),PERFORACION</v>
      </c>
      <c r="D27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69" s="47" t="s">
        <v>5483</v>
      </c>
      <c r="G2769" t="s">
        <v>5484</v>
      </c>
      <c r="H27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70" spans="1:8" ht="15" customHeight="1" x14ac:dyDescent="0.25">
      <c r="A2770" t="str">
        <f>MID(TB_CECO[[#This Row],[CECO_T]],1,5)</f>
        <v>3D55B</v>
      </c>
      <c r="B2770" t="str">
        <f>MID(TB_CECO[[#This Row],[TRABAJO]],1,SEARCH(",",TB_CECO[[#This Row],[TRABAJO]],1)-1)</f>
        <v>Snv 082 NE (Est 079 NW)</v>
      </c>
      <c r="C27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082 NE (Est 079 NW),PERFORACION</v>
      </c>
      <c r="D27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70" s="47" t="s">
        <v>5483</v>
      </c>
      <c r="G2770" t="s">
        <v>5484</v>
      </c>
      <c r="H27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71" spans="1:8" ht="15" customHeight="1" x14ac:dyDescent="0.25">
      <c r="A2771" t="str">
        <f>MID(TB_CECO[[#This Row],[CECO_T]],1,5)</f>
        <v>3D55B</v>
      </c>
      <c r="B2771" t="str">
        <f>MID(TB_CECO[[#This Row],[TRABAJO]],1,SEARCH(",",TB_CECO[[#This Row],[TRABAJO]],1)-1)</f>
        <v>Snv 082 NE (Est 079 NW)</v>
      </c>
      <c r="C27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082 NE (Est 079 NW),SOSTENIMIENTO</v>
      </c>
      <c r="D27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71" s="47" t="s">
        <v>5485</v>
      </c>
      <c r="G2771" t="s">
        <v>5486</v>
      </c>
      <c r="H27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72" spans="1:8" ht="15" customHeight="1" x14ac:dyDescent="0.25">
      <c r="A2772" t="str">
        <f>MID(TB_CECO[[#This Row],[CECO_T]],1,5)</f>
        <v>3D55B</v>
      </c>
      <c r="B2772" t="str">
        <f>MID(TB_CECO[[#This Row],[TRABAJO]],1,SEARCH(",",TB_CECO[[#This Row],[TRABAJO]],1)-1)</f>
        <v>Snv 082 NE (Est 079 NW)</v>
      </c>
      <c r="C27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082 NE (Est 079 NW),SOSTENIMIENTO</v>
      </c>
      <c r="D27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72" s="47" t="s">
        <v>5485</v>
      </c>
      <c r="G2772" t="s">
        <v>5486</v>
      </c>
      <c r="H27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73" spans="1:8" ht="15" customHeight="1" x14ac:dyDescent="0.25">
      <c r="A2773" t="str">
        <f>MID(TB_CECO[[#This Row],[CECO_T]],1,5)</f>
        <v>3D55B</v>
      </c>
      <c r="B2773" t="str">
        <f>MID(TB_CECO[[#This Row],[TRABAJO]],1,SEARCH(",",TB_CECO[[#This Row],[TRABAJO]],1)-1)</f>
        <v>Snv 082 NE (Est 079 NW)</v>
      </c>
      <c r="C27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082 NE (Est 079 NW),VOLADURA</v>
      </c>
      <c r="D27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73" s="47" t="s">
        <v>5487</v>
      </c>
      <c r="G2773" t="s">
        <v>5488</v>
      </c>
      <c r="H27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74" spans="1:8" ht="15" customHeight="1" x14ac:dyDescent="0.25">
      <c r="A2774" t="str">
        <f>MID(TB_CECO[[#This Row],[CECO_T]],1,5)</f>
        <v>3D55B</v>
      </c>
      <c r="B2774" t="str">
        <f>MID(TB_CECO[[#This Row],[TRABAJO]],1,SEARCH(",",TB_CECO[[#This Row],[TRABAJO]],1)-1)</f>
        <v>Snv 082 NE (Est 079 NW)</v>
      </c>
      <c r="C27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082 NE (Est 079 NW),VOLADURA</v>
      </c>
      <c r="D27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74" s="47" t="s">
        <v>5487</v>
      </c>
      <c r="G2774" t="s">
        <v>5488</v>
      </c>
      <c r="H27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75" spans="1:8" ht="15" customHeight="1" x14ac:dyDescent="0.25">
      <c r="A2775" t="str">
        <f>MID(TB_CECO[[#This Row],[CECO_T]],1,5)</f>
        <v>3D55K</v>
      </c>
      <c r="B2775" t="str">
        <f>MID(TB_CECO[[#This Row],[TRABAJO]],1,SEARCH(",",TB_CECO[[#This Row],[TRABAJO]],1)-1)</f>
        <v>Snv 916 SW (Snv 915 NE)</v>
      </c>
      <c r="C27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916 SW (Snv 915 NE),LIMPIEZA</v>
      </c>
      <c r="D27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75" s="47" t="s">
        <v>5489</v>
      </c>
      <c r="G2775" t="s">
        <v>5490</v>
      </c>
      <c r="H27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76" spans="1:8" ht="15" customHeight="1" x14ac:dyDescent="0.25">
      <c r="A2776" t="str">
        <f>MID(TB_CECO[[#This Row],[CECO_T]],1,5)</f>
        <v>3D55K</v>
      </c>
      <c r="B2776" t="str">
        <f>MID(TB_CECO[[#This Row],[TRABAJO]],1,SEARCH(",",TB_CECO[[#This Row],[TRABAJO]],1)-1)</f>
        <v>Snv 916 SW (Snv 915 NE)</v>
      </c>
      <c r="C27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916 SW (Snv 915 NE),SERVICIO</v>
      </c>
      <c r="D27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76" s="47" t="s">
        <v>5491</v>
      </c>
      <c r="G2776" t="s">
        <v>5492</v>
      </c>
      <c r="H27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77" spans="1:8" ht="15" customHeight="1" x14ac:dyDescent="0.25">
      <c r="A2777" t="str">
        <f>MID(TB_CECO[[#This Row],[CECO_T]],1,5)</f>
        <v>3D55K</v>
      </c>
      <c r="B2777" t="str">
        <f>MID(TB_CECO[[#This Row],[TRABAJO]],1,SEARCH(",",TB_CECO[[#This Row],[TRABAJO]],1)-1)</f>
        <v>Snv 916 SW (Snv 915 NE)</v>
      </c>
      <c r="C27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916 SW (Snv 915 NE),PERFORACION</v>
      </c>
      <c r="D27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77" s="47" t="s">
        <v>5493</v>
      </c>
      <c r="G2777" t="s">
        <v>5494</v>
      </c>
      <c r="H27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78" spans="1:8" ht="15" customHeight="1" x14ac:dyDescent="0.25">
      <c r="A2778" t="str">
        <f>MID(TB_CECO[[#This Row],[CECO_T]],1,5)</f>
        <v>3D55K</v>
      </c>
      <c r="B2778" t="str">
        <f>MID(TB_CECO[[#This Row],[TRABAJO]],1,SEARCH(",",TB_CECO[[#This Row],[TRABAJO]],1)-1)</f>
        <v>Snv 916 SW (Snv 915 NE)</v>
      </c>
      <c r="C27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916 SW (Snv 915 NE),SOSTENIMIENTO</v>
      </c>
      <c r="D27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78" s="47" t="s">
        <v>5495</v>
      </c>
      <c r="G2778" t="s">
        <v>5496</v>
      </c>
      <c r="H27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79" spans="1:8" ht="15" customHeight="1" x14ac:dyDescent="0.25">
      <c r="A2779" t="str">
        <f>MID(TB_CECO[[#This Row],[CECO_T]],1,5)</f>
        <v>3D55K</v>
      </c>
      <c r="B2779" t="str">
        <f>MID(TB_CECO[[#This Row],[TRABAJO]],1,SEARCH(",",TB_CECO[[#This Row],[TRABAJO]],1)-1)</f>
        <v>Snv 916 SW (Snv 915 NE)</v>
      </c>
      <c r="C27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916 SW (Snv 915 NE),VOLADURA</v>
      </c>
      <c r="D27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79" s="47" t="s">
        <v>5497</v>
      </c>
      <c r="G2779" t="s">
        <v>5498</v>
      </c>
      <c r="H27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80" spans="1:8" ht="15" customHeight="1" x14ac:dyDescent="0.25">
      <c r="A2780" t="str">
        <f>MID(TB_CECO[[#This Row],[CECO_T]],1,5)</f>
        <v>3D55L</v>
      </c>
      <c r="B2780" t="str">
        <f>MID(TB_CECO[[#This Row],[TRABAJO]],1,SEARCH(",",TB_CECO[[#This Row],[TRABAJO]],1)-1)</f>
        <v>Snv 919 SW (Tj 050 SW)</v>
      </c>
      <c r="C27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919 SW (Tj 050 SW),LIMPIEZA</v>
      </c>
      <c r="D27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80" s="47" t="s">
        <v>5499</v>
      </c>
      <c r="G2780" t="s">
        <v>5500</v>
      </c>
      <c r="H27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81" spans="1:8" ht="15" customHeight="1" x14ac:dyDescent="0.25">
      <c r="A2781" t="str">
        <f>MID(TB_CECO[[#This Row],[CECO_T]],1,5)</f>
        <v>3D55L</v>
      </c>
      <c r="B2781" t="str">
        <f>MID(TB_CECO[[#This Row],[TRABAJO]],1,SEARCH(",",TB_CECO[[#This Row],[TRABAJO]],1)-1)</f>
        <v>Snv 919 SW (Tj 050 SW)</v>
      </c>
      <c r="C27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919 SW (Tj 050 SW),SERVICIO</v>
      </c>
      <c r="D27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81" s="47" t="s">
        <v>5501</v>
      </c>
      <c r="G2781" t="s">
        <v>5502</v>
      </c>
      <c r="H27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82" spans="1:8" ht="15" customHeight="1" x14ac:dyDescent="0.25">
      <c r="A2782" t="str">
        <f>MID(TB_CECO[[#This Row],[CECO_T]],1,5)</f>
        <v>3D55L</v>
      </c>
      <c r="B2782" t="str">
        <f>MID(TB_CECO[[#This Row],[TRABAJO]],1,SEARCH(",",TB_CECO[[#This Row],[TRABAJO]],1)-1)</f>
        <v>Snv 919 SW (Tj 050 SW)</v>
      </c>
      <c r="C27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919 SW (Tj 050 SW),PERFORACION</v>
      </c>
      <c r="D27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82" s="47" t="s">
        <v>5503</v>
      </c>
      <c r="G2782" t="s">
        <v>5504</v>
      </c>
      <c r="H27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83" spans="1:8" ht="15" customHeight="1" x14ac:dyDescent="0.25">
      <c r="A2783" t="str">
        <f>MID(TB_CECO[[#This Row],[CECO_T]],1,5)</f>
        <v>3D55L</v>
      </c>
      <c r="B2783" t="str">
        <f>MID(TB_CECO[[#This Row],[TRABAJO]],1,SEARCH(",",TB_CECO[[#This Row],[TRABAJO]],1)-1)</f>
        <v>Snv 919 SW (Tj 050 SW)</v>
      </c>
      <c r="C27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919 SW (Tj 050 SW),SOSTENIMIENTO</v>
      </c>
      <c r="D27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83" s="47" t="s">
        <v>5505</v>
      </c>
      <c r="G2783" t="s">
        <v>5506</v>
      </c>
      <c r="H27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84" spans="1:8" ht="15" customHeight="1" x14ac:dyDescent="0.25">
      <c r="A2784" t="str">
        <f>MID(TB_CECO[[#This Row],[CECO_T]],1,5)</f>
        <v>3D55L</v>
      </c>
      <c r="B2784" t="str">
        <f>MID(TB_CECO[[#This Row],[TRABAJO]],1,SEARCH(",",TB_CECO[[#This Row],[TRABAJO]],1)-1)</f>
        <v>Snv 919 SW (Tj 050 SW)</v>
      </c>
      <c r="C27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919 SW (Tj 050 SW),VOLADURA</v>
      </c>
      <c r="D27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84" s="47" t="s">
        <v>5507</v>
      </c>
      <c r="G2784" t="s">
        <v>5508</v>
      </c>
      <c r="H27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85" spans="1:8" ht="15" customHeight="1" x14ac:dyDescent="0.25">
      <c r="A2785" t="str">
        <f>MID(TB_CECO[[#This Row],[CECO_T]],1,5)</f>
        <v>3D55N</v>
      </c>
      <c r="B2785" t="str">
        <f>MID(TB_CECO[[#This Row],[TRABAJO]],1,SEARCH(",",TB_CECO[[#This Row],[TRABAJO]],1)-1)</f>
        <v>Snv 903 SW (Inc 822 NE)</v>
      </c>
      <c r="C27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903 SW (Inc 822 NE),LIMPIEZA</v>
      </c>
      <c r="D27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85" s="47" t="s">
        <v>5509</v>
      </c>
      <c r="G2785" t="s">
        <v>5510</v>
      </c>
      <c r="H27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86" spans="1:8" ht="15" customHeight="1" x14ac:dyDescent="0.25">
      <c r="A2786" t="str">
        <f>MID(TB_CECO[[#This Row],[CECO_T]],1,5)</f>
        <v>3D55N</v>
      </c>
      <c r="B2786" t="str">
        <f>MID(TB_CECO[[#This Row],[TRABAJO]],1,SEARCH(",",TB_CECO[[#This Row],[TRABAJO]],1)-1)</f>
        <v>Snv 903 SW (Inc 822 NE)</v>
      </c>
      <c r="C27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903 SW (Inc 822 NE),SERVICIO</v>
      </c>
      <c r="D27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86" s="47" t="s">
        <v>5511</v>
      </c>
      <c r="G2786" t="s">
        <v>5512</v>
      </c>
      <c r="H27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87" spans="1:8" ht="15" customHeight="1" x14ac:dyDescent="0.25">
      <c r="A2787" t="str">
        <f>MID(TB_CECO[[#This Row],[CECO_T]],1,5)</f>
        <v>3D55N</v>
      </c>
      <c r="B2787" t="str">
        <f>MID(TB_CECO[[#This Row],[TRABAJO]],1,SEARCH(",",TB_CECO[[#This Row],[TRABAJO]],1)-1)</f>
        <v>Snv 903 SW (Inc 822 NE)</v>
      </c>
      <c r="C27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903 SW (Inc 822 NE),PERFORACION</v>
      </c>
      <c r="D27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87" s="47" t="s">
        <v>5513</v>
      </c>
      <c r="G2787" t="s">
        <v>5514</v>
      </c>
      <c r="H27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88" spans="1:8" ht="15" customHeight="1" x14ac:dyDescent="0.25">
      <c r="A2788" t="str">
        <f>MID(TB_CECO[[#This Row],[CECO_T]],1,5)</f>
        <v>3D55N</v>
      </c>
      <c r="B2788" t="str">
        <f>MID(TB_CECO[[#This Row],[TRABAJO]],1,SEARCH(",",TB_CECO[[#This Row],[TRABAJO]],1)-1)</f>
        <v>Snv 903 SW (Inc 822 NE)</v>
      </c>
      <c r="C27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903 SW (Inc 822 NE),SOSTENIMIENTO</v>
      </c>
      <c r="D27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88" s="47" t="s">
        <v>5515</v>
      </c>
      <c r="G2788" t="s">
        <v>5516</v>
      </c>
      <c r="H27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89" spans="1:8" ht="15" customHeight="1" x14ac:dyDescent="0.25">
      <c r="A2789" t="str">
        <f>MID(TB_CECO[[#This Row],[CECO_T]],1,5)</f>
        <v>3D55N</v>
      </c>
      <c r="B2789" t="str">
        <f>MID(TB_CECO[[#This Row],[TRABAJO]],1,SEARCH(",",TB_CECO[[#This Row],[TRABAJO]],1)-1)</f>
        <v>Snv 903 SW (Inc 822 NE)</v>
      </c>
      <c r="C27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903 SW (Inc 822 NE),VOLADURA</v>
      </c>
      <c r="D27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89" s="47" t="s">
        <v>5517</v>
      </c>
      <c r="G2789" t="s">
        <v>5518</v>
      </c>
      <c r="H27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90" spans="1:8" ht="15" customHeight="1" x14ac:dyDescent="0.25">
      <c r="A2790" t="str">
        <f>MID(TB_CECO[[#This Row],[CECO_T]],1,5)</f>
        <v>3D55O</v>
      </c>
      <c r="B2790" t="str">
        <f>MID(TB_CECO[[#This Row],[TRABAJO]],1,SEARCH(",",TB_CECO[[#This Row],[TRABAJO]],1)-1)</f>
        <v>Snv 903 NE (Inc 822 NE)</v>
      </c>
      <c r="C27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903 NE (Inc 822 NE),LIMPIEZA</v>
      </c>
      <c r="D27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90" s="47" t="s">
        <v>5519</v>
      </c>
      <c r="G2790" t="s">
        <v>5520</v>
      </c>
      <c r="H27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91" spans="1:8" ht="15" customHeight="1" x14ac:dyDescent="0.25">
      <c r="A2791" t="str">
        <f>MID(TB_CECO[[#This Row],[CECO_T]],1,5)</f>
        <v>3D55O</v>
      </c>
      <c r="B2791" t="str">
        <f>MID(TB_CECO[[#This Row],[TRABAJO]],1,SEARCH(",",TB_CECO[[#This Row],[TRABAJO]],1)-1)</f>
        <v>Snv 903 NE (Inc 822 NE)</v>
      </c>
      <c r="C27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903 NE (Inc 822 NE),SERVICIO</v>
      </c>
      <c r="D27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91" s="47" t="s">
        <v>5521</v>
      </c>
      <c r="G2791" t="s">
        <v>5522</v>
      </c>
      <c r="H27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92" spans="1:8" ht="15" customHeight="1" x14ac:dyDescent="0.25">
      <c r="A2792" t="str">
        <f>MID(TB_CECO[[#This Row],[CECO_T]],1,5)</f>
        <v>3D55O</v>
      </c>
      <c r="B2792" t="str">
        <f>MID(TB_CECO[[#This Row],[TRABAJO]],1,SEARCH(",",TB_CECO[[#This Row],[TRABAJO]],1)-1)</f>
        <v>Snv 903 NE (Inc 822 NE)</v>
      </c>
      <c r="C27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903 NE (Inc 822 NE),PERFORACION</v>
      </c>
      <c r="D27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92" s="47" t="s">
        <v>5523</v>
      </c>
      <c r="G2792" t="s">
        <v>5524</v>
      </c>
      <c r="H27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93" spans="1:8" ht="15" customHeight="1" x14ac:dyDescent="0.25">
      <c r="A2793" t="str">
        <f>MID(TB_CECO[[#This Row],[CECO_T]],1,5)</f>
        <v>3D55O</v>
      </c>
      <c r="B2793" t="str">
        <f>MID(TB_CECO[[#This Row],[TRABAJO]],1,SEARCH(",",TB_CECO[[#This Row],[TRABAJO]],1)-1)</f>
        <v>Snv 903 NE (Inc 822 NE)</v>
      </c>
      <c r="C27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903 NE (Inc 822 NE),SOSTENIMIENTO</v>
      </c>
      <c r="D27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93" s="47" t="s">
        <v>5525</v>
      </c>
      <c r="G2793" t="s">
        <v>5526</v>
      </c>
      <c r="H27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94" spans="1:8" ht="15" customHeight="1" x14ac:dyDescent="0.25">
      <c r="A2794" t="str">
        <f>MID(TB_CECO[[#This Row],[CECO_T]],1,5)</f>
        <v>3D55O</v>
      </c>
      <c r="B2794" t="str">
        <f>MID(TB_CECO[[#This Row],[TRABAJO]],1,SEARCH(",",TB_CECO[[#This Row],[TRABAJO]],1)-1)</f>
        <v>Snv 903 NE (Inc 822 NE)</v>
      </c>
      <c r="C27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903 NE (Inc 822 NE),VOLADURA</v>
      </c>
      <c r="D27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94" s="47" t="s">
        <v>5527</v>
      </c>
      <c r="G2794" t="s">
        <v>5528</v>
      </c>
      <c r="H27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95" spans="1:8" ht="15" customHeight="1" x14ac:dyDescent="0.25">
      <c r="A2795" t="str">
        <f>MID(TB_CECO[[#This Row],[CECO_T]],1,5)</f>
        <v>3D55Q</v>
      </c>
      <c r="B2795" t="str">
        <f>MID(TB_CECO[[#This Row],[TRABAJO]],1,SEARCH(",",TB_CECO[[#This Row],[TRABAJO]],1)-1)</f>
        <v>Snv 890 NE (Inc 822 NE)</v>
      </c>
      <c r="C27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NE (Inc 822 NE),LIMPIEZA</v>
      </c>
      <c r="D27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95" s="47" t="s">
        <v>5529</v>
      </c>
      <c r="G2795" t="s">
        <v>5530</v>
      </c>
      <c r="H27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96" spans="1:8" ht="15" customHeight="1" x14ac:dyDescent="0.25">
      <c r="A2796" t="str">
        <f>MID(TB_CECO[[#This Row],[CECO_T]],1,5)</f>
        <v>3D55Q</v>
      </c>
      <c r="B2796" t="str">
        <f>MID(TB_CECO[[#This Row],[TRABAJO]],1,SEARCH(",",TB_CECO[[#This Row],[TRABAJO]],1)-1)</f>
        <v>Snv 890 NE (Inc 822 NE)</v>
      </c>
      <c r="C27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NE (Inc 822 NE),SERVICIO</v>
      </c>
      <c r="D27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96" s="47" t="s">
        <v>5531</v>
      </c>
      <c r="G2796" t="s">
        <v>5532</v>
      </c>
      <c r="H27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97" spans="1:8" ht="15" customHeight="1" x14ac:dyDescent="0.25">
      <c r="A2797" t="str">
        <f>MID(TB_CECO[[#This Row],[CECO_T]],1,5)</f>
        <v>3D55Q</v>
      </c>
      <c r="B2797" t="str">
        <f>MID(TB_CECO[[#This Row],[TRABAJO]],1,SEARCH(",",TB_CECO[[#This Row],[TRABAJO]],1)-1)</f>
        <v>Snv 890 NE (Inc 822 NE)</v>
      </c>
      <c r="C27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NE (Inc 822 NE),PERFORACION</v>
      </c>
      <c r="D27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97" s="47" t="s">
        <v>5533</v>
      </c>
      <c r="G2797" t="s">
        <v>5534</v>
      </c>
      <c r="H27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98" spans="1:8" ht="15" customHeight="1" x14ac:dyDescent="0.25">
      <c r="A2798" t="str">
        <f>MID(TB_CECO[[#This Row],[CECO_T]],1,5)</f>
        <v>3D55Q</v>
      </c>
      <c r="B2798" t="str">
        <f>MID(TB_CECO[[#This Row],[TRABAJO]],1,SEARCH(",",TB_CECO[[#This Row],[TRABAJO]],1)-1)</f>
        <v>Snv 890 NE (Inc 822 NE)</v>
      </c>
      <c r="C27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NE (Inc 822 NE),SOSTENIMIENTO</v>
      </c>
      <c r="D27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98" s="47" t="s">
        <v>5535</v>
      </c>
      <c r="G2798" t="s">
        <v>5536</v>
      </c>
      <c r="H27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799" spans="1:8" ht="15" customHeight="1" x14ac:dyDescent="0.25">
      <c r="A2799" t="str">
        <f>MID(TB_CECO[[#This Row],[CECO_T]],1,5)</f>
        <v>3D55Q</v>
      </c>
      <c r="B2799" t="str">
        <f>MID(TB_CECO[[#This Row],[TRABAJO]],1,SEARCH(",",TB_CECO[[#This Row],[TRABAJO]],1)-1)</f>
        <v>Snv 890 NE (Inc 822 NE)</v>
      </c>
      <c r="C27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NE (Inc 822 NE),VOLADURA</v>
      </c>
      <c r="D27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7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799" s="47" t="s">
        <v>5537</v>
      </c>
      <c r="G2799" t="s">
        <v>5538</v>
      </c>
      <c r="H27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00" spans="1:8" ht="15" customHeight="1" x14ac:dyDescent="0.25">
      <c r="A2800" t="str">
        <f>MID(TB_CECO[[#This Row],[CECO_T]],1,5)</f>
        <v>3D55R</v>
      </c>
      <c r="B2800" t="str">
        <f>MID(TB_CECO[[#This Row],[TRABAJO]],1,SEARCH(",",TB_CECO[[#This Row],[TRABAJO]],1)-1)</f>
        <v>Snv 890 SW (Inc 822 NE)</v>
      </c>
      <c r="C28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(Inc 822 NE),LIMPIEZA</v>
      </c>
      <c r="D28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00" s="47" t="s">
        <v>5539</v>
      </c>
      <c r="G2800" t="s">
        <v>5540</v>
      </c>
      <c r="H28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01" spans="1:8" ht="15" customHeight="1" x14ac:dyDescent="0.25">
      <c r="A2801" t="str">
        <f>MID(TB_CECO[[#This Row],[CECO_T]],1,5)</f>
        <v>3D55R</v>
      </c>
      <c r="B2801" t="str">
        <f>MID(TB_CECO[[#This Row],[TRABAJO]],1,SEARCH(",",TB_CECO[[#This Row],[TRABAJO]],1)-1)</f>
        <v>Snv 890 SW (Inc 822 NE)</v>
      </c>
      <c r="C28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(Inc 822 NE),SERVICIO</v>
      </c>
      <c r="D28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01" s="47" t="s">
        <v>5541</v>
      </c>
      <c r="G2801" t="s">
        <v>5542</v>
      </c>
      <c r="H28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02" spans="1:8" ht="15" customHeight="1" x14ac:dyDescent="0.25">
      <c r="A2802" t="str">
        <f>MID(TB_CECO[[#This Row],[CECO_T]],1,5)</f>
        <v>3D55R</v>
      </c>
      <c r="B2802" t="str">
        <f>MID(TB_CECO[[#This Row],[TRABAJO]],1,SEARCH(",",TB_CECO[[#This Row],[TRABAJO]],1)-1)</f>
        <v>Snv 890 SW (Inc 822 NE)</v>
      </c>
      <c r="C28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(Inc 822 NE),PERFORACION</v>
      </c>
      <c r="D28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02" s="47" t="s">
        <v>5543</v>
      </c>
      <c r="G2802" t="s">
        <v>5544</v>
      </c>
      <c r="H28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03" spans="1:8" ht="15" customHeight="1" x14ac:dyDescent="0.25">
      <c r="A2803" t="str">
        <f>MID(TB_CECO[[#This Row],[CECO_T]],1,5)</f>
        <v>3D55R</v>
      </c>
      <c r="B2803" t="str">
        <f>MID(TB_CECO[[#This Row],[TRABAJO]],1,SEARCH(",",TB_CECO[[#This Row],[TRABAJO]],1)-1)</f>
        <v>Snv 890 SW (Inc 822 NE)</v>
      </c>
      <c r="C28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(Inc 822 NE),SOSTENIMIENTO</v>
      </c>
      <c r="D28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03" s="47" t="s">
        <v>5545</v>
      </c>
      <c r="G2803" t="s">
        <v>5546</v>
      </c>
      <c r="H28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04" spans="1:8" ht="15" customHeight="1" x14ac:dyDescent="0.25">
      <c r="A2804" t="str">
        <f>MID(TB_CECO[[#This Row],[CECO_T]],1,5)</f>
        <v>3D55R</v>
      </c>
      <c r="B2804" t="str">
        <f>MID(TB_CECO[[#This Row],[TRABAJO]],1,SEARCH(",",TB_CECO[[#This Row],[TRABAJO]],1)-1)</f>
        <v>Snv 890 SW (Inc 822 NE)</v>
      </c>
      <c r="C28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(Inc 822 NE),VOLADURA</v>
      </c>
      <c r="D28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04" s="47" t="s">
        <v>5547</v>
      </c>
      <c r="G2804" t="s">
        <v>5548</v>
      </c>
      <c r="H28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05" spans="1:8" ht="15" customHeight="1" x14ac:dyDescent="0.25">
      <c r="A2805" t="str">
        <f>MID(TB_CECO[[#This Row],[CECO_T]],1,5)</f>
        <v>3D55Z</v>
      </c>
      <c r="B2805" t="str">
        <f>MID(TB_CECO[[#This Row],[TRABAJO]],1,SEARCH(",",TB_CECO[[#This Row],[TRABAJO]],1)-1)</f>
        <v>Snv 885 SW (Est 945 SE)</v>
      </c>
      <c r="C28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885 SW (Est 945 SE),LIMPIEZA</v>
      </c>
      <c r="D28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05" s="47" t="s">
        <v>5549</v>
      </c>
      <c r="G2805" t="s">
        <v>5550</v>
      </c>
      <c r="H28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06" spans="1:8" ht="15" customHeight="1" x14ac:dyDescent="0.25">
      <c r="A2806" t="str">
        <f>MID(TB_CECO[[#This Row],[CECO_T]],1,5)</f>
        <v>3D55Z</v>
      </c>
      <c r="B2806" t="str">
        <f>MID(TB_CECO[[#This Row],[TRABAJO]],1,SEARCH(",",TB_CECO[[#This Row],[TRABAJO]],1)-1)</f>
        <v>Snv 885 SW (Est 945 SE)</v>
      </c>
      <c r="C28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885 SW (Est 945 SE),SERVICIO</v>
      </c>
      <c r="D28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06" s="47" t="s">
        <v>5551</v>
      </c>
      <c r="G2806" t="s">
        <v>5552</v>
      </c>
      <c r="H28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07" spans="1:8" ht="15" customHeight="1" x14ac:dyDescent="0.25">
      <c r="A2807" t="str">
        <f>MID(TB_CECO[[#This Row],[CECO_T]],1,5)</f>
        <v>3D55Z</v>
      </c>
      <c r="B2807" t="str">
        <f>MID(TB_CECO[[#This Row],[TRABAJO]],1,SEARCH(",",TB_CECO[[#This Row],[TRABAJO]],1)-1)</f>
        <v>Snv 885 SW (Est 945 SE)</v>
      </c>
      <c r="C28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885 SW (Est 945 SE),PERFORACION</v>
      </c>
      <c r="D28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07" s="47" t="s">
        <v>5553</v>
      </c>
      <c r="G2807" t="s">
        <v>5554</v>
      </c>
      <c r="H28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08" spans="1:8" ht="15" customHeight="1" x14ac:dyDescent="0.25">
      <c r="A2808" t="str">
        <f>MID(TB_CECO[[#This Row],[CECO_T]],1,5)</f>
        <v>3D55Z</v>
      </c>
      <c r="B2808" t="str">
        <f>MID(TB_CECO[[#This Row],[TRABAJO]],1,SEARCH(",",TB_CECO[[#This Row],[TRABAJO]],1)-1)</f>
        <v>Snv 885 SW (Est 945 SE)</v>
      </c>
      <c r="C28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885 SW (Est 945 SE),SOSTENIMIENTO</v>
      </c>
      <c r="D28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08" s="47" t="s">
        <v>5555</v>
      </c>
      <c r="G2808" t="s">
        <v>5556</v>
      </c>
      <c r="H28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09" spans="1:8" ht="15" customHeight="1" x14ac:dyDescent="0.25">
      <c r="A2809" t="str">
        <f>MID(TB_CECO[[#This Row],[CECO_T]],1,5)</f>
        <v>3D55Z</v>
      </c>
      <c r="B2809" t="str">
        <f>MID(TB_CECO[[#This Row],[TRABAJO]],1,SEARCH(",",TB_CECO[[#This Row],[TRABAJO]],1)-1)</f>
        <v>Snv 885 SW (Est 945 SE)</v>
      </c>
      <c r="C28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885 SW (Est 945 SE),VOLADURA</v>
      </c>
      <c r="D28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09" s="47" t="s">
        <v>5557</v>
      </c>
      <c r="G2809" t="s">
        <v>5558</v>
      </c>
      <c r="H28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10" spans="1:8" ht="15" customHeight="1" x14ac:dyDescent="0.25">
      <c r="A2810" t="str">
        <f>MID(TB_CECO[[#This Row],[CECO_T]],1,5)</f>
        <v>3D56A</v>
      </c>
      <c r="B2810" t="str">
        <f>MID(TB_CECO[[#This Row],[TRABAJO]],1,SEARCH(",",TB_CECO[[#This Row],[TRABAJO]],1)-1)</f>
        <v>Snv 885 NE (Est 945 SE)</v>
      </c>
      <c r="C28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885 NE (Est 945 SE),LIMPIEZA</v>
      </c>
      <c r="D28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10" s="47" t="s">
        <v>5559</v>
      </c>
      <c r="G2810" t="s">
        <v>5560</v>
      </c>
      <c r="H28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11" spans="1:8" ht="15" customHeight="1" x14ac:dyDescent="0.25">
      <c r="A2811" t="str">
        <f>MID(TB_CECO[[#This Row],[CECO_T]],1,5)</f>
        <v>3D56A</v>
      </c>
      <c r="B2811" t="str">
        <f>MID(TB_CECO[[#This Row],[TRABAJO]],1,SEARCH(",",TB_CECO[[#This Row],[TRABAJO]],1)-1)</f>
        <v>Snv 885 NE (Est 945 SE)</v>
      </c>
      <c r="C28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885 NE (Est 945 SE),SERVICIO</v>
      </c>
      <c r="D28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11" s="47" t="s">
        <v>5561</v>
      </c>
      <c r="G2811" t="s">
        <v>5562</v>
      </c>
      <c r="H28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12" spans="1:8" ht="15" customHeight="1" x14ac:dyDescent="0.25">
      <c r="A2812" t="str">
        <f>MID(TB_CECO[[#This Row],[CECO_T]],1,5)</f>
        <v>3D56A</v>
      </c>
      <c r="B2812" t="str">
        <f>MID(TB_CECO[[#This Row],[TRABAJO]],1,SEARCH(",",TB_CECO[[#This Row],[TRABAJO]],1)-1)</f>
        <v>Snv 885 NE (Est 945 SE)</v>
      </c>
      <c r="C28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885 NE (Est 945 SE),PERFORACION</v>
      </c>
      <c r="D28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12" s="47" t="s">
        <v>5563</v>
      </c>
      <c r="G2812" t="s">
        <v>5564</v>
      </c>
      <c r="H28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13" spans="1:8" ht="15" customHeight="1" x14ac:dyDescent="0.25">
      <c r="A2813" t="str">
        <f>MID(TB_CECO[[#This Row],[CECO_T]],1,5)</f>
        <v>3D56A</v>
      </c>
      <c r="B2813" t="str">
        <f>MID(TB_CECO[[#This Row],[TRABAJO]],1,SEARCH(",",TB_CECO[[#This Row],[TRABAJO]],1)-1)</f>
        <v>Snv 885 NE (Est 945 SE)</v>
      </c>
      <c r="C28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885 NE (Est 945 SE),SOSTENIMIENTO</v>
      </c>
      <c r="D28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13" s="47" t="s">
        <v>5565</v>
      </c>
      <c r="G2813" t="s">
        <v>5566</v>
      </c>
      <c r="H28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14" spans="1:8" ht="15" customHeight="1" x14ac:dyDescent="0.25">
      <c r="A2814" t="str">
        <f>MID(TB_CECO[[#This Row],[CECO_T]],1,5)</f>
        <v>3D56A</v>
      </c>
      <c r="B2814" t="str">
        <f>MID(TB_CECO[[#This Row],[TRABAJO]],1,SEARCH(",",TB_CECO[[#This Row],[TRABAJO]],1)-1)</f>
        <v>Snv 885 NE (Est 945 SE)</v>
      </c>
      <c r="C28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885 NE (Est 945 SE),VOLADURA</v>
      </c>
      <c r="D28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14" s="47" t="s">
        <v>5567</v>
      </c>
      <c r="G2814" t="s">
        <v>5568</v>
      </c>
      <c r="H28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15" spans="1:8" ht="15" customHeight="1" x14ac:dyDescent="0.25">
      <c r="A2815" t="str">
        <f>MID(TB_CECO[[#This Row],[CECO_T]],1,5)</f>
        <v>3D594</v>
      </c>
      <c r="B2815" t="str">
        <f>MID(TB_CECO[[#This Row],[TRABAJO]],1,SEARCH(",",TB_CECO[[#This Row],[TRABAJO]],1)-1)</f>
        <v>Snv 089 SW (Est 075-1 SE)</v>
      </c>
      <c r="C28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089 SW (Est 075-1 SE),SUMINISTROS</v>
      </c>
      <c r="D28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15" s="47" t="s">
        <v>5569</v>
      </c>
      <c r="G2815" t="s">
        <v>5570</v>
      </c>
      <c r="H28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16" spans="1:8" ht="15" customHeight="1" x14ac:dyDescent="0.25">
      <c r="A2816" t="str">
        <f>MID(TB_CECO[[#This Row],[CECO_T]],1,5)</f>
        <v>3D594</v>
      </c>
      <c r="B2816" t="str">
        <f>MID(TB_CECO[[#This Row],[TRABAJO]],1,SEARCH(",",TB_CECO[[#This Row],[TRABAJO]],1)-1)</f>
        <v>Snv 089 SW (Est 075-1 SE)</v>
      </c>
      <c r="C28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089 SW (Est 075-1 SE),SOSTENIMIENTO</v>
      </c>
      <c r="D28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16" s="47" t="s">
        <v>5571</v>
      </c>
      <c r="G2816" t="s">
        <v>5572</v>
      </c>
      <c r="H28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17" spans="1:8" ht="15" customHeight="1" x14ac:dyDescent="0.25">
      <c r="A2817" t="str">
        <f>MID(TB_CECO[[#This Row],[CECO_T]],1,5)</f>
        <v>3D594</v>
      </c>
      <c r="B2817" t="str">
        <f>MID(TB_CECO[[#This Row],[TRABAJO]],1,SEARCH(",",TB_CECO[[#This Row],[TRABAJO]],1)-1)</f>
        <v>Snv 089 SW (Est 075-1 SE)</v>
      </c>
      <c r="C28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089 SW (Est 075-1 SE),SERVICIO</v>
      </c>
      <c r="D28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17" s="47" t="s">
        <v>5573</v>
      </c>
      <c r="G2817" t="s">
        <v>5574</v>
      </c>
      <c r="H28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18" spans="1:8" ht="15" customHeight="1" x14ac:dyDescent="0.25">
      <c r="A2818" t="str">
        <f>MID(TB_CECO[[#This Row],[CECO_T]],1,5)</f>
        <v>3D594</v>
      </c>
      <c r="B2818" t="str">
        <f>MID(TB_CECO[[#This Row],[TRABAJO]],1,SEARCH(",",TB_CECO[[#This Row],[TRABAJO]],1)-1)</f>
        <v>Snv 089 SW (Est 075-1 SE)</v>
      </c>
      <c r="C28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089 SW (Est 075-1 SE),REHABILITACION</v>
      </c>
      <c r="D28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18" s="47" t="s">
        <v>5575</v>
      </c>
      <c r="G2818" t="s">
        <v>5576</v>
      </c>
      <c r="H28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19" spans="1:8" ht="15" customHeight="1" x14ac:dyDescent="0.25">
      <c r="A2819" t="str">
        <f>MID(TB_CECO[[#This Row],[CECO_T]],1,5)</f>
        <v>3D595</v>
      </c>
      <c r="B2819" t="str">
        <f>MID(TB_CECO[[#This Row],[TRABAJO]],1,SEARCH(",",TB_CECO[[#This Row],[TRABAJO]],1)-1)</f>
        <v>Snv 089 NE (Est 075-1 SE)</v>
      </c>
      <c r="C28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089 NE (Est 075-1 SE),SUMINISTROS</v>
      </c>
      <c r="D28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19" s="47" t="s">
        <v>5577</v>
      </c>
      <c r="G2819" t="s">
        <v>5578</v>
      </c>
      <c r="H28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20" spans="1:8" ht="15" customHeight="1" x14ac:dyDescent="0.25">
      <c r="A2820" t="str">
        <f>MID(TB_CECO[[#This Row],[CECO_T]],1,5)</f>
        <v>3D595</v>
      </c>
      <c r="B2820" t="str">
        <f>MID(TB_CECO[[#This Row],[TRABAJO]],1,SEARCH(",",TB_CECO[[#This Row],[TRABAJO]],1)-1)</f>
        <v>Snv 089 NE (Est 075-1 SE)</v>
      </c>
      <c r="C28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089 NE (Est 075-1 SE),SOSTENIMIENTO</v>
      </c>
      <c r="D28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20" s="47" t="s">
        <v>5579</v>
      </c>
      <c r="G2820" t="s">
        <v>5580</v>
      </c>
      <c r="H28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21" spans="1:8" ht="15" customHeight="1" x14ac:dyDescent="0.25">
      <c r="A2821" t="str">
        <f>MID(TB_CECO[[#This Row],[CECO_T]],1,5)</f>
        <v>3D595</v>
      </c>
      <c r="B2821" t="str">
        <f>MID(TB_CECO[[#This Row],[TRABAJO]],1,SEARCH(",",TB_CECO[[#This Row],[TRABAJO]],1)-1)</f>
        <v>Snv 089 NE (Est 075-1 SE)</v>
      </c>
      <c r="C28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089 NE (Est 075-1 SE),SERVICIO</v>
      </c>
      <c r="D28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21" s="47" t="s">
        <v>5581</v>
      </c>
      <c r="G2821" t="s">
        <v>5582</v>
      </c>
      <c r="H28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22" spans="1:8" ht="15" customHeight="1" x14ac:dyDescent="0.25">
      <c r="A2822" t="str">
        <f>MID(TB_CECO[[#This Row],[CECO_T]],1,5)</f>
        <v>3D595</v>
      </c>
      <c r="B2822" t="str">
        <f>MID(TB_CECO[[#This Row],[TRABAJO]],1,SEARCH(",",TB_CECO[[#This Row],[TRABAJO]],1)-1)</f>
        <v>Snv 089 NE (Est 075-1 SE)</v>
      </c>
      <c r="C28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089 NE (Est 075-1 SE),REHABILITACION</v>
      </c>
      <c r="D28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22" s="47" t="s">
        <v>5583</v>
      </c>
      <c r="G2822" t="s">
        <v>5584</v>
      </c>
      <c r="H28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23" spans="1:8" ht="15" customHeight="1" x14ac:dyDescent="0.25">
      <c r="A2823" t="str">
        <f>MID(TB_CECO[[#This Row],[CECO_T]],1,5)</f>
        <v>3D651</v>
      </c>
      <c r="B2823" t="str">
        <f>MID(TB_CECO[[#This Row],[TRABAJO]],1,SEARCH(",",TB_CECO[[#This Row],[TRABAJO]],1)-1)</f>
        <v>Est 935 NE (Snv 089 NE)</v>
      </c>
      <c r="C28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935 NE (Snv 089 NE),LIMPIEZA</v>
      </c>
      <c r="D28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23" s="47" t="s">
        <v>5585</v>
      </c>
      <c r="G2823" t="s">
        <v>5586</v>
      </c>
      <c r="H28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24" spans="1:8" ht="15" customHeight="1" x14ac:dyDescent="0.25">
      <c r="A2824" t="str">
        <f>MID(TB_CECO[[#This Row],[CECO_T]],1,5)</f>
        <v>3D651</v>
      </c>
      <c r="B2824" t="str">
        <f>MID(TB_CECO[[#This Row],[TRABAJO]],1,SEARCH(",",TB_CECO[[#This Row],[TRABAJO]],1)-1)</f>
        <v>Est 935 NE (Snv 089 NE)</v>
      </c>
      <c r="C28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935 NE (Snv 089 NE),SERVICIO</v>
      </c>
      <c r="D28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24" s="47" t="s">
        <v>5587</v>
      </c>
      <c r="G2824" t="s">
        <v>5588</v>
      </c>
      <c r="H28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25" spans="1:8" ht="15" customHeight="1" x14ac:dyDescent="0.25">
      <c r="A2825" t="str">
        <f>MID(TB_CECO[[#This Row],[CECO_T]],1,5)</f>
        <v>3D651</v>
      </c>
      <c r="B2825" t="str">
        <f>MID(TB_CECO[[#This Row],[TRABAJO]],1,SEARCH(",",TB_CECO[[#This Row],[TRABAJO]],1)-1)</f>
        <v>Est 935 NE (Snv 089 NE)</v>
      </c>
      <c r="C28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935 NE (Snv 089 NE),PERFORACION</v>
      </c>
      <c r="D28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25" s="47" t="s">
        <v>5589</v>
      </c>
      <c r="G2825" t="s">
        <v>5590</v>
      </c>
      <c r="H28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26" spans="1:8" ht="15" customHeight="1" x14ac:dyDescent="0.25">
      <c r="A2826" t="str">
        <f>MID(TB_CECO[[#This Row],[CECO_T]],1,5)</f>
        <v>3D651</v>
      </c>
      <c r="B2826" t="str">
        <f>MID(TB_CECO[[#This Row],[TRABAJO]],1,SEARCH(",",TB_CECO[[#This Row],[TRABAJO]],1)-1)</f>
        <v>Est 935 NE (Snv 089 NE)</v>
      </c>
      <c r="C28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935 NE (Snv 089 NE),SOSTENIMIENTO</v>
      </c>
      <c r="D28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26" s="47" t="s">
        <v>5591</v>
      </c>
      <c r="G2826" t="s">
        <v>5592</v>
      </c>
      <c r="H28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27" spans="1:8" ht="15" customHeight="1" x14ac:dyDescent="0.25">
      <c r="A2827" t="str">
        <f>MID(TB_CECO[[#This Row],[CECO_T]],1,5)</f>
        <v>3D651</v>
      </c>
      <c r="B2827" t="str">
        <f>MID(TB_CECO[[#This Row],[TRABAJO]],1,SEARCH(",",TB_CECO[[#This Row],[TRABAJO]],1)-1)</f>
        <v>Est 935 NE (Snv 089 NE)</v>
      </c>
      <c r="C28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935 NE (Snv 089 NE),VOLADURA</v>
      </c>
      <c r="D28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28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27" s="47" t="s">
        <v>5593</v>
      </c>
      <c r="G2827" t="s">
        <v>5594</v>
      </c>
      <c r="H28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28" spans="1:8" ht="15" customHeight="1" x14ac:dyDescent="0.25">
      <c r="A2828" t="str">
        <f>MID(TB_CECO[[#This Row],[CECO_T]],1,5)</f>
        <v>3D673</v>
      </c>
      <c r="B2828" t="str">
        <f>MID(TB_CECO[[#This Row],[TRABAJO]],1,SEARCH(",",TB_CECO[[#This Row],[TRABAJO]],1)-1)</f>
        <v>Est 937 NE (Snv 915 NE)</v>
      </c>
      <c r="C28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937 NE (Snv 915 NE),LIMPIEZA</v>
      </c>
      <c r="D28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28" s="47" t="s">
        <v>5595</v>
      </c>
      <c r="G2828" t="s">
        <v>5596</v>
      </c>
      <c r="H28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29" spans="1:8" ht="15" customHeight="1" x14ac:dyDescent="0.25">
      <c r="A2829" t="str">
        <f>MID(TB_CECO[[#This Row],[CECO_T]],1,5)</f>
        <v>3D673</v>
      </c>
      <c r="B2829" t="str">
        <f>MID(TB_CECO[[#This Row],[TRABAJO]],1,SEARCH(",",TB_CECO[[#This Row],[TRABAJO]],1)-1)</f>
        <v>Est 937 NE (Snv 915 NE)</v>
      </c>
      <c r="C28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937 NE (Snv 915 NE),SERVICIO</v>
      </c>
      <c r="D28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29" s="47" t="s">
        <v>5597</v>
      </c>
      <c r="G2829" t="s">
        <v>5598</v>
      </c>
      <c r="H28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30" spans="1:8" ht="15" customHeight="1" x14ac:dyDescent="0.25">
      <c r="A2830" t="str">
        <f>MID(TB_CECO[[#This Row],[CECO_T]],1,5)</f>
        <v>3D673</v>
      </c>
      <c r="B2830" t="str">
        <f>MID(TB_CECO[[#This Row],[TRABAJO]],1,SEARCH(",",TB_CECO[[#This Row],[TRABAJO]],1)-1)</f>
        <v>Est 937 NE (Snv 915 NE)</v>
      </c>
      <c r="C28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937 NE (Snv 915 NE),PERFORACION</v>
      </c>
      <c r="D28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30" s="47" t="s">
        <v>5599</v>
      </c>
      <c r="G2830" t="s">
        <v>5600</v>
      </c>
      <c r="H28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31" spans="1:8" ht="15" customHeight="1" x14ac:dyDescent="0.25">
      <c r="A2831" t="str">
        <f>MID(TB_CECO[[#This Row],[CECO_T]],1,5)</f>
        <v>3D673</v>
      </c>
      <c r="B2831" t="str">
        <f>MID(TB_CECO[[#This Row],[TRABAJO]],1,SEARCH(",",TB_CECO[[#This Row],[TRABAJO]],1)-1)</f>
        <v>Est 937 NE (Snv 915 NE)</v>
      </c>
      <c r="C28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937 NE (Snv 915 NE),SOSTENIMIENTO</v>
      </c>
      <c r="D28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31" s="47" t="s">
        <v>5601</v>
      </c>
      <c r="G2831" t="s">
        <v>5602</v>
      </c>
      <c r="H28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32" spans="1:8" ht="15" customHeight="1" x14ac:dyDescent="0.25">
      <c r="A2832" t="str">
        <f>MID(TB_CECO[[#This Row],[CECO_T]],1,5)</f>
        <v>3D673</v>
      </c>
      <c r="B2832" t="str">
        <f>MID(TB_CECO[[#This Row],[TRABAJO]],1,SEARCH(",",TB_CECO[[#This Row],[TRABAJO]],1)-1)</f>
        <v>Est 937 NE (Snv 915 NE)</v>
      </c>
      <c r="C28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937 NE (Snv 915 NE),VOLADURA</v>
      </c>
      <c r="D28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32" s="47" t="s">
        <v>5603</v>
      </c>
      <c r="G2832" t="s">
        <v>5604</v>
      </c>
      <c r="H28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33" spans="1:8" ht="15" customHeight="1" x14ac:dyDescent="0.25">
      <c r="A2833" t="str">
        <f>MID(TB_CECO[[#This Row],[CECO_T]],1,5)</f>
        <v>3D678</v>
      </c>
      <c r="B2833" t="str">
        <f>MID(TB_CECO[[#This Row],[TRABAJO]],1,SEARCH(",",TB_CECO[[#This Row],[TRABAJO]],1)-1)</f>
        <v>Est 079 NW (Tj 050 SW)</v>
      </c>
      <c r="C28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079 NW (Tj 050 SW),LIMPIEZA</v>
      </c>
      <c r="D28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33" s="47" t="s">
        <v>5605</v>
      </c>
      <c r="G2833" t="s">
        <v>5606</v>
      </c>
      <c r="H28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34" spans="1:8" ht="15" customHeight="1" x14ac:dyDescent="0.25">
      <c r="A2834" t="str">
        <f>MID(TB_CECO[[#This Row],[CECO_T]],1,5)</f>
        <v>3D678</v>
      </c>
      <c r="B2834" t="str">
        <f>MID(TB_CECO[[#This Row],[TRABAJO]],1,SEARCH(",",TB_CECO[[#This Row],[TRABAJO]],1)-1)</f>
        <v>Est 079 NW (Tj 050 SW)</v>
      </c>
      <c r="C28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079 NW (Tj 050 SW),SERVICIO</v>
      </c>
      <c r="D28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34" s="47" t="s">
        <v>5607</v>
      </c>
      <c r="G2834" t="s">
        <v>5608</v>
      </c>
      <c r="H28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35" spans="1:8" ht="15" customHeight="1" x14ac:dyDescent="0.25">
      <c r="A2835" t="str">
        <f>MID(TB_CECO[[#This Row],[CECO_T]],1,5)</f>
        <v>3D678</v>
      </c>
      <c r="B2835" t="str">
        <f>MID(TB_CECO[[#This Row],[TRABAJO]],1,SEARCH(",",TB_CECO[[#This Row],[TRABAJO]],1)-1)</f>
        <v>Est 079 NW (Tj 050 SW)</v>
      </c>
      <c r="C28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079 NW (Tj 050 SW),PERFORACION</v>
      </c>
      <c r="D28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35" s="47" t="s">
        <v>5609</v>
      </c>
      <c r="G2835" t="s">
        <v>5610</v>
      </c>
      <c r="H28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36" spans="1:8" ht="15" customHeight="1" x14ac:dyDescent="0.25">
      <c r="A2836" t="str">
        <f>MID(TB_CECO[[#This Row],[CECO_T]],1,5)</f>
        <v>3D678</v>
      </c>
      <c r="B2836" t="str">
        <f>MID(TB_CECO[[#This Row],[TRABAJO]],1,SEARCH(",",TB_CECO[[#This Row],[TRABAJO]],1)-1)</f>
        <v>Est 079 NW (Tj 050 SW)</v>
      </c>
      <c r="C28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079 NW (Tj 050 SW),SOSTENIMIENTO</v>
      </c>
      <c r="D28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36" s="47" t="s">
        <v>5611</v>
      </c>
      <c r="G2836" t="s">
        <v>5612</v>
      </c>
      <c r="H28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37" spans="1:8" ht="15" customHeight="1" x14ac:dyDescent="0.25">
      <c r="A2837" t="str">
        <f>MID(TB_CECO[[#This Row],[CECO_T]],1,5)</f>
        <v>3D678</v>
      </c>
      <c r="B2837" t="str">
        <f>MID(TB_CECO[[#This Row],[TRABAJO]],1,SEARCH(",",TB_CECO[[#This Row],[TRABAJO]],1)-1)</f>
        <v>Est 079 NW (Tj 050 SW)</v>
      </c>
      <c r="C28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079 NW (Tj 050 SW),VOLADURA</v>
      </c>
      <c r="D28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37" s="47" t="s">
        <v>5613</v>
      </c>
      <c r="G2837" t="s">
        <v>5614</v>
      </c>
      <c r="H28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38" spans="1:8" ht="15" customHeight="1" x14ac:dyDescent="0.25">
      <c r="A2838" t="str">
        <f>MID(TB_CECO[[#This Row],[CECO_T]],1,5)</f>
        <v>3D935</v>
      </c>
      <c r="B2838" t="str">
        <f>MID(TB_CECO[[#This Row],[TRABAJO]],1,SEARCH(",",TB_CECO[[#This Row],[TRABAJO]],1)-1)</f>
        <v>Ven 30 (Tj 070 NE)</v>
      </c>
      <c r="C28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30 (Tj 070 NE),LIMPIEZA</v>
      </c>
      <c r="D28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38" s="47" t="s">
        <v>5615</v>
      </c>
      <c r="G2838" t="s">
        <v>5616</v>
      </c>
      <c r="H28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39" spans="1:8" ht="15" customHeight="1" x14ac:dyDescent="0.25">
      <c r="A2839" t="str">
        <f>MID(TB_CECO[[#This Row],[CECO_T]],1,5)</f>
        <v>3D935</v>
      </c>
      <c r="B2839" t="str">
        <f>MID(TB_CECO[[#This Row],[TRABAJO]],1,SEARCH(",",TB_CECO[[#This Row],[TRABAJO]],1)-1)</f>
        <v>Ven 30 (Tj 070 NE)</v>
      </c>
      <c r="C28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30 (Tj 070 NE),SERVICIO</v>
      </c>
      <c r="D28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39" s="47" t="s">
        <v>5617</v>
      </c>
      <c r="G2839" t="s">
        <v>5618</v>
      </c>
      <c r="H28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40" spans="1:8" ht="15" customHeight="1" x14ac:dyDescent="0.25">
      <c r="A2840" t="str">
        <f>MID(TB_CECO[[#This Row],[CECO_T]],1,5)</f>
        <v>3D935</v>
      </c>
      <c r="B2840" t="str">
        <f>MID(TB_CECO[[#This Row],[TRABAJO]],1,SEARCH(",",TB_CECO[[#This Row],[TRABAJO]],1)-1)</f>
        <v>Ven 30 (Tj 070 NE)</v>
      </c>
      <c r="C28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30 (Tj 070 NE),PERFORACION</v>
      </c>
      <c r="D28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40" s="47" t="s">
        <v>5619</v>
      </c>
      <c r="G2840" t="s">
        <v>5620</v>
      </c>
      <c r="H28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41" spans="1:8" ht="15" customHeight="1" x14ac:dyDescent="0.25">
      <c r="A2841" t="str">
        <f>MID(TB_CECO[[#This Row],[CECO_T]],1,5)</f>
        <v>3D935</v>
      </c>
      <c r="B2841" t="str">
        <f>MID(TB_CECO[[#This Row],[TRABAJO]],1,SEARCH(",",TB_CECO[[#This Row],[TRABAJO]],1)-1)</f>
        <v>Ven 30 (Tj 070 NE)</v>
      </c>
      <c r="C28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30 (Tj 070 NE),SOSTENIMIENTO</v>
      </c>
      <c r="D28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41" s="47" t="s">
        <v>5621</v>
      </c>
      <c r="G2841" t="s">
        <v>5622</v>
      </c>
      <c r="H28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42" spans="1:8" ht="15" customHeight="1" x14ac:dyDescent="0.25">
      <c r="A2842" t="str">
        <f>MID(TB_CECO[[#This Row],[CECO_T]],1,5)</f>
        <v>3D935</v>
      </c>
      <c r="B2842" t="str">
        <f>MID(TB_CECO[[#This Row],[TRABAJO]],1,SEARCH(",",TB_CECO[[#This Row],[TRABAJO]],1)-1)</f>
        <v>Ven 30 (Tj 070 NE)</v>
      </c>
      <c r="C28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30 (Tj 070 NE),VOLADURA</v>
      </c>
      <c r="D28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42" s="47" t="s">
        <v>5623</v>
      </c>
      <c r="G2842" t="s">
        <v>5624</v>
      </c>
      <c r="H28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43" spans="1:8" ht="15" customHeight="1" x14ac:dyDescent="0.25">
      <c r="A2843" t="str">
        <f>MID(TB_CECO[[#This Row],[CECO_T]],1,5)</f>
        <v>3D940</v>
      </c>
      <c r="B2843" t="str">
        <f>MID(TB_CECO[[#This Row],[TRABAJO]],1,SEARCH(",",TB_CECO[[#This Row],[TRABAJO]],1)-1)</f>
        <v>Ven 035 NE (Tj 050 SW)</v>
      </c>
      <c r="C28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035 NE (Tj 050 SW),LIMPIEZA</v>
      </c>
      <c r="D28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43" s="47" t="s">
        <v>5625</v>
      </c>
      <c r="G2843" t="s">
        <v>5626</v>
      </c>
      <c r="H28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44" spans="1:8" ht="15" customHeight="1" x14ac:dyDescent="0.25">
      <c r="A2844" t="str">
        <f>MID(TB_CECO[[#This Row],[CECO_T]],1,5)</f>
        <v>3D940</v>
      </c>
      <c r="B2844" t="str">
        <f>MID(TB_CECO[[#This Row],[TRABAJO]],1,SEARCH(",",TB_CECO[[#This Row],[TRABAJO]],1)-1)</f>
        <v>Ven 035 NE (Tj 050 SW)</v>
      </c>
      <c r="C28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035 NE (Tj 050 SW),SERVICIO</v>
      </c>
      <c r="D28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44" s="47" t="s">
        <v>5627</v>
      </c>
      <c r="G2844" t="s">
        <v>5628</v>
      </c>
      <c r="H28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45" spans="1:8" ht="15" customHeight="1" x14ac:dyDescent="0.25">
      <c r="A2845" t="str">
        <f>MID(TB_CECO[[#This Row],[CECO_T]],1,5)</f>
        <v>3D940</v>
      </c>
      <c r="B2845" t="str">
        <f>MID(TB_CECO[[#This Row],[TRABAJO]],1,SEARCH(",",TB_CECO[[#This Row],[TRABAJO]],1)-1)</f>
        <v>Ven 035 NE (Tj 050 SW)</v>
      </c>
      <c r="C28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035 NE (Tj 050 SW),PERFORACION</v>
      </c>
      <c r="D28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45" s="47" t="s">
        <v>5629</v>
      </c>
      <c r="G2845" t="s">
        <v>5630</v>
      </c>
      <c r="H28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46" spans="1:8" ht="15" customHeight="1" x14ac:dyDescent="0.25">
      <c r="A2846" t="str">
        <f>MID(TB_CECO[[#This Row],[CECO_T]],1,5)</f>
        <v>3D940</v>
      </c>
      <c r="B2846" t="str">
        <f>MID(TB_CECO[[#This Row],[TRABAJO]],1,SEARCH(",",TB_CECO[[#This Row],[TRABAJO]],1)-1)</f>
        <v>Ven 035 NE (Tj 050 SW)</v>
      </c>
      <c r="C28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035 NE (Tj 050 SW),SOSTENIMIENTO</v>
      </c>
      <c r="D28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46" s="47" t="s">
        <v>5631</v>
      </c>
      <c r="G2846" t="s">
        <v>5632</v>
      </c>
      <c r="H28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47" spans="1:8" ht="15" customHeight="1" x14ac:dyDescent="0.25">
      <c r="A2847" t="str">
        <f>MID(TB_CECO[[#This Row],[CECO_T]],1,5)</f>
        <v>3D940</v>
      </c>
      <c r="B2847" t="str">
        <f>MID(TB_CECO[[#This Row],[TRABAJO]],1,SEARCH(",",TB_CECO[[#This Row],[TRABAJO]],1)-1)</f>
        <v>Ven 035 NE (Tj 050 SW)</v>
      </c>
      <c r="C28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035 NE (Tj 050 SW),VOLADURA</v>
      </c>
      <c r="D28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47" s="47" t="s">
        <v>5633</v>
      </c>
      <c r="G2847" t="s">
        <v>5634</v>
      </c>
      <c r="H28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48" spans="1:8" ht="15" customHeight="1" x14ac:dyDescent="0.25">
      <c r="A2848" t="str">
        <f>MID(TB_CECO[[#This Row],[CECO_T]],1,5)</f>
        <v>3DA04</v>
      </c>
      <c r="B2848" t="str">
        <f>MID(TB_CECO[[#This Row],[TRABAJO]],1,SEARCH(",",TB_CECO[[#This Row],[TRABAJO]],1)-1)</f>
        <v>Bp 940 NW (Cx 128 NE)</v>
      </c>
      <c r="C28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940 NW (Cx 128 NE),LIMPIEZA</v>
      </c>
      <c r="D28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48" s="47" t="s">
        <v>5635</v>
      </c>
      <c r="G2848" t="s">
        <v>5636</v>
      </c>
      <c r="H28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49" spans="1:8" ht="15" customHeight="1" x14ac:dyDescent="0.25">
      <c r="A2849" t="str">
        <f>MID(TB_CECO[[#This Row],[CECO_T]],1,5)</f>
        <v>3DA04</v>
      </c>
      <c r="B2849" t="str">
        <f>MID(TB_CECO[[#This Row],[TRABAJO]],1,SEARCH(",",TB_CECO[[#This Row],[TRABAJO]],1)-1)</f>
        <v>Bp 940 NW (Cx 128 NE)</v>
      </c>
      <c r="C28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940 NW (Cx 128 NE),SERVICIO</v>
      </c>
      <c r="D28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49" s="47" t="s">
        <v>5637</v>
      </c>
      <c r="G2849" t="s">
        <v>5638</v>
      </c>
      <c r="H28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50" spans="1:8" ht="15" customHeight="1" x14ac:dyDescent="0.25">
      <c r="A2850" t="str">
        <f>MID(TB_CECO[[#This Row],[CECO_T]],1,5)</f>
        <v>3DA04</v>
      </c>
      <c r="B2850" t="str">
        <f>MID(TB_CECO[[#This Row],[TRABAJO]],1,SEARCH(",",TB_CECO[[#This Row],[TRABAJO]],1)-1)</f>
        <v>Bp 940 NW (Cx 128 NE)</v>
      </c>
      <c r="C28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940 NW (Cx 128 NE),PERFORACION</v>
      </c>
      <c r="D28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50" s="47" t="s">
        <v>5639</v>
      </c>
      <c r="G2850" t="s">
        <v>5640</v>
      </c>
      <c r="H28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51" spans="1:8" ht="15" customHeight="1" x14ac:dyDescent="0.25">
      <c r="A2851" t="str">
        <f>MID(TB_CECO[[#This Row],[CECO_T]],1,5)</f>
        <v>3DA04</v>
      </c>
      <c r="B2851" t="str">
        <f>MID(TB_CECO[[#This Row],[TRABAJO]],1,SEARCH(",",TB_CECO[[#This Row],[TRABAJO]],1)-1)</f>
        <v>Bp 940 NW (Cx 128 NE)</v>
      </c>
      <c r="C28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940 NW (Cx 128 NE),SOSTENIMIENTO</v>
      </c>
      <c r="D28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51" s="47" t="s">
        <v>5641</v>
      </c>
      <c r="G2851" t="s">
        <v>5642</v>
      </c>
      <c r="H28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52" spans="1:8" ht="15" customHeight="1" x14ac:dyDescent="0.25">
      <c r="A2852" t="str">
        <f>MID(TB_CECO[[#This Row],[CECO_T]],1,5)</f>
        <v>3DA04</v>
      </c>
      <c r="B2852" t="str">
        <f>MID(TB_CECO[[#This Row],[TRABAJO]],1,SEARCH(",",TB_CECO[[#This Row],[TRABAJO]],1)-1)</f>
        <v>Bp 940 NW (Cx 128 NE)</v>
      </c>
      <c r="C28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940 NW (Cx 128 NE),VOLADURA</v>
      </c>
      <c r="D28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28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52" s="47" t="s">
        <v>5643</v>
      </c>
      <c r="G2852" t="s">
        <v>5644</v>
      </c>
      <c r="H28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53" spans="1:8" ht="15" customHeight="1" x14ac:dyDescent="0.25">
      <c r="A2853" t="str">
        <f>MID(TB_CECO[[#This Row],[CECO_T]],1,5)</f>
        <v>3E31H</v>
      </c>
      <c r="B2853" t="str">
        <f>MID(TB_CECO[[#This Row],[TRABAJO]],1,SEARCH(",",TB_CECO[[#This Row],[TRABAJO]],1)-1)</f>
        <v>Ch 091 (Snv 020 NE)</v>
      </c>
      <c r="C28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020 NE),LIMPIEZA</v>
      </c>
      <c r="D28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53" s="47" t="s">
        <v>5645</v>
      </c>
      <c r="G2853" t="s">
        <v>5646</v>
      </c>
      <c r="H28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54" spans="1:8" ht="15" customHeight="1" x14ac:dyDescent="0.25">
      <c r="A2854" t="str">
        <f>MID(TB_CECO[[#This Row],[CECO_T]],1,5)</f>
        <v>3E31H</v>
      </c>
      <c r="B2854" t="str">
        <f>MID(TB_CECO[[#This Row],[TRABAJO]],1,SEARCH(",",TB_CECO[[#This Row],[TRABAJO]],1)-1)</f>
        <v>Ch 091 (Snv 020 NE)</v>
      </c>
      <c r="C28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020 NE),SERVICIO</v>
      </c>
      <c r="D28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54" s="47" t="s">
        <v>5647</v>
      </c>
      <c r="G2854" t="s">
        <v>5648</v>
      </c>
      <c r="H28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55" spans="1:8" ht="15" customHeight="1" x14ac:dyDescent="0.25">
      <c r="A2855" t="str">
        <f>MID(TB_CECO[[#This Row],[CECO_T]],1,5)</f>
        <v>3E31H</v>
      </c>
      <c r="B2855" t="str">
        <f>MID(TB_CECO[[#This Row],[TRABAJO]],1,SEARCH(",",TB_CECO[[#This Row],[TRABAJO]],1)-1)</f>
        <v>Ch 091 (Snv 020 NE)</v>
      </c>
      <c r="C28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020 NE),PERFORACION</v>
      </c>
      <c r="D28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55" s="47" t="s">
        <v>5649</v>
      </c>
      <c r="G2855" t="s">
        <v>5650</v>
      </c>
      <c r="H28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56" spans="1:8" ht="15" customHeight="1" x14ac:dyDescent="0.25">
      <c r="A2856" t="str">
        <f>MID(TB_CECO[[#This Row],[CECO_T]],1,5)</f>
        <v>3E31H</v>
      </c>
      <c r="B2856" t="str">
        <f>MID(TB_CECO[[#This Row],[TRABAJO]],1,SEARCH(",",TB_CECO[[#This Row],[TRABAJO]],1)-1)</f>
        <v>Ch 091 (Snv 020 NE)</v>
      </c>
      <c r="C28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020 NE),SOSTENIMIENTO</v>
      </c>
      <c r="D28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56" s="47" t="s">
        <v>5651</v>
      </c>
      <c r="G2856" t="s">
        <v>5652</v>
      </c>
      <c r="H28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57" spans="1:8" ht="15" customHeight="1" x14ac:dyDescent="0.25">
      <c r="A2857" t="str">
        <f>MID(TB_CECO[[#This Row],[CECO_T]],1,5)</f>
        <v>3E31H</v>
      </c>
      <c r="B2857" t="str">
        <f>MID(TB_CECO[[#This Row],[TRABAJO]],1,SEARCH(",",TB_CECO[[#This Row],[TRABAJO]],1)-1)</f>
        <v>Ch 091 (Snv 020 NE)</v>
      </c>
      <c r="C28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020 NE),VOLADURA</v>
      </c>
      <c r="D28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57" s="47" t="s">
        <v>5653</v>
      </c>
      <c r="G2857" t="s">
        <v>5654</v>
      </c>
      <c r="H28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58" spans="1:8" ht="15" customHeight="1" x14ac:dyDescent="0.25">
      <c r="A2858" t="str">
        <f>MID(TB_CECO[[#This Row],[CECO_T]],1,5)</f>
        <v>3E31I</v>
      </c>
      <c r="B2858" t="str">
        <f>MID(TB_CECO[[#This Row],[TRABAJO]],1,SEARCH(",",TB_CECO[[#This Row],[TRABAJO]],1)-1)</f>
        <v>Ch 877 (Snv 020 NE)</v>
      </c>
      <c r="C28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020 NE),LIMPIEZA</v>
      </c>
      <c r="D28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58" s="47" t="s">
        <v>5655</v>
      </c>
      <c r="G2858" t="s">
        <v>5656</v>
      </c>
      <c r="H28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59" spans="1:8" ht="15" customHeight="1" x14ac:dyDescent="0.25">
      <c r="A2859" t="str">
        <f>MID(TB_CECO[[#This Row],[CECO_T]],1,5)</f>
        <v>3E31I</v>
      </c>
      <c r="B2859" t="str">
        <f>MID(TB_CECO[[#This Row],[TRABAJO]],1,SEARCH(",",TB_CECO[[#This Row],[TRABAJO]],1)-1)</f>
        <v>Ch 877 (Snv 020 NE)</v>
      </c>
      <c r="C28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020 NE),SERVICIO</v>
      </c>
      <c r="D28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59" s="47" t="s">
        <v>5657</v>
      </c>
      <c r="G2859" t="s">
        <v>5658</v>
      </c>
      <c r="H28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60" spans="1:8" ht="15" customHeight="1" x14ac:dyDescent="0.25">
      <c r="A2860" t="str">
        <f>MID(TB_CECO[[#This Row],[CECO_T]],1,5)</f>
        <v>3E31I</v>
      </c>
      <c r="B2860" t="str">
        <f>MID(TB_CECO[[#This Row],[TRABAJO]],1,SEARCH(",",TB_CECO[[#This Row],[TRABAJO]],1)-1)</f>
        <v>Ch 877 (Snv 020 NE)</v>
      </c>
      <c r="C28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020 NE),PERFORACION</v>
      </c>
      <c r="D28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60" s="47" t="s">
        <v>5659</v>
      </c>
      <c r="G2860" t="s">
        <v>5660</v>
      </c>
      <c r="H28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61" spans="1:8" ht="15" customHeight="1" x14ac:dyDescent="0.25">
      <c r="A2861" t="str">
        <f>MID(TB_CECO[[#This Row],[CECO_T]],1,5)</f>
        <v>3E31I</v>
      </c>
      <c r="B2861" t="str">
        <f>MID(TB_CECO[[#This Row],[TRABAJO]],1,SEARCH(",",TB_CECO[[#This Row],[TRABAJO]],1)-1)</f>
        <v>Ch 877 (Snv 020 NE)</v>
      </c>
      <c r="C28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020 NE),SOSTENIMIENTO</v>
      </c>
      <c r="D28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61" s="47" t="s">
        <v>5661</v>
      </c>
      <c r="G2861" t="s">
        <v>5662</v>
      </c>
      <c r="H28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62" spans="1:8" ht="15" customHeight="1" x14ac:dyDescent="0.25">
      <c r="A2862" t="str">
        <f>MID(TB_CECO[[#This Row],[CECO_T]],1,5)</f>
        <v>3E31I</v>
      </c>
      <c r="B2862" t="str">
        <f>MID(TB_CECO[[#This Row],[TRABAJO]],1,SEARCH(",",TB_CECO[[#This Row],[TRABAJO]],1)-1)</f>
        <v>Ch 877 (Snv 020 NE)</v>
      </c>
      <c r="C28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020 NE),VOLADURA</v>
      </c>
      <c r="D28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62" s="47" t="s">
        <v>5663</v>
      </c>
      <c r="G2862" t="s">
        <v>5664</v>
      </c>
      <c r="H28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63" spans="1:8" ht="15" customHeight="1" x14ac:dyDescent="0.25">
      <c r="A2863" t="str">
        <f>MID(TB_CECO[[#This Row],[CECO_T]],1,5)</f>
        <v>3E31J</v>
      </c>
      <c r="B2863" t="str">
        <f>MID(TB_CECO[[#This Row],[TRABAJO]],1,SEARCH(",",TB_CECO[[#This Row],[TRABAJO]],1)-1)</f>
        <v>Ch 044 (Snv 868 SW)</v>
      </c>
      <c r="C28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868 SW),LIMPIEZA</v>
      </c>
      <c r="D28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63" s="47" t="s">
        <v>5665</v>
      </c>
      <c r="G2863" t="s">
        <v>5666</v>
      </c>
      <c r="H28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64" spans="1:8" ht="15" customHeight="1" x14ac:dyDescent="0.25">
      <c r="A2864" t="str">
        <f>MID(TB_CECO[[#This Row],[CECO_T]],1,5)</f>
        <v>3E31J</v>
      </c>
      <c r="B2864" t="str">
        <f>MID(TB_CECO[[#This Row],[TRABAJO]],1,SEARCH(",",TB_CECO[[#This Row],[TRABAJO]],1)-1)</f>
        <v>Ch 044 (Snv 868 SW)</v>
      </c>
      <c r="C28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868 SW),SERVICIO</v>
      </c>
      <c r="D28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64" s="47" t="s">
        <v>5667</v>
      </c>
      <c r="G2864" t="s">
        <v>5668</v>
      </c>
      <c r="H28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65" spans="1:8" ht="15" customHeight="1" x14ac:dyDescent="0.25">
      <c r="A2865" t="str">
        <f>MID(TB_CECO[[#This Row],[CECO_T]],1,5)</f>
        <v>3E31J</v>
      </c>
      <c r="B2865" t="str">
        <f>MID(TB_CECO[[#This Row],[TRABAJO]],1,SEARCH(",",TB_CECO[[#This Row],[TRABAJO]],1)-1)</f>
        <v>Ch 044 (Snv 868 SW)</v>
      </c>
      <c r="C28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868 SW),PERFORACION</v>
      </c>
      <c r="D28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65" s="47" t="s">
        <v>5669</v>
      </c>
      <c r="G2865" t="s">
        <v>5670</v>
      </c>
      <c r="H28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66" spans="1:8" ht="15" customHeight="1" x14ac:dyDescent="0.25">
      <c r="A2866" t="str">
        <f>MID(TB_CECO[[#This Row],[CECO_T]],1,5)</f>
        <v>3E31J</v>
      </c>
      <c r="B2866" t="str">
        <f>MID(TB_CECO[[#This Row],[TRABAJO]],1,SEARCH(",",TB_CECO[[#This Row],[TRABAJO]],1)-1)</f>
        <v>Ch 044 (Snv 868 SW)</v>
      </c>
      <c r="C28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868 SW),SOSTENIMIENTO</v>
      </c>
      <c r="D28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66" s="47" t="s">
        <v>5671</v>
      </c>
      <c r="G2866" t="s">
        <v>5672</v>
      </c>
      <c r="H28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67" spans="1:8" ht="15" customHeight="1" x14ac:dyDescent="0.25">
      <c r="A2867" t="str">
        <f>MID(TB_CECO[[#This Row],[CECO_T]],1,5)</f>
        <v>3E31J</v>
      </c>
      <c r="B2867" t="str">
        <f>MID(TB_CECO[[#This Row],[TRABAJO]],1,SEARCH(",",TB_CECO[[#This Row],[TRABAJO]],1)-1)</f>
        <v>Ch 044 (Snv 868 SW)</v>
      </c>
      <c r="C28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868 SW),VOLADURA</v>
      </c>
      <c r="D28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67" s="47" t="s">
        <v>5673</v>
      </c>
      <c r="G2867" t="s">
        <v>5674</v>
      </c>
      <c r="H28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68" spans="1:8" ht="15" customHeight="1" x14ac:dyDescent="0.25">
      <c r="A2868" t="str">
        <f>MID(TB_CECO[[#This Row],[CECO_T]],1,5)</f>
        <v>3E31L</v>
      </c>
      <c r="B2868" t="str">
        <f>MID(TB_CECO[[#This Row],[TRABAJO]],1,SEARCH(",",TB_CECO[[#This Row],[TRABAJO]],1)-1)</f>
        <v>Ch 835 (Snv 030 SW)</v>
      </c>
      <c r="C28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030 SW),LIMPIEZA</v>
      </c>
      <c r="D28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68" s="47" t="s">
        <v>5675</v>
      </c>
      <c r="G2868" t="s">
        <v>5676</v>
      </c>
      <c r="H28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69" spans="1:8" ht="15" customHeight="1" x14ac:dyDescent="0.25">
      <c r="A2869" t="str">
        <f>MID(TB_CECO[[#This Row],[CECO_T]],1,5)</f>
        <v>3E31L</v>
      </c>
      <c r="B2869" t="str">
        <f>MID(TB_CECO[[#This Row],[TRABAJO]],1,SEARCH(",",TB_CECO[[#This Row],[TRABAJO]],1)-1)</f>
        <v>Ch 835 (Snv 030 SW)</v>
      </c>
      <c r="C28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030 SW),SERVICIO</v>
      </c>
      <c r="D28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69" s="47" t="s">
        <v>5677</v>
      </c>
      <c r="G2869" t="s">
        <v>5678</v>
      </c>
      <c r="H28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70" spans="1:8" ht="15" customHeight="1" x14ac:dyDescent="0.25">
      <c r="A2870" t="str">
        <f>MID(TB_CECO[[#This Row],[CECO_T]],1,5)</f>
        <v>3E31L</v>
      </c>
      <c r="B2870" t="str">
        <f>MID(TB_CECO[[#This Row],[TRABAJO]],1,SEARCH(",",TB_CECO[[#This Row],[TRABAJO]],1)-1)</f>
        <v>Ch 835 (Snv 030 SW)</v>
      </c>
      <c r="C28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030 SW),PERFORACION</v>
      </c>
      <c r="D28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70" s="47" t="s">
        <v>5679</v>
      </c>
      <c r="G2870" t="s">
        <v>5680</v>
      </c>
      <c r="H28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71" spans="1:8" ht="15" customHeight="1" x14ac:dyDescent="0.25">
      <c r="A2871" t="str">
        <f>MID(TB_CECO[[#This Row],[CECO_T]],1,5)</f>
        <v>3E31L</v>
      </c>
      <c r="B2871" t="str">
        <f>MID(TB_CECO[[#This Row],[TRABAJO]],1,SEARCH(",",TB_CECO[[#This Row],[TRABAJO]],1)-1)</f>
        <v>Ch 835 (Snv 030 SW)</v>
      </c>
      <c r="C28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030 SW),SOSTENIMIENTO</v>
      </c>
      <c r="D28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71" s="47" t="s">
        <v>5681</v>
      </c>
      <c r="G2871" t="s">
        <v>5682</v>
      </c>
      <c r="H28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72" spans="1:8" ht="15" customHeight="1" x14ac:dyDescent="0.25">
      <c r="A2872" t="str">
        <f>MID(TB_CECO[[#This Row],[CECO_T]],1,5)</f>
        <v>3E31L</v>
      </c>
      <c r="B2872" t="str">
        <f>MID(TB_CECO[[#This Row],[TRABAJO]],1,SEARCH(",",TB_CECO[[#This Row],[TRABAJO]],1)-1)</f>
        <v>Ch 835 (Snv 030 SW)</v>
      </c>
      <c r="C28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030 SW),VOLADURA</v>
      </c>
      <c r="D28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72" s="47" t="s">
        <v>5683</v>
      </c>
      <c r="G2872" t="s">
        <v>5684</v>
      </c>
      <c r="H28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73" spans="1:8" ht="15" customHeight="1" x14ac:dyDescent="0.25">
      <c r="A2873" t="str">
        <f>MID(TB_CECO[[#This Row],[CECO_T]],1,5)</f>
        <v>3E31Q</v>
      </c>
      <c r="B2873" t="str">
        <f>MID(TB_CECO[[#This Row],[TRABAJO]],1,SEARCH(",",TB_CECO[[#This Row],[TRABAJO]],1)-1)</f>
        <v>Ch 835 (Snv 020 SW)</v>
      </c>
      <c r="C28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020 SW),LIMPIEZA</v>
      </c>
      <c r="D28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73" s="47" t="s">
        <v>5685</v>
      </c>
      <c r="G2873" t="s">
        <v>5686</v>
      </c>
      <c r="H28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74" spans="1:8" ht="15" customHeight="1" x14ac:dyDescent="0.25">
      <c r="A2874" t="str">
        <f>MID(TB_CECO[[#This Row],[CECO_T]],1,5)</f>
        <v>3E31Q</v>
      </c>
      <c r="B2874" t="str">
        <f>MID(TB_CECO[[#This Row],[TRABAJO]],1,SEARCH(",",TB_CECO[[#This Row],[TRABAJO]],1)-1)</f>
        <v>Ch 835 (Snv 020 SW)</v>
      </c>
      <c r="C28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020 SW),SERVICIO</v>
      </c>
      <c r="D28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74" s="47" t="s">
        <v>5687</v>
      </c>
      <c r="G2874" t="s">
        <v>5688</v>
      </c>
      <c r="H28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75" spans="1:8" ht="15" customHeight="1" x14ac:dyDescent="0.25">
      <c r="A2875" t="str">
        <f>MID(TB_CECO[[#This Row],[CECO_T]],1,5)</f>
        <v>3E31Q</v>
      </c>
      <c r="B2875" t="str">
        <f>MID(TB_CECO[[#This Row],[TRABAJO]],1,SEARCH(",",TB_CECO[[#This Row],[TRABAJO]],1)-1)</f>
        <v>Ch 835 (Snv 020 SW)</v>
      </c>
      <c r="C28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020 SW),PERFORACION</v>
      </c>
      <c r="D28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75" s="47" t="s">
        <v>5689</v>
      </c>
      <c r="G2875" t="s">
        <v>5690</v>
      </c>
      <c r="H28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76" spans="1:8" ht="15" customHeight="1" x14ac:dyDescent="0.25">
      <c r="A2876" t="str">
        <f>MID(TB_CECO[[#This Row],[CECO_T]],1,5)</f>
        <v>3E31Q</v>
      </c>
      <c r="B2876" t="str">
        <f>MID(TB_CECO[[#This Row],[TRABAJO]],1,SEARCH(",",TB_CECO[[#This Row],[TRABAJO]],1)-1)</f>
        <v>Ch 835 (Snv 020 SW)</v>
      </c>
      <c r="C28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020 SW),SOSTENIMIENTO</v>
      </c>
      <c r="D28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76" s="47" t="s">
        <v>5691</v>
      </c>
      <c r="G2876" t="s">
        <v>5692</v>
      </c>
      <c r="H28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77" spans="1:8" ht="15" customHeight="1" x14ac:dyDescent="0.25">
      <c r="A2877" t="str">
        <f>MID(TB_CECO[[#This Row],[CECO_T]],1,5)</f>
        <v>3E31Q</v>
      </c>
      <c r="B2877" t="str">
        <f>MID(TB_CECO[[#This Row],[TRABAJO]],1,SEARCH(",",TB_CECO[[#This Row],[TRABAJO]],1)-1)</f>
        <v>Ch 835 (Snv 020 SW)</v>
      </c>
      <c r="C28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(Snv 020 SW),VOLADURA</v>
      </c>
      <c r="D28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77" s="47" t="s">
        <v>5693</v>
      </c>
      <c r="G2877" t="s">
        <v>5694</v>
      </c>
      <c r="H28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78" spans="1:8" ht="15" customHeight="1" x14ac:dyDescent="0.25">
      <c r="A2878" t="str">
        <f>MID(TB_CECO[[#This Row],[CECO_T]],1,5)</f>
        <v>3E31R</v>
      </c>
      <c r="B2878" t="str">
        <f>MID(TB_CECO[[#This Row],[TRABAJO]],1,SEARCH(",",TB_CECO[[#This Row],[TRABAJO]],1)-1)</f>
        <v>Ch 835 (Tj 010 SW)</v>
      </c>
      <c r="C28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(Tj 010 SW),LIMPIEZA</v>
      </c>
      <c r="D28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78" s="47" t="s">
        <v>5695</v>
      </c>
      <c r="G2878" t="s">
        <v>5696</v>
      </c>
      <c r="H28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79" spans="1:8" ht="15" customHeight="1" x14ac:dyDescent="0.25">
      <c r="A2879" t="str">
        <f>MID(TB_CECO[[#This Row],[CECO_T]],1,5)</f>
        <v>3E31R</v>
      </c>
      <c r="B2879" t="str">
        <f>MID(TB_CECO[[#This Row],[TRABAJO]],1,SEARCH(",",TB_CECO[[#This Row],[TRABAJO]],1)-1)</f>
        <v>Ch 835 (Tj 010 SW)</v>
      </c>
      <c r="C28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(Tj 010 SW),SERVICIO</v>
      </c>
      <c r="D28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79" s="47" t="s">
        <v>5697</v>
      </c>
      <c r="G2879" t="s">
        <v>5698</v>
      </c>
      <c r="H28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80" spans="1:8" ht="15" customHeight="1" x14ac:dyDescent="0.25">
      <c r="A2880" t="str">
        <f>MID(TB_CECO[[#This Row],[CECO_T]],1,5)</f>
        <v>3E31R</v>
      </c>
      <c r="B2880" t="str">
        <f>MID(TB_CECO[[#This Row],[TRABAJO]],1,SEARCH(",",TB_CECO[[#This Row],[TRABAJO]],1)-1)</f>
        <v>Ch 835 (Tj 010 SW)</v>
      </c>
      <c r="C28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(Tj 010 SW),PERFORACION</v>
      </c>
      <c r="D28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80" s="47" t="s">
        <v>5699</v>
      </c>
      <c r="G2880" t="s">
        <v>5700</v>
      </c>
      <c r="H28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81" spans="1:8" ht="15" customHeight="1" x14ac:dyDescent="0.25">
      <c r="A2881" t="str">
        <f>MID(TB_CECO[[#This Row],[CECO_T]],1,5)</f>
        <v>3E31R</v>
      </c>
      <c r="B2881" t="str">
        <f>MID(TB_CECO[[#This Row],[TRABAJO]],1,SEARCH(",",TB_CECO[[#This Row],[TRABAJO]],1)-1)</f>
        <v>Ch 835 (Tj 010 SW)</v>
      </c>
      <c r="C28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(Tj 010 SW),SOSTENIMIENTO</v>
      </c>
      <c r="D28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81" s="47" t="s">
        <v>5701</v>
      </c>
      <c r="G2881" t="s">
        <v>5702</v>
      </c>
      <c r="H28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82" spans="1:8" ht="15" customHeight="1" x14ac:dyDescent="0.25">
      <c r="A2882" t="str">
        <f>MID(TB_CECO[[#This Row],[CECO_T]],1,5)</f>
        <v>3E31R</v>
      </c>
      <c r="B2882" t="str">
        <f>MID(TB_CECO[[#This Row],[TRABAJO]],1,SEARCH(",",TB_CECO[[#This Row],[TRABAJO]],1)-1)</f>
        <v>Ch 835 (Tj 010 SW)</v>
      </c>
      <c r="C28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835 (Tj 010 SW),VOLADURA</v>
      </c>
      <c r="D28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82" s="47" t="s">
        <v>5703</v>
      </c>
      <c r="G2882" t="s">
        <v>5704</v>
      </c>
      <c r="H28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83" spans="1:8" ht="15" customHeight="1" x14ac:dyDescent="0.25">
      <c r="A2883" t="str">
        <f>MID(TB_CECO[[#This Row],[CECO_T]],1,5)</f>
        <v>3E31U</v>
      </c>
      <c r="B2883" t="str">
        <f>MID(TB_CECO[[#This Row],[TRABAJO]],1,SEARCH(",",TB_CECO[[#This Row],[TRABAJO]],1)-1)</f>
        <v xml:space="preserve">Ch 820 (Tj 042 SW)
</v>
      </c>
      <c r="C28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820 (Tj 042 SW)
,LIMPIEZA</v>
      </c>
      <c r="D28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83" s="47" t="s">
        <v>5705</v>
      </c>
      <c r="G2883" t="s">
        <v>5706</v>
      </c>
      <c r="H28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84" spans="1:8" ht="15" customHeight="1" x14ac:dyDescent="0.25">
      <c r="A2884" t="str">
        <f>MID(TB_CECO[[#This Row],[CECO_T]],1,5)</f>
        <v>3E31U</v>
      </c>
      <c r="B2884" t="str">
        <f>MID(TB_CECO[[#This Row],[TRABAJO]],1,SEARCH(",",TB_CECO[[#This Row],[TRABAJO]],1)-1)</f>
        <v xml:space="preserve">Ch 820 (Tj 042 SW)
</v>
      </c>
      <c r="C28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820 (Tj 042 SW)
,SERVICIO</v>
      </c>
      <c r="D28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84" s="47" t="s">
        <v>5707</v>
      </c>
      <c r="G2884" t="s">
        <v>5708</v>
      </c>
      <c r="H28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85" spans="1:8" ht="15" customHeight="1" x14ac:dyDescent="0.25">
      <c r="A2885" t="str">
        <f>MID(TB_CECO[[#This Row],[CECO_T]],1,5)</f>
        <v>3E31U</v>
      </c>
      <c r="B2885" t="str">
        <f>MID(TB_CECO[[#This Row],[TRABAJO]],1,SEARCH(",",TB_CECO[[#This Row],[TRABAJO]],1)-1)</f>
        <v xml:space="preserve">Ch 820 (Tj 042 SW)
</v>
      </c>
      <c r="C28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820 (Tj 042 SW)
,PERFORACION</v>
      </c>
      <c r="D28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85" s="47" t="s">
        <v>5709</v>
      </c>
      <c r="G2885" t="s">
        <v>5710</v>
      </c>
      <c r="H28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86" spans="1:8" ht="15" customHeight="1" x14ac:dyDescent="0.25">
      <c r="A2886" t="str">
        <f>MID(TB_CECO[[#This Row],[CECO_T]],1,5)</f>
        <v>3E31U</v>
      </c>
      <c r="B2886" t="str">
        <f>MID(TB_CECO[[#This Row],[TRABAJO]],1,SEARCH(",",TB_CECO[[#This Row],[TRABAJO]],1)-1)</f>
        <v xml:space="preserve">Ch 820 (Tj 042 SW)
</v>
      </c>
      <c r="C28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820 (Tj 042 SW)
,SOSTENIMIENTO</v>
      </c>
      <c r="D28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86" s="47" t="s">
        <v>5711</v>
      </c>
      <c r="G2886" t="s">
        <v>5712</v>
      </c>
      <c r="H28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87" spans="1:8" ht="15" customHeight="1" x14ac:dyDescent="0.25">
      <c r="A2887" t="str">
        <f>MID(TB_CECO[[#This Row],[CECO_T]],1,5)</f>
        <v>3E31U</v>
      </c>
      <c r="B2887" t="str">
        <f>MID(TB_CECO[[#This Row],[TRABAJO]],1,SEARCH(",",TB_CECO[[#This Row],[TRABAJO]],1)-1)</f>
        <v xml:space="preserve">Ch 820 (Tj 042 SW)
</v>
      </c>
      <c r="C28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820 (Tj 042 SW)
,VOLADURA</v>
      </c>
      <c r="D28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8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887" s="47" t="s">
        <v>5713</v>
      </c>
      <c r="G2887" t="s">
        <v>5714</v>
      </c>
      <c r="H28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88" spans="1:8" ht="15" customHeight="1" x14ac:dyDescent="0.25">
      <c r="A2888" t="str">
        <f>MID(TB_CECO[[#This Row],[CECO_T]],1,5)</f>
        <v>3E323</v>
      </c>
      <c r="B2888" t="str">
        <f>MID(TB_CECO[[#This Row],[TRABAJO]],1,SEARCH(",",TB_CECO[[#This Row],[TRABAJO]],1)-1)</f>
        <v>CH 091 (GAL 150 SW)</v>
      </c>
      <c r="C28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(GAL 150 SW),SUMINISTROS     </v>
      </c>
      <c r="D28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88" s="47" t="s">
        <v>5715</v>
      </c>
      <c r="G2888" t="s">
        <v>5716</v>
      </c>
      <c r="H28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89" spans="1:8" ht="15" customHeight="1" x14ac:dyDescent="0.25">
      <c r="A2889" t="str">
        <f>MID(TB_CECO[[#This Row],[CECO_T]],1,5)</f>
        <v>3E323</v>
      </c>
      <c r="B2889" t="str">
        <f>MID(TB_CECO[[#This Row],[TRABAJO]],1,SEARCH(",",TB_CECO[[#This Row],[TRABAJO]],1)-1)</f>
        <v>CH 091 (GAL 150 SW)</v>
      </c>
      <c r="C28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(GAL 150 SW),SOSTENIMIENTO   </v>
      </c>
      <c r="D28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89" s="47" t="s">
        <v>5717</v>
      </c>
      <c r="G2889" t="s">
        <v>5718</v>
      </c>
      <c r="H28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90" spans="1:8" ht="15" customHeight="1" x14ac:dyDescent="0.25">
      <c r="A2890" t="str">
        <f>MID(TB_CECO[[#This Row],[CECO_T]],1,5)</f>
        <v>3E323</v>
      </c>
      <c r="B2890" t="str">
        <f>MID(TB_CECO[[#This Row],[TRABAJO]],1,SEARCH(",",TB_CECO[[#This Row],[TRABAJO]],1)-1)</f>
        <v>CH 091 (GAL 150 SW)</v>
      </c>
      <c r="C28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(GAL 150 SW),SERVICIO        </v>
      </c>
      <c r="D28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90" s="47" t="s">
        <v>5719</v>
      </c>
      <c r="G2890" t="s">
        <v>5720</v>
      </c>
      <c r="H28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91" spans="1:8" ht="15" customHeight="1" x14ac:dyDescent="0.25">
      <c r="A2891" t="str">
        <f>MID(TB_CECO[[#This Row],[CECO_T]],1,5)</f>
        <v>3E323</v>
      </c>
      <c r="B2891" t="str">
        <f>MID(TB_CECO[[#This Row],[TRABAJO]],1,SEARCH(",",TB_CECO[[#This Row],[TRABAJO]],1)-1)</f>
        <v>CH 091 (GAL 150 SW)</v>
      </c>
      <c r="C28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(GAL 150 SW),REHABILITACION  </v>
      </c>
      <c r="D28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91" s="47" t="s">
        <v>5721</v>
      </c>
      <c r="G2891" t="s">
        <v>5722</v>
      </c>
      <c r="H28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92" spans="1:8" ht="15" customHeight="1" x14ac:dyDescent="0.25">
      <c r="A2892" t="str">
        <f>MID(TB_CECO[[#This Row],[CECO_T]],1,5)</f>
        <v>3E323</v>
      </c>
      <c r="B2892" t="str">
        <f>MID(TB_CECO[[#This Row],[TRABAJO]],1,SEARCH(",",TB_CECO[[#This Row],[TRABAJO]],1)-1)</f>
        <v>CH 091 (GAL 150 SW)</v>
      </c>
      <c r="C28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091 (GAL 150 SW),TOLVA           </v>
      </c>
      <c r="D28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92" s="47" t="s">
        <v>5723</v>
      </c>
      <c r="G2892" t="s">
        <v>5724</v>
      </c>
      <c r="H28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93" spans="1:8" ht="15" customHeight="1" x14ac:dyDescent="0.25">
      <c r="A2893" t="str">
        <f>MID(TB_CECO[[#This Row],[CECO_T]],1,5)</f>
        <v>3E327</v>
      </c>
      <c r="B2893" t="str">
        <f>MID(TB_CECO[[#This Row],[TRABAJO]],1,SEARCH(",",TB_CECO[[#This Row],[TRABAJO]],1)-1)</f>
        <v>CH 066 (CX 075 NW)</v>
      </c>
      <c r="C28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(CX 075 NW),SUMINISTROS      </v>
      </c>
      <c r="D28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93" s="47" t="s">
        <v>5725</v>
      </c>
      <c r="G2893" t="s">
        <v>5726</v>
      </c>
      <c r="H28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94" spans="1:8" ht="15" customHeight="1" x14ac:dyDescent="0.25">
      <c r="A2894" t="str">
        <f>MID(TB_CECO[[#This Row],[CECO_T]],1,5)</f>
        <v>3E327</v>
      </c>
      <c r="B2894" t="str">
        <f>MID(TB_CECO[[#This Row],[TRABAJO]],1,SEARCH(",",TB_CECO[[#This Row],[TRABAJO]],1)-1)</f>
        <v>CH 066 (CX 075 NW)</v>
      </c>
      <c r="C28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(CX 075 NW),SOSTENIMIENTO    </v>
      </c>
      <c r="D28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94" s="47" t="s">
        <v>5727</v>
      </c>
      <c r="G2894" t="s">
        <v>5728</v>
      </c>
      <c r="H28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95" spans="1:8" ht="15" customHeight="1" x14ac:dyDescent="0.25">
      <c r="A2895" t="str">
        <f>MID(TB_CECO[[#This Row],[CECO_T]],1,5)</f>
        <v>3E327</v>
      </c>
      <c r="B2895" t="str">
        <f>MID(TB_CECO[[#This Row],[TRABAJO]],1,SEARCH(",",TB_CECO[[#This Row],[TRABAJO]],1)-1)</f>
        <v>CH 066 (CX 075 NW)</v>
      </c>
      <c r="C28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(CX 075 NW),SERVICIO         </v>
      </c>
      <c r="D28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95" s="47" t="s">
        <v>5729</v>
      </c>
      <c r="G2895" t="s">
        <v>5730</v>
      </c>
      <c r="H28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96" spans="1:8" ht="15" customHeight="1" x14ac:dyDescent="0.25">
      <c r="A2896" t="str">
        <f>MID(TB_CECO[[#This Row],[CECO_T]],1,5)</f>
        <v>3E327</v>
      </c>
      <c r="B2896" t="str">
        <f>MID(TB_CECO[[#This Row],[TRABAJO]],1,SEARCH(",",TB_CECO[[#This Row],[TRABAJO]],1)-1)</f>
        <v>CH 066 (CX 075 NW)</v>
      </c>
      <c r="C28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(CX 075 NW),REHABILITACION   </v>
      </c>
      <c r="D28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96" s="47" t="s">
        <v>5731</v>
      </c>
      <c r="G2896" t="s">
        <v>5732</v>
      </c>
      <c r="H28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97" spans="1:8" ht="15" customHeight="1" x14ac:dyDescent="0.25">
      <c r="A2897" t="str">
        <f>MID(TB_CECO[[#This Row],[CECO_T]],1,5)</f>
        <v>3E328</v>
      </c>
      <c r="B2897" t="str">
        <f>MID(TB_CECO[[#This Row],[TRABAJO]],1,SEARCH(",",TB_CECO[[#This Row],[TRABAJO]],1)-1)</f>
        <v>CH 066 (SNV 123NE)</v>
      </c>
      <c r="C28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(SNV 123NE),SUMINISTROS      </v>
      </c>
      <c r="D28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97" s="47" t="s">
        <v>5733</v>
      </c>
      <c r="G2897" t="s">
        <v>5734</v>
      </c>
      <c r="H28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98" spans="1:8" ht="15" customHeight="1" x14ac:dyDescent="0.25">
      <c r="A2898" t="str">
        <f>MID(TB_CECO[[#This Row],[CECO_T]],1,5)</f>
        <v>3E328</v>
      </c>
      <c r="B2898" t="str">
        <f>MID(TB_CECO[[#This Row],[TRABAJO]],1,SEARCH(",",TB_CECO[[#This Row],[TRABAJO]],1)-1)</f>
        <v>CH 066 (SNV 123NE)</v>
      </c>
      <c r="C28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(SNV 123NE),SOSTENIMIENTO    </v>
      </c>
      <c r="D28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98" s="47" t="s">
        <v>5735</v>
      </c>
      <c r="G2898" t="s">
        <v>5736</v>
      </c>
      <c r="H28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899" spans="1:8" ht="15" customHeight="1" x14ac:dyDescent="0.25">
      <c r="A2899" t="str">
        <f>MID(TB_CECO[[#This Row],[CECO_T]],1,5)</f>
        <v>3E328</v>
      </c>
      <c r="B2899" t="str">
        <f>MID(TB_CECO[[#This Row],[TRABAJO]],1,SEARCH(",",TB_CECO[[#This Row],[TRABAJO]],1)-1)</f>
        <v>CH 066 (SNV 123NE)</v>
      </c>
      <c r="C28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(SNV 123NE),SERVICIO         </v>
      </c>
      <c r="D28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8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899" s="47" t="s">
        <v>5737</v>
      </c>
      <c r="G2899" t="s">
        <v>5738</v>
      </c>
      <c r="H28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00" spans="1:8" ht="15" customHeight="1" x14ac:dyDescent="0.25">
      <c r="A2900" t="str">
        <f>MID(TB_CECO[[#This Row],[CECO_T]],1,5)</f>
        <v>3E328</v>
      </c>
      <c r="B2900" t="str">
        <f>MID(TB_CECO[[#This Row],[TRABAJO]],1,SEARCH(",",TB_CECO[[#This Row],[TRABAJO]],1)-1)</f>
        <v>CH 066 (SNV 123NE)</v>
      </c>
      <c r="C29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066 (SNV 123NE),REHABILITACION   </v>
      </c>
      <c r="D29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00" s="47" t="s">
        <v>5739</v>
      </c>
      <c r="G2900" t="s">
        <v>5740</v>
      </c>
      <c r="H29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01" spans="1:8" ht="15" customHeight="1" x14ac:dyDescent="0.25">
      <c r="A2901" t="str">
        <f>MID(TB_CECO[[#This Row],[CECO_T]],1,5)</f>
        <v>3E330</v>
      </c>
      <c r="B2901" t="str">
        <f>MID(TB_CECO[[#This Row],[TRABAJO]],1,SEARCH(",",TB_CECO[[#This Row],[TRABAJO]],1)-1)</f>
        <v>CH 053 (SNV 123 NE)</v>
      </c>
      <c r="C29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053 (SNV 123 NE),SUMINISTROS     </v>
      </c>
      <c r="D29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01" s="47" t="s">
        <v>5741</v>
      </c>
      <c r="G2901" t="s">
        <v>5742</v>
      </c>
      <c r="H29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02" spans="1:8" ht="15" customHeight="1" x14ac:dyDescent="0.25">
      <c r="A2902" t="str">
        <f>MID(TB_CECO[[#This Row],[CECO_T]],1,5)</f>
        <v>3E330</v>
      </c>
      <c r="B2902" t="str">
        <f>MID(TB_CECO[[#This Row],[TRABAJO]],1,SEARCH(",",TB_CECO[[#This Row],[TRABAJO]],1)-1)</f>
        <v>CH 053 (SNV 123 NE)</v>
      </c>
      <c r="C29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053 (SNV 123 NE),SOSTENIMIENTO   </v>
      </c>
      <c r="D29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02" s="47" t="s">
        <v>5743</v>
      </c>
      <c r="G2902" t="s">
        <v>5744</v>
      </c>
      <c r="H29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03" spans="1:8" ht="15" customHeight="1" x14ac:dyDescent="0.25">
      <c r="A2903" t="str">
        <f>MID(TB_CECO[[#This Row],[CECO_T]],1,5)</f>
        <v>3E330</v>
      </c>
      <c r="B2903" t="str">
        <f>MID(TB_CECO[[#This Row],[TRABAJO]],1,SEARCH(",",TB_CECO[[#This Row],[TRABAJO]],1)-1)</f>
        <v>CH 053 (SNV 123 NE)</v>
      </c>
      <c r="C29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053 (SNV 123 NE),SERVICIO        </v>
      </c>
      <c r="D29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03" s="47" t="s">
        <v>5745</v>
      </c>
      <c r="G2903" t="s">
        <v>5746</v>
      </c>
      <c r="H29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04" spans="1:8" ht="15" customHeight="1" x14ac:dyDescent="0.25">
      <c r="A2904" t="str">
        <f>MID(TB_CECO[[#This Row],[CECO_T]],1,5)</f>
        <v>3E330</v>
      </c>
      <c r="B2904" t="str">
        <f>MID(TB_CECO[[#This Row],[TRABAJO]],1,SEARCH(",",TB_CECO[[#This Row],[TRABAJO]],1)-1)</f>
        <v>CH 053 (SNV 123 NE)</v>
      </c>
      <c r="C29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053 (SNV 123 NE),REHABILITACION  </v>
      </c>
      <c r="D29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04" s="47" t="s">
        <v>5747</v>
      </c>
      <c r="G2904" t="s">
        <v>5748</v>
      </c>
      <c r="H29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05" spans="1:8" ht="15" customHeight="1" x14ac:dyDescent="0.25">
      <c r="A2905" t="str">
        <f>MID(TB_CECO[[#This Row],[CECO_T]],1,5)</f>
        <v>3E339</v>
      </c>
      <c r="B2905" t="str">
        <f>MID(TB_CECO[[#This Row],[TRABAJO]],1,SEARCH(",",TB_CECO[[#This Row],[TRABAJO]],1)-1)</f>
        <v>CH 091 (SNV 090 SW)</v>
      </c>
      <c r="C29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090 SW),SUMINISTROS</v>
      </c>
      <c r="D29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05" s="47" t="s">
        <v>5749</v>
      </c>
      <c r="G2905" t="s">
        <v>5750</v>
      </c>
      <c r="H29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06" spans="1:8" ht="15" customHeight="1" x14ac:dyDescent="0.25">
      <c r="A2906" t="str">
        <f>MID(TB_CECO[[#This Row],[CECO_T]],1,5)</f>
        <v>3E339</v>
      </c>
      <c r="B2906" t="str">
        <f>MID(TB_CECO[[#This Row],[TRABAJO]],1,SEARCH(",",TB_CECO[[#This Row],[TRABAJO]],1)-1)</f>
        <v>CH 091 (SNV 090 SW)</v>
      </c>
      <c r="C29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090 SW),SOSTENIMIENTO</v>
      </c>
      <c r="D29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06" s="47" t="s">
        <v>5751</v>
      </c>
      <c r="G2906" t="s">
        <v>5752</v>
      </c>
      <c r="H29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07" spans="1:8" ht="15" customHeight="1" x14ac:dyDescent="0.25">
      <c r="A2907" t="str">
        <f>MID(TB_CECO[[#This Row],[CECO_T]],1,5)</f>
        <v>3E339</v>
      </c>
      <c r="B2907" t="str">
        <f>MID(TB_CECO[[#This Row],[TRABAJO]],1,SEARCH(",",TB_CECO[[#This Row],[TRABAJO]],1)-1)</f>
        <v>CH 091 (SNV 090 SW)</v>
      </c>
      <c r="C29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090 SW),SERVICIO</v>
      </c>
      <c r="D29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07" s="47" t="s">
        <v>5753</v>
      </c>
      <c r="G2907" t="s">
        <v>5754</v>
      </c>
      <c r="H29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08" spans="1:8" ht="15" customHeight="1" x14ac:dyDescent="0.25">
      <c r="A2908" t="str">
        <f>MID(TB_CECO[[#This Row],[CECO_T]],1,5)</f>
        <v>3E339</v>
      </c>
      <c r="B2908" t="str">
        <f>MID(TB_CECO[[#This Row],[TRABAJO]],1,SEARCH(",",TB_CECO[[#This Row],[TRABAJO]],1)-1)</f>
        <v>CH 091 (SNV 090 SW)</v>
      </c>
      <c r="C29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090 SW),REHABILITACION</v>
      </c>
      <c r="D29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08" s="47" t="s">
        <v>5755</v>
      </c>
      <c r="G2908" t="s">
        <v>5756</v>
      </c>
      <c r="H29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09" spans="1:8" ht="15" customHeight="1" x14ac:dyDescent="0.25">
      <c r="A2909" t="str">
        <f>MID(TB_CECO[[#This Row],[CECO_T]],1,5)</f>
        <v>3E343</v>
      </c>
      <c r="B2909" t="str">
        <f>MID(TB_CECO[[#This Row],[TRABAJO]],1,SEARCH(",",TB_CECO[[#This Row],[TRABAJO]],1)-1)</f>
        <v>CH 064 (TJ 111)</v>
      </c>
      <c r="C29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(TJ 111),SUMINISTROS</v>
      </c>
      <c r="D29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09" s="47" t="s">
        <v>5757</v>
      </c>
      <c r="G2909" t="s">
        <v>5758</v>
      </c>
      <c r="H29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10" spans="1:8" ht="15" customHeight="1" x14ac:dyDescent="0.25">
      <c r="A2910" t="str">
        <f>MID(TB_CECO[[#This Row],[CECO_T]],1,5)</f>
        <v>3E343</v>
      </c>
      <c r="B2910" t="str">
        <f>MID(TB_CECO[[#This Row],[TRABAJO]],1,SEARCH(",",TB_CECO[[#This Row],[TRABAJO]],1)-1)</f>
        <v>CH 064 (TJ 111)</v>
      </c>
      <c r="C29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(TJ 111),SOSTENIMIENTO</v>
      </c>
      <c r="D29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10" s="47" t="s">
        <v>5759</v>
      </c>
      <c r="G2910" t="s">
        <v>5760</v>
      </c>
      <c r="H29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11" spans="1:8" ht="15" customHeight="1" x14ac:dyDescent="0.25">
      <c r="A2911" t="str">
        <f>MID(TB_CECO[[#This Row],[CECO_T]],1,5)</f>
        <v>3E343</v>
      </c>
      <c r="B2911" t="str">
        <f>MID(TB_CECO[[#This Row],[TRABAJO]],1,SEARCH(",",TB_CECO[[#This Row],[TRABAJO]],1)-1)</f>
        <v>CH 064 (TJ 111)</v>
      </c>
      <c r="C29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(TJ 111),SERVICIO</v>
      </c>
      <c r="D29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11" s="47" t="s">
        <v>5761</v>
      </c>
      <c r="G2911" t="s">
        <v>5762</v>
      </c>
      <c r="H29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12" spans="1:8" ht="15" customHeight="1" x14ac:dyDescent="0.25">
      <c r="A2912" t="str">
        <f>MID(TB_CECO[[#This Row],[CECO_T]],1,5)</f>
        <v>3E343</v>
      </c>
      <c r="B2912" t="str">
        <f>MID(TB_CECO[[#This Row],[TRABAJO]],1,SEARCH(",",TB_CECO[[#This Row],[TRABAJO]],1)-1)</f>
        <v>CH 064 (TJ 111)</v>
      </c>
      <c r="C29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(TJ 111),REHABILITACION</v>
      </c>
      <c r="D29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12" s="47" t="s">
        <v>5763</v>
      </c>
      <c r="G2912" t="s">
        <v>5764</v>
      </c>
      <c r="H29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13" spans="1:8" ht="15" customHeight="1" x14ac:dyDescent="0.25">
      <c r="A2913" t="str">
        <f>MID(TB_CECO[[#This Row],[CECO_T]],1,5)</f>
        <v>3E343</v>
      </c>
      <c r="B2913" t="str">
        <f>MID(TB_CECO[[#This Row],[TRABAJO]],1,SEARCH(",",TB_CECO[[#This Row],[TRABAJO]],1)-1)</f>
        <v>CH 064 (TJ 111)</v>
      </c>
      <c r="C29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(TJ 111),TOLVA</v>
      </c>
      <c r="D29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13" s="47" t="s">
        <v>5765</v>
      </c>
      <c r="G2913" t="s">
        <v>5766</v>
      </c>
      <c r="H29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14" spans="1:8" ht="15" customHeight="1" x14ac:dyDescent="0.25">
      <c r="A2914" t="str">
        <f>MID(TB_CECO[[#This Row],[CECO_T]],1,5)</f>
        <v>3E344</v>
      </c>
      <c r="B2914" t="str">
        <f>MID(TB_CECO[[#This Row],[TRABAJO]],1,SEARCH(",",TB_CECO[[#This Row],[TRABAJO]],1)-1)</f>
        <v>CH 055 -1(TJ 055 SW)</v>
      </c>
      <c r="C29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055 -1(TJ 055 SW),SUMINISTROS</v>
      </c>
      <c r="D29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14" s="47" t="s">
        <v>5767</v>
      </c>
      <c r="G2914" t="s">
        <v>5768</v>
      </c>
      <c r="H29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15" spans="1:8" ht="15" customHeight="1" x14ac:dyDescent="0.25">
      <c r="A2915" t="str">
        <f>MID(TB_CECO[[#This Row],[CECO_T]],1,5)</f>
        <v>3E344</v>
      </c>
      <c r="B2915" t="str">
        <f>MID(TB_CECO[[#This Row],[TRABAJO]],1,SEARCH(",",TB_CECO[[#This Row],[TRABAJO]],1)-1)</f>
        <v>CH 055 -1(TJ 055 SW)</v>
      </c>
      <c r="C29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055 -1(TJ 055 SW),SOSTENIMIENTO</v>
      </c>
      <c r="D29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15" s="47" t="s">
        <v>5769</v>
      </c>
      <c r="G2915" t="s">
        <v>5770</v>
      </c>
      <c r="H29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16" spans="1:8" ht="15" customHeight="1" x14ac:dyDescent="0.25">
      <c r="A2916" t="str">
        <f>MID(TB_CECO[[#This Row],[CECO_T]],1,5)</f>
        <v>3E344</v>
      </c>
      <c r="B2916" t="str">
        <f>MID(TB_CECO[[#This Row],[TRABAJO]],1,SEARCH(",",TB_CECO[[#This Row],[TRABAJO]],1)-1)</f>
        <v>CH 055 -1(TJ 055 SW)</v>
      </c>
      <c r="C29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055 -1(TJ 055 SW),SERVICIO</v>
      </c>
      <c r="D29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16" s="47" t="s">
        <v>5771</v>
      </c>
      <c r="G2916" t="s">
        <v>5772</v>
      </c>
      <c r="H29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17" spans="1:8" ht="15" customHeight="1" x14ac:dyDescent="0.25">
      <c r="A2917" t="str">
        <f>MID(TB_CECO[[#This Row],[CECO_T]],1,5)</f>
        <v>3E344</v>
      </c>
      <c r="B2917" t="str">
        <f>MID(TB_CECO[[#This Row],[TRABAJO]],1,SEARCH(",",TB_CECO[[#This Row],[TRABAJO]],1)-1)</f>
        <v>CH 055 -1(TJ 055 SW)</v>
      </c>
      <c r="C29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055 -1(TJ 055 SW),REHABILITACION</v>
      </c>
      <c r="D29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17" s="47" t="s">
        <v>5773</v>
      </c>
      <c r="G2917" t="s">
        <v>5774</v>
      </c>
      <c r="H29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18" spans="1:8" ht="15" customHeight="1" x14ac:dyDescent="0.25">
      <c r="A2918" t="str">
        <f>MID(TB_CECO[[#This Row],[CECO_T]],1,5)</f>
        <v>3E345</v>
      </c>
      <c r="B2918" t="str">
        <f>MID(TB_CECO[[#This Row],[TRABAJO]],1,SEARCH(",",TB_CECO[[#This Row],[TRABAJO]],1)-1)</f>
        <v>CH 091 (TJ 111 SW)</v>
      </c>
      <c r="C29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(TJ 111 SW),SUMINISTROS</v>
      </c>
      <c r="D29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18" s="47" t="s">
        <v>5775</v>
      </c>
      <c r="G2918" t="s">
        <v>5776</v>
      </c>
      <c r="H29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19" spans="1:8" ht="15" customHeight="1" x14ac:dyDescent="0.25">
      <c r="A2919" t="str">
        <f>MID(TB_CECO[[#This Row],[CECO_T]],1,5)</f>
        <v>3E345</v>
      </c>
      <c r="B2919" t="str">
        <f>MID(TB_CECO[[#This Row],[TRABAJO]],1,SEARCH(",",TB_CECO[[#This Row],[TRABAJO]],1)-1)</f>
        <v>CH 091 (TJ 111 SW)</v>
      </c>
      <c r="C29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(TJ 111 SW),SOSTENIMIENTO</v>
      </c>
      <c r="D29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19" s="47" t="s">
        <v>5777</v>
      </c>
      <c r="G2919" t="s">
        <v>5778</v>
      </c>
      <c r="H29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20" spans="1:8" ht="15" customHeight="1" x14ac:dyDescent="0.25">
      <c r="A2920" t="str">
        <f>MID(TB_CECO[[#This Row],[CECO_T]],1,5)</f>
        <v>3E345</v>
      </c>
      <c r="B2920" t="str">
        <f>MID(TB_CECO[[#This Row],[TRABAJO]],1,SEARCH(",",TB_CECO[[#This Row],[TRABAJO]],1)-1)</f>
        <v>CH 091 (TJ 111 SW)</v>
      </c>
      <c r="C29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(TJ 111 SW),SERVICIO</v>
      </c>
      <c r="D29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20" s="47" t="s">
        <v>5779</v>
      </c>
      <c r="G2920" t="s">
        <v>5780</v>
      </c>
      <c r="H29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21" spans="1:8" ht="15" customHeight="1" x14ac:dyDescent="0.25">
      <c r="A2921" t="str">
        <f>MID(TB_CECO[[#This Row],[CECO_T]],1,5)</f>
        <v>3E345</v>
      </c>
      <c r="B2921" t="str">
        <f>MID(TB_CECO[[#This Row],[TRABAJO]],1,SEARCH(",",TB_CECO[[#This Row],[TRABAJO]],1)-1)</f>
        <v>CH 091 (TJ 111 SW)</v>
      </c>
      <c r="C29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(TJ 111 SW),REHABILITACION</v>
      </c>
      <c r="D29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21" s="47" t="s">
        <v>5781</v>
      </c>
      <c r="G2921" t="s">
        <v>5782</v>
      </c>
      <c r="H29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22" spans="1:8" ht="15" customHeight="1" x14ac:dyDescent="0.25">
      <c r="A2922" t="str">
        <f>MID(TB_CECO[[#This Row],[CECO_T]],1,5)</f>
        <v>3E346</v>
      </c>
      <c r="B2922" t="str">
        <f>MID(TB_CECO[[#This Row],[TRABAJO]],1,SEARCH(",",TB_CECO[[#This Row],[TRABAJO]],1)-1)</f>
        <v>CH 064 (TJ 076 NE)</v>
      </c>
      <c r="C29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(TJ 076 NE),SUMINISTROS</v>
      </c>
      <c r="D29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22" s="47" t="s">
        <v>5783</v>
      </c>
      <c r="G2922" t="s">
        <v>5784</v>
      </c>
      <c r="H29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23" spans="1:8" ht="15" customHeight="1" x14ac:dyDescent="0.25">
      <c r="A2923" t="str">
        <f>MID(TB_CECO[[#This Row],[CECO_T]],1,5)</f>
        <v>3E346</v>
      </c>
      <c r="B2923" t="str">
        <f>MID(TB_CECO[[#This Row],[TRABAJO]],1,SEARCH(",",TB_CECO[[#This Row],[TRABAJO]],1)-1)</f>
        <v>CH 064 (TJ 076 NE)</v>
      </c>
      <c r="C29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(TJ 076 NE),SOSTENIMIENTO</v>
      </c>
      <c r="D29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23" s="47" t="s">
        <v>5785</v>
      </c>
      <c r="G2923" t="s">
        <v>5786</v>
      </c>
      <c r="H29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24" spans="1:8" ht="15" customHeight="1" x14ac:dyDescent="0.25">
      <c r="A2924" t="str">
        <f>MID(TB_CECO[[#This Row],[CECO_T]],1,5)</f>
        <v>3E346</v>
      </c>
      <c r="B2924" t="str">
        <f>MID(TB_CECO[[#This Row],[TRABAJO]],1,SEARCH(",",TB_CECO[[#This Row],[TRABAJO]],1)-1)</f>
        <v>CH 064 (TJ 076 NE)</v>
      </c>
      <c r="C29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(TJ 076 NE),SERVICIO</v>
      </c>
      <c r="D29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24" s="47" t="s">
        <v>5787</v>
      </c>
      <c r="G2924" t="s">
        <v>5788</v>
      </c>
      <c r="H29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25" spans="1:8" ht="15" customHeight="1" x14ac:dyDescent="0.25">
      <c r="A2925" t="str">
        <f>MID(TB_CECO[[#This Row],[CECO_T]],1,5)</f>
        <v>3E346</v>
      </c>
      <c r="B2925" t="str">
        <f>MID(TB_CECO[[#This Row],[TRABAJO]],1,SEARCH(",",TB_CECO[[#This Row],[TRABAJO]],1)-1)</f>
        <v>CH 064 (TJ 076 NE)</v>
      </c>
      <c r="C29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(TJ 076 NE),REHABILITACION</v>
      </c>
      <c r="D29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25" s="47" t="s">
        <v>5789</v>
      </c>
      <c r="G2925" t="s">
        <v>5790</v>
      </c>
      <c r="H29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26" spans="1:8" ht="15" customHeight="1" x14ac:dyDescent="0.25">
      <c r="A2926" t="str">
        <f>MID(TB_CECO[[#This Row],[CECO_T]],1,5)</f>
        <v>3E349</v>
      </c>
      <c r="B2926" t="str">
        <f>MID(TB_CECO[[#This Row],[TRABAJO]],1,SEARCH(",",TB_CECO[[#This Row],[TRABAJO]],1)-1)</f>
        <v>Ch 044 (Tj 055 SW)</v>
      </c>
      <c r="C29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(Tj 055 SW),SUMINISTROS</v>
      </c>
      <c r="D29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26" s="47" t="s">
        <v>5791</v>
      </c>
      <c r="G2926" t="s">
        <v>5792</v>
      </c>
      <c r="H29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27" spans="1:8" ht="15" customHeight="1" x14ac:dyDescent="0.25">
      <c r="A2927" t="str">
        <f>MID(TB_CECO[[#This Row],[CECO_T]],1,5)</f>
        <v>3E349</v>
      </c>
      <c r="B2927" t="str">
        <f>MID(TB_CECO[[#This Row],[TRABAJO]],1,SEARCH(",",TB_CECO[[#This Row],[TRABAJO]],1)-1)</f>
        <v>Ch 044 (Tj 055 SW)</v>
      </c>
      <c r="C29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(Tj 055 SW),SOSTENIMIENTO</v>
      </c>
      <c r="D29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27" s="47" t="s">
        <v>5793</v>
      </c>
      <c r="G2927" t="s">
        <v>5794</v>
      </c>
      <c r="H29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28" spans="1:8" ht="15" customHeight="1" x14ac:dyDescent="0.25">
      <c r="A2928" t="str">
        <f>MID(TB_CECO[[#This Row],[CECO_T]],1,5)</f>
        <v>3E349</v>
      </c>
      <c r="B2928" t="str">
        <f>MID(TB_CECO[[#This Row],[TRABAJO]],1,SEARCH(",",TB_CECO[[#This Row],[TRABAJO]],1)-1)</f>
        <v>Ch 044 (Tj 055 SW)</v>
      </c>
      <c r="C29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(Tj 055 SW),SERVICIO</v>
      </c>
      <c r="D29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28" s="47" t="s">
        <v>5795</v>
      </c>
      <c r="G2928" t="s">
        <v>5796</v>
      </c>
      <c r="H29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29" spans="1:8" ht="15" customHeight="1" x14ac:dyDescent="0.25">
      <c r="A2929" t="str">
        <f>MID(TB_CECO[[#This Row],[CECO_T]],1,5)</f>
        <v>3E349</v>
      </c>
      <c r="B2929" t="str">
        <f>MID(TB_CECO[[#This Row],[TRABAJO]],1,SEARCH(",",TB_CECO[[#This Row],[TRABAJO]],1)-1)</f>
        <v>Ch 044 (Tj 055 SW)</v>
      </c>
      <c r="C29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(Tj 055 SW),REHABILITACION</v>
      </c>
      <c r="D29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29" s="47" t="s">
        <v>5797</v>
      </c>
      <c r="G2929" t="s">
        <v>5798</v>
      </c>
      <c r="H29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30" spans="1:8" ht="15" customHeight="1" x14ac:dyDescent="0.25">
      <c r="A2930" t="str">
        <f>MID(TB_CECO[[#This Row],[CECO_T]],1,5)</f>
        <v>3E349</v>
      </c>
      <c r="B2930" t="str">
        <f>MID(TB_CECO[[#This Row],[TRABAJO]],1,SEARCH(",",TB_CECO[[#This Row],[TRABAJO]],1)-1)</f>
        <v>Ch 044 (Tj 055 SW)</v>
      </c>
      <c r="C29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(Tj 055 SW),TOLVA</v>
      </c>
      <c r="D29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30" s="47" t="s">
        <v>5799</v>
      </c>
      <c r="G2930" t="s">
        <v>5800</v>
      </c>
      <c r="H29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31" spans="1:8" ht="15" customHeight="1" x14ac:dyDescent="0.25">
      <c r="A2931" t="str">
        <f>MID(TB_CECO[[#This Row],[CECO_T]],1,5)</f>
        <v>3E352</v>
      </c>
      <c r="B2931" t="str">
        <f>MID(TB_CECO[[#This Row],[TRABAJO]],1,SEARCH(",",TB_CECO[[#This Row],[TRABAJO]],1)-1)</f>
        <v>Ch 086 (Tj 091 SW)</v>
      </c>
      <c r="C29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086 (Tj 091 SW),SUMINISTROS</v>
      </c>
      <c r="D29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31" s="47" t="s">
        <v>5801</v>
      </c>
      <c r="G2931" t="s">
        <v>5802</v>
      </c>
      <c r="H29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32" spans="1:8" ht="15" customHeight="1" x14ac:dyDescent="0.25">
      <c r="A2932" t="str">
        <f>MID(TB_CECO[[#This Row],[CECO_T]],1,5)</f>
        <v>3E352</v>
      </c>
      <c r="B2932" t="str">
        <f>MID(TB_CECO[[#This Row],[TRABAJO]],1,SEARCH(",",TB_CECO[[#This Row],[TRABAJO]],1)-1)</f>
        <v>Ch 086 (Tj 091 SW)</v>
      </c>
      <c r="C29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086 (Tj 091 SW),SOSTENIMIENTO</v>
      </c>
      <c r="D29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32" s="47" t="s">
        <v>5803</v>
      </c>
      <c r="G2932" t="s">
        <v>5804</v>
      </c>
      <c r="H29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33" spans="1:8" ht="15" customHeight="1" x14ac:dyDescent="0.25">
      <c r="A2933" t="str">
        <f>MID(TB_CECO[[#This Row],[CECO_T]],1,5)</f>
        <v>3E352</v>
      </c>
      <c r="B2933" t="str">
        <f>MID(TB_CECO[[#This Row],[TRABAJO]],1,SEARCH(",",TB_CECO[[#This Row],[TRABAJO]],1)-1)</f>
        <v>Ch 086 (Tj 091 SW)</v>
      </c>
      <c r="C29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086 (Tj 091 SW),SERVICIO</v>
      </c>
      <c r="D29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33" s="47" t="s">
        <v>5805</v>
      </c>
      <c r="G2933" t="s">
        <v>5806</v>
      </c>
      <c r="H29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34" spans="1:8" ht="15" customHeight="1" x14ac:dyDescent="0.25">
      <c r="A2934" t="str">
        <f>MID(TB_CECO[[#This Row],[CECO_T]],1,5)</f>
        <v>3E352</v>
      </c>
      <c r="B2934" t="str">
        <f>MID(TB_CECO[[#This Row],[TRABAJO]],1,SEARCH(",",TB_CECO[[#This Row],[TRABAJO]],1)-1)</f>
        <v>Ch 086 (Tj 091 SW)</v>
      </c>
      <c r="C29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086 (Tj 091 SW),REHABILITACION</v>
      </c>
      <c r="D29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34" s="47" t="s">
        <v>5807</v>
      </c>
      <c r="G2934" t="s">
        <v>5808</v>
      </c>
      <c r="H29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35" spans="1:8" ht="15" customHeight="1" x14ac:dyDescent="0.25">
      <c r="A2935" t="str">
        <f>MID(TB_CECO[[#This Row],[CECO_T]],1,5)</f>
        <v>3E358</v>
      </c>
      <c r="B2935" t="str">
        <f>MID(TB_CECO[[#This Row],[TRABAJO]],1,SEARCH(",",TB_CECO[[#This Row],[TRABAJO]],1)-1)</f>
        <v>Ch 095 (Tj 117 SW)</v>
      </c>
      <c r="C29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095 (Tj 117 SW),SUMINISTROS</v>
      </c>
      <c r="D29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35" s="47" t="s">
        <v>5809</v>
      </c>
      <c r="G2935" t="s">
        <v>5810</v>
      </c>
      <c r="H29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36" spans="1:8" ht="15" customHeight="1" x14ac:dyDescent="0.25">
      <c r="A2936" t="str">
        <f>MID(TB_CECO[[#This Row],[CECO_T]],1,5)</f>
        <v>3E358</v>
      </c>
      <c r="B2936" t="str">
        <f>MID(TB_CECO[[#This Row],[TRABAJO]],1,SEARCH(",",TB_CECO[[#This Row],[TRABAJO]],1)-1)</f>
        <v>Ch 095 (Tj 117 SW)</v>
      </c>
      <c r="C29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095 (Tj 117 SW),SOSTENIMIENTO</v>
      </c>
      <c r="D29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36" s="47" t="s">
        <v>5811</v>
      </c>
      <c r="G2936" t="s">
        <v>5812</v>
      </c>
      <c r="H29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37" spans="1:8" ht="15" customHeight="1" x14ac:dyDescent="0.25">
      <c r="A2937" t="str">
        <f>MID(TB_CECO[[#This Row],[CECO_T]],1,5)</f>
        <v>3E358</v>
      </c>
      <c r="B2937" t="str">
        <f>MID(TB_CECO[[#This Row],[TRABAJO]],1,SEARCH(",",TB_CECO[[#This Row],[TRABAJO]],1)-1)</f>
        <v>Ch 095 (Tj 117 SW)</v>
      </c>
      <c r="C29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095 (Tj 117 SW),SERVICIO</v>
      </c>
      <c r="D29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37" s="47" t="s">
        <v>5813</v>
      </c>
      <c r="G2937" t="s">
        <v>5814</v>
      </c>
      <c r="H29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38" spans="1:8" ht="15" customHeight="1" x14ac:dyDescent="0.25">
      <c r="A2938" t="str">
        <f>MID(TB_CECO[[#This Row],[CECO_T]],1,5)</f>
        <v>3E358</v>
      </c>
      <c r="B2938" t="str">
        <f>MID(TB_CECO[[#This Row],[TRABAJO]],1,SEARCH(",",TB_CECO[[#This Row],[TRABAJO]],1)-1)</f>
        <v>Ch 095 (Tj 117 SW)</v>
      </c>
      <c r="C29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095 (Tj 117 SW),REHABILITACION</v>
      </c>
      <c r="D29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38" s="47" t="s">
        <v>5815</v>
      </c>
      <c r="G2938" t="s">
        <v>5816</v>
      </c>
      <c r="H29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39" spans="1:8" ht="15" customHeight="1" x14ac:dyDescent="0.25">
      <c r="A2939" t="str">
        <f>MID(TB_CECO[[#This Row],[CECO_T]],1,5)</f>
        <v>3E360</v>
      </c>
      <c r="B2939" t="str">
        <f>MID(TB_CECO[[#This Row],[TRABAJO]],1,SEARCH(",",TB_CECO[[#This Row],[TRABAJO]],1)-1)</f>
        <v>Ch 091 (Snv 070 NE)</v>
      </c>
      <c r="C29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070 NE),SUMINISTROS</v>
      </c>
      <c r="D29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39" s="47" t="s">
        <v>5817</v>
      </c>
      <c r="G2939" t="s">
        <v>5818</v>
      </c>
      <c r="H29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40" spans="1:8" ht="15" customHeight="1" x14ac:dyDescent="0.25">
      <c r="A2940" t="str">
        <f>MID(TB_CECO[[#This Row],[CECO_T]],1,5)</f>
        <v>3E360</v>
      </c>
      <c r="B2940" t="str">
        <f>MID(TB_CECO[[#This Row],[TRABAJO]],1,SEARCH(",",TB_CECO[[#This Row],[TRABAJO]],1)-1)</f>
        <v>Ch 091 (Snv 070 NE)</v>
      </c>
      <c r="C29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070 NE),SOSTENIMIENTO</v>
      </c>
      <c r="D29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40" s="47" t="s">
        <v>5819</v>
      </c>
      <c r="G2940" t="s">
        <v>5820</v>
      </c>
      <c r="H29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41" spans="1:8" ht="15" customHeight="1" x14ac:dyDescent="0.25">
      <c r="A2941" t="str">
        <f>MID(TB_CECO[[#This Row],[CECO_T]],1,5)</f>
        <v>3E360</v>
      </c>
      <c r="B2941" t="str">
        <f>MID(TB_CECO[[#This Row],[TRABAJO]],1,SEARCH(",",TB_CECO[[#This Row],[TRABAJO]],1)-1)</f>
        <v>Ch 091 (Snv 070 NE)</v>
      </c>
      <c r="C29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070 NE),SERVICIO</v>
      </c>
      <c r="D29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41" s="47" t="s">
        <v>5821</v>
      </c>
      <c r="G2941" t="s">
        <v>5822</v>
      </c>
      <c r="H29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42" spans="1:8" ht="15" customHeight="1" x14ac:dyDescent="0.25">
      <c r="A2942" t="str">
        <f>MID(TB_CECO[[#This Row],[CECO_T]],1,5)</f>
        <v>3E360</v>
      </c>
      <c r="B2942" t="str">
        <f>MID(TB_CECO[[#This Row],[TRABAJO]],1,SEARCH(",",TB_CECO[[#This Row],[TRABAJO]],1)-1)</f>
        <v>Ch 091 (Snv 070 NE)</v>
      </c>
      <c r="C29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070 NE),REHABILITACION</v>
      </c>
      <c r="D29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42" s="47" t="s">
        <v>5823</v>
      </c>
      <c r="G2942" t="s">
        <v>5824</v>
      </c>
      <c r="H29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43" spans="1:8" ht="15" customHeight="1" x14ac:dyDescent="0.25">
      <c r="A2943" t="str">
        <f>MID(TB_CECO[[#This Row],[CECO_T]],1,5)</f>
        <v>3E369</v>
      </c>
      <c r="B2943" t="str">
        <f>MID(TB_CECO[[#This Row],[TRABAJO]],1,SEARCH(",",TB_CECO[[#This Row],[TRABAJO]],1)-1)</f>
        <v>Ch 044 (Snv 098 SW)</v>
      </c>
      <c r="C29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098 SW),SUMINISTROS</v>
      </c>
      <c r="D29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43" s="47" t="s">
        <v>5825</v>
      </c>
      <c r="G2943" t="s">
        <v>5826</v>
      </c>
      <c r="H29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44" spans="1:8" ht="15" customHeight="1" x14ac:dyDescent="0.25">
      <c r="A2944" t="str">
        <f>MID(TB_CECO[[#This Row],[CECO_T]],1,5)</f>
        <v>3E369</v>
      </c>
      <c r="B2944" t="str">
        <f>MID(TB_CECO[[#This Row],[TRABAJO]],1,SEARCH(",",TB_CECO[[#This Row],[TRABAJO]],1)-1)</f>
        <v>Ch 044 (Snv 098 SW)</v>
      </c>
      <c r="C29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098 SW),SOSTENIMIENTO</v>
      </c>
      <c r="D29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44" s="47" t="s">
        <v>5827</v>
      </c>
      <c r="G2944" t="s">
        <v>5828</v>
      </c>
      <c r="H29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45" spans="1:8" ht="15" customHeight="1" x14ac:dyDescent="0.25">
      <c r="A2945" t="str">
        <f>MID(TB_CECO[[#This Row],[CECO_T]],1,5)</f>
        <v>3E369</v>
      </c>
      <c r="B2945" t="str">
        <f>MID(TB_CECO[[#This Row],[TRABAJO]],1,SEARCH(",",TB_CECO[[#This Row],[TRABAJO]],1)-1)</f>
        <v>Ch 044 (Snv 098 SW)</v>
      </c>
      <c r="C29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098 SW),SERVICIO</v>
      </c>
      <c r="D29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45" s="47" t="s">
        <v>5829</v>
      </c>
      <c r="G2945" t="s">
        <v>5830</v>
      </c>
      <c r="H29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46" spans="1:8" ht="15" customHeight="1" x14ac:dyDescent="0.25">
      <c r="A2946" t="str">
        <f>MID(TB_CECO[[#This Row],[CECO_T]],1,5)</f>
        <v>3E369</v>
      </c>
      <c r="B2946" t="str">
        <f>MID(TB_CECO[[#This Row],[TRABAJO]],1,SEARCH(",",TB_CECO[[#This Row],[TRABAJO]],1)-1)</f>
        <v>Ch 044 (Snv 098 SW)</v>
      </c>
      <c r="C29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098 SW),REHABILITACION</v>
      </c>
      <c r="D29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29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2946" s="47" t="s">
        <v>5831</v>
      </c>
      <c r="G2946" t="s">
        <v>5832</v>
      </c>
      <c r="H29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47" spans="1:8" ht="15" customHeight="1" x14ac:dyDescent="0.25">
      <c r="A2947" t="str">
        <f>MID(TB_CECO[[#This Row],[CECO_T]],1,5)</f>
        <v>3E371</v>
      </c>
      <c r="B2947" t="str">
        <f>MID(TB_CECO[[#This Row],[TRABAJO]],1,SEARCH(",",TB_CECO[[#This Row],[TRABAJO]],1)-1)</f>
        <v>Ch 081 (Tj 081 SW)</v>
      </c>
      <c r="C29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081 (Tj 081 SW),LIMPIEZA</v>
      </c>
      <c r="D29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47" s="47" t="s">
        <v>5833</v>
      </c>
      <c r="G2947" t="s">
        <v>5834</v>
      </c>
      <c r="H29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48" spans="1:8" ht="15" customHeight="1" x14ac:dyDescent="0.25">
      <c r="A2948" t="str">
        <f>MID(TB_CECO[[#This Row],[CECO_T]],1,5)</f>
        <v>3E371</v>
      </c>
      <c r="B2948" t="str">
        <f>MID(TB_CECO[[#This Row],[TRABAJO]],1,SEARCH(",",TB_CECO[[#This Row],[TRABAJO]],1)-1)</f>
        <v>Ch 081 (Tj 081 SW)</v>
      </c>
      <c r="C29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081 (Tj 081 SW),SERVICIO</v>
      </c>
      <c r="D29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48" s="47" t="s">
        <v>5835</v>
      </c>
      <c r="G2948" t="s">
        <v>5836</v>
      </c>
      <c r="H29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49" spans="1:8" ht="15" customHeight="1" x14ac:dyDescent="0.25">
      <c r="A2949" t="str">
        <f>MID(TB_CECO[[#This Row],[CECO_T]],1,5)</f>
        <v>3E371</v>
      </c>
      <c r="B2949" t="str">
        <f>MID(TB_CECO[[#This Row],[TRABAJO]],1,SEARCH(",",TB_CECO[[#This Row],[TRABAJO]],1)-1)</f>
        <v>Ch 081 (Tj 081 SW)</v>
      </c>
      <c r="C29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081 (Tj 081 SW),PERFORACION</v>
      </c>
      <c r="D29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49" s="47" t="s">
        <v>5837</v>
      </c>
      <c r="G2949" t="s">
        <v>5838</v>
      </c>
      <c r="H29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50" spans="1:8" ht="15" customHeight="1" x14ac:dyDescent="0.25">
      <c r="A2950" t="str">
        <f>MID(TB_CECO[[#This Row],[CECO_T]],1,5)</f>
        <v>3E371</v>
      </c>
      <c r="B2950" t="str">
        <f>MID(TB_CECO[[#This Row],[TRABAJO]],1,SEARCH(",",TB_CECO[[#This Row],[TRABAJO]],1)-1)</f>
        <v>Ch 081 (Tj 081 SW)</v>
      </c>
      <c r="C29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081 (Tj 081 SW),SOSTENIMIENTO</v>
      </c>
      <c r="D29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50" s="47" t="s">
        <v>5839</v>
      </c>
      <c r="G2950" t="s">
        <v>5840</v>
      </c>
      <c r="H29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51" spans="1:8" ht="15" customHeight="1" x14ac:dyDescent="0.25">
      <c r="A2951" t="str">
        <f>MID(TB_CECO[[#This Row],[CECO_T]],1,5)</f>
        <v>3E371</v>
      </c>
      <c r="B2951" t="str">
        <f>MID(TB_CECO[[#This Row],[TRABAJO]],1,SEARCH(",",TB_CECO[[#This Row],[TRABAJO]],1)-1)</f>
        <v>Ch 081 (Tj 081 SW)</v>
      </c>
      <c r="C29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081 (Tj 081 SW),VOLADURA</v>
      </c>
      <c r="D29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51" s="47" t="s">
        <v>5841</v>
      </c>
      <c r="G2951" t="s">
        <v>5842</v>
      </c>
      <c r="H29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52" spans="1:8" ht="15" customHeight="1" x14ac:dyDescent="0.25">
      <c r="A2952" t="str">
        <f>MID(TB_CECO[[#This Row],[CECO_T]],1,5)</f>
        <v>3E377</v>
      </c>
      <c r="B2952" t="str">
        <f>MID(TB_CECO[[#This Row],[TRABAJO]],1,SEARCH(",",TB_CECO[[#This Row],[TRABAJO]],1)-1)</f>
        <v>Ch 095 (Tj 066 NE)</v>
      </c>
      <c r="C29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095 (Tj 066 NE),LIMPIEZA</v>
      </c>
      <c r="D29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52" s="47" t="s">
        <v>5843</v>
      </c>
      <c r="G2952" t="s">
        <v>5844</v>
      </c>
      <c r="H29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53" spans="1:8" ht="15" customHeight="1" x14ac:dyDescent="0.25">
      <c r="A2953" t="str">
        <f>MID(TB_CECO[[#This Row],[CECO_T]],1,5)</f>
        <v>3E377</v>
      </c>
      <c r="B2953" t="str">
        <f>MID(TB_CECO[[#This Row],[TRABAJO]],1,SEARCH(",",TB_CECO[[#This Row],[TRABAJO]],1)-1)</f>
        <v>Ch 095 (Tj 066 NE)</v>
      </c>
      <c r="C29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095 (Tj 066 NE),SERVICIO</v>
      </c>
      <c r="D29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53" s="47" t="s">
        <v>5845</v>
      </c>
      <c r="G2953" t="s">
        <v>5846</v>
      </c>
      <c r="H29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54" spans="1:8" ht="15" customHeight="1" x14ac:dyDescent="0.25">
      <c r="A2954" t="str">
        <f>MID(TB_CECO[[#This Row],[CECO_T]],1,5)</f>
        <v>3E377</v>
      </c>
      <c r="B2954" t="str">
        <f>MID(TB_CECO[[#This Row],[TRABAJO]],1,SEARCH(",",TB_CECO[[#This Row],[TRABAJO]],1)-1)</f>
        <v>Ch 095 (Tj 066 NE)</v>
      </c>
      <c r="C29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095 (Tj 066 NE),PERFORACION</v>
      </c>
      <c r="D29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54" s="47" t="s">
        <v>5847</v>
      </c>
      <c r="G2954" t="s">
        <v>5848</v>
      </c>
      <c r="H29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55" spans="1:8" ht="15" customHeight="1" x14ac:dyDescent="0.25">
      <c r="A2955" t="str">
        <f>MID(TB_CECO[[#This Row],[CECO_T]],1,5)</f>
        <v>3E377</v>
      </c>
      <c r="B2955" t="str">
        <f>MID(TB_CECO[[#This Row],[TRABAJO]],1,SEARCH(",",TB_CECO[[#This Row],[TRABAJO]],1)-1)</f>
        <v>Ch 095 (Tj 066 NE)</v>
      </c>
      <c r="C29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095 (Tj 066 NE),SOSTENIMIENTO</v>
      </c>
      <c r="D29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55" s="47" t="s">
        <v>5849</v>
      </c>
      <c r="G2955" t="s">
        <v>5850</v>
      </c>
      <c r="H29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56" spans="1:8" ht="15" customHeight="1" x14ac:dyDescent="0.25">
      <c r="A2956" t="str">
        <f>MID(TB_CECO[[#This Row],[CECO_T]],1,5)</f>
        <v>3E377</v>
      </c>
      <c r="B2956" t="str">
        <f>MID(TB_CECO[[#This Row],[TRABAJO]],1,SEARCH(",",TB_CECO[[#This Row],[TRABAJO]],1)-1)</f>
        <v>Ch 095 (Tj 066 NE)</v>
      </c>
      <c r="C29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095 (Tj 066 NE),VOLADURA</v>
      </c>
      <c r="D29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56" s="47" t="s">
        <v>5851</v>
      </c>
      <c r="G2956" t="s">
        <v>5852</v>
      </c>
      <c r="H29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57" spans="1:8" ht="15" customHeight="1" x14ac:dyDescent="0.25">
      <c r="A2957" t="str">
        <f>MID(TB_CECO[[#This Row],[CECO_T]],1,5)</f>
        <v>3E378</v>
      </c>
      <c r="B2957" t="str">
        <f>MID(TB_CECO[[#This Row],[TRABAJO]],1,SEARCH(",",TB_CECO[[#This Row],[TRABAJO]],1)-1)</f>
        <v>Ch 091 (Snv 050 NE)</v>
      </c>
      <c r="C29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 (Snv 050 NE),LIMPIEZA</v>
      </c>
      <c r="D29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57" s="47" t="s">
        <v>5853</v>
      </c>
      <c r="G2957" t="s">
        <v>5854</v>
      </c>
      <c r="H29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58" spans="1:8" ht="15" customHeight="1" x14ac:dyDescent="0.25">
      <c r="A2958" t="str">
        <f>MID(TB_CECO[[#This Row],[CECO_T]],1,5)</f>
        <v>3E378</v>
      </c>
      <c r="B2958" t="str">
        <f>MID(TB_CECO[[#This Row],[TRABAJO]],1,SEARCH(",",TB_CECO[[#This Row],[TRABAJO]],1)-1)</f>
        <v>Ch 091 (Snv 050 NE)</v>
      </c>
      <c r="C29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 (Snv 050 NE),SERVICIO</v>
      </c>
      <c r="D29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58" s="47" t="s">
        <v>5855</v>
      </c>
      <c r="G2958" t="s">
        <v>5856</v>
      </c>
      <c r="H29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59" spans="1:8" ht="15" customHeight="1" x14ac:dyDescent="0.25">
      <c r="A2959" t="str">
        <f>MID(TB_CECO[[#This Row],[CECO_T]],1,5)</f>
        <v>3E378</v>
      </c>
      <c r="B2959" t="str">
        <f>MID(TB_CECO[[#This Row],[TRABAJO]],1,SEARCH(",",TB_CECO[[#This Row],[TRABAJO]],1)-1)</f>
        <v>Ch 091 (Snv 050 NE)</v>
      </c>
      <c r="C29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 (Snv 050 NE),PERFORACION</v>
      </c>
      <c r="D29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59" s="47" t="s">
        <v>5857</v>
      </c>
      <c r="G2959" t="s">
        <v>5858</v>
      </c>
      <c r="H29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60" spans="1:8" ht="15" customHeight="1" x14ac:dyDescent="0.25">
      <c r="A2960" t="str">
        <f>MID(TB_CECO[[#This Row],[CECO_T]],1,5)</f>
        <v>3E378</v>
      </c>
      <c r="B2960" t="str">
        <f>MID(TB_CECO[[#This Row],[TRABAJO]],1,SEARCH(",",TB_CECO[[#This Row],[TRABAJO]],1)-1)</f>
        <v>Ch 091 (Snv 050 NE)</v>
      </c>
      <c r="C29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 (Snv 050 NE),SOSTENIMIENTO</v>
      </c>
      <c r="D29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60" s="47" t="s">
        <v>5859</v>
      </c>
      <c r="G2960" t="s">
        <v>5860</v>
      </c>
      <c r="H29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61" spans="1:8" ht="15" customHeight="1" x14ac:dyDescent="0.25">
      <c r="A2961" t="str">
        <f>MID(TB_CECO[[#This Row],[CECO_T]],1,5)</f>
        <v>3E378</v>
      </c>
      <c r="B2961" t="str">
        <f>MID(TB_CECO[[#This Row],[TRABAJO]],1,SEARCH(",",TB_CECO[[#This Row],[TRABAJO]],1)-1)</f>
        <v>Ch 091 (Snv 050 NE)</v>
      </c>
      <c r="C29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 (Snv 050 NE),VOLADURA</v>
      </c>
      <c r="D29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61" s="47" t="s">
        <v>5861</v>
      </c>
      <c r="G2961" t="s">
        <v>5862</v>
      </c>
      <c r="H29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62" spans="1:8" ht="15" customHeight="1" x14ac:dyDescent="0.25">
      <c r="A2962" t="str">
        <f>MID(TB_CECO[[#This Row],[CECO_T]],1,5)</f>
        <v>3E380</v>
      </c>
      <c r="B2962" t="str">
        <f>MID(TB_CECO[[#This Row],[TRABAJO]],1,SEARCH(",",TB_CECO[[#This Row],[TRABAJO]],1)-1)</f>
        <v>Ch 044 (Tj 036 SW)</v>
      </c>
      <c r="C29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(Tj 036 SW),LIMPIEZA</v>
      </c>
      <c r="D29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62" s="47" t="s">
        <v>5863</v>
      </c>
      <c r="G2962" t="s">
        <v>5864</v>
      </c>
      <c r="H29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63" spans="1:8" ht="15" customHeight="1" x14ac:dyDescent="0.25">
      <c r="A2963" t="str">
        <f>MID(TB_CECO[[#This Row],[CECO_T]],1,5)</f>
        <v>3E380</v>
      </c>
      <c r="B2963" t="str">
        <f>MID(TB_CECO[[#This Row],[TRABAJO]],1,SEARCH(",",TB_CECO[[#This Row],[TRABAJO]],1)-1)</f>
        <v>Ch 044 (Tj 036 SW)</v>
      </c>
      <c r="C29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(Tj 036 SW),SERVICIO</v>
      </c>
      <c r="D29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63" s="47" t="s">
        <v>5865</v>
      </c>
      <c r="G2963" t="s">
        <v>5866</v>
      </c>
      <c r="H29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64" spans="1:8" ht="15" customHeight="1" x14ac:dyDescent="0.25">
      <c r="A2964" t="str">
        <f>MID(TB_CECO[[#This Row],[CECO_T]],1,5)</f>
        <v>3E380</v>
      </c>
      <c r="B2964" t="str">
        <f>MID(TB_CECO[[#This Row],[TRABAJO]],1,SEARCH(",",TB_CECO[[#This Row],[TRABAJO]],1)-1)</f>
        <v>Ch 044 (Tj 036 SW)</v>
      </c>
      <c r="C29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(Tj 036 SW),PERFORACION</v>
      </c>
      <c r="D29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64" s="47" t="s">
        <v>5867</v>
      </c>
      <c r="G2964" t="s">
        <v>5868</v>
      </c>
      <c r="H29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65" spans="1:8" ht="15" customHeight="1" x14ac:dyDescent="0.25">
      <c r="A2965" t="str">
        <f>MID(TB_CECO[[#This Row],[CECO_T]],1,5)</f>
        <v>3E380</v>
      </c>
      <c r="B2965" t="str">
        <f>MID(TB_CECO[[#This Row],[TRABAJO]],1,SEARCH(",",TB_CECO[[#This Row],[TRABAJO]],1)-1)</f>
        <v>Ch 044 (Tj 036 SW)</v>
      </c>
      <c r="C29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(Tj 036 SW),SOSTENIMIENTO</v>
      </c>
      <c r="D29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65" s="47" t="s">
        <v>5869</v>
      </c>
      <c r="G2965" t="s">
        <v>5870</v>
      </c>
      <c r="H29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66" spans="1:8" ht="15" customHeight="1" x14ac:dyDescent="0.25">
      <c r="A2966" t="str">
        <f>MID(TB_CECO[[#This Row],[CECO_T]],1,5)</f>
        <v>3E380</v>
      </c>
      <c r="B2966" t="str">
        <f>MID(TB_CECO[[#This Row],[TRABAJO]],1,SEARCH(",",TB_CECO[[#This Row],[TRABAJO]],1)-1)</f>
        <v>Ch 044 (Tj 036 SW)</v>
      </c>
      <c r="C29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(Tj 036 SW),VOLADURA</v>
      </c>
      <c r="D29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66" s="47" t="s">
        <v>5871</v>
      </c>
      <c r="G2966" t="s">
        <v>5872</v>
      </c>
      <c r="H29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67" spans="1:8" ht="15" customHeight="1" x14ac:dyDescent="0.25">
      <c r="A2967" t="str">
        <f>MID(TB_CECO[[#This Row],[CECO_T]],1,5)</f>
        <v>3E382</v>
      </c>
      <c r="B2967" t="str">
        <f>MID(TB_CECO[[#This Row],[TRABAJO]],1,SEARCH(",",TB_CECO[[#This Row],[TRABAJO]],1)-1)</f>
        <v>Ch 064 (Est 075-2 SE)</v>
      </c>
      <c r="C29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(Est 075-2 SE),LIMPIEZA</v>
      </c>
      <c r="D29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67" s="47" t="s">
        <v>5873</v>
      </c>
      <c r="G2967" t="s">
        <v>5874</v>
      </c>
      <c r="H29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68" spans="1:8" ht="15" customHeight="1" x14ac:dyDescent="0.25">
      <c r="A2968" t="str">
        <f>MID(TB_CECO[[#This Row],[CECO_T]],1,5)</f>
        <v>3E382</v>
      </c>
      <c r="B2968" t="str">
        <f>MID(TB_CECO[[#This Row],[TRABAJO]],1,SEARCH(",",TB_CECO[[#This Row],[TRABAJO]],1)-1)</f>
        <v>Ch 064 (Est 075-2 SE)</v>
      </c>
      <c r="C29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(Est 075-2 SE),SERVICIO</v>
      </c>
      <c r="D29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68" s="47" t="s">
        <v>5875</v>
      </c>
      <c r="G2968" t="s">
        <v>5876</v>
      </c>
      <c r="H29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69" spans="1:8" ht="15" customHeight="1" x14ac:dyDescent="0.25">
      <c r="A2969" t="str">
        <f>MID(TB_CECO[[#This Row],[CECO_T]],1,5)</f>
        <v>3E382</v>
      </c>
      <c r="B2969" t="str">
        <f>MID(TB_CECO[[#This Row],[TRABAJO]],1,SEARCH(",",TB_CECO[[#This Row],[TRABAJO]],1)-1)</f>
        <v>Ch 064 (Est 075-2 SE)</v>
      </c>
      <c r="C29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(Est 075-2 SE),PERFORACION</v>
      </c>
      <c r="D29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69" s="47" t="s">
        <v>5877</v>
      </c>
      <c r="G2969" t="s">
        <v>5878</v>
      </c>
      <c r="H29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70" spans="1:8" ht="15" customHeight="1" x14ac:dyDescent="0.25">
      <c r="A2970" t="str">
        <f>MID(TB_CECO[[#This Row],[CECO_T]],1,5)</f>
        <v>3E382</v>
      </c>
      <c r="B2970" t="str">
        <f>MID(TB_CECO[[#This Row],[TRABAJO]],1,SEARCH(",",TB_CECO[[#This Row],[TRABAJO]],1)-1)</f>
        <v>Ch 064 (Est 075-2 SE)</v>
      </c>
      <c r="C29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(Est 075-2 SE),SOSTENIMIENTO</v>
      </c>
      <c r="D29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70" s="47" t="s">
        <v>5879</v>
      </c>
      <c r="G2970" t="s">
        <v>5880</v>
      </c>
      <c r="H29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71" spans="1:8" ht="15" customHeight="1" x14ac:dyDescent="0.25">
      <c r="A2971" t="str">
        <f>MID(TB_CECO[[#This Row],[CECO_T]],1,5)</f>
        <v>3E382</v>
      </c>
      <c r="B2971" t="str">
        <f>MID(TB_CECO[[#This Row],[TRABAJO]],1,SEARCH(",",TB_CECO[[#This Row],[TRABAJO]],1)-1)</f>
        <v>Ch 064 (Est 075-2 SE)</v>
      </c>
      <c r="C29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064 (Est 075-2 SE),VOLADURA</v>
      </c>
      <c r="D29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71" s="47" t="s">
        <v>5881</v>
      </c>
      <c r="G2971" t="s">
        <v>5882</v>
      </c>
      <c r="H29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72" spans="1:8" ht="15" customHeight="1" x14ac:dyDescent="0.25">
      <c r="A2972" t="str">
        <f>MID(TB_CECO[[#This Row],[CECO_T]],1,5)</f>
        <v>3E383</v>
      </c>
      <c r="B2972" t="str">
        <f>MID(TB_CECO[[#This Row],[TRABAJO]],1,SEARCH(",",TB_CECO[[#This Row],[TRABAJO]],1)-1)</f>
        <v>Ch 066 (Snv 868 SW)</v>
      </c>
      <c r="C29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066 (Snv 868 SW),LIMPIEZA</v>
      </c>
      <c r="D29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72" s="47" t="s">
        <v>5883</v>
      </c>
      <c r="G2972" t="s">
        <v>5884</v>
      </c>
      <c r="H29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73" spans="1:8" ht="15" customHeight="1" x14ac:dyDescent="0.25">
      <c r="A2973" t="str">
        <f>MID(TB_CECO[[#This Row],[CECO_T]],1,5)</f>
        <v>3E383</v>
      </c>
      <c r="B2973" t="str">
        <f>MID(TB_CECO[[#This Row],[TRABAJO]],1,SEARCH(",",TB_CECO[[#This Row],[TRABAJO]],1)-1)</f>
        <v>Ch 066 (Snv 868 SW)</v>
      </c>
      <c r="C29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066 (Snv 868 SW),SERVICIO</v>
      </c>
      <c r="D29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73" s="47" t="s">
        <v>5885</v>
      </c>
      <c r="G2973" t="s">
        <v>5886</v>
      </c>
      <c r="H29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74" spans="1:8" ht="15" customHeight="1" x14ac:dyDescent="0.25">
      <c r="A2974" t="str">
        <f>MID(TB_CECO[[#This Row],[CECO_T]],1,5)</f>
        <v>3E383</v>
      </c>
      <c r="B2974" t="str">
        <f>MID(TB_CECO[[#This Row],[TRABAJO]],1,SEARCH(",",TB_CECO[[#This Row],[TRABAJO]],1)-1)</f>
        <v>Ch 066 (Snv 868 SW)</v>
      </c>
      <c r="C29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066 (Snv 868 SW),PERFORACION</v>
      </c>
      <c r="D29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74" s="47" t="s">
        <v>5887</v>
      </c>
      <c r="G2974" t="s">
        <v>5888</v>
      </c>
      <c r="H29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75" spans="1:8" ht="15" customHeight="1" x14ac:dyDescent="0.25">
      <c r="A2975" t="str">
        <f>MID(TB_CECO[[#This Row],[CECO_T]],1,5)</f>
        <v>3E383</v>
      </c>
      <c r="B2975" t="str">
        <f>MID(TB_CECO[[#This Row],[TRABAJO]],1,SEARCH(",",TB_CECO[[#This Row],[TRABAJO]],1)-1)</f>
        <v>Ch 066 (Snv 868 SW)</v>
      </c>
      <c r="C29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066 (Snv 868 SW),SOSTENIMIENTO</v>
      </c>
      <c r="D29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75" s="47" t="s">
        <v>5889</v>
      </c>
      <c r="G2975" t="s">
        <v>5890</v>
      </c>
      <c r="H29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76" spans="1:8" ht="15" customHeight="1" x14ac:dyDescent="0.25">
      <c r="A2976" t="str">
        <f>MID(TB_CECO[[#This Row],[CECO_T]],1,5)</f>
        <v>3E383</v>
      </c>
      <c r="B2976" t="str">
        <f>MID(TB_CECO[[#This Row],[TRABAJO]],1,SEARCH(",",TB_CECO[[#This Row],[TRABAJO]],1)-1)</f>
        <v>Ch 066 (Snv 868 SW)</v>
      </c>
      <c r="C29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066 (Snv 868 SW),VOLADURA</v>
      </c>
      <c r="D29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76" s="47" t="s">
        <v>5891</v>
      </c>
      <c r="G2976" t="s">
        <v>5892</v>
      </c>
      <c r="H29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77" spans="1:8" ht="15" customHeight="1" x14ac:dyDescent="0.25">
      <c r="A2977" t="str">
        <f>MID(TB_CECO[[#This Row],[CECO_T]],1,5)</f>
        <v>3E390</v>
      </c>
      <c r="B2977" t="str">
        <f>MID(TB_CECO[[#This Row],[TRABAJO]],1,SEARCH(",",TB_CECO[[#This Row],[TRABAJO]],1)-1)</f>
        <v>Ch 091 (Snv 030 SW)</v>
      </c>
      <c r="C29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030 SW),LIMPIEZA</v>
      </c>
      <c r="D29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77" s="47" t="s">
        <v>5893</v>
      </c>
      <c r="G2977" t="s">
        <v>5894</v>
      </c>
      <c r="H29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78" spans="1:8" ht="15" customHeight="1" x14ac:dyDescent="0.25">
      <c r="A2978" t="str">
        <f>MID(TB_CECO[[#This Row],[CECO_T]],1,5)</f>
        <v>3E390</v>
      </c>
      <c r="B2978" t="str">
        <f>MID(TB_CECO[[#This Row],[TRABAJO]],1,SEARCH(",",TB_CECO[[#This Row],[TRABAJO]],1)-1)</f>
        <v>Ch 091 (Snv 030 SW)</v>
      </c>
      <c r="C29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030 SW),SERVICIO</v>
      </c>
      <c r="D29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78" s="47" t="s">
        <v>5895</v>
      </c>
      <c r="G2978" t="s">
        <v>5896</v>
      </c>
      <c r="H29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79" spans="1:8" ht="15" customHeight="1" x14ac:dyDescent="0.25">
      <c r="A2979" t="str">
        <f>MID(TB_CECO[[#This Row],[CECO_T]],1,5)</f>
        <v>3E390</v>
      </c>
      <c r="B2979" t="str">
        <f>MID(TB_CECO[[#This Row],[TRABAJO]],1,SEARCH(",",TB_CECO[[#This Row],[TRABAJO]],1)-1)</f>
        <v>Ch 091 (Snv 030 SW)</v>
      </c>
      <c r="C29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030 SW),PERFORACION</v>
      </c>
      <c r="D29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79" s="47" t="s">
        <v>5897</v>
      </c>
      <c r="G2979" t="s">
        <v>5898</v>
      </c>
      <c r="H29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80" spans="1:8" ht="15" customHeight="1" x14ac:dyDescent="0.25">
      <c r="A2980" t="str">
        <f>MID(TB_CECO[[#This Row],[CECO_T]],1,5)</f>
        <v>3E390</v>
      </c>
      <c r="B2980" t="str">
        <f>MID(TB_CECO[[#This Row],[TRABAJO]],1,SEARCH(",",TB_CECO[[#This Row],[TRABAJO]],1)-1)</f>
        <v>Ch 091 (Snv 030 SW)</v>
      </c>
      <c r="C29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030 SW),SOSTENIMIENTO</v>
      </c>
      <c r="D29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80" s="47" t="s">
        <v>5899</v>
      </c>
      <c r="G2980" t="s">
        <v>5900</v>
      </c>
      <c r="H29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81" spans="1:8" ht="15" customHeight="1" x14ac:dyDescent="0.25">
      <c r="A2981" t="str">
        <f>MID(TB_CECO[[#This Row],[CECO_T]],1,5)</f>
        <v>3E390</v>
      </c>
      <c r="B2981" t="str">
        <f>MID(TB_CECO[[#This Row],[TRABAJO]],1,SEARCH(",",TB_CECO[[#This Row],[TRABAJO]],1)-1)</f>
        <v>Ch 091 (Snv 030 SW)</v>
      </c>
      <c r="C29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030 SW),VOLADURA</v>
      </c>
      <c r="D29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81" s="47" t="s">
        <v>5901</v>
      </c>
      <c r="G2981" t="s">
        <v>5902</v>
      </c>
      <c r="H29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82" spans="1:8" ht="15" customHeight="1" x14ac:dyDescent="0.25">
      <c r="A2982" t="str">
        <f>MID(TB_CECO[[#This Row],[CECO_T]],1,5)</f>
        <v>3E391</v>
      </c>
      <c r="B2982" t="str">
        <f>MID(TB_CECO[[#This Row],[TRABAJO]],1,SEARCH(",",TB_CECO[[#This Row],[TRABAJO]],1)-1)</f>
        <v>Ch 091 (Snv 030 NE)</v>
      </c>
      <c r="C29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030 NE),LIMPIEZA</v>
      </c>
      <c r="D29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82" s="47" t="s">
        <v>5903</v>
      </c>
      <c r="G2982" t="s">
        <v>5904</v>
      </c>
      <c r="H29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83" spans="1:8" ht="15" customHeight="1" x14ac:dyDescent="0.25">
      <c r="A2983" t="str">
        <f>MID(TB_CECO[[#This Row],[CECO_T]],1,5)</f>
        <v>3E391</v>
      </c>
      <c r="B2983" t="str">
        <f>MID(TB_CECO[[#This Row],[TRABAJO]],1,SEARCH(",",TB_CECO[[#This Row],[TRABAJO]],1)-1)</f>
        <v>Ch 091 (Snv 030 NE)</v>
      </c>
      <c r="C29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030 NE),SERVICIO</v>
      </c>
      <c r="D29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83" s="47" t="s">
        <v>5905</v>
      </c>
      <c r="G2983" t="s">
        <v>5906</v>
      </c>
      <c r="H29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84" spans="1:8" ht="15" customHeight="1" x14ac:dyDescent="0.25">
      <c r="A2984" t="str">
        <f>MID(TB_CECO[[#This Row],[CECO_T]],1,5)</f>
        <v>3E391</v>
      </c>
      <c r="B2984" t="str">
        <f>MID(TB_CECO[[#This Row],[TRABAJO]],1,SEARCH(",",TB_CECO[[#This Row],[TRABAJO]],1)-1)</f>
        <v>Ch 091 (Snv 030 NE)</v>
      </c>
      <c r="C29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030 NE),PERFORACION</v>
      </c>
      <c r="D29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84" s="47" t="s">
        <v>5907</v>
      </c>
      <c r="G2984" t="s">
        <v>5908</v>
      </c>
      <c r="H29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85" spans="1:8" ht="15" customHeight="1" x14ac:dyDescent="0.25">
      <c r="A2985" t="str">
        <f>MID(TB_CECO[[#This Row],[CECO_T]],1,5)</f>
        <v>3E391</v>
      </c>
      <c r="B2985" t="str">
        <f>MID(TB_CECO[[#This Row],[TRABAJO]],1,SEARCH(",",TB_CECO[[#This Row],[TRABAJO]],1)-1)</f>
        <v>Ch 091 (Snv 030 NE)</v>
      </c>
      <c r="C29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030 NE),SOSTENIMIENTO</v>
      </c>
      <c r="D29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85" s="47" t="s">
        <v>5909</v>
      </c>
      <c r="G2985" t="s">
        <v>5910</v>
      </c>
      <c r="H29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86" spans="1:8" ht="15" customHeight="1" x14ac:dyDescent="0.25">
      <c r="A2986" t="str">
        <f>MID(TB_CECO[[#This Row],[CECO_T]],1,5)</f>
        <v>3E391</v>
      </c>
      <c r="B2986" t="str">
        <f>MID(TB_CECO[[#This Row],[TRABAJO]],1,SEARCH(",",TB_CECO[[#This Row],[TRABAJO]],1)-1)</f>
        <v>Ch 091 (Snv 030 NE)</v>
      </c>
      <c r="C29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030 NE),VOLADURA</v>
      </c>
      <c r="D29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86" s="47" t="s">
        <v>5911</v>
      </c>
      <c r="G2986" t="s">
        <v>5912</v>
      </c>
      <c r="H29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87" spans="1:8" ht="15" customHeight="1" x14ac:dyDescent="0.25">
      <c r="A2987" t="str">
        <f>MID(TB_CECO[[#This Row],[CECO_T]],1,5)</f>
        <v>3E393</v>
      </c>
      <c r="B2987" t="str">
        <f>MID(TB_CECO[[#This Row],[TRABAJO]],1,SEARCH(",",TB_CECO[[#This Row],[TRABAJO]],1)-1)</f>
        <v>Ch 044 (Snv 842 SW)</v>
      </c>
      <c r="C29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842 SW),LIMPIEZA</v>
      </c>
      <c r="D29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87" s="47" t="s">
        <v>5913</v>
      </c>
      <c r="G2987" t="s">
        <v>5914</v>
      </c>
      <c r="H29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88" spans="1:8" ht="15" customHeight="1" x14ac:dyDescent="0.25">
      <c r="A2988" t="str">
        <f>MID(TB_CECO[[#This Row],[CECO_T]],1,5)</f>
        <v>3E393</v>
      </c>
      <c r="B2988" t="str">
        <f>MID(TB_CECO[[#This Row],[TRABAJO]],1,SEARCH(",",TB_CECO[[#This Row],[TRABAJO]],1)-1)</f>
        <v>Ch 044 (Snv 842 SW)</v>
      </c>
      <c r="C29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842 SW),SERVICIO</v>
      </c>
      <c r="D29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88" s="47" t="s">
        <v>5915</v>
      </c>
      <c r="G2988" t="s">
        <v>5916</v>
      </c>
      <c r="H29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89" spans="1:8" ht="15" customHeight="1" x14ac:dyDescent="0.25">
      <c r="A2989" t="str">
        <f>MID(TB_CECO[[#This Row],[CECO_T]],1,5)</f>
        <v>3E393</v>
      </c>
      <c r="B2989" t="str">
        <f>MID(TB_CECO[[#This Row],[TRABAJO]],1,SEARCH(",",TB_CECO[[#This Row],[TRABAJO]],1)-1)</f>
        <v>Ch 044 (Snv 842 SW)</v>
      </c>
      <c r="C29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842 SW),PERFORACION</v>
      </c>
      <c r="D29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89" s="47" t="s">
        <v>5917</v>
      </c>
      <c r="G2989" t="s">
        <v>5918</v>
      </c>
      <c r="H29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90" spans="1:8" ht="15" customHeight="1" x14ac:dyDescent="0.25">
      <c r="A2990" t="str">
        <f>MID(TB_CECO[[#This Row],[CECO_T]],1,5)</f>
        <v>3E393</v>
      </c>
      <c r="B2990" t="str">
        <f>MID(TB_CECO[[#This Row],[TRABAJO]],1,SEARCH(",",TB_CECO[[#This Row],[TRABAJO]],1)-1)</f>
        <v>Ch 044 (Snv 842 SW)</v>
      </c>
      <c r="C29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842 SW),SOSTENIMIENTO</v>
      </c>
      <c r="D29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90" s="47" t="s">
        <v>5919</v>
      </c>
      <c r="G2990" t="s">
        <v>5920</v>
      </c>
      <c r="H29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91" spans="1:8" ht="15" customHeight="1" x14ac:dyDescent="0.25">
      <c r="A2991" t="str">
        <f>MID(TB_CECO[[#This Row],[CECO_T]],1,5)</f>
        <v>3E393</v>
      </c>
      <c r="B2991" t="str">
        <f>MID(TB_CECO[[#This Row],[TRABAJO]],1,SEARCH(",",TB_CECO[[#This Row],[TRABAJO]],1)-1)</f>
        <v>Ch 044 (Snv 842 SW)</v>
      </c>
      <c r="C29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842 SW),VOLADURA</v>
      </c>
      <c r="D29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91" s="47" t="s">
        <v>5921</v>
      </c>
      <c r="G2991" t="s">
        <v>5922</v>
      </c>
      <c r="H29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92" spans="1:8" ht="15" customHeight="1" x14ac:dyDescent="0.25">
      <c r="A2992" t="str">
        <f>MID(TB_CECO[[#This Row],[CECO_T]],1,5)</f>
        <v>3E398</v>
      </c>
      <c r="B2992" t="str">
        <f>MID(TB_CECO[[#This Row],[TRABAJO]],1,SEARCH(",",TB_CECO[[#This Row],[TRABAJO]],1)-1)</f>
        <v>Ch 877 (Snv 030 NE)</v>
      </c>
      <c r="C29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030 NE),LIMPIEZA</v>
      </c>
      <c r="D29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92" s="47" t="s">
        <v>5923</v>
      </c>
      <c r="G2992" t="s">
        <v>5924</v>
      </c>
      <c r="H29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93" spans="1:8" ht="15" customHeight="1" x14ac:dyDescent="0.25">
      <c r="A2993" t="str">
        <f>MID(TB_CECO[[#This Row],[CECO_T]],1,5)</f>
        <v>3E398</v>
      </c>
      <c r="B2993" t="str">
        <f>MID(TB_CECO[[#This Row],[TRABAJO]],1,SEARCH(",",TB_CECO[[#This Row],[TRABAJO]],1)-1)</f>
        <v>Ch 877 (Snv 030 NE)</v>
      </c>
      <c r="C29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030 NE),SERVICIO</v>
      </c>
      <c r="D29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93" s="47" t="s">
        <v>5925</v>
      </c>
      <c r="G2993" t="s">
        <v>5926</v>
      </c>
      <c r="H29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94" spans="1:8" ht="15" customHeight="1" x14ac:dyDescent="0.25">
      <c r="A2994" t="str">
        <f>MID(TB_CECO[[#This Row],[CECO_T]],1,5)</f>
        <v>3E398</v>
      </c>
      <c r="B2994" t="str">
        <f>MID(TB_CECO[[#This Row],[TRABAJO]],1,SEARCH(",",TB_CECO[[#This Row],[TRABAJO]],1)-1)</f>
        <v>Ch 877 (Snv 030 NE)</v>
      </c>
      <c r="C29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030 NE),PERFORACION</v>
      </c>
      <c r="D29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94" s="47" t="s">
        <v>5927</v>
      </c>
      <c r="G2994" t="s">
        <v>5928</v>
      </c>
      <c r="H29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95" spans="1:8" ht="15" customHeight="1" x14ac:dyDescent="0.25">
      <c r="A2995" t="str">
        <f>MID(TB_CECO[[#This Row],[CECO_T]],1,5)</f>
        <v>3E398</v>
      </c>
      <c r="B2995" t="str">
        <f>MID(TB_CECO[[#This Row],[TRABAJO]],1,SEARCH(",",TB_CECO[[#This Row],[TRABAJO]],1)-1)</f>
        <v>Ch 877 (Snv 030 NE)</v>
      </c>
      <c r="C29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030 NE),SOSTENIMIENTO</v>
      </c>
      <c r="D29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95" s="47" t="s">
        <v>5929</v>
      </c>
      <c r="G2995" t="s">
        <v>5930</v>
      </c>
      <c r="H29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96" spans="1:8" ht="15" customHeight="1" x14ac:dyDescent="0.25">
      <c r="A2996" t="str">
        <f>MID(TB_CECO[[#This Row],[CECO_T]],1,5)</f>
        <v>3E398</v>
      </c>
      <c r="B2996" t="str">
        <f>MID(TB_CECO[[#This Row],[TRABAJO]],1,SEARCH(",",TB_CECO[[#This Row],[TRABAJO]],1)-1)</f>
        <v>Ch 877 (Snv 030 NE)</v>
      </c>
      <c r="C29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030 NE),VOLADURA</v>
      </c>
      <c r="D29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96" s="47" t="s">
        <v>5931</v>
      </c>
      <c r="G2996" t="s">
        <v>5932</v>
      </c>
      <c r="H29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97" spans="1:8" ht="15" customHeight="1" x14ac:dyDescent="0.25">
      <c r="A2997" t="str">
        <f>MID(TB_CECO[[#This Row],[CECO_T]],1,5)</f>
        <v>3E399</v>
      </c>
      <c r="B2997" t="str">
        <f>MID(TB_CECO[[#This Row],[TRABAJO]],1,SEARCH(",",TB_CECO[[#This Row],[TRABAJO]],1)-1)</f>
        <v>Ch 877 (Snv 050 NE)</v>
      </c>
      <c r="C29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050 NE),LIMPIEZA</v>
      </c>
      <c r="D29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97" s="47" t="s">
        <v>5933</v>
      </c>
      <c r="G2997" t="s">
        <v>5934</v>
      </c>
      <c r="H29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98" spans="1:8" ht="15" customHeight="1" x14ac:dyDescent="0.25">
      <c r="A2998" t="str">
        <f>MID(TB_CECO[[#This Row],[CECO_T]],1,5)</f>
        <v>3E399</v>
      </c>
      <c r="B2998" t="str">
        <f>MID(TB_CECO[[#This Row],[TRABAJO]],1,SEARCH(",",TB_CECO[[#This Row],[TRABAJO]],1)-1)</f>
        <v>Ch 877 (Snv 050 NE)</v>
      </c>
      <c r="C29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050 NE),SERVICIO</v>
      </c>
      <c r="D29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98" s="47" t="s">
        <v>5935</v>
      </c>
      <c r="G2998" t="s">
        <v>5936</v>
      </c>
      <c r="H29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2999" spans="1:8" ht="15" customHeight="1" x14ac:dyDescent="0.25">
      <c r="A2999" t="str">
        <f>MID(TB_CECO[[#This Row],[CECO_T]],1,5)</f>
        <v>3E399</v>
      </c>
      <c r="B2999" t="str">
        <f>MID(TB_CECO[[#This Row],[TRABAJO]],1,SEARCH(",",TB_CECO[[#This Row],[TRABAJO]],1)-1)</f>
        <v>Ch 877 (Snv 050 NE)</v>
      </c>
      <c r="C29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050 NE),PERFORACION</v>
      </c>
      <c r="D29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29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2999" s="47" t="s">
        <v>5937</v>
      </c>
      <c r="G2999" t="s">
        <v>5938</v>
      </c>
      <c r="H29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00" spans="1:8" ht="15" customHeight="1" x14ac:dyDescent="0.25">
      <c r="A3000" t="str">
        <f>MID(TB_CECO[[#This Row],[CECO_T]],1,5)</f>
        <v>3E399</v>
      </c>
      <c r="B3000" t="str">
        <f>MID(TB_CECO[[#This Row],[TRABAJO]],1,SEARCH(",",TB_CECO[[#This Row],[TRABAJO]],1)-1)</f>
        <v>Ch 877 (Snv 050 NE)</v>
      </c>
      <c r="C30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050 NE),SOSTENIMIENTO</v>
      </c>
      <c r="D30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00" s="47" t="s">
        <v>5939</v>
      </c>
      <c r="G3000" t="s">
        <v>5940</v>
      </c>
      <c r="H30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01" spans="1:8" ht="15" customHeight="1" x14ac:dyDescent="0.25">
      <c r="A3001" t="str">
        <f>MID(TB_CECO[[#This Row],[CECO_T]],1,5)</f>
        <v>3E399</v>
      </c>
      <c r="B3001" t="str">
        <f>MID(TB_CECO[[#This Row],[TRABAJO]],1,SEARCH(",",TB_CECO[[#This Row],[TRABAJO]],1)-1)</f>
        <v>Ch 877 (Snv 050 NE)</v>
      </c>
      <c r="C30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050 NE),VOLADURA</v>
      </c>
      <c r="D30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01" s="47" t="s">
        <v>5941</v>
      </c>
      <c r="G3001" t="s">
        <v>5942</v>
      </c>
      <c r="H30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02" spans="1:8" ht="15" customHeight="1" x14ac:dyDescent="0.25">
      <c r="A3002" t="str">
        <f>MID(TB_CECO[[#This Row],[CECO_T]],1,5)</f>
        <v>3E412</v>
      </c>
      <c r="B3002" t="str">
        <f>MID(TB_CECO[[#This Row],[TRABAJO]],1,SEARCH(",",TB_CECO[[#This Row],[TRABAJO]],1)-1)</f>
        <v>Pq 870 (Snv 030 SW)</v>
      </c>
      <c r="C30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870 (Snv 030 SW),LIMPIEZA</v>
      </c>
      <c r="D30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02" s="47" t="s">
        <v>5943</v>
      </c>
      <c r="G3002" t="s">
        <v>5944</v>
      </c>
      <c r="H30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03" spans="1:8" ht="15" customHeight="1" x14ac:dyDescent="0.25">
      <c r="A3003" t="str">
        <f>MID(TB_CECO[[#This Row],[CECO_T]],1,5)</f>
        <v>3E412</v>
      </c>
      <c r="B3003" t="str">
        <f>MID(TB_CECO[[#This Row],[TRABAJO]],1,SEARCH(",",TB_CECO[[#This Row],[TRABAJO]],1)-1)</f>
        <v>Pq 870 (Snv 030 SW)</v>
      </c>
      <c r="C30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870 (Snv 030 SW),SERVICIO</v>
      </c>
      <c r="D30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03" s="47" t="s">
        <v>5945</v>
      </c>
      <c r="G3003" t="s">
        <v>5946</v>
      </c>
      <c r="H30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04" spans="1:8" ht="15" customHeight="1" x14ac:dyDescent="0.25">
      <c r="A3004" t="str">
        <f>MID(TB_CECO[[#This Row],[CECO_T]],1,5)</f>
        <v>3E412</v>
      </c>
      <c r="B3004" t="str">
        <f>MID(TB_CECO[[#This Row],[TRABAJO]],1,SEARCH(",",TB_CECO[[#This Row],[TRABAJO]],1)-1)</f>
        <v>Pq 870 (Snv 030 SW)</v>
      </c>
      <c r="C30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870 (Snv 030 SW),PERFORACION</v>
      </c>
      <c r="D30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04" s="47" t="s">
        <v>5947</v>
      </c>
      <c r="G3004" t="s">
        <v>5948</v>
      </c>
      <c r="H30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05" spans="1:8" ht="15" customHeight="1" x14ac:dyDescent="0.25">
      <c r="A3005" t="str">
        <f>MID(TB_CECO[[#This Row],[CECO_T]],1,5)</f>
        <v>3E412</v>
      </c>
      <c r="B3005" t="str">
        <f>MID(TB_CECO[[#This Row],[TRABAJO]],1,SEARCH(",",TB_CECO[[#This Row],[TRABAJO]],1)-1)</f>
        <v>Pq 870 (Snv 030 SW)</v>
      </c>
      <c r="C30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870 (Snv 030 SW),SOSTENIMIENTO</v>
      </c>
      <c r="D30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05" s="47" t="s">
        <v>5949</v>
      </c>
      <c r="G3005" t="s">
        <v>5950</v>
      </c>
      <c r="H30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06" spans="1:8" ht="15" customHeight="1" x14ac:dyDescent="0.25">
      <c r="A3006" t="str">
        <f>MID(TB_CECO[[#This Row],[CECO_T]],1,5)</f>
        <v>3E412</v>
      </c>
      <c r="B3006" t="str">
        <f>MID(TB_CECO[[#This Row],[TRABAJO]],1,SEARCH(",",TB_CECO[[#This Row],[TRABAJO]],1)-1)</f>
        <v>Pq 870 (Snv 030 SW)</v>
      </c>
      <c r="C30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870 (Snv 030 SW),VOLADURA</v>
      </c>
      <c r="D30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06" s="47" t="s">
        <v>5951</v>
      </c>
      <c r="G3006" t="s">
        <v>5952</v>
      </c>
      <c r="H30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07" spans="1:8" ht="15" customHeight="1" x14ac:dyDescent="0.25">
      <c r="A3007" t="str">
        <f>MID(TB_CECO[[#This Row],[CECO_T]],1,5)</f>
        <v>3E51D</v>
      </c>
      <c r="B3007" t="str">
        <f>MID(TB_CECO[[#This Row],[TRABAJO]],1,SEARCH(",",TB_CECO[[#This Row],[TRABAJO]],1)-1)</f>
        <v>Snv 098 SW (Ch 066)</v>
      </c>
      <c r="C30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098 SW (Ch 066),SUMINISTROS</v>
      </c>
      <c r="D30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07" s="47" t="s">
        <v>5953</v>
      </c>
      <c r="G3007" t="s">
        <v>5954</v>
      </c>
      <c r="H30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08" spans="1:8" ht="15" customHeight="1" x14ac:dyDescent="0.25">
      <c r="A3008" t="str">
        <f>MID(TB_CECO[[#This Row],[CECO_T]],1,5)</f>
        <v>3E51D</v>
      </c>
      <c r="B3008" t="str">
        <f>MID(TB_CECO[[#This Row],[TRABAJO]],1,SEARCH(",",TB_CECO[[#This Row],[TRABAJO]],1)-1)</f>
        <v>Snv 098 SW (Ch 066)</v>
      </c>
      <c r="C30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098 SW (Ch 066),SOSTENIMIENTO</v>
      </c>
      <c r="D30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08" s="47" t="s">
        <v>5955</v>
      </c>
      <c r="G3008" t="s">
        <v>5956</v>
      </c>
      <c r="H30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09" spans="1:8" ht="15" customHeight="1" x14ac:dyDescent="0.25">
      <c r="A3009" t="str">
        <f>MID(TB_CECO[[#This Row],[CECO_T]],1,5)</f>
        <v>3E51D</v>
      </c>
      <c r="B3009" t="str">
        <f>MID(TB_CECO[[#This Row],[TRABAJO]],1,SEARCH(",",TB_CECO[[#This Row],[TRABAJO]],1)-1)</f>
        <v>Snv 098 SW (Ch 066)</v>
      </c>
      <c r="C30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098 SW (Ch 066),SERVICIO</v>
      </c>
      <c r="D30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09" s="47" t="s">
        <v>5957</v>
      </c>
      <c r="G3009" t="s">
        <v>5958</v>
      </c>
      <c r="H30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10" spans="1:8" ht="15" customHeight="1" x14ac:dyDescent="0.25">
      <c r="A3010" t="str">
        <f>MID(TB_CECO[[#This Row],[CECO_T]],1,5)</f>
        <v>3E51D</v>
      </c>
      <c r="B3010" t="str">
        <f>MID(TB_CECO[[#This Row],[TRABAJO]],1,SEARCH(",",TB_CECO[[#This Row],[TRABAJO]],1)-1)</f>
        <v>Snv 098 SW (Ch 066)</v>
      </c>
      <c r="C30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098 SW (Ch 066),REHABILITACION</v>
      </c>
      <c r="D30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10" s="47" t="s">
        <v>5959</v>
      </c>
      <c r="G3010" t="s">
        <v>5960</v>
      </c>
      <c r="H30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11" spans="1:8" ht="15" customHeight="1" x14ac:dyDescent="0.25">
      <c r="A3011" t="str">
        <f>MID(TB_CECO[[#This Row],[CECO_T]],1,5)</f>
        <v>3E51T</v>
      </c>
      <c r="B3011" t="str">
        <f>MID(TB_CECO[[#This Row],[TRABAJO]],1,SEARCH(",",TB_CECO[[#This Row],[TRABAJO]],1)-1)</f>
        <v>Snv 050 NE (Est 075-3 SE)</v>
      </c>
      <c r="C30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050 NE (Est 075-3 SE),LIMPIEZA</v>
      </c>
      <c r="D30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11" s="47" t="s">
        <v>5961</v>
      </c>
      <c r="G3011" t="s">
        <v>5962</v>
      </c>
      <c r="H30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12" spans="1:8" ht="15" customHeight="1" x14ac:dyDescent="0.25">
      <c r="A3012" t="str">
        <f>MID(TB_CECO[[#This Row],[CECO_T]],1,5)</f>
        <v>3E51T</v>
      </c>
      <c r="B3012" t="str">
        <f>MID(TB_CECO[[#This Row],[TRABAJO]],1,SEARCH(",",TB_CECO[[#This Row],[TRABAJO]],1)-1)</f>
        <v>Snv 050 NE (Est 075-3 SE)</v>
      </c>
      <c r="C30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050 NE (Est 075-3 SE),SERVICIO</v>
      </c>
      <c r="D30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12" s="47" t="s">
        <v>5963</v>
      </c>
      <c r="G3012" t="s">
        <v>5964</v>
      </c>
      <c r="H30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13" spans="1:8" ht="15" customHeight="1" x14ac:dyDescent="0.25">
      <c r="A3013" t="str">
        <f>MID(TB_CECO[[#This Row],[CECO_T]],1,5)</f>
        <v>3E51T</v>
      </c>
      <c r="B3013" t="str">
        <f>MID(TB_CECO[[#This Row],[TRABAJO]],1,SEARCH(",",TB_CECO[[#This Row],[TRABAJO]],1)-1)</f>
        <v>Snv 050 NE (Est 075-3 SE)</v>
      </c>
      <c r="C30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050 NE (Est 075-3 SE),PERFORACION</v>
      </c>
      <c r="D30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13" s="47" t="s">
        <v>5965</v>
      </c>
      <c r="G3013" t="s">
        <v>5966</v>
      </c>
      <c r="H30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14" spans="1:8" ht="15" customHeight="1" x14ac:dyDescent="0.25">
      <c r="A3014" t="str">
        <f>MID(TB_CECO[[#This Row],[CECO_T]],1,5)</f>
        <v>3E51T</v>
      </c>
      <c r="B3014" t="str">
        <f>MID(TB_CECO[[#This Row],[TRABAJO]],1,SEARCH(",",TB_CECO[[#This Row],[TRABAJO]],1)-1)</f>
        <v>Snv 050 NE (Est 075-3 SE)</v>
      </c>
      <c r="C30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050 NE (Est 075-3 SE),SOSTENIMIENTO</v>
      </c>
      <c r="D30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14" s="47" t="s">
        <v>5967</v>
      </c>
      <c r="G3014" t="s">
        <v>5968</v>
      </c>
      <c r="H30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15" spans="1:8" ht="15" customHeight="1" x14ac:dyDescent="0.25">
      <c r="A3015" t="str">
        <f>MID(TB_CECO[[#This Row],[CECO_T]],1,5)</f>
        <v>3E51T</v>
      </c>
      <c r="B3015" t="str">
        <f>MID(TB_CECO[[#This Row],[TRABAJO]],1,SEARCH(",",TB_CECO[[#This Row],[TRABAJO]],1)-1)</f>
        <v>Snv 050 NE (Est 075-3 SE)</v>
      </c>
      <c r="C30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050 NE (Est 075-3 SE),VOLADURA</v>
      </c>
      <c r="D30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15" s="47" t="s">
        <v>5969</v>
      </c>
      <c r="G3015" t="s">
        <v>5970</v>
      </c>
      <c r="H30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16" spans="1:8" ht="15" customHeight="1" x14ac:dyDescent="0.25">
      <c r="A3016" t="str">
        <f>MID(TB_CECO[[#This Row],[CECO_T]],1,5)</f>
        <v>3E51U</v>
      </c>
      <c r="B3016" t="str">
        <f>MID(TB_CECO[[#This Row],[TRABAJO]],1,SEARCH(",",TB_CECO[[#This Row],[TRABAJO]],1)-1)</f>
        <v>Snv 050 SW (Est 075-3 SE)</v>
      </c>
      <c r="C30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050 SW (Est 075-3 SE),LIMPIEZA</v>
      </c>
      <c r="D30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16" s="47" t="s">
        <v>5971</v>
      </c>
      <c r="G3016" t="s">
        <v>5972</v>
      </c>
      <c r="H30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17" spans="1:8" ht="15" customHeight="1" x14ac:dyDescent="0.25">
      <c r="A3017" t="str">
        <f>MID(TB_CECO[[#This Row],[CECO_T]],1,5)</f>
        <v>3E51U</v>
      </c>
      <c r="B3017" t="str">
        <f>MID(TB_CECO[[#This Row],[TRABAJO]],1,SEARCH(",",TB_CECO[[#This Row],[TRABAJO]],1)-1)</f>
        <v>Snv 050 SW (Est 075-3 SE)</v>
      </c>
      <c r="C30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050 SW (Est 075-3 SE),SERVICIO</v>
      </c>
      <c r="D30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17" s="47" t="s">
        <v>5973</v>
      </c>
      <c r="G3017" t="s">
        <v>5974</v>
      </c>
      <c r="H30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18" spans="1:8" ht="15" customHeight="1" x14ac:dyDescent="0.25">
      <c r="A3018" t="str">
        <f>MID(TB_CECO[[#This Row],[CECO_T]],1,5)</f>
        <v>3E51U</v>
      </c>
      <c r="B3018" t="str">
        <f>MID(TB_CECO[[#This Row],[TRABAJO]],1,SEARCH(",",TB_CECO[[#This Row],[TRABAJO]],1)-1)</f>
        <v>Snv 050 SW (Est 075-3 SE)</v>
      </c>
      <c r="C30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050 SW (Est 075-3 SE),PERFORACION</v>
      </c>
      <c r="D30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18" s="47" t="s">
        <v>5975</v>
      </c>
      <c r="G3018" t="s">
        <v>5976</v>
      </c>
      <c r="H30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19" spans="1:8" ht="15" customHeight="1" x14ac:dyDescent="0.25">
      <c r="A3019" t="str">
        <f>MID(TB_CECO[[#This Row],[CECO_T]],1,5)</f>
        <v>3E51U</v>
      </c>
      <c r="B3019" t="str">
        <f>MID(TB_CECO[[#This Row],[TRABAJO]],1,SEARCH(",",TB_CECO[[#This Row],[TRABAJO]],1)-1)</f>
        <v>Snv 050 SW (Est 075-3 SE)</v>
      </c>
      <c r="C30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050 SW (Est 075-3 SE),SOSTENIMIENTO</v>
      </c>
      <c r="D30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19" s="47" t="s">
        <v>5977</v>
      </c>
      <c r="G3019" t="s">
        <v>5978</v>
      </c>
      <c r="H30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20" spans="1:8" ht="15" customHeight="1" x14ac:dyDescent="0.25">
      <c r="A3020" t="str">
        <f>MID(TB_CECO[[#This Row],[CECO_T]],1,5)</f>
        <v>3E51U</v>
      </c>
      <c r="B3020" t="str">
        <f>MID(TB_CECO[[#This Row],[TRABAJO]],1,SEARCH(",",TB_CECO[[#This Row],[TRABAJO]],1)-1)</f>
        <v>Snv 050 SW (Est 075-3 SE)</v>
      </c>
      <c r="C30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050 SW (Est 075-3 SE),VOLADURA</v>
      </c>
      <c r="D30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20" s="47" t="s">
        <v>5979</v>
      </c>
      <c r="G3020" t="s">
        <v>5980</v>
      </c>
      <c r="H30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21" spans="1:8" ht="15" customHeight="1" x14ac:dyDescent="0.25">
      <c r="A3021" t="str">
        <f>MID(TB_CECO[[#This Row],[CECO_T]],1,5)</f>
        <v>3E51W</v>
      </c>
      <c r="B3021" t="str">
        <f>MID(TB_CECO[[#This Row],[TRABAJO]],1,SEARCH(",",TB_CECO[[#This Row],[TRABAJO]],1)-1)</f>
        <v>Snv 827 SW (Est 092 SW)</v>
      </c>
      <c r="C30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827 SW (Est 092 SW),LIMPIEZA</v>
      </c>
      <c r="D30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21" s="47" t="s">
        <v>5981</v>
      </c>
      <c r="G3021" t="s">
        <v>5982</v>
      </c>
      <c r="H30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22" spans="1:8" ht="15" customHeight="1" x14ac:dyDescent="0.25">
      <c r="A3022" t="str">
        <f>MID(TB_CECO[[#This Row],[CECO_T]],1,5)</f>
        <v>3E51W</v>
      </c>
      <c r="B3022" t="str">
        <f>MID(TB_CECO[[#This Row],[TRABAJO]],1,SEARCH(",",TB_CECO[[#This Row],[TRABAJO]],1)-1)</f>
        <v>Snv 827 SW (Est 092 SW)</v>
      </c>
      <c r="C30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827 SW (Est 092 SW),SERVICIO</v>
      </c>
      <c r="D30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22" s="47" t="s">
        <v>5983</v>
      </c>
      <c r="G3022" t="s">
        <v>5984</v>
      </c>
      <c r="H30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23" spans="1:8" ht="15" customHeight="1" x14ac:dyDescent="0.25">
      <c r="A3023" t="str">
        <f>MID(TB_CECO[[#This Row],[CECO_T]],1,5)</f>
        <v>3E51W</v>
      </c>
      <c r="B3023" t="str">
        <f>MID(TB_CECO[[#This Row],[TRABAJO]],1,SEARCH(",",TB_CECO[[#This Row],[TRABAJO]],1)-1)</f>
        <v>Snv 827 SW (Est 092 SW)</v>
      </c>
      <c r="C30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827 SW (Est 092 SW),PERFORACION</v>
      </c>
      <c r="D30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23" s="47" t="s">
        <v>5985</v>
      </c>
      <c r="G3023" t="s">
        <v>5986</v>
      </c>
      <c r="H30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24" spans="1:8" ht="15" customHeight="1" x14ac:dyDescent="0.25">
      <c r="A3024" t="str">
        <f>MID(TB_CECO[[#This Row],[CECO_T]],1,5)</f>
        <v>3E51W</v>
      </c>
      <c r="B3024" t="str">
        <f>MID(TB_CECO[[#This Row],[TRABAJO]],1,SEARCH(",",TB_CECO[[#This Row],[TRABAJO]],1)-1)</f>
        <v>Snv 827 SW (Est 092 SW)</v>
      </c>
      <c r="C30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827 SW (Est 092 SW),SOSTENIMIENTO</v>
      </c>
      <c r="D30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24" s="47" t="s">
        <v>5987</v>
      </c>
      <c r="G3024" t="s">
        <v>5988</v>
      </c>
      <c r="H30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25" spans="1:8" ht="15" customHeight="1" x14ac:dyDescent="0.25">
      <c r="A3025" t="str">
        <f>MID(TB_CECO[[#This Row],[CECO_T]],1,5)</f>
        <v>3E51W</v>
      </c>
      <c r="B3025" t="str">
        <f>MID(TB_CECO[[#This Row],[TRABAJO]],1,SEARCH(",",TB_CECO[[#This Row],[TRABAJO]],1)-1)</f>
        <v>Snv 827 SW (Est 092 SW)</v>
      </c>
      <c r="C30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827 SW (Est 092 SW),VOLADURA</v>
      </c>
      <c r="D30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25" s="47" t="s">
        <v>5989</v>
      </c>
      <c r="G3025" t="s">
        <v>5990</v>
      </c>
      <c r="H30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26" spans="1:8" ht="15" customHeight="1" x14ac:dyDescent="0.25">
      <c r="A3026" t="str">
        <f>MID(TB_CECO[[#This Row],[CECO_T]],1,5)</f>
        <v>3E520</v>
      </c>
      <c r="B3026" t="str">
        <f>MID(TB_CECO[[#This Row],[TRABAJO]],1,SEARCH(",",TB_CECO[[#This Row],[TRABAJO]],1)-1)</f>
        <v>SNV 066 NE (CH 066)</v>
      </c>
      <c r="C30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066 NE (CH 066),SUMINISTROS</v>
      </c>
      <c r="D30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26" s="47" t="s">
        <v>5991</v>
      </c>
      <c r="G3026" t="s">
        <v>5992</v>
      </c>
      <c r="H30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27" spans="1:8" ht="15" customHeight="1" x14ac:dyDescent="0.25">
      <c r="A3027" t="str">
        <f>MID(TB_CECO[[#This Row],[CECO_T]],1,5)</f>
        <v>3E520</v>
      </c>
      <c r="B3027" t="str">
        <f>MID(TB_CECO[[#This Row],[TRABAJO]],1,SEARCH(",",TB_CECO[[#This Row],[TRABAJO]],1)-1)</f>
        <v>SNV 066 NE (CH 066)</v>
      </c>
      <c r="C30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066 NE (CH 066),SOSTENIMIENTO</v>
      </c>
      <c r="D30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27" s="47" t="s">
        <v>5993</v>
      </c>
      <c r="G3027" t="s">
        <v>5994</v>
      </c>
      <c r="H30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28" spans="1:8" ht="15" customHeight="1" x14ac:dyDescent="0.25">
      <c r="A3028" t="str">
        <f>MID(TB_CECO[[#This Row],[CECO_T]],1,5)</f>
        <v>3E520</v>
      </c>
      <c r="B3028" t="str">
        <f>MID(TB_CECO[[#This Row],[TRABAJO]],1,SEARCH(",",TB_CECO[[#This Row],[TRABAJO]],1)-1)</f>
        <v>SNV 066 NE (CH 066)</v>
      </c>
      <c r="C30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066 NE (CH 066),SERVICIO</v>
      </c>
      <c r="D30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28" s="47" t="s">
        <v>5995</v>
      </c>
      <c r="G3028" t="s">
        <v>5996</v>
      </c>
      <c r="H30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29" spans="1:8" ht="15" customHeight="1" x14ac:dyDescent="0.25">
      <c r="A3029" t="str">
        <f>MID(TB_CECO[[#This Row],[CECO_T]],1,5)</f>
        <v>3E520</v>
      </c>
      <c r="B3029" t="str">
        <f>MID(TB_CECO[[#This Row],[TRABAJO]],1,SEARCH(",",TB_CECO[[#This Row],[TRABAJO]],1)-1)</f>
        <v>SNV 066 NE (CH 066)</v>
      </c>
      <c r="C30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066 NE (CH 066),REHABILITACION</v>
      </c>
      <c r="D30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29" s="47" t="s">
        <v>5997</v>
      </c>
      <c r="G3029" t="s">
        <v>5998</v>
      </c>
      <c r="H30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30" spans="1:8" ht="15" customHeight="1" x14ac:dyDescent="0.25">
      <c r="A3030" t="str">
        <f>MID(TB_CECO[[#This Row],[CECO_T]],1,5)</f>
        <v>3E522</v>
      </c>
      <c r="B3030" t="str">
        <f>MID(TB_CECO[[#This Row],[TRABAJO]],1,SEARCH(",",TB_CECO[[#This Row],[TRABAJO]],1)-1)</f>
        <v>SNV 040 SW (EST 140  S)</v>
      </c>
      <c r="C30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040 SW (EST 140  S),SUMINISTROS</v>
      </c>
      <c r="D30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30" s="47" t="s">
        <v>5999</v>
      </c>
      <c r="G3030" t="s">
        <v>6000</v>
      </c>
      <c r="H30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31" spans="1:8" ht="15" customHeight="1" x14ac:dyDescent="0.25">
      <c r="A3031" t="str">
        <f>MID(TB_CECO[[#This Row],[CECO_T]],1,5)</f>
        <v>3E522</v>
      </c>
      <c r="B3031" t="str">
        <f>MID(TB_CECO[[#This Row],[TRABAJO]],1,SEARCH(",",TB_CECO[[#This Row],[TRABAJO]],1)-1)</f>
        <v>SNV 040 SW (EST 140  S)</v>
      </c>
      <c r="C30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040 SW (EST 140  S),SOSTENIMIENTO</v>
      </c>
      <c r="D30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31" s="47" t="s">
        <v>6001</v>
      </c>
      <c r="G3031" t="s">
        <v>6002</v>
      </c>
      <c r="H30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32" spans="1:8" ht="15" customHeight="1" x14ac:dyDescent="0.25">
      <c r="A3032" t="str">
        <f>MID(TB_CECO[[#This Row],[CECO_T]],1,5)</f>
        <v>3E522</v>
      </c>
      <c r="B3032" t="str">
        <f>MID(TB_CECO[[#This Row],[TRABAJO]],1,SEARCH(",",TB_CECO[[#This Row],[TRABAJO]],1)-1)</f>
        <v>SNV 040 SW (EST 140  S)</v>
      </c>
      <c r="C30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040 SW (EST 140  S),SERVICIO</v>
      </c>
      <c r="D30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32" s="47" t="s">
        <v>6003</v>
      </c>
      <c r="G3032" t="s">
        <v>6004</v>
      </c>
      <c r="H30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33" spans="1:8" ht="15" customHeight="1" x14ac:dyDescent="0.25">
      <c r="A3033" t="str">
        <f>MID(TB_CECO[[#This Row],[CECO_T]],1,5)</f>
        <v>3E522</v>
      </c>
      <c r="B3033" t="str">
        <f>MID(TB_CECO[[#This Row],[TRABAJO]],1,SEARCH(",",TB_CECO[[#This Row],[TRABAJO]],1)-1)</f>
        <v>SNV 040 SW (EST 140  S)</v>
      </c>
      <c r="C30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040 SW (EST 140  S),REHABILITACION</v>
      </c>
      <c r="D30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33" s="47" t="s">
        <v>6005</v>
      </c>
      <c r="G3033" t="s">
        <v>6006</v>
      </c>
      <c r="H30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34" spans="1:8" ht="15" customHeight="1" x14ac:dyDescent="0.25">
      <c r="A3034" t="str">
        <f>MID(TB_CECO[[#This Row],[CECO_T]],1,5)</f>
        <v>3E526</v>
      </c>
      <c r="B3034" t="str">
        <f>MID(TB_CECO[[#This Row],[TRABAJO]],1,SEARCH(",",TB_CECO[[#This Row],[TRABAJO]],1)-1)</f>
        <v>SNV 045 SW (TJ 045 SW)</v>
      </c>
      <c r="C30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045 SW (TJ 045 SW),SUMINISTROS</v>
      </c>
      <c r="D30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34" s="47" t="s">
        <v>6007</v>
      </c>
      <c r="G3034" t="s">
        <v>6008</v>
      </c>
      <c r="H30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35" spans="1:8" ht="15" customHeight="1" x14ac:dyDescent="0.25">
      <c r="A3035" t="str">
        <f>MID(TB_CECO[[#This Row],[CECO_T]],1,5)</f>
        <v>3E526</v>
      </c>
      <c r="B3035" t="str">
        <f>MID(TB_CECO[[#This Row],[TRABAJO]],1,SEARCH(",",TB_CECO[[#This Row],[TRABAJO]],1)-1)</f>
        <v>SNV 045 SW (TJ 045 SW)</v>
      </c>
      <c r="C30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045 SW (TJ 045 SW),SOSTENIMIENTO</v>
      </c>
      <c r="D30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35" s="47" t="s">
        <v>6009</v>
      </c>
      <c r="G3035" t="s">
        <v>6010</v>
      </c>
      <c r="H30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36" spans="1:8" ht="15" customHeight="1" x14ac:dyDescent="0.25">
      <c r="A3036" t="str">
        <f>MID(TB_CECO[[#This Row],[CECO_T]],1,5)</f>
        <v>3E526</v>
      </c>
      <c r="B3036" t="str">
        <f>MID(TB_CECO[[#This Row],[TRABAJO]],1,SEARCH(",",TB_CECO[[#This Row],[TRABAJO]],1)-1)</f>
        <v>SNV 045 SW (TJ 045 SW)</v>
      </c>
      <c r="C30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045 SW (TJ 045 SW),SERVICIO</v>
      </c>
      <c r="D30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36" s="47" t="s">
        <v>6011</v>
      </c>
      <c r="G3036" t="s">
        <v>6012</v>
      </c>
      <c r="H30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37" spans="1:8" ht="15" customHeight="1" x14ac:dyDescent="0.25">
      <c r="A3037" t="str">
        <f>MID(TB_CECO[[#This Row],[CECO_T]],1,5)</f>
        <v>3E526</v>
      </c>
      <c r="B3037" t="str">
        <f>MID(TB_CECO[[#This Row],[TRABAJO]],1,SEARCH(",",TB_CECO[[#This Row],[TRABAJO]],1)-1)</f>
        <v>SNV 045 SW (TJ 045 SW)</v>
      </c>
      <c r="C30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045 SW (TJ 045 SW),REHABILITACION</v>
      </c>
      <c r="D30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0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037" s="47" t="s">
        <v>6013</v>
      </c>
      <c r="G3037" t="s">
        <v>6014</v>
      </c>
      <c r="H30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38" spans="1:8" ht="15" customHeight="1" x14ac:dyDescent="0.25">
      <c r="A3038" t="str">
        <f>MID(TB_CECO[[#This Row],[CECO_T]],1,5)</f>
        <v>3E52B</v>
      </c>
      <c r="B3038" t="str">
        <f>MID(TB_CECO[[#This Row],[TRABAJO]],1,SEARCH(",",TB_CECO[[#This Row],[TRABAJO]],1)-1)</f>
        <v>Snv 870 SW (Est 868 SE)</v>
      </c>
      <c r="C30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SW (Est 868 SE),LIMPIEZA</v>
      </c>
      <c r="D30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38" s="47" t="s">
        <v>6015</v>
      </c>
      <c r="G3038" t="s">
        <v>6016</v>
      </c>
      <c r="H30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39" spans="1:8" ht="15" customHeight="1" x14ac:dyDescent="0.25">
      <c r="A3039" t="str">
        <f>MID(TB_CECO[[#This Row],[CECO_T]],1,5)</f>
        <v>3E52B</v>
      </c>
      <c r="B3039" t="str">
        <f>MID(TB_CECO[[#This Row],[TRABAJO]],1,SEARCH(",",TB_CECO[[#This Row],[TRABAJO]],1)-1)</f>
        <v>Snv 870 SW (Est 868 SE)</v>
      </c>
      <c r="C30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SW (Est 868 SE),SERVICIO</v>
      </c>
      <c r="D30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39" s="47" t="s">
        <v>6017</v>
      </c>
      <c r="G3039" t="s">
        <v>6018</v>
      </c>
      <c r="H30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40" spans="1:8" ht="15" customHeight="1" x14ac:dyDescent="0.25">
      <c r="A3040" t="str">
        <f>MID(TB_CECO[[#This Row],[CECO_T]],1,5)</f>
        <v>3E52B</v>
      </c>
      <c r="B3040" t="str">
        <f>MID(TB_CECO[[#This Row],[TRABAJO]],1,SEARCH(",",TB_CECO[[#This Row],[TRABAJO]],1)-1)</f>
        <v>Snv 870 SW (Est 868 SE)</v>
      </c>
      <c r="C30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SW (Est 868 SE),PERFORACION</v>
      </c>
      <c r="D30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40" s="47" t="s">
        <v>6019</v>
      </c>
      <c r="G3040" t="s">
        <v>6020</v>
      </c>
      <c r="H30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41" spans="1:8" ht="15" customHeight="1" x14ac:dyDescent="0.25">
      <c r="A3041" t="str">
        <f>MID(TB_CECO[[#This Row],[CECO_T]],1,5)</f>
        <v>3E52B</v>
      </c>
      <c r="B3041" t="str">
        <f>MID(TB_CECO[[#This Row],[TRABAJO]],1,SEARCH(",",TB_CECO[[#This Row],[TRABAJO]],1)-1)</f>
        <v>Snv 870 SW (Est 868 SE)</v>
      </c>
      <c r="C30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SW (Est 868 SE),SOSTENIMIENTO</v>
      </c>
      <c r="D30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41" s="47" t="s">
        <v>6021</v>
      </c>
      <c r="G3041" t="s">
        <v>6022</v>
      </c>
      <c r="H30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42" spans="1:8" ht="15" customHeight="1" x14ac:dyDescent="0.25">
      <c r="A3042" t="str">
        <f>MID(TB_CECO[[#This Row],[CECO_T]],1,5)</f>
        <v>3E52B</v>
      </c>
      <c r="B3042" t="str">
        <f>MID(TB_CECO[[#This Row],[TRABAJO]],1,SEARCH(",",TB_CECO[[#This Row],[TRABAJO]],1)-1)</f>
        <v>Snv 870 SW (Est 868 SE)</v>
      </c>
      <c r="C30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SW (Est 868 SE),VOLADURA</v>
      </c>
      <c r="D30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42" s="47" t="s">
        <v>6023</v>
      </c>
      <c r="G3042" t="s">
        <v>6024</v>
      </c>
      <c r="H30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43" spans="1:8" ht="15" customHeight="1" x14ac:dyDescent="0.25">
      <c r="A3043" t="str">
        <f>MID(TB_CECO[[#This Row],[CECO_T]],1,5)</f>
        <v>3E52C</v>
      </c>
      <c r="B3043" t="str">
        <f>MID(TB_CECO[[#This Row],[TRABAJO]],1,SEARCH(",",TB_CECO[[#This Row],[TRABAJO]],1)-1)</f>
        <v>Snv 870 NE (Est 868 SE)</v>
      </c>
      <c r="C30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NE (Est 868 SE),LIMPIEZA</v>
      </c>
      <c r="D30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43" s="47" t="s">
        <v>6025</v>
      </c>
      <c r="G3043" t="s">
        <v>6026</v>
      </c>
      <c r="H30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44" spans="1:8" ht="15" customHeight="1" x14ac:dyDescent="0.25">
      <c r="A3044" t="str">
        <f>MID(TB_CECO[[#This Row],[CECO_T]],1,5)</f>
        <v>3E52C</v>
      </c>
      <c r="B3044" t="str">
        <f>MID(TB_CECO[[#This Row],[TRABAJO]],1,SEARCH(",",TB_CECO[[#This Row],[TRABAJO]],1)-1)</f>
        <v>Snv 870 NE (Est 868 SE)</v>
      </c>
      <c r="C30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NE (Est 868 SE),SERVICIO</v>
      </c>
      <c r="D30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44" s="47" t="s">
        <v>6027</v>
      </c>
      <c r="G3044" t="s">
        <v>6028</v>
      </c>
      <c r="H30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45" spans="1:8" ht="15" customHeight="1" x14ac:dyDescent="0.25">
      <c r="A3045" t="str">
        <f>MID(TB_CECO[[#This Row],[CECO_T]],1,5)</f>
        <v>3E52C</v>
      </c>
      <c r="B3045" t="str">
        <f>MID(TB_CECO[[#This Row],[TRABAJO]],1,SEARCH(",",TB_CECO[[#This Row],[TRABAJO]],1)-1)</f>
        <v>Snv 870 NE (Est 868 SE)</v>
      </c>
      <c r="C30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NE (Est 868 SE),PERFORACION</v>
      </c>
      <c r="D30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45" s="47" t="s">
        <v>6029</v>
      </c>
      <c r="G3045" t="s">
        <v>6030</v>
      </c>
      <c r="H30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46" spans="1:8" ht="15" customHeight="1" x14ac:dyDescent="0.25">
      <c r="A3046" t="str">
        <f>MID(TB_CECO[[#This Row],[CECO_T]],1,5)</f>
        <v>3E52C</v>
      </c>
      <c r="B3046" t="str">
        <f>MID(TB_CECO[[#This Row],[TRABAJO]],1,SEARCH(",",TB_CECO[[#This Row],[TRABAJO]],1)-1)</f>
        <v>Snv 870 NE (Est 868 SE)</v>
      </c>
      <c r="C30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NE (Est 868 SE),SOSTENIMIENTO</v>
      </c>
      <c r="D30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46" s="47" t="s">
        <v>6031</v>
      </c>
      <c r="G3046" t="s">
        <v>6032</v>
      </c>
      <c r="H30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47" spans="1:8" ht="15" customHeight="1" x14ac:dyDescent="0.25">
      <c r="A3047" t="str">
        <f>MID(TB_CECO[[#This Row],[CECO_T]],1,5)</f>
        <v>3E52C</v>
      </c>
      <c r="B3047" t="str">
        <f>MID(TB_CECO[[#This Row],[TRABAJO]],1,SEARCH(",",TB_CECO[[#This Row],[TRABAJO]],1)-1)</f>
        <v>Snv 870 NE (Est 868 SE)</v>
      </c>
      <c r="C30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NE (Est 868 SE),VOLADURA</v>
      </c>
      <c r="D30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47" s="47" t="s">
        <v>6033</v>
      </c>
      <c r="G3047" t="s">
        <v>6034</v>
      </c>
      <c r="H30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48" spans="1:8" ht="15" customHeight="1" x14ac:dyDescent="0.25">
      <c r="A3048" t="str">
        <f>MID(TB_CECO[[#This Row],[CECO_T]],1,5)</f>
        <v>3E52E</v>
      </c>
      <c r="B3048" t="str">
        <f>MID(TB_CECO[[#This Row],[TRABAJO]],1,SEARCH(",",TB_CECO[[#This Row],[TRABAJO]],1)-1)</f>
        <v>Snv 085 SW (Est 868 SE)</v>
      </c>
      <c r="C30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085 SW (Est 868 SE),LIMPIEZA</v>
      </c>
      <c r="D30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48" s="47" t="s">
        <v>6035</v>
      </c>
      <c r="G3048" t="s">
        <v>6036</v>
      </c>
      <c r="H30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49" spans="1:8" ht="15" customHeight="1" x14ac:dyDescent="0.25">
      <c r="A3049" t="str">
        <f>MID(TB_CECO[[#This Row],[CECO_T]],1,5)</f>
        <v>3E52E</v>
      </c>
      <c r="B3049" t="str">
        <f>MID(TB_CECO[[#This Row],[TRABAJO]],1,SEARCH(",",TB_CECO[[#This Row],[TRABAJO]],1)-1)</f>
        <v>Snv 085 SW (Est 868 SE)</v>
      </c>
      <c r="C30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085 SW (Est 868 SE),SERVICIO</v>
      </c>
      <c r="D30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49" s="47" t="s">
        <v>6037</v>
      </c>
      <c r="G3049" t="s">
        <v>6038</v>
      </c>
      <c r="H30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50" spans="1:8" ht="15" customHeight="1" x14ac:dyDescent="0.25">
      <c r="A3050" t="str">
        <f>MID(TB_CECO[[#This Row],[CECO_T]],1,5)</f>
        <v>3E52E</v>
      </c>
      <c r="B3050" t="str">
        <f>MID(TB_CECO[[#This Row],[TRABAJO]],1,SEARCH(",",TB_CECO[[#This Row],[TRABAJO]],1)-1)</f>
        <v>Snv 085 SW (Est 868 SE)</v>
      </c>
      <c r="C30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085 SW (Est 868 SE),PERFORACION</v>
      </c>
      <c r="D30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50" s="47" t="s">
        <v>6039</v>
      </c>
      <c r="G3050" t="s">
        <v>6040</v>
      </c>
      <c r="H30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51" spans="1:8" ht="15" customHeight="1" x14ac:dyDescent="0.25">
      <c r="A3051" t="str">
        <f>MID(TB_CECO[[#This Row],[CECO_T]],1,5)</f>
        <v>3E52E</v>
      </c>
      <c r="B3051" t="str">
        <f>MID(TB_CECO[[#This Row],[TRABAJO]],1,SEARCH(",",TB_CECO[[#This Row],[TRABAJO]],1)-1)</f>
        <v>Snv 085 SW (Est 868 SE)</v>
      </c>
      <c r="C30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085 SW (Est 868 SE),SOSTENIMIENTO</v>
      </c>
      <c r="D30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51" s="47" t="s">
        <v>6041</v>
      </c>
      <c r="G3051" t="s">
        <v>6042</v>
      </c>
      <c r="H30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52" spans="1:8" ht="15" customHeight="1" x14ac:dyDescent="0.25">
      <c r="A3052" t="str">
        <f>MID(TB_CECO[[#This Row],[CECO_T]],1,5)</f>
        <v>3E52E</v>
      </c>
      <c r="B3052" t="str">
        <f>MID(TB_CECO[[#This Row],[TRABAJO]],1,SEARCH(",",TB_CECO[[#This Row],[TRABAJO]],1)-1)</f>
        <v>Snv 085 SW (Est 868 SE)</v>
      </c>
      <c r="C30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085 SW (Est 868 SE),VOLADURA</v>
      </c>
      <c r="D30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52" s="47" t="s">
        <v>6043</v>
      </c>
      <c r="G3052" t="s">
        <v>6044</v>
      </c>
      <c r="H30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53" spans="1:8" ht="15" customHeight="1" x14ac:dyDescent="0.25">
      <c r="A3053" t="str">
        <f>MID(TB_CECO[[#This Row],[CECO_T]],1,5)</f>
        <v>3E52F</v>
      </c>
      <c r="B3053" t="str">
        <f>MID(TB_CECO[[#This Row],[TRABAJO]],1,SEARCH(",",TB_CECO[[#This Row],[TRABAJO]],1)-1)</f>
        <v>Snv 085 NE (Est 868 SE)</v>
      </c>
      <c r="C30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085 NE (Est 868 SE),LIMPIEZA</v>
      </c>
      <c r="D30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53" s="47" t="s">
        <v>6045</v>
      </c>
      <c r="G3053" t="s">
        <v>6046</v>
      </c>
      <c r="H30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54" spans="1:8" ht="15" customHeight="1" x14ac:dyDescent="0.25">
      <c r="A3054" t="str">
        <f>MID(TB_CECO[[#This Row],[CECO_T]],1,5)</f>
        <v>3E52F</v>
      </c>
      <c r="B3054" t="str">
        <f>MID(TB_CECO[[#This Row],[TRABAJO]],1,SEARCH(",",TB_CECO[[#This Row],[TRABAJO]],1)-1)</f>
        <v>Snv 085 NE (Est 868 SE)</v>
      </c>
      <c r="C30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085 NE (Est 868 SE),SERVICIO</v>
      </c>
      <c r="D30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54" s="47" t="s">
        <v>6047</v>
      </c>
      <c r="G3054" t="s">
        <v>6048</v>
      </c>
      <c r="H30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55" spans="1:8" ht="15" customHeight="1" x14ac:dyDescent="0.25">
      <c r="A3055" t="str">
        <f>MID(TB_CECO[[#This Row],[CECO_T]],1,5)</f>
        <v>3E52F</v>
      </c>
      <c r="B3055" t="str">
        <f>MID(TB_CECO[[#This Row],[TRABAJO]],1,SEARCH(",",TB_CECO[[#This Row],[TRABAJO]],1)-1)</f>
        <v>Snv 085 NE (Est 868 SE)</v>
      </c>
      <c r="C30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085 NE (Est 868 SE),PERFORACION</v>
      </c>
      <c r="D30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55" s="47" t="s">
        <v>6049</v>
      </c>
      <c r="G3055" t="s">
        <v>6050</v>
      </c>
      <c r="H30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56" spans="1:8" ht="15" customHeight="1" x14ac:dyDescent="0.25">
      <c r="A3056" t="str">
        <f>MID(TB_CECO[[#This Row],[CECO_T]],1,5)</f>
        <v>3E52F</v>
      </c>
      <c r="B3056" t="str">
        <f>MID(TB_CECO[[#This Row],[TRABAJO]],1,SEARCH(",",TB_CECO[[#This Row],[TRABAJO]],1)-1)</f>
        <v>Snv 085 NE (Est 868 SE)</v>
      </c>
      <c r="C30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085 NE (Est 868 SE),SOSTENIMIENTO</v>
      </c>
      <c r="D30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56" s="47" t="s">
        <v>6051</v>
      </c>
      <c r="G3056" t="s">
        <v>6052</v>
      </c>
      <c r="H30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57" spans="1:8" ht="15" customHeight="1" x14ac:dyDescent="0.25">
      <c r="A3057" t="str">
        <f>MID(TB_CECO[[#This Row],[CECO_T]],1,5)</f>
        <v>3E52F</v>
      </c>
      <c r="B3057" t="str">
        <f>MID(TB_CECO[[#This Row],[TRABAJO]],1,SEARCH(",",TB_CECO[[#This Row],[TRABAJO]],1)-1)</f>
        <v>Snv 085 NE (Est 868 SE)</v>
      </c>
      <c r="C30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085 NE (Est 868 SE),VOLADURA</v>
      </c>
      <c r="D30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57" s="47" t="s">
        <v>6053</v>
      </c>
      <c r="G3057" t="s">
        <v>6054</v>
      </c>
      <c r="H30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58" spans="1:8" ht="15" customHeight="1" x14ac:dyDescent="0.25">
      <c r="A3058" t="str">
        <f>MID(TB_CECO[[#This Row],[CECO_T]],1,5)</f>
        <v>3E52G</v>
      </c>
      <c r="B3058" t="str">
        <f>MID(TB_CECO[[#This Row],[TRABAJO]],1,SEARCH(",",TB_CECO[[#This Row],[TRABAJO]],1)-1)</f>
        <v>Snv 094 NE (Tj 036 SW)</v>
      </c>
      <c r="C30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NE (Tj 036 SW),LIMPIEZA</v>
      </c>
      <c r="D30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58" s="47" t="s">
        <v>6055</v>
      </c>
      <c r="G3058" t="s">
        <v>6056</v>
      </c>
      <c r="H30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59" spans="1:8" ht="15" customHeight="1" x14ac:dyDescent="0.25">
      <c r="A3059" t="str">
        <f>MID(TB_CECO[[#This Row],[CECO_T]],1,5)</f>
        <v>3E52G</v>
      </c>
      <c r="B3059" t="str">
        <f>MID(TB_CECO[[#This Row],[TRABAJO]],1,SEARCH(",",TB_CECO[[#This Row],[TRABAJO]],1)-1)</f>
        <v>Snv 094 NE (Tj 036 SW)</v>
      </c>
      <c r="C30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NE (Tj 036 SW),SERVICIO</v>
      </c>
      <c r="D30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59" s="47" t="s">
        <v>6057</v>
      </c>
      <c r="G3059" t="s">
        <v>6058</v>
      </c>
      <c r="H30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60" spans="1:8" ht="15" customHeight="1" x14ac:dyDescent="0.25">
      <c r="A3060" t="str">
        <f>MID(TB_CECO[[#This Row],[CECO_T]],1,5)</f>
        <v>3E52G</v>
      </c>
      <c r="B3060" t="str">
        <f>MID(TB_CECO[[#This Row],[TRABAJO]],1,SEARCH(",",TB_CECO[[#This Row],[TRABAJO]],1)-1)</f>
        <v>Snv 094 NE (Tj 036 SW)</v>
      </c>
      <c r="C30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NE (Tj 036 SW),PERFORACION</v>
      </c>
      <c r="D30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60" s="47" t="s">
        <v>6059</v>
      </c>
      <c r="G3060" t="s">
        <v>6060</v>
      </c>
      <c r="H30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61" spans="1:8" ht="15" customHeight="1" x14ac:dyDescent="0.25">
      <c r="A3061" t="str">
        <f>MID(TB_CECO[[#This Row],[CECO_T]],1,5)</f>
        <v>3E52G</v>
      </c>
      <c r="B3061" t="str">
        <f>MID(TB_CECO[[#This Row],[TRABAJO]],1,SEARCH(",",TB_CECO[[#This Row],[TRABAJO]],1)-1)</f>
        <v>Snv 094 NE (Tj 036 SW)</v>
      </c>
      <c r="C30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NE (Tj 036 SW),SOSTENIMIENTO</v>
      </c>
      <c r="D30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61" s="47" t="s">
        <v>6061</v>
      </c>
      <c r="G3061" t="s">
        <v>6062</v>
      </c>
      <c r="H30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62" spans="1:8" ht="15" customHeight="1" x14ac:dyDescent="0.25">
      <c r="A3062" t="str">
        <f>MID(TB_CECO[[#This Row],[CECO_T]],1,5)</f>
        <v>3E52G</v>
      </c>
      <c r="B3062" t="str">
        <f>MID(TB_CECO[[#This Row],[TRABAJO]],1,SEARCH(",",TB_CECO[[#This Row],[TRABAJO]],1)-1)</f>
        <v>Snv 094 NE (Tj 036 SW)</v>
      </c>
      <c r="C30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094 NE (Tj 036 SW),VOLADURA</v>
      </c>
      <c r="D30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62" s="47" t="s">
        <v>6063</v>
      </c>
      <c r="G3062" t="s">
        <v>6064</v>
      </c>
      <c r="H30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63" spans="1:8" ht="15" customHeight="1" x14ac:dyDescent="0.25">
      <c r="A3063" t="str">
        <f>MID(TB_CECO[[#This Row],[CECO_T]],1,5)</f>
        <v>3E52H</v>
      </c>
      <c r="B3063" t="str">
        <f>MID(TB_CECO[[#This Row],[TRABAJO]],1,SEARCH(",",TB_CECO[[#This Row],[TRABAJO]],1)-1)</f>
        <v>Snv 072 SW (Est 072 NW)</v>
      </c>
      <c r="C30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SW (Est 072 NW),LIMPIEZA</v>
      </c>
      <c r="D30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63" s="47" t="s">
        <v>6065</v>
      </c>
      <c r="G3063" t="s">
        <v>6066</v>
      </c>
      <c r="H30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64" spans="1:8" ht="15" customHeight="1" x14ac:dyDescent="0.25">
      <c r="A3064" t="str">
        <f>MID(TB_CECO[[#This Row],[CECO_T]],1,5)</f>
        <v>3E52H</v>
      </c>
      <c r="B3064" t="str">
        <f>MID(TB_CECO[[#This Row],[TRABAJO]],1,SEARCH(",",TB_CECO[[#This Row],[TRABAJO]],1)-1)</f>
        <v>Snv 072 SW (Est 072 NW)</v>
      </c>
      <c r="C30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SW (Est 072 NW),SERVICIO</v>
      </c>
      <c r="D30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64" s="47" t="s">
        <v>6067</v>
      </c>
      <c r="G3064" t="s">
        <v>6068</v>
      </c>
      <c r="H30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65" spans="1:8" ht="15" customHeight="1" x14ac:dyDescent="0.25">
      <c r="A3065" t="str">
        <f>MID(TB_CECO[[#This Row],[CECO_T]],1,5)</f>
        <v>3E52H</v>
      </c>
      <c r="B3065" t="str">
        <f>MID(TB_CECO[[#This Row],[TRABAJO]],1,SEARCH(",",TB_CECO[[#This Row],[TRABAJO]],1)-1)</f>
        <v>Snv 072 SW (Est 072 NW)</v>
      </c>
      <c r="C30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SW (Est 072 NW),PERFORACION</v>
      </c>
      <c r="D30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65" s="47" t="s">
        <v>6069</v>
      </c>
      <c r="G3065" t="s">
        <v>6070</v>
      </c>
      <c r="H30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66" spans="1:8" ht="15" customHeight="1" x14ac:dyDescent="0.25">
      <c r="A3066" t="str">
        <f>MID(TB_CECO[[#This Row],[CECO_T]],1,5)</f>
        <v>3E52H</v>
      </c>
      <c r="B3066" t="str">
        <f>MID(TB_CECO[[#This Row],[TRABAJO]],1,SEARCH(",",TB_CECO[[#This Row],[TRABAJO]],1)-1)</f>
        <v>Snv 072 SW (Est 072 NW)</v>
      </c>
      <c r="C30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SW (Est 072 NW),SOSTENIMIENTO</v>
      </c>
      <c r="D30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66" s="47" t="s">
        <v>6071</v>
      </c>
      <c r="G3066" t="s">
        <v>6072</v>
      </c>
      <c r="H30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67" spans="1:8" ht="15" customHeight="1" x14ac:dyDescent="0.25">
      <c r="A3067" t="str">
        <f>MID(TB_CECO[[#This Row],[CECO_T]],1,5)</f>
        <v>3E52H</v>
      </c>
      <c r="B3067" t="str">
        <f>MID(TB_CECO[[#This Row],[TRABAJO]],1,SEARCH(",",TB_CECO[[#This Row],[TRABAJO]],1)-1)</f>
        <v>Snv 072 SW (Est 072 NW)</v>
      </c>
      <c r="C30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SW (Est 072 NW),VOLADURA</v>
      </c>
      <c r="D30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67" s="47" t="s">
        <v>6073</v>
      </c>
      <c r="G3067" t="s">
        <v>6074</v>
      </c>
      <c r="H30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68" spans="1:8" ht="15" customHeight="1" x14ac:dyDescent="0.25">
      <c r="A3068" t="str">
        <f>MID(TB_CECO[[#This Row],[CECO_T]],1,5)</f>
        <v>3E52I</v>
      </c>
      <c r="B3068" t="str">
        <f>MID(TB_CECO[[#This Row],[TRABAJO]],1,SEARCH(",",TB_CECO[[#This Row],[TRABAJO]],1)-1)</f>
        <v>Snv 072 SW (Ch 064)</v>
      </c>
      <c r="C30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SW (Ch 064),LIMPIEZA</v>
      </c>
      <c r="D30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68" s="47" t="s">
        <v>6075</v>
      </c>
      <c r="G3068" t="s">
        <v>6076</v>
      </c>
      <c r="H30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69" spans="1:8" ht="15" customHeight="1" x14ac:dyDescent="0.25">
      <c r="A3069" t="str">
        <f>MID(TB_CECO[[#This Row],[CECO_T]],1,5)</f>
        <v>3E52I</v>
      </c>
      <c r="B3069" t="str">
        <f>MID(TB_CECO[[#This Row],[TRABAJO]],1,SEARCH(",",TB_CECO[[#This Row],[TRABAJO]],1)-1)</f>
        <v>Snv 072 SW (Ch 064)</v>
      </c>
      <c r="C30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SW (Ch 064),SERVICIO</v>
      </c>
      <c r="D30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69" s="47" t="s">
        <v>6077</v>
      </c>
      <c r="G3069" t="s">
        <v>6078</v>
      </c>
      <c r="H30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70" spans="1:8" ht="15" customHeight="1" x14ac:dyDescent="0.25">
      <c r="A3070" t="str">
        <f>MID(TB_CECO[[#This Row],[CECO_T]],1,5)</f>
        <v>3E52I</v>
      </c>
      <c r="B3070" t="str">
        <f>MID(TB_CECO[[#This Row],[TRABAJO]],1,SEARCH(",",TB_CECO[[#This Row],[TRABAJO]],1)-1)</f>
        <v>Snv 072 SW (Ch 064)</v>
      </c>
      <c r="C30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SW (Ch 064),PERFORACION</v>
      </c>
      <c r="D30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70" s="47" t="s">
        <v>6079</v>
      </c>
      <c r="G3070" t="s">
        <v>6080</v>
      </c>
      <c r="H30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71" spans="1:8" ht="15" customHeight="1" x14ac:dyDescent="0.25">
      <c r="A3071" t="str">
        <f>MID(TB_CECO[[#This Row],[CECO_T]],1,5)</f>
        <v>3E52I</v>
      </c>
      <c r="B3071" t="str">
        <f>MID(TB_CECO[[#This Row],[TRABAJO]],1,SEARCH(",",TB_CECO[[#This Row],[TRABAJO]],1)-1)</f>
        <v>Snv 072 SW (Ch 064)</v>
      </c>
      <c r="C30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SW (Ch 064),SOSTENIMIENTO</v>
      </c>
      <c r="D30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71" s="47" t="s">
        <v>6081</v>
      </c>
      <c r="G3071" t="s">
        <v>6082</v>
      </c>
      <c r="H30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72" spans="1:8" ht="15" customHeight="1" x14ac:dyDescent="0.25">
      <c r="A3072" t="str">
        <f>MID(TB_CECO[[#This Row],[CECO_T]],1,5)</f>
        <v>3E52I</v>
      </c>
      <c r="B3072" t="str">
        <f>MID(TB_CECO[[#This Row],[TRABAJO]],1,SEARCH(",",TB_CECO[[#This Row],[TRABAJO]],1)-1)</f>
        <v>Snv 072 SW (Ch 064)</v>
      </c>
      <c r="C30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SW (Ch 064),VOLADURA</v>
      </c>
      <c r="D30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72" s="47" t="s">
        <v>6083</v>
      </c>
      <c r="G3072" t="s">
        <v>6084</v>
      </c>
      <c r="H30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73" spans="1:8" ht="15" customHeight="1" x14ac:dyDescent="0.25">
      <c r="A3073" t="str">
        <f>MID(TB_CECO[[#This Row],[CECO_T]],1,5)</f>
        <v>3E52J</v>
      </c>
      <c r="B3073" t="str">
        <f>MID(TB_CECO[[#This Row],[TRABAJO]],1,SEARCH(",",TB_CECO[[#This Row],[TRABAJO]],1)-1)</f>
        <v>Snv 868 SW (Est 868 SE)</v>
      </c>
      <c r="C30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SW (Est 868 SE),LIMPIEZA</v>
      </c>
      <c r="D30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73" s="47" t="s">
        <v>6085</v>
      </c>
      <c r="G3073" t="s">
        <v>6086</v>
      </c>
      <c r="H30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74" spans="1:8" ht="15" customHeight="1" x14ac:dyDescent="0.25">
      <c r="A3074" t="str">
        <f>MID(TB_CECO[[#This Row],[CECO_T]],1,5)</f>
        <v>3E52J</v>
      </c>
      <c r="B3074" t="str">
        <f>MID(TB_CECO[[#This Row],[TRABAJO]],1,SEARCH(",",TB_CECO[[#This Row],[TRABAJO]],1)-1)</f>
        <v>Snv 868 SW (Est 868 SE)</v>
      </c>
      <c r="C30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SW (Est 868 SE),SERVICIO</v>
      </c>
      <c r="D30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74" s="47" t="s">
        <v>6087</v>
      </c>
      <c r="G3074" t="s">
        <v>6088</v>
      </c>
      <c r="H30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75" spans="1:8" ht="15" customHeight="1" x14ac:dyDescent="0.25">
      <c r="A3075" t="str">
        <f>MID(TB_CECO[[#This Row],[CECO_T]],1,5)</f>
        <v>3E52J</v>
      </c>
      <c r="B3075" t="str">
        <f>MID(TB_CECO[[#This Row],[TRABAJO]],1,SEARCH(",",TB_CECO[[#This Row],[TRABAJO]],1)-1)</f>
        <v>Snv 868 SW (Est 868 SE)</v>
      </c>
      <c r="C30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SW (Est 868 SE),PERFORACION</v>
      </c>
      <c r="D30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75" s="47" t="s">
        <v>6089</v>
      </c>
      <c r="G3075" t="s">
        <v>6090</v>
      </c>
      <c r="H30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76" spans="1:8" ht="15" customHeight="1" x14ac:dyDescent="0.25">
      <c r="A3076" t="str">
        <f>MID(TB_CECO[[#This Row],[CECO_T]],1,5)</f>
        <v>3E52J</v>
      </c>
      <c r="B3076" t="str">
        <f>MID(TB_CECO[[#This Row],[TRABAJO]],1,SEARCH(",",TB_CECO[[#This Row],[TRABAJO]],1)-1)</f>
        <v>Snv 868 SW (Est 868 SE)</v>
      </c>
      <c r="C30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SW (Est 868 SE),SOSTENIMIENTO</v>
      </c>
      <c r="D30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76" s="47" t="s">
        <v>6091</v>
      </c>
      <c r="G3076" t="s">
        <v>6092</v>
      </c>
      <c r="H30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77" spans="1:8" ht="15" customHeight="1" x14ac:dyDescent="0.25">
      <c r="A3077" t="str">
        <f>MID(TB_CECO[[#This Row],[CECO_T]],1,5)</f>
        <v>3E52J</v>
      </c>
      <c r="B3077" t="str">
        <f>MID(TB_CECO[[#This Row],[TRABAJO]],1,SEARCH(",",TB_CECO[[#This Row],[TRABAJO]],1)-1)</f>
        <v>Snv 868 SW (Est 868 SE)</v>
      </c>
      <c r="C30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SW (Est 868 SE),VOLADURA</v>
      </c>
      <c r="D30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77" s="47" t="s">
        <v>6093</v>
      </c>
      <c r="G3077" t="s">
        <v>6094</v>
      </c>
      <c r="H30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78" spans="1:8" ht="15" customHeight="1" x14ac:dyDescent="0.25">
      <c r="A3078" t="str">
        <f>MID(TB_CECO[[#This Row],[CECO_T]],1,5)</f>
        <v>3E52K</v>
      </c>
      <c r="B3078" t="str">
        <f>MID(TB_CECO[[#This Row],[TRABAJO]],1,SEARCH(",",TB_CECO[[#This Row],[TRABAJO]],1)-1)</f>
        <v>Snv 868 NE (Est 868 SE)</v>
      </c>
      <c r="C30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NE (Est 868 SE),LIMPIEZA</v>
      </c>
      <c r="D30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78" s="47" t="s">
        <v>6095</v>
      </c>
      <c r="G3078" t="s">
        <v>6096</v>
      </c>
      <c r="H30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79" spans="1:8" ht="15" customHeight="1" x14ac:dyDescent="0.25">
      <c r="A3079" t="str">
        <f>MID(TB_CECO[[#This Row],[CECO_T]],1,5)</f>
        <v>3E52K</v>
      </c>
      <c r="B3079" t="str">
        <f>MID(TB_CECO[[#This Row],[TRABAJO]],1,SEARCH(",",TB_CECO[[#This Row],[TRABAJO]],1)-1)</f>
        <v>Snv 868 NE (Est 868 SE)</v>
      </c>
      <c r="C30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NE (Est 868 SE),SERVICIO</v>
      </c>
      <c r="D30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79" s="47" t="s">
        <v>6097</v>
      </c>
      <c r="G3079" t="s">
        <v>6098</v>
      </c>
      <c r="H30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80" spans="1:8" ht="15" customHeight="1" x14ac:dyDescent="0.25">
      <c r="A3080" t="str">
        <f>MID(TB_CECO[[#This Row],[CECO_T]],1,5)</f>
        <v>3E52K</v>
      </c>
      <c r="B3080" t="str">
        <f>MID(TB_CECO[[#This Row],[TRABAJO]],1,SEARCH(",",TB_CECO[[#This Row],[TRABAJO]],1)-1)</f>
        <v>Snv 868 NE (Est 868 SE)</v>
      </c>
      <c r="C30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NE (Est 868 SE),PERFORACION</v>
      </c>
      <c r="D30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80" s="47" t="s">
        <v>6099</v>
      </c>
      <c r="G3080" t="s">
        <v>6100</v>
      </c>
      <c r="H30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81" spans="1:8" ht="15" customHeight="1" x14ac:dyDescent="0.25">
      <c r="A3081" t="str">
        <f>MID(TB_CECO[[#This Row],[CECO_T]],1,5)</f>
        <v>3E52K</v>
      </c>
      <c r="B3081" t="str">
        <f>MID(TB_CECO[[#This Row],[TRABAJO]],1,SEARCH(",",TB_CECO[[#This Row],[TRABAJO]],1)-1)</f>
        <v>Snv 868 NE (Est 868 SE)</v>
      </c>
      <c r="C30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NE (Est 868 SE),SOSTENIMIENTO</v>
      </c>
      <c r="D30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81" s="47" t="s">
        <v>6101</v>
      </c>
      <c r="G3081" t="s">
        <v>6102</v>
      </c>
      <c r="H30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82" spans="1:8" ht="15" customHeight="1" x14ac:dyDescent="0.25">
      <c r="A3082" t="str">
        <f>MID(TB_CECO[[#This Row],[CECO_T]],1,5)</f>
        <v>3E52K</v>
      </c>
      <c r="B3082" t="str">
        <f>MID(TB_CECO[[#This Row],[TRABAJO]],1,SEARCH(",",TB_CECO[[#This Row],[TRABAJO]],1)-1)</f>
        <v>Snv 868 NE (Est 868 SE)</v>
      </c>
      <c r="C30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NE (Est 868 SE),VOLADURA</v>
      </c>
      <c r="D30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82" s="47" t="s">
        <v>6103</v>
      </c>
      <c r="G3082" t="s">
        <v>6104</v>
      </c>
      <c r="H30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83" spans="1:8" ht="15" customHeight="1" x14ac:dyDescent="0.25">
      <c r="A3083" t="str">
        <f>MID(TB_CECO[[#This Row],[CECO_T]],1,5)</f>
        <v>3E52P</v>
      </c>
      <c r="B3083" t="str">
        <f>MID(TB_CECO[[#This Row],[TRABAJO]],1,SEARCH(",",TB_CECO[[#This Row],[TRABAJO]],1)-1)</f>
        <v>Snv 098 NE (Ch 066)</v>
      </c>
      <c r="C30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098 NE (Ch 066),LIMPIEZA</v>
      </c>
      <c r="D30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83" s="47" t="s">
        <v>6105</v>
      </c>
      <c r="G3083" t="s">
        <v>6106</v>
      </c>
      <c r="H30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84" spans="1:8" ht="15" customHeight="1" x14ac:dyDescent="0.25">
      <c r="A3084" t="str">
        <f>MID(TB_CECO[[#This Row],[CECO_T]],1,5)</f>
        <v>3E52P</v>
      </c>
      <c r="B3084" t="str">
        <f>MID(TB_CECO[[#This Row],[TRABAJO]],1,SEARCH(",",TB_CECO[[#This Row],[TRABAJO]],1)-1)</f>
        <v>Snv 098 NE (Ch 066)</v>
      </c>
      <c r="C30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098 NE (Ch 066),SERVICIO</v>
      </c>
      <c r="D30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84" s="47" t="s">
        <v>6107</v>
      </c>
      <c r="G3084" t="s">
        <v>6108</v>
      </c>
      <c r="H30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85" spans="1:8" ht="15" customHeight="1" x14ac:dyDescent="0.25">
      <c r="A3085" t="str">
        <f>MID(TB_CECO[[#This Row],[CECO_T]],1,5)</f>
        <v>3E52P</v>
      </c>
      <c r="B3085" t="str">
        <f>MID(TB_CECO[[#This Row],[TRABAJO]],1,SEARCH(",",TB_CECO[[#This Row],[TRABAJO]],1)-1)</f>
        <v>Snv 098 NE (Ch 066)</v>
      </c>
      <c r="C30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098 NE (Ch 066),PERFORACION</v>
      </c>
      <c r="D30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85" s="47" t="s">
        <v>6109</v>
      </c>
      <c r="G3085" t="s">
        <v>6110</v>
      </c>
      <c r="H30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86" spans="1:8" ht="15" customHeight="1" x14ac:dyDescent="0.25">
      <c r="A3086" t="str">
        <f>MID(TB_CECO[[#This Row],[CECO_T]],1,5)</f>
        <v>3E52P</v>
      </c>
      <c r="B3086" t="str">
        <f>MID(TB_CECO[[#This Row],[TRABAJO]],1,SEARCH(",",TB_CECO[[#This Row],[TRABAJO]],1)-1)</f>
        <v>Snv 098 NE (Ch 066)</v>
      </c>
      <c r="C30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098 NE (Ch 066),SOSTENIMIENTO</v>
      </c>
      <c r="D30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86" s="47" t="s">
        <v>6111</v>
      </c>
      <c r="G3086" t="s">
        <v>6112</v>
      </c>
      <c r="H30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87" spans="1:8" ht="15" customHeight="1" x14ac:dyDescent="0.25">
      <c r="A3087" t="str">
        <f>MID(TB_CECO[[#This Row],[CECO_T]],1,5)</f>
        <v>3E52P</v>
      </c>
      <c r="B3087" t="str">
        <f>MID(TB_CECO[[#This Row],[TRABAJO]],1,SEARCH(",",TB_CECO[[#This Row],[TRABAJO]],1)-1)</f>
        <v>Snv 098 NE (Ch 066)</v>
      </c>
      <c r="C30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098 NE (Ch 066),VOLADURA</v>
      </c>
      <c r="D30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87" s="47" t="s">
        <v>6113</v>
      </c>
      <c r="G3087" t="s">
        <v>6114</v>
      </c>
      <c r="H30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88" spans="1:8" ht="15" customHeight="1" x14ac:dyDescent="0.25">
      <c r="A3088" t="str">
        <f>MID(TB_CECO[[#This Row],[CECO_T]],1,5)</f>
        <v>3E52R</v>
      </c>
      <c r="B3088" t="str">
        <f>MID(TB_CECO[[#This Row],[TRABAJO]],1,SEARCH(",",TB_CECO[[#This Row],[TRABAJO]],1)-1)</f>
        <v>Snv 842 SW (Est 847 SW)</v>
      </c>
      <c r="C30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842 SW (Est 847 SW),LIMPIEZA</v>
      </c>
      <c r="D30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88" s="47" t="s">
        <v>6115</v>
      </c>
      <c r="G3088" t="s">
        <v>6116</v>
      </c>
      <c r="H30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89" spans="1:8" ht="15" customHeight="1" x14ac:dyDescent="0.25">
      <c r="A3089" t="str">
        <f>MID(TB_CECO[[#This Row],[CECO_T]],1,5)</f>
        <v>3E52R</v>
      </c>
      <c r="B3089" t="str">
        <f>MID(TB_CECO[[#This Row],[TRABAJO]],1,SEARCH(",",TB_CECO[[#This Row],[TRABAJO]],1)-1)</f>
        <v>Snv 842 SW (Est 847 SW)</v>
      </c>
      <c r="C30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842 SW (Est 847 SW),SERVICIO</v>
      </c>
      <c r="D30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89" s="47" t="s">
        <v>6117</v>
      </c>
      <c r="G3089" t="s">
        <v>6118</v>
      </c>
      <c r="H30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90" spans="1:8" ht="15" customHeight="1" x14ac:dyDescent="0.25">
      <c r="A3090" t="str">
        <f>MID(TB_CECO[[#This Row],[CECO_T]],1,5)</f>
        <v>3E52R</v>
      </c>
      <c r="B3090" t="str">
        <f>MID(TB_CECO[[#This Row],[TRABAJO]],1,SEARCH(",",TB_CECO[[#This Row],[TRABAJO]],1)-1)</f>
        <v>Snv 842 SW (Est 847 SW)</v>
      </c>
      <c r="C30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842 SW (Est 847 SW),PERFORACION</v>
      </c>
      <c r="D30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90" s="47" t="s">
        <v>6119</v>
      </c>
      <c r="G3090" t="s">
        <v>6120</v>
      </c>
      <c r="H30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91" spans="1:8" ht="15" customHeight="1" x14ac:dyDescent="0.25">
      <c r="A3091" t="str">
        <f>MID(TB_CECO[[#This Row],[CECO_T]],1,5)</f>
        <v>3E52R</v>
      </c>
      <c r="B3091" t="str">
        <f>MID(TB_CECO[[#This Row],[TRABAJO]],1,SEARCH(",",TB_CECO[[#This Row],[TRABAJO]],1)-1)</f>
        <v>Snv 842 SW (Est 847 SW)</v>
      </c>
      <c r="C30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842 SW (Est 847 SW),SOSTENIMIENTO</v>
      </c>
      <c r="D30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91" s="47" t="s">
        <v>6121</v>
      </c>
      <c r="G3091" t="s">
        <v>6122</v>
      </c>
      <c r="H30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92" spans="1:8" ht="15" customHeight="1" x14ac:dyDescent="0.25">
      <c r="A3092" t="str">
        <f>MID(TB_CECO[[#This Row],[CECO_T]],1,5)</f>
        <v>3E52R</v>
      </c>
      <c r="B3092" t="str">
        <f>MID(TB_CECO[[#This Row],[TRABAJO]],1,SEARCH(",",TB_CECO[[#This Row],[TRABAJO]],1)-1)</f>
        <v>Snv 842 SW (Est 847 SW)</v>
      </c>
      <c r="C30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842 SW (Est 847 SW),VOLADURA</v>
      </c>
      <c r="D30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92" s="47" t="s">
        <v>6123</v>
      </c>
      <c r="G3092" t="s">
        <v>6124</v>
      </c>
      <c r="H30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93" spans="1:8" ht="15" customHeight="1" x14ac:dyDescent="0.25">
      <c r="A3093" t="str">
        <f>MID(TB_CECO[[#This Row],[CECO_T]],1,5)</f>
        <v>3E52T</v>
      </c>
      <c r="B3093" t="str">
        <f>MID(TB_CECO[[#This Row],[TRABAJO]],1,SEARCH(",",TB_CECO[[#This Row],[TRABAJO]],1)-1)</f>
        <v>Snv 053 NE (Tj 057 SW)</v>
      </c>
      <c r="C30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053 NE (Tj 057 SW),LIMPIEZA</v>
      </c>
      <c r="D30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93" s="47" t="s">
        <v>6125</v>
      </c>
      <c r="G3093" t="s">
        <v>6126</v>
      </c>
      <c r="H30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94" spans="1:8" ht="15" customHeight="1" x14ac:dyDescent="0.25">
      <c r="A3094" t="str">
        <f>MID(TB_CECO[[#This Row],[CECO_T]],1,5)</f>
        <v>3E52T</v>
      </c>
      <c r="B3094" t="str">
        <f>MID(TB_CECO[[#This Row],[TRABAJO]],1,SEARCH(",",TB_CECO[[#This Row],[TRABAJO]],1)-1)</f>
        <v>Snv 053 NE (Tj 057 SW)</v>
      </c>
      <c r="C30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053 NE (Tj 057 SW),SERVICIO</v>
      </c>
      <c r="D30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94" s="47" t="s">
        <v>6127</v>
      </c>
      <c r="G3094" t="s">
        <v>6128</v>
      </c>
      <c r="H30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95" spans="1:8" ht="15" customHeight="1" x14ac:dyDescent="0.25">
      <c r="A3095" t="str">
        <f>MID(TB_CECO[[#This Row],[CECO_T]],1,5)</f>
        <v>3E52T</v>
      </c>
      <c r="B3095" t="str">
        <f>MID(TB_CECO[[#This Row],[TRABAJO]],1,SEARCH(",",TB_CECO[[#This Row],[TRABAJO]],1)-1)</f>
        <v>Snv 053 NE (Tj 057 SW)</v>
      </c>
      <c r="C30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053 NE (Tj 057 SW),PERFORACION</v>
      </c>
      <c r="D30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95" s="47" t="s">
        <v>6129</v>
      </c>
      <c r="G3095" t="s">
        <v>6130</v>
      </c>
      <c r="H30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96" spans="1:8" ht="15" customHeight="1" x14ac:dyDescent="0.25">
      <c r="A3096" t="str">
        <f>MID(TB_CECO[[#This Row],[CECO_T]],1,5)</f>
        <v>3E52T</v>
      </c>
      <c r="B3096" t="str">
        <f>MID(TB_CECO[[#This Row],[TRABAJO]],1,SEARCH(",",TB_CECO[[#This Row],[TRABAJO]],1)-1)</f>
        <v>Snv 053 NE (Tj 057 SW)</v>
      </c>
      <c r="C30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053 NE (Tj 057 SW),SOSTENIMIENTO</v>
      </c>
      <c r="D30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96" s="47" t="s">
        <v>6131</v>
      </c>
      <c r="G3096" t="s">
        <v>6132</v>
      </c>
      <c r="H30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97" spans="1:8" ht="15" customHeight="1" x14ac:dyDescent="0.25">
      <c r="A3097" t="str">
        <f>MID(TB_CECO[[#This Row],[CECO_T]],1,5)</f>
        <v>3E52T</v>
      </c>
      <c r="B3097" t="str">
        <f>MID(TB_CECO[[#This Row],[TRABAJO]],1,SEARCH(",",TB_CECO[[#This Row],[TRABAJO]],1)-1)</f>
        <v>Snv 053 NE (Tj 057 SW)</v>
      </c>
      <c r="C30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053 NE (Tj 057 SW),VOLADURA</v>
      </c>
      <c r="D30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97" s="47" t="s">
        <v>6133</v>
      </c>
      <c r="G3097" t="s">
        <v>6134</v>
      </c>
      <c r="H30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98" spans="1:8" ht="15" customHeight="1" x14ac:dyDescent="0.25">
      <c r="A3098" t="str">
        <f>MID(TB_CECO[[#This Row],[CECO_T]],1,5)</f>
        <v>3E52V</v>
      </c>
      <c r="B3098" t="str">
        <f>MID(TB_CECO[[#This Row],[TRABAJO]],1,SEARCH(",",TB_CECO[[#This Row],[TRABAJO]],1)-1)</f>
        <v>Snv 030 NE (Est 075-4 SE)</v>
      </c>
      <c r="C30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NE (Est 075-4 SE),LIMPIEZA</v>
      </c>
      <c r="D30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98" s="47" t="s">
        <v>6135</v>
      </c>
      <c r="G3098" t="s">
        <v>6136</v>
      </c>
      <c r="H30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099" spans="1:8" ht="15" customHeight="1" x14ac:dyDescent="0.25">
      <c r="A3099" t="str">
        <f>MID(TB_CECO[[#This Row],[CECO_T]],1,5)</f>
        <v>3E52V</v>
      </c>
      <c r="B3099" t="str">
        <f>MID(TB_CECO[[#This Row],[TRABAJO]],1,SEARCH(",",TB_CECO[[#This Row],[TRABAJO]],1)-1)</f>
        <v>Snv 030 NE (Est 075-4 SE)</v>
      </c>
      <c r="C30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NE (Est 075-4 SE),SERVICIO</v>
      </c>
      <c r="D30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0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099" s="47" t="s">
        <v>6137</v>
      </c>
      <c r="G3099" t="s">
        <v>6138</v>
      </c>
      <c r="H30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00" spans="1:8" ht="15" customHeight="1" x14ac:dyDescent="0.25">
      <c r="A3100" t="str">
        <f>MID(TB_CECO[[#This Row],[CECO_T]],1,5)</f>
        <v>3E52V</v>
      </c>
      <c r="B3100" t="str">
        <f>MID(TB_CECO[[#This Row],[TRABAJO]],1,SEARCH(",",TB_CECO[[#This Row],[TRABAJO]],1)-1)</f>
        <v>Snv 030 NE (Est 075-4 SE)</v>
      </c>
      <c r="C31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NE (Est 075-4 SE),PERFORACION</v>
      </c>
      <c r="D31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00" s="47" t="s">
        <v>6139</v>
      </c>
      <c r="G3100" t="s">
        <v>6140</v>
      </c>
      <c r="H31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01" spans="1:8" ht="15" customHeight="1" x14ac:dyDescent="0.25">
      <c r="A3101" t="str">
        <f>MID(TB_CECO[[#This Row],[CECO_T]],1,5)</f>
        <v>3E52V</v>
      </c>
      <c r="B3101" t="str">
        <f>MID(TB_CECO[[#This Row],[TRABAJO]],1,SEARCH(",",TB_CECO[[#This Row],[TRABAJO]],1)-1)</f>
        <v>Snv 030 NE (Est 075-4 SE)</v>
      </c>
      <c r="C31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NE (Est 075-4 SE),SOSTENIMIENTO</v>
      </c>
      <c r="D31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01" s="47" t="s">
        <v>6141</v>
      </c>
      <c r="G3101" t="s">
        <v>6142</v>
      </c>
      <c r="H31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02" spans="1:8" ht="15" customHeight="1" x14ac:dyDescent="0.25">
      <c r="A3102" t="str">
        <f>MID(TB_CECO[[#This Row],[CECO_T]],1,5)</f>
        <v>3E52V</v>
      </c>
      <c r="B3102" t="str">
        <f>MID(TB_CECO[[#This Row],[TRABAJO]],1,SEARCH(",",TB_CECO[[#This Row],[TRABAJO]],1)-1)</f>
        <v>Snv 030 NE (Est 075-4 SE)</v>
      </c>
      <c r="C31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NE (Est 075-4 SE),VOLADURA</v>
      </c>
      <c r="D31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02" s="47" t="s">
        <v>6143</v>
      </c>
      <c r="G3102" t="s">
        <v>6144</v>
      </c>
      <c r="H31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03" spans="1:8" ht="15" customHeight="1" x14ac:dyDescent="0.25">
      <c r="A3103" t="str">
        <f>MID(TB_CECO[[#This Row],[CECO_T]],1,5)</f>
        <v>3E52W</v>
      </c>
      <c r="B3103" t="str">
        <f>MID(TB_CECO[[#This Row],[TRABAJO]],1,SEARCH(",",TB_CECO[[#This Row],[TRABAJO]],1)-1)</f>
        <v>Snv 030 SW (Est 075-4 SE)</v>
      </c>
      <c r="C31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SW (Est 075-4 SE),LIMPIEZA</v>
      </c>
      <c r="D31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03" s="47" t="s">
        <v>6145</v>
      </c>
      <c r="G3103" t="s">
        <v>6146</v>
      </c>
      <c r="H31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04" spans="1:8" ht="15" customHeight="1" x14ac:dyDescent="0.25">
      <c r="A3104" t="str">
        <f>MID(TB_CECO[[#This Row],[CECO_T]],1,5)</f>
        <v>3E52W</v>
      </c>
      <c r="B3104" t="str">
        <f>MID(TB_CECO[[#This Row],[TRABAJO]],1,SEARCH(",",TB_CECO[[#This Row],[TRABAJO]],1)-1)</f>
        <v>Snv 030 SW (Est 075-4 SE)</v>
      </c>
      <c r="C31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SW (Est 075-4 SE),SERVICIO</v>
      </c>
      <c r="D31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04" s="47" t="s">
        <v>6147</v>
      </c>
      <c r="G3104" t="s">
        <v>6148</v>
      </c>
      <c r="H31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05" spans="1:8" ht="15" customHeight="1" x14ac:dyDescent="0.25">
      <c r="A3105" t="str">
        <f>MID(TB_CECO[[#This Row],[CECO_T]],1,5)</f>
        <v>3E52W</v>
      </c>
      <c r="B3105" t="str">
        <f>MID(TB_CECO[[#This Row],[TRABAJO]],1,SEARCH(",",TB_CECO[[#This Row],[TRABAJO]],1)-1)</f>
        <v>Snv 030 SW (Est 075-4 SE)</v>
      </c>
      <c r="C31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SW (Est 075-4 SE),PERFORACION</v>
      </c>
      <c r="D31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05" s="47" t="s">
        <v>6149</v>
      </c>
      <c r="G3105" t="s">
        <v>6150</v>
      </c>
      <c r="H31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06" spans="1:8" ht="15" customHeight="1" x14ac:dyDescent="0.25">
      <c r="A3106" t="str">
        <f>MID(TB_CECO[[#This Row],[CECO_T]],1,5)</f>
        <v>3E52W</v>
      </c>
      <c r="B3106" t="str">
        <f>MID(TB_CECO[[#This Row],[TRABAJO]],1,SEARCH(",",TB_CECO[[#This Row],[TRABAJO]],1)-1)</f>
        <v>Snv 030 SW (Est 075-4 SE)</v>
      </c>
      <c r="C31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SW (Est 075-4 SE),SOSTENIMIENTO</v>
      </c>
      <c r="D31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06" s="47" t="s">
        <v>6151</v>
      </c>
      <c r="G3106" t="s">
        <v>6152</v>
      </c>
      <c r="H31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07" spans="1:8" ht="15" customHeight="1" x14ac:dyDescent="0.25">
      <c r="A3107" t="str">
        <f>MID(TB_CECO[[#This Row],[CECO_T]],1,5)</f>
        <v>3E52W</v>
      </c>
      <c r="B3107" t="str">
        <f>MID(TB_CECO[[#This Row],[TRABAJO]],1,SEARCH(",",TB_CECO[[#This Row],[TRABAJO]],1)-1)</f>
        <v>Snv 030 SW (Est 075-4 SE)</v>
      </c>
      <c r="C31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SW (Est 075-4 SE),VOLADURA</v>
      </c>
      <c r="D31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07" s="47" t="s">
        <v>6153</v>
      </c>
      <c r="G3107" t="s">
        <v>6154</v>
      </c>
      <c r="H31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08" spans="1:8" ht="15" customHeight="1" x14ac:dyDescent="0.25">
      <c r="A3108" t="str">
        <f>MID(TB_CECO[[#This Row],[CECO_T]],1,5)</f>
        <v>3E532</v>
      </c>
      <c r="B3108" t="str">
        <f>MID(TB_CECO[[#This Row],[TRABAJO]],1,SEARCH(",",TB_CECO[[#This Row],[TRABAJO]],1)-1)</f>
        <v>SNV 090 SW (EST  075 SE)</v>
      </c>
      <c r="C31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SW (EST  075 SE),SUMINISTROS</v>
      </c>
      <c r="D31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08" s="47" t="s">
        <v>6155</v>
      </c>
      <c r="G3108" t="s">
        <v>6156</v>
      </c>
      <c r="H31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09" spans="1:8" ht="15" customHeight="1" x14ac:dyDescent="0.25">
      <c r="A3109" t="str">
        <f>MID(TB_CECO[[#This Row],[CECO_T]],1,5)</f>
        <v>3E532</v>
      </c>
      <c r="B3109" t="str">
        <f>MID(TB_CECO[[#This Row],[TRABAJO]],1,SEARCH(",",TB_CECO[[#This Row],[TRABAJO]],1)-1)</f>
        <v>SNV 090 SW (EST  075 SE)</v>
      </c>
      <c r="C31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SW (EST  075 SE),SOSTENIMIENTO</v>
      </c>
      <c r="D31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09" s="47" t="s">
        <v>6157</v>
      </c>
      <c r="G3109" t="s">
        <v>6158</v>
      </c>
      <c r="H31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10" spans="1:8" ht="15" customHeight="1" x14ac:dyDescent="0.25">
      <c r="A3110" t="str">
        <f>MID(TB_CECO[[#This Row],[CECO_T]],1,5)</f>
        <v>3E532</v>
      </c>
      <c r="B3110" t="str">
        <f>MID(TB_CECO[[#This Row],[TRABAJO]],1,SEARCH(",",TB_CECO[[#This Row],[TRABAJO]],1)-1)</f>
        <v>SNV 090 SW (EST  075 SE)</v>
      </c>
      <c r="C31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SW (EST  075 SE),SERVICIO</v>
      </c>
      <c r="D31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10" s="47" t="s">
        <v>6159</v>
      </c>
      <c r="G3110" t="s">
        <v>6160</v>
      </c>
      <c r="H31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11" spans="1:8" ht="15" customHeight="1" x14ac:dyDescent="0.25">
      <c r="A3111" t="str">
        <f>MID(TB_CECO[[#This Row],[CECO_T]],1,5)</f>
        <v>3E532</v>
      </c>
      <c r="B3111" t="str">
        <f>MID(TB_CECO[[#This Row],[TRABAJO]],1,SEARCH(",",TB_CECO[[#This Row],[TRABAJO]],1)-1)</f>
        <v>SNV 090 SW (EST  075 SE)</v>
      </c>
      <c r="C31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SW (EST  075 SE),REHABILITACION</v>
      </c>
      <c r="D31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11" s="47" t="s">
        <v>6161</v>
      </c>
      <c r="G3111" t="s">
        <v>6162</v>
      </c>
      <c r="H31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12" spans="1:8" ht="15" customHeight="1" x14ac:dyDescent="0.25">
      <c r="A3112" t="str">
        <f>MID(TB_CECO[[#This Row],[CECO_T]],1,5)</f>
        <v>3E533</v>
      </c>
      <c r="B3112" t="str">
        <f>MID(TB_CECO[[#This Row],[TRABAJO]],1,SEARCH(",",TB_CECO[[#This Row],[TRABAJO]],1)-1)</f>
        <v>SNV 090 NE (EST  075 SE)</v>
      </c>
      <c r="C31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NE (EST  075 SE),SUMINISTROS</v>
      </c>
      <c r="D31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12" s="47" t="s">
        <v>6163</v>
      </c>
      <c r="G3112" t="s">
        <v>6164</v>
      </c>
      <c r="H31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13" spans="1:8" ht="15" customHeight="1" x14ac:dyDescent="0.25">
      <c r="A3113" t="str">
        <f>MID(TB_CECO[[#This Row],[CECO_T]],1,5)</f>
        <v>3E533</v>
      </c>
      <c r="B3113" t="str">
        <f>MID(TB_CECO[[#This Row],[TRABAJO]],1,SEARCH(",",TB_CECO[[#This Row],[TRABAJO]],1)-1)</f>
        <v>SNV 090 NE (EST  075 SE)</v>
      </c>
      <c r="C31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NE (EST  075 SE),SOSTENIMIENTO</v>
      </c>
      <c r="D31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13" s="47" t="s">
        <v>6165</v>
      </c>
      <c r="G3113" t="s">
        <v>6166</v>
      </c>
      <c r="H31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14" spans="1:8" ht="15" customHeight="1" x14ac:dyDescent="0.25">
      <c r="A3114" t="str">
        <f>MID(TB_CECO[[#This Row],[CECO_T]],1,5)</f>
        <v>3E533</v>
      </c>
      <c r="B3114" t="str">
        <f>MID(TB_CECO[[#This Row],[TRABAJO]],1,SEARCH(",",TB_CECO[[#This Row],[TRABAJO]],1)-1)</f>
        <v>SNV 090 NE (EST  075 SE)</v>
      </c>
      <c r="C31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NE (EST  075 SE),SERVICIO</v>
      </c>
      <c r="D31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14" s="47" t="s">
        <v>6167</v>
      </c>
      <c r="G3114" t="s">
        <v>6168</v>
      </c>
      <c r="H31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15" spans="1:8" ht="15" customHeight="1" x14ac:dyDescent="0.25">
      <c r="A3115" t="str">
        <f>MID(TB_CECO[[#This Row],[CECO_T]],1,5)</f>
        <v>3E533</v>
      </c>
      <c r="B3115" t="str">
        <f>MID(TB_CECO[[#This Row],[TRABAJO]],1,SEARCH(",",TB_CECO[[#This Row],[TRABAJO]],1)-1)</f>
        <v>SNV 090 NE (EST  075 SE)</v>
      </c>
      <c r="C31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090 NE (EST  075 SE),REHABILITACION</v>
      </c>
      <c r="D31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15" s="47" t="s">
        <v>6169</v>
      </c>
      <c r="G3115" t="s">
        <v>6170</v>
      </c>
      <c r="H31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16" spans="1:8" ht="15" customHeight="1" x14ac:dyDescent="0.25">
      <c r="A3116" t="str">
        <f>MID(TB_CECO[[#This Row],[CECO_T]],1,5)</f>
        <v>3E538</v>
      </c>
      <c r="B3116" t="str">
        <f>MID(TB_CECO[[#This Row],[TRABAJO]],1,SEARCH(",",TB_CECO[[#This Row],[TRABAJO]],1)-1)</f>
        <v>SNV 110 SW (TJ 045)</v>
      </c>
      <c r="C31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110 SW (TJ 045),SUMINISTROS</v>
      </c>
      <c r="D31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16" s="47" t="s">
        <v>6171</v>
      </c>
      <c r="G3116" t="s">
        <v>6172</v>
      </c>
      <c r="H31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17" spans="1:8" ht="15" customHeight="1" x14ac:dyDescent="0.25">
      <c r="A3117" t="str">
        <f>MID(TB_CECO[[#This Row],[CECO_T]],1,5)</f>
        <v>3E538</v>
      </c>
      <c r="B3117" t="str">
        <f>MID(TB_CECO[[#This Row],[TRABAJO]],1,SEARCH(",",TB_CECO[[#This Row],[TRABAJO]],1)-1)</f>
        <v>SNV 110 SW (TJ 045)</v>
      </c>
      <c r="C31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110 SW (TJ 045),SOSTENIMIENTO</v>
      </c>
      <c r="D31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17" s="47" t="s">
        <v>6173</v>
      </c>
      <c r="G3117" t="s">
        <v>6174</v>
      </c>
      <c r="H31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18" spans="1:8" ht="15" customHeight="1" x14ac:dyDescent="0.25">
      <c r="A3118" t="str">
        <f>MID(TB_CECO[[#This Row],[CECO_T]],1,5)</f>
        <v>3E538</v>
      </c>
      <c r="B3118" t="str">
        <f>MID(TB_CECO[[#This Row],[TRABAJO]],1,SEARCH(",",TB_CECO[[#This Row],[TRABAJO]],1)-1)</f>
        <v>SNV 110 SW (TJ 045)</v>
      </c>
      <c r="C31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110 SW (TJ 045),SERVICIO</v>
      </c>
      <c r="D31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18" s="47" t="s">
        <v>6175</v>
      </c>
      <c r="G3118" t="s">
        <v>6176</v>
      </c>
      <c r="H31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19" spans="1:8" ht="15" customHeight="1" x14ac:dyDescent="0.25">
      <c r="A3119" t="str">
        <f>MID(TB_CECO[[#This Row],[CECO_T]],1,5)</f>
        <v>3E538</v>
      </c>
      <c r="B3119" t="str">
        <f>MID(TB_CECO[[#This Row],[TRABAJO]],1,SEARCH(",",TB_CECO[[#This Row],[TRABAJO]],1)-1)</f>
        <v>SNV 110 SW (TJ 045)</v>
      </c>
      <c r="C31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110 SW (TJ 045),REHABILITACION</v>
      </c>
      <c r="D31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19" s="47" t="s">
        <v>6177</v>
      </c>
      <c r="G3119" t="s">
        <v>6178</v>
      </c>
      <c r="H31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20" spans="1:8" ht="15" customHeight="1" x14ac:dyDescent="0.25">
      <c r="A3120" t="str">
        <f>MID(TB_CECO[[#This Row],[CECO_T]],1,5)</f>
        <v>3E53A</v>
      </c>
      <c r="B3120" t="str">
        <f>MID(TB_CECO[[#This Row],[TRABAJO]],1,SEARCH(",",TB_CECO[[#This Row],[TRABAJO]],1)-1)</f>
        <v>Snv 032 NE (Est 075-4 SE)</v>
      </c>
      <c r="C31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032 NE (Est 075-4 SE),LIMPIEZA</v>
      </c>
      <c r="D31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20" s="47" t="s">
        <v>6179</v>
      </c>
      <c r="G3120" t="s">
        <v>6180</v>
      </c>
      <c r="H31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21" spans="1:8" ht="15" customHeight="1" x14ac:dyDescent="0.25">
      <c r="A3121" t="str">
        <f>MID(TB_CECO[[#This Row],[CECO_T]],1,5)</f>
        <v>3E53A</v>
      </c>
      <c r="B3121" t="str">
        <f>MID(TB_CECO[[#This Row],[TRABAJO]],1,SEARCH(",",TB_CECO[[#This Row],[TRABAJO]],1)-1)</f>
        <v>Snv 032 NE (Est 075-4 SE)</v>
      </c>
      <c r="C31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032 NE (Est 075-4 SE),SERVICIO</v>
      </c>
      <c r="D31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21" s="47" t="s">
        <v>6181</v>
      </c>
      <c r="G3121" t="s">
        <v>6182</v>
      </c>
      <c r="H31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22" spans="1:8" ht="15" customHeight="1" x14ac:dyDescent="0.25">
      <c r="A3122" t="str">
        <f>MID(TB_CECO[[#This Row],[CECO_T]],1,5)</f>
        <v>3E53A</v>
      </c>
      <c r="B3122" t="str">
        <f>MID(TB_CECO[[#This Row],[TRABAJO]],1,SEARCH(",",TB_CECO[[#This Row],[TRABAJO]],1)-1)</f>
        <v>Snv 032 NE (Est 075-4 SE)</v>
      </c>
      <c r="C31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032 NE (Est 075-4 SE),PERFORACION</v>
      </c>
      <c r="D31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22" s="47" t="s">
        <v>6183</v>
      </c>
      <c r="G3122" t="s">
        <v>6184</v>
      </c>
      <c r="H31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23" spans="1:8" ht="15" customHeight="1" x14ac:dyDescent="0.25">
      <c r="A3123" t="str">
        <f>MID(TB_CECO[[#This Row],[CECO_T]],1,5)</f>
        <v>3E53A</v>
      </c>
      <c r="B3123" t="str">
        <f>MID(TB_CECO[[#This Row],[TRABAJO]],1,SEARCH(",",TB_CECO[[#This Row],[TRABAJO]],1)-1)</f>
        <v>Snv 032 NE (Est 075-4 SE)</v>
      </c>
      <c r="C31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032 NE (Est 075-4 SE),SOSTENIMIENTO</v>
      </c>
      <c r="D31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23" s="47" t="s">
        <v>6185</v>
      </c>
      <c r="G3123" t="s">
        <v>6186</v>
      </c>
      <c r="H31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24" spans="1:8" ht="15" customHeight="1" x14ac:dyDescent="0.25">
      <c r="A3124" t="str">
        <f>MID(TB_CECO[[#This Row],[CECO_T]],1,5)</f>
        <v>3E53A</v>
      </c>
      <c r="B3124" t="str">
        <f>MID(TB_CECO[[#This Row],[TRABAJO]],1,SEARCH(",",TB_CECO[[#This Row],[TRABAJO]],1)-1)</f>
        <v>Snv 032 NE (Est 075-4 SE)</v>
      </c>
      <c r="C31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032 NE (Est 075-4 SE),VOLADURA</v>
      </c>
      <c r="D31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24" s="47" t="s">
        <v>6187</v>
      </c>
      <c r="G3124" t="s">
        <v>6188</v>
      </c>
      <c r="H31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25" spans="1:8" ht="15" customHeight="1" x14ac:dyDescent="0.25">
      <c r="A3125" t="str">
        <f>MID(TB_CECO[[#This Row],[CECO_T]],1,5)</f>
        <v>3E53B</v>
      </c>
      <c r="B3125" t="str">
        <f>MID(TB_CECO[[#This Row],[TRABAJO]],1,SEARCH(",",TB_CECO[[#This Row],[TRABAJO]],1)-1)</f>
        <v>Snv 032 SW (Est 075-4 SE)</v>
      </c>
      <c r="C31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032 SW (Est 075-4 SE),LIMPIEZA</v>
      </c>
      <c r="D31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25" s="47" t="s">
        <v>6189</v>
      </c>
      <c r="G3125" t="s">
        <v>6190</v>
      </c>
      <c r="H31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26" spans="1:8" ht="15" customHeight="1" x14ac:dyDescent="0.25">
      <c r="A3126" t="str">
        <f>MID(TB_CECO[[#This Row],[CECO_T]],1,5)</f>
        <v>3E53B</v>
      </c>
      <c r="B3126" t="str">
        <f>MID(TB_CECO[[#This Row],[TRABAJO]],1,SEARCH(",",TB_CECO[[#This Row],[TRABAJO]],1)-1)</f>
        <v>Snv 032 SW (Est 075-4 SE)</v>
      </c>
      <c r="C31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032 SW (Est 075-4 SE),SERVICIO</v>
      </c>
      <c r="D31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26" s="47" t="s">
        <v>6191</v>
      </c>
      <c r="G3126" t="s">
        <v>6192</v>
      </c>
      <c r="H31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27" spans="1:8" ht="15" customHeight="1" x14ac:dyDescent="0.25">
      <c r="A3127" t="str">
        <f>MID(TB_CECO[[#This Row],[CECO_T]],1,5)</f>
        <v>3E53B</v>
      </c>
      <c r="B3127" t="str">
        <f>MID(TB_CECO[[#This Row],[TRABAJO]],1,SEARCH(",",TB_CECO[[#This Row],[TRABAJO]],1)-1)</f>
        <v>Snv 032 SW (Est 075-4 SE)</v>
      </c>
      <c r="C31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032 SW (Est 075-4 SE),PERFORACION</v>
      </c>
      <c r="D31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27" s="47" t="s">
        <v>6193</v>
      </c>
      <c r="G3127" t="s">
        <v>6194</v>
      </c>
      <c r="H31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28" spans="1:8" ht="15" customHeight="1" x14ac:dyDescent="0.25">
      <c r="A3128" t="str">
        <f>MID(TB_CECO[[#This Row],[CECO_T]],1,5)</f>
        <v>3E53B</v>
      </c>
      <c r="B3128" t="str">
        <f>MID(TB_CECO[[#This Row],[TRABAJO]],1,SEARCH(",",TB_CECO[[#This Row],[TRABAJO]],1)-1)</f>
        <v>Snv 032 SW (Est 075-4 SE)</v>
      </c>
      <c r="C31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032 SW (Est 075-4 SE),SOSTENIMIENTO</v>
      </c>
      <c r="D31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28" s="47" t="s">
        <v>6195</v>
      </c>
      <c r="G3128" t="s">
        <v>6196</v>
      </c>
      <c r="H31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29" spans="1:8" ht="15" customHeight="1" x14ac:dyDescent="0.25">
      <c r="A3129" t="str">
        <f>MID(TB_CECO[[#This Row],[CECO_T]],1,5)</f>
        <v>3E53B</v>
      </c>
      <c r="B3129" t="str">
        <f>MID(TB_CECO[[#This Row],[TRABAJO]],1,SEARCH(",",TB_CECO[[#This Row],[TRABAJO]],1)-1)</f>
        <v>Snv 032 SW (Est 075-4 SE)</v>
      </c>
      <c r="C31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032 SW (Est 075-4 SE),VOLADURA</v>
      </c>
      <c r="D31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29" s="47" t="s">
        <v>6197</v>
      </c>
      <c r="G3129" t="s">
        <v>6198</v>
      </c>
      <c r="H31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30" spans="1:8" ht="15" customHeight="1" x14ac:dyDescent="0.25">
      <c r="A3130" t="str">
        <f>MID(TB_CECO[[#This Row],[CECO_T]],1,5)</f>
        <v>3E53C</v>
      </c>
      <c r="B3130" t="str">
        <f>MID(TB_CECO[[#This Row],[TRABAJO]],1,SEARCH(",",TB_CECO[[#This Row],[TRABAJO]],1)-1)</f>
        <v>Snv 026 NE (Est 075-4 SE)</v>
      </c>
      <c r="C31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NE (Est 075-4 SE),LIMPIEZA</v>
      </c>
      <c r="D31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30" s="47" t="s">
        <v>6199</v>
      </c>
      <c r="G3130" t="s">
        <v>6200</v>
      </c>
      <c r="H31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31" spans="1:8" ht="15" customHeight="1" x14ac:dyDescent="0.25">
      <c r="A3131" t="str">
        <f>MID(TB_CECO[[#This Row],[CECO_T]],1,5)</f>
        <v>3E53C</v>
      </c>
      <c r="B3131" t="str">
        <f>MID(TB_CECO[[#This Row],[TRABAJO]],1,SEARCH(",",TB_CECO[[#This Row],[TRABAJO]],1)-1)</f>
        <v>Snv 026 NE (Est 075-4 SE)</v>
      </c>
      <c r="C31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NE (Est 075-4 SE),SERVICIO</v>
      </c>
      <c r="D31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31" s="47" t="s">
        <v>6201</v>
      </c>
      <c r="G3131" t="s">
        <v>6202</v>
      </c>
      <c r="H31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32" spans="1:8" ht="15" customHeight="1" x14ac:dyDescent="0.25">
      <c r="A3132" t="str">
        <f>MID(TB_CECO[[#This Row],[CECO_T]],1,5)</f>
        <v>3E53C</v>
      </c>
      <c r="B3132" t="str">
        <f>MID(TB_CECO[[#This Row],[TRABAJO]],1,SEARCH(",",TB_CECO[[#This Row],[TRABAJO]],1)-1)</f>
        <v>Snv 026 NE (Est 075-4 SE)</v>
      </c>
      <c r="C31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NE (Est 075-4 SE),PERFORACION</v>
      </c>
      <c r="D31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32" s="47" t="s">
        <v>6203</v>
      </c>
      <c r="G3132" t="s">
        <v>6204</v>
      </c>
      <c r="H31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33" spans="1:8" ht="15" customHeight="1" x14ac:dyDescent="0.25">
      <c r="A3133" t="str">
        <f>MID(TB_CECO[[#This Row],[CECO_T]],1,5)</f>
        <v>3E53C</v>
      </c>
      <c r="B3133" t="str">
        <f>MID(TB_CECO[[#This Row],[TRABAJO]],1,SEARCH(",",TB_CECO[[#This Row],[TRABAJO]],1)-1)</f>
        <v>Snv 026 NE (Est 075-4 SE)</v>
      </c>
      <c r="C31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NE (Est 075-4 SE),SOSTENIMIENTO</v>
      </c>
      <c r="D31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33" s="47" t="s">
        <v>6205</v>
      </c>
      <c r="G3133" t="s">
        <v>6206</v>
      </c>
      <c r="H31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34" spans="1:8" ht="15" customHeight="1" x14ac:dyDescent="0.25">
      <c r="A3134" t="str">
        <f>MID(TB_CECO[[#This Row],[CECO_T]],1,5)</f>
        <v>3E53C</v>
      </c>
      <c r="B3134" t="str">
        <f>MID(TB_CECO[[#This Row],[TRABAJO]],1,SEARCH(",",TB_CECO[[#This Row],[TRABAJO]],1)-1)</f>
        <v>Snv 026 NE (Est 075-4 SE)</v>
      </c>
      <c r="C31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NE (Est 075-4 SE),VOLADURA</v>
      </c>
      <c r="D31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34" s="47" t="s">
        <v>6207</v>
      </c>
      <c r="G3134" t="s">
        <v>6208</v>
      </c>
      <c r="H31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35" spans="1:8" ht="15" customHeight="1" x14ac:dyDescent="0.25">
      <c r="A3135" t="str">
        <f>MID(TB_CECO[[#This Row],[CECO_T]],1,5)</f>
        <v>3E53D</v>
      </c>
      <c r="B3135" t="str">
        <f>MID(TB_CECO[[#This Row],[TRABAJO]],1,SEARCH(",",TB_CECO[[#This Row],[TRABAJO]],1)-1)</f>
        <v>Snv 026 SW (Est 075-4 SE)</v>
      </c>
      <c r="C31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SW (Est 075-4 SE),LIMPIEZA</v>
      </c>
      <c r="D31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35" s="47" t="s">
        <v>6209</v>
      </c>
      <c r="G3135" t="s">
        <v>6210</v>
      </c>
      <c r="H31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36" spans="1:8" ht="15" customHeight="1" x14ac:dyDescent="0.25">
      <c r="A3136" t="str">
        <f>MID(TB_CECO[[#This Row],[CECO_T]],1,5)</f>
        <v>3E53D</v>
      </c>
      <c r="B3136" t="str">
        <f>MID(TB_CECO[[#This Row],[TRABAJO]],1,SEARCH(",",TB_CECO[[#This Row],[TRABAJO]],1)-1)</f>
        <v>Snv 026 SW (Est 075-4 SE)</v>
      </c>
      <c r="C31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SW (Est 075-4 SE),SERVICIO</v>
      </c>
      <c r="D31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36" s="47" t="s">
        <v>6211</v>
      </c>
      <c r="G3136" t="s">
        <v>6212</v>
      </c>
      <c r="H31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37" spans="1:8" ht="15" customHeight="1" x14ac:dyDescent="0.25">
      <c r="A3137" t="str">
        <f>MID(TB_CECO[[#This Row],[CECO_T]],1,5)</f>
        <v>3E53D</v>
      </c>
      <c r="B3137" t="str">
        <f>MID(TB_CECO[[#This Row],[TRABAJO]],1,SEARCH(",",TB_CECO[[#This Row],[TRABAJO]],1)-1)</f>
        <v>Snv 026 SW (Est 075-4 SE)</v>
      </c>
      <c r="C31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SW (Est 075-4 SE),PERFORACION</v>
      </c>
      <c r="D31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37" s="47" t="s">
        <v>6213</v>
      </c>
      <c r="G3137" t="s">
        <v>6214</v>
      </c>
      <c r="H31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38" spans="1:8" ht="15" customHeight="1" x14ac:dyDescent="0.25">
      <c r="A3138" t="str">
        <f>MID(TB_CECO[[#This Row],[CECO_T]],1,5)</f>
        <v>3E53D</v>
      </c>
      <c r="B3138" t="str">
        <f>MID(TB_CECO[[#This Row],[TRABAJO]],1,SEARCH(",",TB_CECO[[#This Row],[TRABAJO]],1)-1)</f>
        <v>Snv 026 SW (Est 075-4 SE)</v>
      </c>
      <c r="C31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SW (Est 075-4 SE),SOSTENIMIENTO</v>
      </c>
      <c r="D31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38" s="47" t="s">
        <v>6215</v>
      </c>
      <c r="G3138" t="s">
        <v>6216</v>
      </c>
      <c r="H31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39" spans="1:8" ht="15" customHeight="1" x14ac:dyDescent="0.25">
      <c r="A3139" t="str">
        <f>MID(TB_CECO[[#This Row],[CECO_T]],1,5)</f>
        <v>3E53D</v>
      </c>
      <c r="B3139" t="str">
        <f>MID(TB_CECO[[#This Row],[TRABAJO]],1,SEARCH(",",TB_CECO[[#This Row],[TRABAJO]],1)-1)</f>
        <v>Snv 026 SW (Est 075-4 SE)</v>
      </c>
      <c r="C31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SW (Est 075-4 SE),VOLADURA</v>
      </c>
      <c r="D31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39" s="47" t="s">
        <v>6217</v>
      </c>
      <c r="G3139" t="s">
        <v>6218</v>
      </c>
      <c r="H31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40" spans="1:8" ht="15" customHeight="1" x14ac:dyDescent="0.25">
      <c r="A3140" t="str">
        <f>MID(TB_CECO[[#This Row],[CECO_T]],1,5)</f>
        <v>3E544</v>
      </c>
      <c r="B3140" t="str">
        <f>MID(TB_CECO[[#This Row],[TRABAJO]],1,SEARCH(",",TB_CECO[[#This Row],[TRABAJO]],1)-1)</f>
        <v>SNV 129 NE (TJ 055 SW)</v>
      </c>
      <c r="C31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129 NE (TJ 055 SW),SUMINISTROS</v>
      </c>
      <c r="D31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40" s="47" t="s">
        <v>6219</v>
      </c>
      <c r="G3140" t="s">
        <v>6220</v>
      </c>
      <c r="H31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41" spans="1:8" ht="15" customHeight="1" x14ac:dyDescent="0.25">
      <c r="A3141" t="str">
        <f>MID(TB_CECO[[#This Row],[CECO_T]],1,5)</f>
        <v>3E544</v>
      </c>
      <c r="B3141" t="str">
        <f>MID(TB_CECO[[#This Row],[TRABAJO]],1,SEARCH(",",TB_CECO[[#This Row],[TRABAJO]],1)-1)</f>
        <v>SNV 129 NE (TJ 055 SW)</v>
      </c>
      <c r="C31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129 NE (TJ 055 SW),SOSTENIMIENTO</v>
      </c>
      <c r="D31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41" s="47" t="s">
        <v>6221</v>
      </c>
      <c r="G3141" t="s">
        <v>6222</v>
      </c>
      <c r="H31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42" spans="1:8" ht="15" customHeight="1" x14ac:dyDescent="0.25">
      <c r="A3142" t="str">
        <f>MID(TB_CECO[[#This Row],[CECO_T]],1,5)</f>
        <v>3E544</v>
      </c>
      <c r="B3142" t="str">
        <f>MID(TB_CECO[[#This Row],[TRABAJO]],1,SEARCH(",",TB_CECO[[#This Row],[TRABAJO]],1)-1)</f>
        <v>SNV 129 NE (TJ 055 SW)</v>
      </c>
      <c r="C31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129 NE (TJ 055 SW),SERVICIO</v>
      </c>
      <c r="D31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42" s="47" t="s">
        <v>6223</v>
      </c>
      <c r="G3142" t="s">
        <v>6224</v>
      </c>
      <c r="H31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43" spans="1:8" ht="15" customHeight="1" x14ac:dyDescent="0.25">
      <c r="A3143" t="str">
        <f>MID(TB_CECO[[#This Row],[CECO_T]],1,5)</f>
        <v>3E544</v>
      </c>
      <c r="B3143" t="str">
        <f>MID(TB_CECO[[#This Row],[TRABAJO]],1,SEARCH(",",TB_CECO[[#This Row],[TRABAJO]],1)-1)</f>
        <v>SNV 129 NE (TJ 055 SW)</v>
      </c>
      <c r="C31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129 NE (TJ 055 SW),REHABILITACION</v>
      </c>
      <c r="D31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43" s="47" t="s">
        <v>6225</v>
      </c>
      <c r="G3143" t="s">
        <v>6226</v>
      </c>
      <c r="H31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44" spans="1:8" ht="15" customHeight="1" x14ac:dyDescent="0.25">
      <c r="A3144" t="str">
        <f>MID(TB_CECO[[#This Row],[CECO_T]],1,5)</f>
        <v>3E54F</v>
      </c>
      <c r="B3144" t="str">
        <f>MID(TB_CECO[[#This Row],[TRABAJO]],1,SEARCH(",",TB_CECO[[#This Row],[TRABAJO]],1)-1)</f>
        <v>Snv 031 SW (Snv 030 SW)</v>
      </c>
      <c r="C31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031 SW (Snv 030 SW),LIMPIEZA</v>
      </c>
      <c r="D31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44" s="47" t="s">
        <v>6227</v>
      </c>
      <c r="G3144" t="s">
        <v>6228</v>
      </c>
      <c r="H31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45" spans="1:8" ht="15" customHeight="1" x14ac:dyDescent="0.25">
      <c r="A3145" t="str">
        <f>MID(TB_CECO[[#This Row],[CECO_T]],1,5)</f>
        <v>3E54F</v>
      </c>
      <c r="B3145" t="str">
        <f>MID(TB_CECO[[#This Row],[TRABAJO]],1,SEARCH(",",TB_CECO[[#This Row],[TRABAJO]],1)-1)</f>
        <v>Snv 031 SW (Snv 030 SW)</v>
      </c>
      <c r="C31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031 SW (Snv 030 SW),SERVICIO</v>
      </c>
      <c r="D31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45" s="47" t="s">
        <v>6229</v>
      </c>
      <c r="G3145" t="s">
        <v>6230</v>
      </c>
      <c r="H31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46" spans="1:8" ht="15" customHeight="1" x14ac:dyDescent="0.25">
      <c r="A3146" t="str">
        <f>MID(TB_CECO[[#This Row],[CECO_T]],1,5)</f>
        <v>3E54F</v>
      </c>
      <c r="B3146" t="str">
        <f>MID(TB_CECO[[#This Row],[TRABAJO]],1,SEARCH(",",TB_CECO[[#This Row],[TRABAJO]],1)-1)</f>
        <v>Snv 031 SW (Snv 030 SW)</v>
      </c>
      <c r="C31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031 SW (Snv 030 SW),PERFORACION</v>
      </c>
      <c r="D31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46" s="47" t="s">
        <v>6231</v>
      </c>
      <c r="G3146" t="s">
        <v>6232</v>
      </c>
      <c r="H31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47" spans="1:8" ht="15" customHeight="1" x14ac:dyDescent="0.25">
      <c r="A3147" t="str">
        <f>MID(TB_CECO[[#This Row],[CECO_T]],1,5)</f>
        <v>3E54F</v>
      </c>
      <c r="B3147" t="str">
        <f>MID(TB_CECO[[#This Row],[TRABAJO]],1,SEARCH(",",TB_CECO[[#This Row],[TRABAJO]],1)-1)</f>
        <v>Snv 031 SW (Snv 030 SW)</v>
      </c>
      <c r="C31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031 SW (Snv 030 SW),SOSTENIMIENTO</v>
      </c>
      <c r="D31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47" s="47" t="s">
        <v>6233</v>
      </c>
      <c r="G3147" t="s">
        <v>6234</v>
      </c>
      <c r="H31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48" spans="1:8" ht="15" customHeight="1" x14ac:dyDescent="0.25">
      <c r="A3148" t="str">
        <f>MID(TB_CECO[[#This Row],[CECO_T]],1,5)</f>
        <v>3E54F</v>
      </c>
      <c r="B3148" t="str">
        <f>MID(TB_CECO[[#This Row],[TRABAJO]],1,SEARCH(",",TB_CECO[[#This Row],[TRABAJO]],1)-1)</f>
        <v>Snv 031 SW (Snv 030 SW)</v>
      </c>
      <c r="C31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031 SW (Snv 030 SW),VOLADURA</v>
      </c>
      <c r="D31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48" s="47" t="s">
        <v>6235</v>
      </c>
      <c r="G3148" t="s">
        <v>6236</v>
      </c>
      <c r="H31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49" spans="1:8" ht="15" customHeight="1" x14ac:dyDescent="0.25">
      <c r="A3149" t="str">
        <f>MID(TB_CECO[[#This Row],[CECO_T]],1,5)</f>
        <v>3E54O</v>
      </c>
      <c r="B3149" t="str">
        <f>MID(TB_CECO[[#This Row],[TRABAJO]],1,SEARCH(",",TB_CECO[[#This Row],[TRABAJO]],1)-1)</f>
        <v>Snv 842 NE (Est 847 SW)</v>
      </c>
      <c r="C31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842 NE (Est 847 SW),LIMPIEZA</v>
      </c>
      <c r="D31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49" s="47" t="s">
        <v>6237</v>
      </c>
      <c r="G3149" t="s">
        <v>6238</v>
      </c>
      <c r="H31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50" spans="1:8" ht="15" customHeight="1" x14ac:dyDescent="0.25">
      <c r="A3150" t="str">
        <f>MID(TB_CECO[[#This Row],[CECO_T]],1,5)</f>
        <v>3E54O</v>
      </c>
      <c r="B3150" t="str">
        <f>MID(TB_CECO[[#This Row],[TRABAJO]],1,SEARCH(",",TB_CECO[[#This Row],[TRABAJO]],1)-1)</f>
        <v>Snv 842 NE (Est 847 SW)</v>
      </c>
      <c r="C31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842 NE (Est 847 SW),SERVICIO</v>
      </c>
      <c r="D31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50" s="47" t="s">
        <v>6239</v>
      </c>
      <c r="G3150" t="s">
        <v>6240</v>
      </c>
      <c r="H31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51" spans="1:8" ht="15" customHeight="1" x14ac:dyDescent="0.25">
      <c r="A3151" t="str">
        <f>MID(TB_CECO[[#This Row],[CECO_T]],1,5)</f>
        <v>3E54O</v>
      </c>
      <c r="B3151" t="str">
        <f>MID(TB_CECO[[#This Row],[TRABAJO]],1,SEARCH(",",TB_CECO[[#This Row],[TRABAJO]],1)-1)</f>
        <v>Snv 842 NE (Est 847 SW)</v>
      </c>
      <c r="C31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842 NE (Est 847 SW),PERFORACION</v>
      </c>
      <c r="D31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51" s="47" t="s">
        <v>6241</v>
      </c>
      <c r="G3151" t="s">
        <v>6242</v>
      </c>
      <c r="H31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52" spans="1:8" ht="15" customHeight="1" x14ac:dyDescent="0.25">
      <c r="A3152" t="str">
        <f>MID(TB_CECO[[#This Row],[CECO_T]],1,5)</f>
        <v>3E54O</v>
      </c>
      <c r="B3152" t="str">
        <f>MID(TB_CECO[[#This Row],[TRABAJO]],1,SEARCH(",",TB_CECO[[#This Row],[TRABAJO]],1)-1)</f>
        <v>Snv 842 NE (Est 847 SW)</v>
      </c>
      <c r="C31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842 NE (Est 847 SW),SOSTENIMIENTO</v>
      </c>
      <c r="D31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52" s="47" t="s">
        <v>6243</v>
      </c>
      <c r="G3152" t="s">
        <v>6244</v>
      </c>
      <c r="H31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53" spans="1:8" ht="15" customHeight="1" x14ac:dyDescent="0.25">
      <c r="A3153" t="str">
        <f>MID(TB_CECO[[#This Row],[CECO_T]],1,5)</f>
        <v>3E54O</v>
      </c>
      <c r="B3153" t="str">
        <f>MID(TB_CECO[[#This Row],[TRABAJO]],1,SEARCH(",",TB_CECO[[#This Row],[TRABAJO]],1)-1)</f>
        <v>Snv 842 NE (Est 847 SW)</v>
      </c>
      <c r="C31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842 NE (Est 847 SW),VOLADURA</v>
      </c>
      <c r="D31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53" s="47" t="s">
        <v>6245</v>
      </c>
      <c r="G3153" t="s">
        <v>6246</v>
      </c>
      <c r="H31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54" spans="1:8" ht="15" customHeight="1" x14ac:dyDescent="0.25">
      <c r="A3154" t="str">
        <f>MID(TB_CECO[[#This Row],[CECO_T]],1,5)</f>
        <v>3E54S</v>
      </c>
      <c r="B3154" t="str">
        <f>MID(TB_CECO[[#This Row],[TRABAJO]],1,SEARCH(",",TB_CECO[[#This Row],[TRABAJO]],1)-1)</f>
        <v>Snv 010 NE (Inc 870 SW)</v>
      </c>
      <c r="C31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NE (Inc 870 SW),LIMPIEZA</v>
      </c>
      <c r="D31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54" s="47" t="s">
        <v>6247</v>
      </c>
      <c r="G3154" t="s">
        <v>6248</v>
      </c>
      <c r="H31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55" spans="1:8" ht="15" customHeight="1" x14ac:dyDescent="0.25">
      <c r="A3155" t="str">
        <f>MID(TB_CECO[[#This Row],[CECO_T]],1,5)</f>
        <v>3E54S</v>
      </c>
      <c r="B3155" t="str">
        <f>MID(TB_CECO[[#This Row],[TRABAJO]],1,SEARCH(",",TB_CECO[[#This Row],[TRABAJO]],1)-1)</f>
        <v>Snv 010 NE (Inc 870 SW)</v>
      </c>
      <c r="C31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NE (Inc 870 SW),SERVICIO</v>
      </c>
      <c r="D31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55" s="47" t="s">
        <v>6249</v>
      </c>
      <c r="G3155" t="s">
        <v>6250</v>
      </c>
      <c r="H31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56" spans="1:8" ht="15" customHeight="1" x14ac:dyDescent="0.25">
      <c r="A3156" t="str">
        <f>MID(TB_CECO[[#This Row],[CECO_T]],1,5)</f>
        <v>3E54S</v>
      </c>
      <c r="B3156" t="str">
        <f>MID(TB_CECO[[#This Row],[TRABAJO]],1,SEARCH(",",TB_CECO[[#This Row],[TRABAJO]],1)-1)</f>
        <v>Snv 010 NE (Inc 870 SW)</v>
      </c>
      <c r="C31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NE (Inc 870 SW),PERFORACION</v>
      </c>
      <c r="D31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56" s="47" t="s">
        <v>6251</v>
      </c>
      <c r="G3156" t="s">
        <v>6252</v>
      </c>
      <c r="H31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57" spans="1:8" ht="15" customHeight="1" x14ac:dyDescent="0.25">
      <c r="A3157" t="str">
        <f>MID(TB_CECO[[#This Row],[CECO_T]],1,5)</f>
        <v>3E54S</v>
      </c>
      <c r="B3157" t="str">
        <f>MID(TB_CECO[[#This Row],[TRABAJO]],1,SEARCH(",",TB_CECO[[#This Row],[TRABAJO]],1)-1)</f>
        <v>Snv 010 NE (Inc 870 SW)</v>
      </c>
      <c r="C31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NE (Inc 870 SW),SOSTENIMIENTO</v>
      </c>
      <c r="D31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57" s="47" t="s">
        <v>6253</v>
      </c>
      <c r="G3157" t="s">
        <v>6254</v>
      </c>
      <c r="H31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58" spans="1:8" ht="15" customHeight="1" x14ac:dyDescent="0.25">
      <c r="A3158" t="str">
        <f>MID(TB_CECO[[#This Row],[CECO_T]],1,5)</f>
        <v>3E54S</v>
      </c>
      <c r="B3158" t="str">
        <f>MID(TB_CECO[[#This Row],[TRABAJO]],1,SEARCH(",",TB_CECO[[#This Row],[TRABAJO]],1)-1)</f>
        <v>Snv 010 NE (Inc 870 SW)</v>
      </c>
      <c r="C31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NE (Inc 870 SW),VOLADURA</v>
      </c>
      <c r="D31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58" s="47" t="s">
        <v>6255</v>
      </c>
      <c r="G3158" t="s">
        <v>6256</v>
      </c>
      <c r="H31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59" spans="1:8" ht="15" customHeight="1" x14ac:dyDescent="0.25">
      <c r="A3159" t="str">
        <f>MID(TB_CECO[[#This Row],[CECO_T]],1,5)</f>
        <v>3E54T</v>
      </c>
      <c r="B3159" t="str">
        <f>MID(TB_CECO[[#This Row],[TRABAJO]],1,SEARCH(",",TB_CECO[[#This Row],[TRABAJO]],1)-1)</f>
        <v>Snv 037 SW (Ch 091)</v>
      </c>
      <c r="C31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037 SW (Ch 091),LIMPIEZA</v>
      </c>
      <c r="D31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59" s="47" t="s">
        <v>6257</v>
      </c>
      <c r="G3159" t="s">
        <v>6258</v>
      </c>
      <c r="H31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60" spans="1:8" ht="15" customHeight="1" x14ac:dyDescent="0.25">
      <c r="A3160" t="str">
        <f>MID(TB_CECO[[#This Row],[CECO_T]],1,5)</f>
        <v>3E54T</v>
      </c>
      <c r="B3160" t="str">
        <f>MID(TB_CECO[[#This Row],[TRABAJO]],1,SEARCH(",",TB_CECO[[#This Row],[TRABAJO]],1)-1)</f>
        <v>Snv 037 SW (Ch 091)</v>
      </c>
      <c r="C31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037 SW (Ch 091),SERVICIO</v>
      </c>
      <c r="D31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60" s="47" t="s">
        <v>6259</v>
      </c>
      <c r="G3160" t="s">
        <v>6260</v>
      </c>
      <c r="H31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61" spans="1:8" ht="15" customHeight="1" x14ac:dyDescent="0.25">
      <c r="A3161" t="str">
        <f>MID(TB_CECO[[#This Row],[CECO_T]],1,5)</f>
        <v>3E54T</v>
      </c>
      <c r="B3161" t="str">
        <f>MID(TB_CECO[[#This Row],[TRABAJO]],1,SEARCH(",",TB_CECO[[#This Row],[TRABAJO]],1)-1)</f>
        <v>Snv 037 SW (Ch 091)</v>
      </c>
      <c r="C31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037 SW (Ch 091),PERFORACION</v>
      </c>
      <c r="D31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61" s="47" t="s">
        <v>6261</v>
      </c>
      <c r="G3161" t="s">
        <v>6262</v>
      </c>
      <c r="H31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62" spans="1:8" ht="15" customHeight="1" x14ac:dyDescent="0.25">
      <c r="A3162" t="str">
        <f>MID(TB_CECO[[#This Row],[CECO_T]],1,5)</f>
        <v>3E54T</v>
      </c>
      <c r="B3162" t="str">
        <f>MID(TB_CECO[[#This Row],[TRABAJO]],1,SEARCH(",",TB_CECO[[#This Row],[TRABAJO]],1)-1)</f>
        <v>Snv 037 SW (Ch 091)</v>
      </c>
      <c r="C31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037 SW (Ch 091),SOSTENIMIENTO</v>
      </c>
      <c r="D31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62" s="47" t="s">
        <v>6263</v>
      </c>
      <c r="G3162" t="s">
        <v>6264</v>
      </c>
      <c r="H31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63" spans="1:8" ht="15" customHeight="1" x14ac:dyDescent="0.25">
      <c r="A3163" t="str">
        <f>MID(TB_CECO[[#This Row],[CECO_T]],1,5)</f>
        <v>3E54T</v>
      </c>
      <c r="B3163" t="str">
        <f>MID(TB_CECO[[#This Row],[TRABAJO]],1,SEARCH(",",TB_CECO[[#This Row],[TRABAJO]],1)-1)</f>
        <v>Snv 037 SW (Ch 091)</v>
      </c>
      <c r="C31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037 SW (Ch 091),VOLADURA</v>
      </c>
      <c r="D31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63" s="47" t="s">
        <v>6265</v>
      </c>
      <c r="G3163" t="s">
        <v>6266</v>
      </c>
      <c r="H31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64" spans="1:8" ht="15" customHeight="1" x14ac:dyDescent="0.25">
      <c r="A3164" t="str">
        <f>MID(TB_CECO[[#This Row],[CECO_T]],1,5)</f>
        <v>3E54W</v>
      </c>
      <c r="B3164" t="str">
        <f>MID(TB_CECO[[#This Row],[TRABAJO]],1,SEARCH(",",TB_CECO[[#This Row],[TRABAJO]],1)-1)</f>
        <v>Snv 830 SW (Tj 063 SW)</v>
      </c>
      <c r="C31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830 SW (Tj 063 SW),LIMPIEZA</v>
      </c>
      <c r="D31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64" s="47" t="s">
        <v>6267</v>
      </c>
      <c r="G3164" t="s">
        <v>6268</v>
      </c>
      <c r="H31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65" spans="1:8" ht="15" customHeight="1" x14ac:dyDescent="0.25">
      <c r="A3165" t="str">
        <f>MID(TB_CECO[[#This Row],[CECO_T]],1,5)</f>
        <v>3E54W</v>
      </c>
      <c r="B3165" t="str">
        <f>MID(TB_CECO[[#This Row],[TRABAJO]],1,SEARCH(",",TB_CECO[[#This Row],[TRABAJO]],1)-1)</f>
        <v>Snv 830 SW (Tj 063 SW)</v>
      </c>
      <c r="C31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830 SW (Tj 063 SW),SERVICIO</v>
      </c>
      <c r="D31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65" s="47" t="s">
        <v>6269</v>
      </c>
      <c r="G3165" t="s">
        <v>6270</v>
      </c>
      <c r="H31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66" spans="1:8" ht="15" customHeight="1" x14ac:dyDescent="0.25">
      <c r="A3166" t="str">
        <f>MID(TB_CECO[[#This Row],[CECO_T]],1,5)</f>
        <v>3E54W</v>
      </c>
      <c r="B3166" t="str">
        <f>MID(TB_CECO[[#This Row],[TRABAJO]],1,SEARCH(",",TB_CECO[[#This Row],[TRABAJO]],1)-1)</f>
        <v>Snv 830 SW (Tj 063 SW)</v>
      </c>
      <c r="C31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830 SW (Tj 063 SW),PERFORACION</v>
      </c>
      <c r="D31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66" s="47" t="s">
        <v>6271</v>
      </c>
      <c r="G3166" t="s">
        <v>6272</v>
      </c>
      <c r="H31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67" spans="1:8" ht="15" customHeight="1" x14ac:dyDescent="0.25">
      <c r="A3167" t="str">
        <f>MID(TB_CECO[[#This Row],[CECO_T]],1,5)</f>
        <v>3E54W</v>
      </c>
      <c r="B3167" t="str">
        <f>MID(TB_CECO[[#This Row],[TRABAJO]],1,SEARCH(",",TB_CECO[[#This Row],[TRABAJO]],1)-1)</f>
        <v>Snv 830 SW (Tj 063 SW)</v>
      </c>
      <c r="C31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830 SW (Tj 063 SW),SOSTENIMIENTO</v>
      </c>
      <c r="D31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67" s="47" t="s">
        <v>6273</v>
      </c>
      <c r="G3167" t="s">
        <v>6274</v>
      </c>
      <c r="H31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68" spans="1:8" ht="15" customHeight="1" x14ac:dyDescent="0.25">
      <c r="A3168" t="str">
        <f>MID(TB_CECO[[#This Row],[CECO_T]],1,5)</f>
        <v>3E54W</v>
      </c>
      <c r="B3168" t="str">
        <f>MID(TB_CECO[[#This Row],[TRABAJO]],1,SEARCH(",",TB_CECO[[#This Row],[TRABAJO]],1)-1)</f>
        <v>Snv 830 SW (Tj 063 SW)</v>
      </c>
      <c r="C31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830 SW (Tj 063 SW),VOLADURA</v>
      </c>
      <c r="D31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68" s="47" t="s">
        <v>6275</v>
      </c>
      <c r="G3168" t="s">
        <v>6276</v>
      </c>
      <c r="H31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69" spans="1:8" ht="15" customHeight="1" x14ac:dyDescent="0.25">
      <c r="A3169" t="str">
        <f>MID(TB_CECO[[#This Row],[CECO_T]],1,5)</f>
        <v>3E54X</v>
      </c>
      <c r="B3169" t="str">
        <f>MID(TB_CECO[[#This Row],[TRABAJO]],1,SEARCH(",",TB_CECO[[#This Row],[TRABAJO]],1)-1)</f>
        <v>Snv 020 SW (Inc 870 SW)</v>
      </c>
      <c r="C31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SW (Inc 870 SW),LIMPIEZA</v>
      </c>
      <c r="D31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69" s="47" t="s">
        <v>6277</v>
      </c>
      <c r="G3169" t="s">
        <v>6278</v>
      </c>
      <c r="H31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70" spans="1:8" ht="15" customHeight="1" x14ac:dyDescent="0.25">
      <c r="A3170" t="str">
        <f>MID(TB_CECO[[#This Row],[CECO_T]],1,5)</f>
        <v>3E54X</v>
      </c>
      <c r="B3170" t="str">
        <f>MID(TB_CECO[[#This Row],[TRABAJO]],1,SEARCH(",",TB_CECO[[#This Row],[TRABAJO]],1)-1)</f>
        <v>Snv 020 SW (Inc 870 SW)</v>
      </c>
      <c r="C31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SW (Inc 870 SW),SERVICIO</v>
      </c>
      <c r="D31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70" s="47" t="s">
        <v>6279</v>
      </c>
      <c r="G3170" t="s">
        <v>6280</v>
      </c>
      <c r="H31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71" spans="1:8" ht="15" customHeight="1" x14ac:dyDescent="0.25">
      <c r="A3171" t="str">
        <f>MID(TB_CECO[[#This Row],[CECO_T]],1,5)</f>
        <v>3E54X</v>
      </c>
      <c r="B3171" t="str">
        <f>MID(TB_CECO[[#This Row],[TRABAJO]],1,SEARCH(",",TB_CECO[[#This Row],[TRABAJO]],1)-1)</f>
        <v>Snv 020 SW (Inc 870 SW)</v>
      </c>
      <c r="C31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SW (Inc 870 SW),PERFORACION</v>
      </c>
      <c r="D31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71" s="47" t="s">
        <v>6281</v>
      </c>
      <c r="G3171" t="s">
        <v>6282</v>
      </c>
      <c r="H31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72" spans="1:8" ht="15" customHeight="1" x14ac:dyDescent="0.25">
      <c r="A3172" t="str">
        <f>MID(TB_CECO[[#This Row],[CECO_T]],1,5)</f>
        <v>3E54X</v>
      </c>
      <c r="B3172" t="str">
        <f>MID(TB_CECO[[#This Row],[TRABAJO]],1,SEARCH(",",TB_CECO[[#This Row],[TRABAJO]],1)-1)</f>
        <v>Snv 020 SW (Inc 870 SW)</v>
      </c>
      <c r="C31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SW (Inc 870 SW),SOSTENIMIENTO</v>
      </c>
      <c r="D31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72" s="47" t="s">
        <v>6283</v>
      </c>
      <c r="G3172" t="s">
        <v>6284</v>
      </c>
      <c r="H31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73" spans="1:8" ht="15" customHeight="1" x14ac:dyDescent="0.25">
      <c r="A3173" t="str">
        <f>MID(TB_CECO[[#This Row],[CECO_T]],1,5)</f>
        <v>3E54X</v>
      </c>
      <c r="B3173" t="str">
        <f>MID(TB_CECO[[#This Row],[TRABAJO]],1,SEARCH(",",TB_CECO[[#This Row],[TRABAJO]],1)-1)</f>
        <v>Snv 020 SW (Inc 870 SW)</v>
      </c>
      <c r="C31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SW (Inc 870 SW),VOLADURA</v>
      </c>
      <c r="D31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73" s="47" t="s">
        <v>6285</v>
      </c>
      <c r="G3173" t="s">
        <v>6286</v>
      </c>
      <c r="H31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74" spans="1:8" ht="15" customHeight="1" x14ac:dyDescent="0.25">
      <c r="A3174" t="str">
        <f>MID(TB_CECO[[#This Row],[CECO_T]],1,5)</f>
        <v>3E54Y</v>
      </c>
      <c r="B3174" t="str">
        <f>MID(TB_CECO[[#This Row],[TRABAJO]],1,SEARCH(",",TB_CECO[[#This Row],[TRABAJO]],1)-1)</f>
        <v>Snv 020 NE (Inc 870 SW)</v>
      </c>
      <c r="C31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SW),LIMPIEZA</v>
      </c>
      <c r="D31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74" s="47" t="s">
        <v>6287</v>
      </c>
      <c r="G3174" t="s">
        <v>6288</v>
      </c>
      <c r="H31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75" spans="1:8" ht="15" customHeight="1" x14ac:dyDescent="0.25">
      <c r="A3175" t="str">
        <f>MID(TB_CECO[[#This Row],[CECO_T]],1,5)</f>
        <v>3E54Y</v>
      </c>
      <c r="B3175" t="str">
        <f>MID(TB_CECO[[#This Row],[TRABAJO]],1,SEARCH(",",TB_CECO[[#This Row],[TRABAJO]],1)-1)</f>
        <v>Snv 020 NE (Inc 870 SW)</v>
      </c>
      <c r="C31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SW),LIMPIEZA</v>
      </c>
      <c r="D31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75" s="47" t="s">
        <v>6287</v>
      </c>
      <c r="G3175" t="s">
        <v>6288</v>
      </c>
      <c r="H31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76" spans="1:8" ht="15" customHeight="1" x14ac:dyDescent="0.25">
      <c r="A3176" t="str">
        <f>MID(TB_CECO[[#This Row],[CECO_T]],1,5)</f>
        <v>3E54Y</v>
      </c>
      <c r="B3176" t="str">
        <f>MID(TB_CECO[[#This Row],[TRABAJO]],1,SEARCH(",",TB_CECO[[#This Row],[TRABAJO]],1)-1)</f>
        <v>Snv 020 NE (Inc 870 SW)</v>
      </c>
      <c r="C31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SW),SERVICIO</v>
      </c>
      <c r="D31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76" s="47" t="s">
        <v>6289</v>
      </c>
      <c r="G3176" t="s">
        <v>6290</v>
      </c>
      <c r="H31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77" spans="1:8" ht="15" customHeight="1" x14ac:dyDescent="0.25">
      <c r="A3177" t="str">
        <f>MID(TB_CECO[[#This Row],[CECO_T]],1,5)</f>
        <v>3E54Y</v>
      </c>
      <c r="B3177" t="str">
        <f>MID(TB_CECO[[#This Row],[TRABAJO]],1,SEARCH(",",TB_CECO[[#This Row],[TRABAJO]],1)-1)</f>
        <v>Snv 020 NE (Inc 870 SW)</v>
      </c>
      <c r="C31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SW),SERVICIO</v>
      </c>
      <c r="D31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77" s="47" t="s">
        <v>6289</v>
      </c>
      <c r="G3177" t="s">
        <v>6290</v>
      </c>
      <c r="H31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78" spans="1:8" ht="15" customHeight="1" x14ac:dyDescent="0.25">
      <c r="A3178" t="str">
        <f>MID(TB_CECO[[#This Row],[CECO_T]],1,5)</f>
        <v>3E54Y</v>
      </c>
      <c r="B3178" t="str">
        <f>MID(TB_CECO[[#This Row],[TRABAJO]],1,SEARCH(",",TB_CECO[[#This Row],[TRABAJO]],1)-1)</f>
        <v>Snv 020 NE (Inc 870 SW)</v>
      </c>
      <c r="C31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SW),PERFORACION</v>
      </c>
      <c r="D31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78" s="47" t="s">
        <v>6291</v>
      </c>
      <c r="G3178" t="s">
        <v>6292</v>
      </c>
      <c r="H31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79" spans="1:8" ht="15" customHeight="1" x14ac:dyDescent="0.25">
      <c r="A3179" t="str">
        <f>MID(TB_CECO[[#This Row],[CECO_T]],1,5)</f>
        <v>3E54Y</v>
      </c>
      <c r="B3179" t="str">
        <f>MID(TB_CECO[[#This Row],[TRABAJO]],1,SEARCH(",",TB_CECO[[#This Row],[TRABAJO]],1)-1)</f>
        <v>Snv 020 NE (Inc 870 SW)</v>
      </c>
      <c r="C31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SW),PERFORACION</v>
      </c>
      <c r="D31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79" s="47" t="s">
        <v>6291</v>
      </c>
      <c r="G3179" t="s">
        <v>6292</v>
      </c>
      <c r="H31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80" spans="1:8" ht="15" customHeight="1" x14ac:dyDescent="0.25">
      <c r="A3180" t="str">
        <f>MID(TB_CECO[[#This Row],[CECO_T]],1,5)</f>
        <v>3E54Y</v>
      </c>
      <c r="B3180" t="str">
        <f>MID(TB_CECO[[#This Row],[TRABAJO]],1,SEARCH(",",TB_CECO[[#This Row],[TRABAJO]],1)-1)</f>
        <v>Snv 020 NE (Inc 870 SW)</v>
      </c>
      <c r="C31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SW),SOSTENIMIENTO</v>
      </c>
      <c r="D31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80" s="47" t="s">
        <v>6293</v>
      </c>
      <c r="G3180" t="s">
        <v>6294</v>
      </c>
      <c r="H31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81" spans="1:8" ht="15" customHeight="1" x14ac:dyDescent="0.25">
      <c r="A3181" t="str">
        <f>MID(TB_CECO[[#This Row],[CECO_T]],1,5)</f>
        <v>3E54Y</v>
      </c>
      <c r="B3181" t="str">
        <f>MID(TB_CECO[[#This Row],[TRABAJO]],1,SEARCH(",",TB_CECO[[#This Row],[TRABAJO]],1)-1)</f>
        <v>Snv 020 NE (Inc 870 SW)</v>
      </c>
      <c r="C31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SW),SOSTENIMIENTO</v>
      </c>
      <c r="D31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81" s="47" t="s">
        <v>6293</v>
      </c>
      <c r="G3181" t="s">
        <v>6294</v>
      </c>
      <c r="H31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82" spans="1:8" ht="15" customHeight="1" x14ac:dyDescent="0.25">
      <c r="A3182" t="str">
        <f>MID(TB_CECO[[#This Row],[CECO_T]],1,5)</f>
        <v>3E54Y</v>
      </c>
      <c r="B3182" t="str">
        <f>MID(TB_CECO[[#This Row],[TRABAJO]],1,SEARCH(",",TB_CECO[[#This Row],[TRABAJO]],1)-1)</f>
        <v>Snv 020 NE (Inc 870 SW)</v>
      </c>
      <c r="C31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SW),VOLADURA</v>
      </c>
      <c r="D31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82" s="47" t="s">
        <v>6295</v>
      </c>
      <c r="G3182" t="s">
        <v>6296</v>
      </c>
      <c r="H31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83" spans="1:8" ht="15" customHeight="1" x14ac:dyDescent="0.25">
      <c r="A3183" t="str">
        <f>MID(TB_CECO[[#This Row],[CECO_T]],1,5)</f>
        <v>3E54Y</v>
      </c>
      <c r="B3183" t="str">
        <f>MID(TB_CECO[[#This Row],[TRABAJO]],1,SEARCH(",",TB_CECO[[#This Row],[TRABAJO]],1)-1)</f>
        <v>Snv 020 NE (Inc 870 SW)</v>
      </c>
      <c r="C31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SW),VOLADURA</v>
      </c>
      <c r="D31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83" s="47" t="s">
        <v>6295</v>
      </c>
      <c r="G3183" t="s">
        <v>6296</v>
      </c>
      <c r="H31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84" spans="1:8" ht="15" customHeight="1" x14ac:dyDescent="0.25">
      <c r="A3184" t="str">
        <f>MID(TB_CECO[[#This Row],[CECO_T]],1,5)</f>
        <v>3E54Z</v>
      </c>
      <c r="B3184" t="str">
        <f>MID(TB_CECO[[#This Row],[TRABAJO]],1,SEARCH(",",TB_CECO[[#This Row],[TRABAJO]],1)-1)</f>
        <v>Snv 830 NE (Tj 063 SW)</v>
      </c>
      <c r="C31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830 NE (Tj 063 SW),LIMPIEZA</v>
      </c>
      <c r="D31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84" s="47" t="s">
        <v>6297</v>
      </c>
      <c r="G3184" t="s">
        <v>6298</v>
      </c>
      <c r="H31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85" spans="1:8" ht="15" customHeight="1" x14ac:dyDescent="0.25">
      <c r="A3185" t="str">
        <f>MID(TB_CECO[[#This Row],[CECO_T]],1,5)</f>
        <v>3E54Z</v>
      </c>
      <c r="B3185" t="str">
        <f>MID(TB_CECO[[#This Row],[TRABAJO]],1,SEARCH(",",TB_CECO[[#This Row],[TRABAJO]],1)-1)</f>
        <v>Snv 830 NE (Tj 063 SW)</v>
      </c>
      <c r="C31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830 NE (Tj 063 SW),SERVICIO</v>
      </c>
      <c r="D31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85" s="47" t="s">
        <v>6299</v>
      </c>
      <c r="G3185" t="s">
        <v>6300</v>
      </c>
      <c r="H31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86" spans="1:8" ht="15" customHeight="1" x14ac:dyDescent="0.25">
      <c r="A3186" t="str">
        <f>MID(TB_CECO[[#This Row],[CECO_T]],1,5)</f>
        <v>3E54Z</v>
      </c>
      <c r="B3186" t="str">
        <f>MID(TB_CECO[[#This Row],[TRABAJO]],1,SEARCH(",",TB_CECO[[#This Row],[TRABAJO]],1)-1)</f>
        <v>Snv 830 NE (Tj 063 SW)</v>
      </c>
      <c r="C31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830 NE (Tj 063 SW),PERFORACION</v>
      </c>
      <c r="D31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86" s="47" t="s">
        <v>6301</v>
      </c>
      <c r="G3186" t="s">
        <v>6302</v>
      </c>
      <c r="H31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87" spans="1:8" ht="15" customHeight="1" x14ac:dyDescent="0.25">
      <c r="A3187" t="str">
        <f>MID(TB_CECO[[#This Row],[CECO_T]],1,5)</f>
        <v>3E54Z</v>
      </c>
      <c r="B3187" t="str">
        <f>MID(TB_CECO[[#This Row],[TRABAJO]],1,SEARCH(",",TB_CECO[[#This Row],[TRABAJO]],1)-1)</f>
        <v>Snv 830 NE (Tj 063 SW)</v>
      </c>
      <c r="C31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830 NE (Tj 063 SW),SOSTENIMIENTO</v>
      </c>
      <c r="D31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87" s="47" t="s">
        <v>6303</v>
      </c>
      <c r="G3187" t="s">
        <v>6304</v>
      </c>
      <c r="H31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88" spans="1:8" ht="15" customHeight="1" x14ac:dyDescent="0.25">
      <c r="A3188" t="str">
        <f>MID(TB_CECO[[#This Row],[CECO_T]],1,5)</f>
        <v>3E54Z</v>
      </c>
      <c r="B3188" t="str">
        <f>MID(TB_CECO[[#This Row],[TRABAJO]],1,SEARCH(",",TB_CECO[[#This Row],[TRABAJO]],1)-1)</f>
        <v>Snv 830 NE (Tj 063 SW)</v>
      </c>
      <c r="C31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830 NE (Tj 063 SW),VOLADURA</v>
      </c>
      <c r="D31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88" s="47" t="s">
        <v>6305</v>
      </c>
      <c r="G3188" t="s">
        <v>6306</v>
      </c>
      <c r="H31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89" spans="1:8" ht="15" customHeight="1" x14ac:dyDescent="0.25">
      <c r="A3189" t="str">
        <f>MID(TB_CECO[[#This Row],[CECO_T]],1,5)</f>
        <v>3E556</v>
      </c>
      <c r="B3189" t="str">
        <f>MID(TB_CECO[[#This Row],[TRABAJO]],1,SEARCH(",",TB_CECO[[#This Row],[TRABAJO]],1)-1)</f>
        <v>Snv 158 NE (Ch 044)</v>
      </c>
      <c r="C31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158 NE (Ch 044),SUMINISTROS</v>
      </c>
      <c r="D31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89" s="47" t="s">
        <v>6307</v>
      </c>
      <c r="G3189" t="s">
        <v>6308</v>
      </c>
      <c r="H31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90" spans="1:8" ht="15" customHeight="1" x14ac:dyDescent="0.25">
      <c r="A3190" t="str">
        <f>MID(TB_CECO[[#This Row],[CECO_T]],1,5)</f>
        <v>3E556</v>
      </c>
      <c r="B3190" t="str">
        <f>MID(TB_CECO[[#This Row],[TRABAJO]],1,SEARCH(",",TB_CECO[[#This Row],[TRABAJO]],1)-1)</f>
        <v>Snv 158 NE (Ch 044)</v>
      </c>
      <c r="C31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158 NE (Ch 044),SOSTENIMIENTO</v>
      </c>
      <c r="D31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90" s="47" t="s">
        <v>6309</v>
      </c>
      <c r="G3190" t="s">
        <v>6310</v>
      </c>
      <c r="H31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91" spans="1:8" ht="15" customHeight="1" x14ac:dyDescent="0.25">
      <c r="A3191" t="str">
        <f>MID(TB_CECO[[#This Row],[CECO_T]],1,5)</f>
        <v>3E556</v>
      </c>
      <c r="B3191" t="str">
        <f>MID(TB_CECO[[#This Row],[TRABAJO]],1,SEARCH(",",TB_CECO[[#This Row],[TRABAJO]],1)-1)</f>
        <v>Snv 158 NE (Ch 044)</v>
      </c>
      <c r="C31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158 NE (Ch 044),SERVICIO</v>
      </c>
      <c r="D31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91" s="47" t="s">
        <v>6311</v>
      </c>
      <c r="G3191" t="s">
        <v>6312</v>
      </c>
      <c r="H31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92" spans="1:8" ht="15" customHeight="1" x14ac:dyDescent="0.25">
      <c r="A3192" t="str">
        <f>MID(TB_CECO[[#This Row],[CECO_T]],1,5)</f>
        <v>3E556</v>
      </c>
      <c r="B3192" t="str">
        <f>MID(TB_CECO[[#This Row],[TRABAJO]],1,SEARCH(",",TB_CECO[[#This Row],[TRABAJO]],1)-1)</f>
        <v>Snv 158 NE (Ch 044)</v>
      </c>
      <c r="C31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158 NE (Ch 044),REHABILITACION</v>
      </c>
      <c r="D31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92" s="47" t="s">
        <v>6313</v>
      </c>
      <c r="G3192" t="s">
        <v>6314</v>
      </c>
      <c r="H31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93" spans="1:8" ht="15" customHeight="1" x14ac:dyDescent="0.25">
      <c r="A3193" t="str">
        <f>MID(TB_CECO[[#This Row],[CECO_T]],1,5)</f>
        <v>3E559</v>
      </c>
      <c r="B3193" t="str">
        <f>MID(TB_CECO[[#This Row],[TRABAJO]],1,SEARCH(",",TB_CECO[[#This Row],[TRABAJO]],1)-1)</f>
        <v>Snv 112 NE (Tj 066 NE)</v>
      </c>
      <c r="C31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112 NE (Tj 066 NE),SUMINISTROS</v>
      </c>
      <c r="D31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93" s="47" t="s">
        <v>6315</v>
      </c>
      <c r="G3193" t="s">
        <v>6316</v>
      </c>
      <c r="H31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94" spans="1:8" ht="15" customHeight="1" x14ac:dyDescent="0.25">
      <c r="A3194" t="str">
        <f>MID(TB_CECO[[#This Row],[CECO_T]],1,5)</f>
        <v>3E559</v>
      </c>
      <c r="B3194" t="str">
        <f>MID(TB_CECO[[#This Row],[TRABAJO]],1,SEARCH(",",TB_CECO[[#This Row],[TRABAJO]],1)-1)</f>
        <v>Snv 112 NE (Tj 066 NE)</v>
      </c>
      <c r="C31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112 NE (Tj 066 NE),SOSTENIMIENTO</v>
      </c>
      <c r="D31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94" s="47" t="s">
        <v>6317</v>
      </c>
      <c r="G3194" t="s">
        <v>6318</v>
      </c>
      <c r="H31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95" spans="1:8" ht="15" customHeight="1" x14ac:dyDescent="0.25">
      <c r="A3195" t="str">
        <f>MID(TB_CECO[[#This Row],[CECO_T]],1,5)</f>
        <v>3E559</v>
      </c>
      <c r="B3195" t="str">
        <f>MID(TB_CECO[[#This Row],[TRABAJO]],1,SEARCH(",",TB_CECO[[#This Row],[TRABAJO]],1)-1)</f>
        <v>Snv 112 NE (Tj 066 NE)</v>
      </c>
      <c r="C31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112 NE (Tj 066 NE),SERVICIO</v>
      </c>
      <c r="D31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95" s="47" t="s">
        <v>6319</v>
      </c>
      <c r="G3195" t="s">
        <v>6320</v>
      </c>
      <c r="H31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96" spans="1:8" ht="15" customHeight="1" x14ac:dyDescent="0.25">
      <c r="A3196" t="str">
        <f>MID(TB_CECO[[#This Row],[CECO_T]],1,5)</f>
        <v>3E559</v>
      </c>
      <c r="B3196" t="str">
        <f>MID(TB_CECO[[#This Row],[TRABAJO]],1,SEARCH(",",TB_CECO[[#This Row],[TRABAJO]],1)-1)</f>
        <v>Snv 112 NE (Tj 066 NE)</v>
      </c>
      <c r="C31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112 NE (Tj 066 NE),REHABILITACION</v>
      </c>
      <c r="D31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1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196" s="47" t="s">
        <v>6321</v>
      </c>
      <c r="G3196" t="s">
        <v>6322</v>
      </c>
      <c r="H31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97" spans="1:8" ht="15" customHeight="1" x14ac:dyDescent="0.25">
      <c r="A3197" t="str">
        <f>MID(TB_CECO[[#This Row],[CECO_T]],1,5)</f>
        <v>3E55A</v>
      </c>
      <c r="B3197" t="str">
        <f>MID(TB_CECO[[#This Row],[TRABAJO]],1,SEARCH(",",TB_CECO[[#This Row],[TRABAJO]],1)-1)</f>
        <v>Snv 020 NE (Inc 870 SW)</v>
      </c>
      <c r="C31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SW),LIMPIEZA</v>
      </c>
      <c r="D31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97" s="47" t="s">
        <v>6323</v>
      </c>
      <c r="G3197" t="s">
        <v>6288</v>
      </c>
      <c r="H31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98" spans="1:8" ht="15" customHeight="1" x14ac:dyDescent="0.25">
      <c r="A3198" t="str">
        <f>MID(TB_CECO[[#This Row],[CECO_T]],1,5)</f>
        <v>3E55A</v>
      </c>
      <c r="B3198" t="str">
        <f>MID(TB_CECO[[#This Row],[TRABAJO]],1,SEARCH(",",TB_CECO[[#This Row],[TRABAJO]],1)-1)</f>
        <v>Snv 020 NE (Inc 870 SW)</v>
      </c>
      <c r="C31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SW),SERVICIO</v>
      </c>
      <c r="D31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98" s="47" t="s">
        <v>6324</v>
      </c>
      <c r="G3198" t="s">
        <v>6290</v>
      </c>
      <c r="H31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199" spans="1:8" ht="15" customHeight="1" x14ac:dyDescent="0.25">
      <c r="A3199" t="str">
        <f>MID(TB_CECO[[#This Row],[CECO_T]],1,5)</f>
        <v>3E55A</v>
      </c>
      <c r="B3199" t="str">
        <f>MID(TB_CECO[[#This Row],[TRABAJO]],1,SEARCH(",",TB_CECO[[#This Row],[TRABAJO]],1)-1)</f>
        <v>Snv 020 NE (Inc 870 SW)</v>
      </c>
      <c r="C31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SW),PERFORACION</v>
      </c>
      <c r="D31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1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199" s="47" t="s">
        <v>6325</v>
      </c>
      <c r="G3199" t="s">
        <v>6292</v>
      </c>
      <c r="H31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00" spans="1:8" ht="15" customHeight="1" x14ac:dyDescent="0.25">
      <c r="A3200" t="str">
        <f>MID(TB_CECO[[#This Row],[CECO_T]],1,5)</f>
        <v>3E55A</v>
      </c>
      <c r="B3200" t="str">
        <f>MID(TB_CECO[[#This Row],[TRABAJO]],1,SEARCH(",",TB_CECO[[#This Row],[TRABAJO]],1)-1)</f>
        <v>Snv 020 NE (Inc 870 SW)</v>
      </c>
      <c r="C32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SW),SOSTENIMIENTO</v>
      </c>
      <c r="D32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00" s="47" t="s">
        <v>6326</v>
      </c>
      <c r="G3200" t="s">
        <v>6294</v>
      </c>
      <c r="H32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01" spans="1:8" ht="15" customHeight="1" x14ac:dyDescent="0.25">
      <c r="A3201" t="str">
        <f>MID(TB_CECO[[#This Row],[CECO_T]],1,5)</f>
        <v>3E55A</v>
      </c>
      <c r="B3201" t="str">
        <f>MID(TB_CECO[[#This Row],[TRABAJO]],1,SEARCH(",",TB_CECO[[#This Row],[TRABAJO]],1)-1)</f>
        <v>Snv 020 NE (Inc 870 SW)</v>
      </c>
      <c r="C32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020 NE (Inc 870 SW),VOLADURA</v>
      </c>
      <c r="D32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01" s="47" t="s">
        <v>6327</v>
      </c>
      <c r="G3201" t="s">
        <v>6296</v>
      </c>
      <c r="H32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02" spans="1:8" ht="15" customHeight="1" x14ac:dyDescent="0.25">
      <c r="A3202" t="str">
        <f>MID(TB_CECO[[#This Row],[CECO_T]],1,5)</f>
        <v>3E55F</v>
      </c>
      <c r="B3202" t="str">
        <f>MID(TB_CECO[[#This Row],[TRABAJO]],1,SEARCH(",",TB_CECO[[#This Row],[TRABAJO]],1)-1)</f>
        <v>Snv 010 SW (Inc 870 SW)</v>
      </c>
      <c r="C32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SW (Inc 870 SW),LIMPIEZA</v>
      </c>
      <c r="D32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02" s="47" t="s">
        <v>6328</v>
      </c>
      <c r="G3202" t="s">
        <v>6329</v>
      </c>
      <c r="H32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03" spans="1:8" ht="15" customHeight="1" x14ac:dyDescent="0.25">
      <c r="A3203" t="str">
        <f>MID(TB_CECO[[#This Row],[CECO_T]],1,5)</f>
        <v>3E55F</v>
      </c>
      <c r="B3203" t="str">
        <f>MID(TB_CECO[[#This Row],[TRABAJO]],1,SEARCH(",",TB_CECO[[#This Row],[TRABAJO]],1)-1)</f>
        <v>Snv 010 SW (Inc 870 SW)</v>
      </c>
      <c r="C32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SW (Inc 870 SW),SERVICIO</v>
      </c>
      <c r="D32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03" s="47" t="s">
        <v>6330</v>
      </c>
      <c r="G3203" t="s">
        <v>6331</v>
      </c>
      <c r="H32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04" spans="1:8" ht="15" customHeight="1" x14ac:dyDescent="0.25">
      <c r="A3204" t="str">
        <f>MID(TB_CECO[[#This Row],[CECO_T]],1,5)</f>
        <v>3E55F</v>
      </c>
      <c r="B3204" t="str">
        <f>MID(TB_CECO[[#This Row],[TRABAJO]],1,SEARCH(",",TB_CECO[[#This Row],[TRABAJO]],1)-1)</f>
        <v>Snv 010 SW (Inc 870 SW)</v>
      </c>
      <c r="C32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SW (Inc 870 SW),PERFORACION</v>
      </c>
      <c r="D32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04" s="47" t="s">
        <v>6332</v>
      </c>
      <c r="G3204" t="s">
        <v>6333</v>
      </c>
      <c r="H32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05" spans="1:8" ht="15" customHeight="1" x14ac:dyDescent="0.25">
      <c r="A3205" t="str">
        <f>MID(TB_CECO[[#This Row],[CECO_T]],1,5)</f>
        <v>3E55F</v>
      </c>
      <c r="B3205" t="str">
        <f>MID(TB_CECO[[#This Row],[TRABAJO]],1,SEARCH(",",TB_CECO[[#This Row],[TRABAJO]],1)-1)</f>
        <v>Snv 010 SW (Inc 870 SW)</v>
      </c>
      <c r="C32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SW (Inc 870 SW),SOSTENIMIENTO</v>
      </c>
      <c r="D32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05" s="47" t="s">
        <v>6334</v>
      </c>
      <c r="G3205" t="s">
        <v>6335</v>
      </c>
      <c r="H32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06" spans="1:8" ht="15" customHeight="1" x14ac:dyDescent="0.25">
      <c r="A3206" t="str">
        <f>MID(TB_CECO[[#This Row],[CECO_T]],1,5)</f>
        <v>3E55F</v>
      </c>
      <c r="B3206" t="str">
        <f>MID(TB_CECO[[#This Row],[TRABAJO]],1,SEARCH(",",TB_CECO[[#This Row],[TRABAJO]],1)-1)</f>
        <v>Snv 010 SW (Inc 870 SW)</v>
      </c>
      <c r="C32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SW (Inc 870 SW),VOLADURA</v>
      </c>
      <c r="D32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06" s="47" t="s">
        <v>6336</v>
      </c>
      <c r="G3206" t="s">
        <v>6337</v>
      </c>
      <c r="H32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07" spans="1:8" ht="15" customHeight="1" x14ac:dyDescent="0.25">
      <c r="A3207" t="str">
        <f>MID(TB_CECO[[#This Row],[CECO_T]],1,5)</f>
        <v>3E55H</v>
      </c>
      <c r="B3207" t="str">
        <f>MID(TB_CECO[[#This Row],[TRABAJO]],1,SEARCH(",",TB_CECO[[#This Row],[TRABAJO]],1)-1)</f>
        <v>Snv 042 SW (Tj 037 SW</v>
      </c>
      <c r="C32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042 SW (Tj 037 SW,LIMPIEZA</v>
      </c>
      <c r="D32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07" s="47" t="s">
        <v>6338</v>
      </c>
      <c r="G3207" t="s">
        <v>6339</v>
      </c>
      <c r="H32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08" spans="1:8" ht="15" customHeight="1" x14ac:dyDescent="0.25">
      <c r="A3208" t="str">
        <f>MID(TB_CECO[[#This Row],[CECO_T]],1,5)</f>
        <v>3E55H</v>
      </c>
      <c r="B3208" t="str">
        <f>MID(TB_CECO[[#This Row],[TRABAJO]],1,SEARCH(",",TB_CECO[[#This Row],[TRABAJO]],1)-1)</f>
        <v>Snv 042 SW (Tj 037 SW</v>
      </c>
      <c r="C32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042 SW (Tj 037 SW,SERVICIO</v>
      </c>
      <c r="D32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08" s="47" t="s">
        <v>6340</v>
      </c>
      <c r="G3208" t="s">
        <v>6341</v>
      </c>
      <c r="H32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09" spans="1:8" ht="15" customHeight="1" x14ac:dyDescent="0.25">
      <c r="A3209" t="str">
        <f>MID(TB_CECO[[#This Row],[CECO_T]],1,5)</f>
        <v>3E55H</v>
      </c>
      <c r="B3209" t="str">
        <f>MID(TB_CECO[[#This Row],[TRABAJO]],1,SEARCH(",",TB_CECO[[#This Row],[TRABAJO]],1)-1)</f>
        <v>Snv 042 SW (Tj 037 SW</v>
      </c>
      <c r="C32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042 SW (Tj 037 SW,PERFORACION</v>
      </c>
      <c r="D32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09" s="47" t="s">
        <v>6342</v>
      </c>
      <c r="G3209" t="s">
        <v>6343</v>
      </c>
      <c r="H32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10" spans="1:8" ht="15" customHeight="1" x14ac:dyDescent="0.25">
      <c r="A3210" t="str">
        <f>MID(TB_CECO[[#This Row],[CECO_T]],1,5)</f>
        <v>3E55H</v>
      </c>
      <c r="B3210" t="str">
        <f>MID(TB_CECO[[#This Row],[TRABAJO]],1,SEARCH(",",TB_CECO[[#This Row],[TRABAJO]],1)-1)</f>
        <v>Snv 042 SW (Tj 037 SW</v>
      </c>
      <c r="C32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042 SW (Tj 037 SW,SOSTENIMIENTO</v>
      </c>
      <c r="D32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10" s="47" t="s">
        <v>6344</v>
      </c>
      <c r="G3210" t="s">
        <v>6345</v>
      </c>
      <c r="H32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11" spans="1:8" ht="15" customHeight="1" x14ac:dyDescent="0.25">
      <c r="A3211" t="str">
        <f>MID(TB_CECO[[#This Row],[CECO_T]],1,5)</f>
        <v>3E55H</v>
      </c>
      <c r="B3211" t="str">
        <f>MID(TB_CECO[[#This Row],[TRABAJO]],1,SEARCH(",",TB_CECO[[#This Row],[TRABAJO]],1)-1)</f>
        <v>Snv 042 SW (Tj 037 SW</v>
      </c>
      <c r="C32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042 SW (Tj 037 SW,VOLADURA</v>
      </c>
      <c r="D32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11" s="47" t="s">
        <v>6346</v>
      </c>
      <c r="G3211" t="s">
        <v>6347</v>
      </c>
      <c r="H32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12" spans="1:8" ht="15" customHeight="1" x14ac:dyDescent="0.25">
      <c r="A3212" t="str">
        <f>MID(TB_CECO[[#This Row],[CECO_T]],1,5)</f>
        <v>3E55I</v>
      </c>
      <c r="B3212" t="str">
        <f>MID(TB_CECO[[#This Row],[TRABAJO]],1,SEARCH(",",TB_CECO[[#This Row],[TRABAJO]],1)-1)</f>
        <v>Snv 868 NE (Snv 868 SW)</v>
      </c>
      <c r="C32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NE (Snv 868 SW),LIMPIEZA</v>
      </c>
      <c r="D32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12" s="47" t="s">
        <v>6348</v>
      </c>
      <c r="G3212" t="s">
        <v>6349</v>
      </c>
      <c r="H32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13" spans="1:8" ht="15" customHeight="1" x14ac:dyDescent="0.25">
      <c r="A3213" t="str">
        <f>MID(TB_CECO[[#This Row],[CECO_T]],1,5)</f>
        <v>3E55I</v>
      </c>
      <c r="B3213" t="str">
        <f>MID(TB_CECO[[#This Row],[TRABAJO]],1,SEARCH(",",TB_CECO[[#This Row],[TRABAJO]],1)-1)</f>
        <v>Snv 868 NE (Snv 868 SW)</v>
      </c>
      <c r="C32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NE (Snv 868 SW),SERVICIO</v>
      </c>
      <c r="D32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13" s="47" t="s">
        <v>6350</v>
      </c>
      <c r="G3213" t="s">
        <v>6351</v>
      </c>
      <c r="H32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14" spans="1:8" ht="15" customHeight="1" x14ac:dyDescent="0.25">
      <c r="A3214" t="str">
        <f>MID(TB_CECO[[#This Row],[CECO_T]],1,5)</f>
        <v>3E55I</v>
      </c>
      <c r="B3214" t="str">
        <f>MID(TB_CECO[[#This Row],[TRABAJO]],1,SEARCH(",",TB_CECO[[#This Row],[TRABAJO]],1)-1)</f>
        <v>Snv 868 NE (Snv 868 SW)</v>
      </c>
      <c r="C32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NE (Snv 868 SW),PERFORACION</v>
      </c>
      <c r="D32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14" s="47" t="s">
        <v>6352</v>
      </c>
      <c r="G3214" t="s">
        <v>6353</v>
      </c>
      <c r="H32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15" spans="1:8" ht="15" customHeight="1" x14ac:dyDescent="0.25">
      <c r="A3215" t="str">
        <f>MID(TB_CECO[[#This Row],[CECO_T]],1,5)</f>
        <v>3E55I</v>
      </c>
      <c r="B3215" t="str">
        <f>MID(TB_CECO[[#This Row],[TRABAJO]],1,SEARCH(",",TB_CECO[[#This Row],[TRABAJO]],1)-1)</f>
        <v>Snv 868 NE (Snv 868 SW)</v>
      </c>
      <c r="C32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NE (Snv 868 SW),SOSTENIMIENTO</v>
      </c>
      <c r="D32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15" s="47" t="s">
        <v>6354</v>
      </c>
      <c r="G3215" t="s">
        <v>6355</v>
      </c>
      <c r="H32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16" spans="1:8" ht="15" customHeight="1" x14ac:dyDescent="0.25">
      <c r="A3216" t="str">
        <f>MID(TB_CECO[[#This Row],[CECO_T]],1,5)</f>
        <v>3E55I</v>
      </c>
      <c r="B3216" t="str">
        <f>MID(TB_CECO[[#This Row],[TRABAJO]],1,SEARCH(",",TB_CECO[[#This Row],[TRABAJO]],1)-1)</f>
        <v>Snv 868 NE (Snv 868 SW)</v>
      </c>
      <c r="C32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868 NE (Snv 868 SW),VOLADURA</v>
      </c>
      <c r="D32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16" s="47" t="s">
        <v>6356</v>
      </c>
      <c r="G3216" t="s">
        <v>6357</v>
      </c>
      <c r="H32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17" spans="1:8" ht="15" customHeight="1" x14ac:dyDescent="0.25">
      <c r="A3217" t="str">
        <f>MID(TB_CECO[[#This Row],[CECO_T]],1,5)</f>
        <v>3E55J</v>
      </c>
      <c r="B3217" t="str">
        <f>MID(TB_CECO[[#This Row],[TRABAJO]],1,SEARCH(",",TB_CECO[[#This Row],[TRABAJO]],1)-1)</f>
        <v>Snv 846 SW (Tj 061 SW)</v>
      </c>
      <c r="C32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846 SW (Tj 061 SW),LIMPIEZA</v>
      </c>
      <c r="D32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17" s="47" t="s">
        <v>6358</v>
      </c>
      <c r="G3217" t="s">
        <v>6359</v>
      </c>
      <c r="H32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18" spans="1:8" ht="15" customHeight="1" x14ac:dyDescent="0.25">
      <c r="A3218" t="str">
        <f>MID(TB_CECO[[#This Row],[CECO_T]],1,5)</f>
        <v>3E55J</v>
      </c>
      <c r="B3218" t="str">
        <f>MID(TB_CECO[[#This Row],[TRABAJO]],1,SEARCH(",",TB_CECO[[#This Row],[TRABAJO]],1)-1)</f>
        <v>Snv 846 SW (Tj 061 SW)</v>
      </c>
      <c r="C32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846 SW (Tj 061 SW),SERVICIO</v>
      </c>
      <c r="D32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18" s="47" t="s">
        <v>6360</v>
      </c>
      <c r="G3218" t="s">
        <v>6361</v>
      </c>
      <c r="H32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19" spans="1:8" ht="15" customHeight="1" x14ac:dyDescent="0.25">
      <c r="A3219" t="str">
        <f>MID(TB_CECO[[#This Row],[CECO_T]],1,5)</f>
        <v>3E55J</v>
      </c>
      <c r="B3219" t="str">
        <f>MID(TB_CECO[[#This Row],[TRABAJO]],1,SEARCH(",",TB_CECO[[#This Row],[TRABAJO]],1)-1)</f>
        <v>Snv 846 SW (Tj 061 SW)</v>
      </c>
      <c r="C32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846 SW (Tj 061 SW),PERFORACION</v>
      </c>
      <c r="D32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19" s="47" t="s">
        <v>6362</v>
      </c>
      <c r="G3219" t="s">
        <v>6363</v>
      </c>
      <c r="H32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20" spans="1:8" ht="15" customHeight="1" x14ac:dyDescent="0.25">
      <c r="A3220" t="str">
        <f>MID(TB_CECO[[#This Row],[CECO_T]],1,5)</f>
        <v>3E55J</v>
      </c>
      <c r="B3220" t="str">
        <f>MID(TB_CECO[[#This Row],[TRABAJO]],1,SEARCH(",",TB_CECO[[#This Row],[TRABAJO]],1)-1)</f>
        <v>Snv 846 SW (Tj 061 SW)</v>
      </c>
      <c r="C32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846 SW (Tj 061 SW),SOSTENIMIENTO</v>
      </c>
      <c r="D32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20" s="47" t="s">
        <v>6364</v>
      </c>
      <c r="G3220" t="s">
        <v>6365</v>
      </c>
      <c r="H32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21" spans="1:8" ht="15" customHeight="1" x14ac:dyDescent="0.25">
      <c r="A3221" t="str">
        <f>MID(TB_CECO[[#This Row],[CECO_T]],1,5)</f>
        <v>3E55J</v>
      </c>
      <c r="B3221" t="str">
        <f>MID(TB_CECO[[#This Row],[TRABAJO]],1,SEARCH(",",TB_CECO[[#This Row],[TRABAJO]],1)-1)</f>
        <v>Snv 846 SW (Tj 061 SW)</v>
      </c>
      <c r="C32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846 SW (Tj 061 SW),VOLADURA</v>
      </c>
      <c r="D32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21" s="47" t="s">
        <v>6366</v>
      </c>
      <c r="G3221" t="s">
        <v>6367</v>
      </c>
      <c r="H32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22" spans="1:8" ht="15" customHeight="1" x14ac:dyDescent="0.25">
      <c r="A3222" t="str">
        <f>MID(TB_CECO[[#This Row],[CECO_T]],1,5)</f>
        <v>3E55U</v>
      </c>
      <c r="B3222" t="str">
        <f>MID(TB_CECO[[#This Row],[TRABAJO]],1,SEARCH(",",TB_CECO[[#This Row],[TRABAJO]],1)-1)</f>
        <v>Snv 820 NW (Est 820 NW)</v>
      </c>
      <c r="C32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NW (Est 820 NW),LIMPIEZA</v>
      </c>
      <c r="D32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22" s="47" t="s">
        <v>6368</v>
      </c>
      <c r="G3222" t="s">
        <v>6369</v>
      </c>
      <c r="H32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23" spans="1:8" ht="15" customHeight="1" x14ac:dyDescent="0.25">
      <c r="A3223" t="str">
        <f>MID(TB_CECO[[#This Row],[CECO_T]],1,5)</f>
        <v>3E55U</v>
      </c>
      <c r="B3223" t="str">
        <f>MID(TB_CECO[[#This Row],[TRABAJO]],1,SEARCH(",",TB_CECO[[#This Row],[TRABAJO]],1)-1)</f>
        <v>Snv 820 NW (Est 820 NW)</v>
      </c>
      <c r="C32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NW (Est 820 NW),SERVICIO</v>
      </c>
      <c r="D32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23" s="47" t="s">
        <v>6370</v>
      </c>
      <c r="G3223" t="s">
        <v>6371</v>
      </c>
      <c r="H32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24" spans="1:8" ht="15" customHeight="1" x14ac:dyDescent="0.25">
      <c r="A3224" t="str">
        <f>MID(TB_CECO[[#This Row],[CECO_T]],1,5)</f>
        <v>3E55U</v>
      </c>
      <c r="B3224" t="str">
        <f>MID(TB_CECO[[#This Row],[TRABAJO]],1,SEARCH(",",TB_CECO[[#This Row],[TRABAJO]],1)-1)</f>
        <v>Snv 820 NW (Est 820 NW)</v>
      </c>
      <c r="C32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NW (Est 820 NW),PERFORACION</v>
      </c>
      <c r="D32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24" s="47" t="s">
        <v>6372</v>
      </c>
      <c r="G3224" t="s">
        <v>6373</v>
      </c>
      <c r="H32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25" spans="1:8" ht="15" customHeight="1" x14ac:dyDescent="0.25">
      <c r="A3225" t="str">
        <f>MID(TB_CECO[[#This Row],[CECO_T]],1,5)</f>
        <v>3E55U</v>
      </c>
      <c r="B3225" t="str">
        <f>MID(TB_CECO[[#This Row],[TRABAJO]],1,SEARCH(",",TB_CECO[[#This Row],[TRABAJO]],1)-1)</f>
        <v>Snv 820 NW (Est 820 NW)</v>
      </c>
      <c r="C32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NW (Est 820 NW),SOSTENIMIENTO</v>
      </c>
      <c r="D32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25" s="47" t="s">
        <v>6374</v>
      </c>
      <c r="G3225" t="s">
        <v>6375</v>
      </c>
      <c r="H32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26" spans="1:8" ht="15" customHeight="1" x14ac:dyDescent="0.25">
      <c r="A3226" t="str">
        <f>MID(TB_CECO[[#This Row],[CECO_T]],1,5)</f>
        <v>3E55U</v>
      </c>
      <c r="B3226" t="str">
        <f>MID(TB_CECO[[#This Row],[TRABAJO]],1,SEARCH(",",TB_CECO[[#This Row],[TRABAJO]],1)-1)</f>
        <v>Snv 820 NW (Est 820 NW)</v>
      </c>
      <c r="C32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NW (Est 820 NW),VOLADURA</v>
      </c>
      <c r="D32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26" s="47" t="s">
        <v>6376</v>
      </c>
      <c r="G3226" t="s">
        <v>6377</v>
      </c>
      <c r="H32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27" spans="1:8" ht="15" customHeight="1" x14ac:dyDescent="0.25">
      <c r="A3227" t="str">
        <f>MID(TB_CECO[[#This Row],[CECO_T]],1,5)</f>
        <v>3E55V</v>
      </c>
      <c r="B3227" t="str">
        <f>MID(TB_CECO[[#This Row],[TRABAJO]],1,SEARCH(",",TB_CECO[[#This Row],[TRABAJO]],1)-1)</f>
        <v>Snv 048 SW (Tj 042 SW)</v>
      </c>
      <c r="C32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048 SW (Tj 042 SW),LIMPIEZA</v>
      </c>
      <c r="D32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27" s="47" t="s">
        <v>6378</v>
      </c>
      <c r="G3227" t="s">
        <v>6379</v>
      </c>
      <c r="H32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28" spans="1:8" ht="15" customHeight="1" x14ac:dyDescent="0.25">
      <c r="A3228" t="str">
        <f>MID(TB_CECO[[#This Row],[CECO_T]],1,5)</f>
        <v>3E55V</v>
      </c>
      <c r="B3228" t="str">
        <f>MID(TB_CECO[[#This Row],[TRABAJO]],1,SEARCH(",",TB_CECO[[#This Row],[TRABAJO]],1)-1)</f>
        <v>Snv 048 SW (Tj 042 SW)</v>
      </c>
      <c r="C32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048 SW (Tj 042 SW),SERVICIO</v>
      </c>
      <c r="D32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28" s="47" t="s">
        <v>6380</v>
      </c>
      <c r="G3228" t="s">
        <v>6381</v>
      </c>
      <c r="H32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29" spans="1:8" ht="15" customHeight="1" x14ac:dyDescent="0.25">
      <c r="A3229" t="str">
        <f>MID(TB_CECO[[#This Row],[CECO_T]],1,5)</f>
        <v>3E55V</v>
      </c>
      <c r="B3229" t="str">
        <f>MID(TB_CECO[[#This Row],[TRABAJO]],1,SEARCH(",",TB_CECO[[#This Row],[TRABAJO]],1)-1)</f>
        <v>Snv 048 SW (Tj 042 SW)</v>
      </c>
      <c r="C32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048 SW (Tj 042 SW),PERFORACION</v>
      </c>
      <c r="D32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29" s="47" t="s">
        <v>6382</v>
      </c>
      <c r="G3229" t="s">
        <v>6383</v>
      </c>
      <c r="H32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30" spans="1:8" ht="15" customHeight="1" x14ac:dyDescent="0.25">
      <c r="A3230" t="str">
        <f>MID(TB_CECO[[#This Row],[CECO_T]],1,5)</f>
        <v>3E55V</v>
      </c>
      <c r="B3230" t="str">
        <f>MID(TB_CECO[[#This Row],[TRABAJO]],1,SEARCH(",",TB_CECO[[#This Row],[TRABAJO]],1)-1)</f>
        <v>Snv 048 SW (Tj 042 SW)</v>
      </c>
      <c r="C32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048 SW (Tj 042 SW),SOSTENIMIENTO</v>
      </c>
      <c r="D32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30" s="47" t="s">
        <v>6384</v>
      </c>
      <c r="G3230" t="s">
        <v>6385</v>
      </c>
      <c r="H32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31" spans="1:8" ht="15" customHeight="1" x14ac:dyDescent="0.25">
      <c r="A3231" t="str">
        <f>MID(TB_CECO[[#This Row],[CECO_T]],1,5)</f>
        <v>3E55V</v>
      </c>
      <c r="B3231" t="str">
        <f>MID(TB_CECO[[#This Row],[TRABAJO]],1,SEARCH(",",TB_CECO[[#This Row],[TRABAJO]],1)-1)</f>
        <v>Snv 048 SW (Tj 042 SW)</v>
      </c>
      <c r="C32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048 SW (Tj 042 SW),VOLADURA</v>
      </c>
      <c r="D32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31" s="47" t="s">
        <v>6386</v>
      </c>
      <c r="G3231" t="s">
        <v>6387</v>
      </c>
      <c r="H32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32" spans="1:8" ht="15" customHeight="1" x14ac:dyDescent="0.25">
      <c r="A3232" t="str">
        <f>MID(TB_CECO[[#This Row],[CECO_T]],1,5)</f>
        <v>3E55W</v>
      </c>
      <c r="B3232" t="str">
        <f>MID(TB_CECO[[#This Row],[TRABAJO]],1,SEARCH(",",TB_CECO[[#This Row],[TRABAJO]],1)-1)</f>
        <v>Snv 820 SW (Est 820 NW)</v>
      </c>
      <c r="C32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(Est 820 NW),LIMPIEZA</v>
      </c>
      <c r="D32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32" s="47" t="s">
        <v>6388</v>
      </c>
      <c r="G3232" t="s">
        <v>6389</v>
      </c>
      <c r="H32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33" spans="1:8" ht="15" customHeight="1" x14ac:dyDescent="0.25">
      <c r="A3233" t="str">
        <f>MID(TB_CECO[[#This Row],[CECO_T]],1,5)</f>
        <v>3E55W</v>
      </c>
      <c r="B3233" t="str">
        <f>MID(TB_CECO[[#This Row],[TRABAJO]],1,SEARCH(",",TB_CECO[[#This Row],[TRABAJO]],1)-1)</f>
        <v>Snv 820 SW (Est 820 NW)</v>
      </c>
      <c r="C32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(Est 820 NW),SERVICIO</v>
      </c>
      <c r="D32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33" s="47" t="s">
        <v>6390</v>
      </c>
      <c r="G3233" t="s">
        <v>6391</v>
      </c>
      <c r="H32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34" spans="1:8" ht="15" customHeight="1" x14ac:dyDescent="0.25">
      <c r="A3234" t="str">
        <f>MID(TB_CECO[[#This Row],[CECO_T]],1,5)</f>
        <v>3E55W</v>
      </c>
      <c r="B3234" t="str">
        <f>MID(TB_CECO[[#This Row],[TRABAJO]],1,SEARCH(",",TB_CECO[[#This Row],[TRABAJO]],1)-1)</f>
        <v>Snv 820 SW (Est 820 NW)</v>
      </c>
      <c r="C32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(Est 820 NW),PERFORACION</v>
      </c>
      <c r="D32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34" s="47" t="s">
        <v>6392</v>
      </c>
      <c r="G3234" t="s">
        <v>6393</v>
      </c>
      <c r="H32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35" spans="1:8" ht="15" customHeight="1" x14ac:dyDescent="0.25">
      <c r="A3235" t="str">
        <f>MID(TB_CECO[[#This Row],[CECO_T]],1,5)</f>
        <v>3E55W</v>
      </c>
      <c r="B3235" t="str">
        <f>MID(TB_CECO[[#This Row],[TRABAJO]],1,SEARCH(",",TB_CECO[[#This Row],[TRABAJO]],1)-1)</f>
        <v>Snv 820 SW (Est 820 NW)</v>
      </c>
      <c r="C32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(Est 820 NW),SOSTENIMIENTO</v>
      </c>
      <c r="D32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35" s="47" t="s">
        <v>6394</v>
      </c>
      <c r="G3235" t="s">
        <v>6395</v>
      </c>
      <c r="H32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36" spans="1:8" ht="15" customHeight="1" x14ac:dyDescent="0.25">
      <c r="A3236" t="str">
        <f>MID(TB_CECO[[#This Row],[CECO_T]],1,5)</f>
        <v>3E55W</v>
      </c>
      <c r="B3236" t="str">
        <f>MID(TB_CECO[[#This Row],[TRABAJO]],1,SEARCH(",",TB_CECO[[#This Row],[TRABAJO]],1)-1)</f>
        <v>Snv 820 SW (Est 820 NW)</v>
      </c>
      <c r="C32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(Est 820 NW),VOLADURA</v>
      </c>
      <c r="D32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36" s="47" t="s">
        <v>6396</v>
      </c>
      <c r="G3236" t="s">
        <v>6397</v>
      </c>
      <c r="H32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37" spans="1:8" ht="15" customHeight="1" x14ac:dyDescent="0.25">
      <c r="A3237" t="str">
        <f>MID(TB_CECO[[#This Row],[CECO_T]],1,5)</f>
        <v>3E55X</v>
      </c>
      <c r="B3237" t="str">
        <f>MID(TB_CECO[[#This Row],[TRABAJO]],1,SEARCH(",",TB_CECO[[#This Row],[TRABAJO]],1)-1)</f>
        <v>Snv 820 NE (Est 820 NW)</v>
      </c>
      <c r="C32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(Est 820 NW),LIMPIEZA</v>
      </c>
      <c r="D32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37" s="47" t="s">
        <v>6398</v>
      </c>
      <c r="G3237" t="s">
        <v>6399</v>
      </c>
      <c r="H32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38" spans="1:8" ht="15" customHeight="1" x14ac:dyDescent="0.25">
      <c r="A3238" t="str">
        <f>MID(TB_CECO[[#This Row],[CECO_T]],1,5)</f>
        <v>3E55X</v>
      </c>
      <c r="B3238" t="str">
        <f>MID(TB_CECO[[#This Row],[TRABAJO]],1,SEARCH(",",TB_CECO[[#This Row],[TRABAJO]],1)-1)</f>
        <v>Snv 820 NE (Est 820 NW)</v>
      </c>
      <c r="C32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(Est 820 NW),SERVICIO</v>
      </c>
      <c r="D32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38" s="47" t="s">
        <v>6400</v>
      </c>
      <c r="G3238" t="s">
        <v>6401</v>
      </c>
      <c r="H32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39" spans="1:8" ht="15" customHeight="1" x14ac:dyDescent="0.25">
      <c r="A3239" t="str">
        <f>MID(TB_CECO[[#This Row],[CECO_T]],1,5)</f>
        <v>3E55X</v>
      </c>
      <c r="B3239" t="str">
        <f>MID(TB_CECO[[#This Row],[TRABAJO]],1,SEARCH(",",TB_CECO[[#This Row],[TRABAJO]],1)-1)</f>
        <v>Snv 820 NE (Est 820 NW)</v>
      </c>
      <c r="C32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(Est 820 NW),PERFORACION</v>
      </c>
      <c r="D32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39" s="47" t="s">
        <v>6402</v>
      </c>
      <c r="G3239" t="s">
        <v>6403</v>
      </c>
      <c r="H32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40" spans="1:8" ht="15" customHeight="1" x14ac:dyDescent="0.25">
      <c r="A3240" t="str">
        <f>MID(TB_CECO[[#This Row],[CECO_T]],1,5)</f>
        <v>3E55X</v>
      </c>
      <c r="B3240" t="str">
        <f>MID(TB_CECO[[#This Row],[TRABAJO]],1,SEARCH(",",TB_CECO[[#This Row],[TRABAJO]],1)-1)</f>
        <v>Snv 820 NE (Est 820 NW)</v>
      </c>
      <c r="C32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(Est 820 NW),SOSTENIMIENTO</v>
      </c>
      <c r="D32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40" s="47" t="s">
        <v>6404</v>
      </c>
      <c r="G3240" t="s">
        <v>6405</v>
      </c>
      <c r="H32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41" spans="1:8" ht="15" customHeight="1" x14ac:dyDescent="0.25">
      <c r="A3241" t="str">
        <f>MID(TB_CECO[[#This Row],[CECO_T]],1,5)</f>
        <v>3E55X</v>
      </c>
      <c r="B3241" t="str">
        <f>MID(TB_CECO[[#This Row],[TRABAJO]],1,SEARCH(",",TB_CECO[[#This Row],[TRABAJO]],1)-1)</f>
        <v>Snv 820 NE (Est 820 NW)</v>
      </c>
      <c r="C32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(Est 820 NW),VOLADURA</v>
      </c>
      <c r="D32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41" s="47" t="s">
        <v>6406</v>
      </c>
      <c r="G3241" t="s">
        <v>6407</v>
      </c>
      <c r="H32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42" spans="1:8" ht="15" customHeight="1" x14ac:dyDescent="0.25">
      <c r="A3242" t="str">
        <f>MID(TB_CECO[[#This Row],[CECO_T]],1,5)</f>
        <v>3E55Y</v>
      </c>
      <c r="B3242" t="str">
        <f>MID(TB_CECO[[#This Row],[TRABAJO]],1,SEARCH(",",TB_CECO[[#This Row],[TRABAJO]],1)-1)</f>
        <v>Snv  025  SW (Ch 835)</v>
      </c>
      <c r="C32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 025  SW (Ch 835),LIMPIEZA</v>
      </c>
      <c r="D32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42" s="47" t="s">
        <v>6408</v>
      </c>
      <c r="G3242" t="s">
        <v>6409</v>
      </c>
      <c r="H32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43" spans="1:8" ht="15" customHeight="1" x14ac:dyDescent="0.25">
      <c r="A3243" t="str">
        <f>MID(TB_CECO[[#This Row],[CECO_T]],1,5)</f>
        <v>3E55Y</v>
      </c>
      <c r="B3243" t="str">
        <f>MID(TB_CECO[[#This Row],[TRABAJO]],1,SEARCH(",",TB_CECO[[#This Row],[TRABAJO]],1)-1)</f>
        <v>Snv  025  SW (Ch 835)</v>
      </c>
      <c r="C32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 025  SW (Ch 835),SERVICIO</v>
      </c>
      <c r="D32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43" s="47" t="s">
        <v>6410</v>
      </c>
      <c r="G3243" t="s">
        <v>6411</v>
      </c>
      <c r="H32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44" spans="1:8" ht="15" customHeight="1" x14ac:dyDescent="0.25">
      <c r="A3244" t="str">
        <f>MID(TB_CECO[[#This Row],[CECO_T]],1,5)</f>
        <v>3E55Y</v>
      </c>
      <c r="B3244" t="str">
        <f>MID(TB_CECO[[#This Row],[TRABAJO]],1,SEARCH(",",TB_CECO[[#This Row],[TRABAJO]],1)-1)</f>
        <v>Snv  025  SW (Ch 835)</v>
      </c>
      <c r="C32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 025  SW (Ch 835),PERFORACION</v>
      </c>
      <c r="D32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44" s="47" t="s">
        <v>6412</v>
      </c>
      <c r="G3244" t="s">
        <v>6413</v>
      </c>
      <c r="H32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45" spans="1:8" ht="15" customHeight="1" x14ac:dyDescent="0.25">
      <c r="A3245" t="str">
        <f>MID(TB_CECO[[#This Row],[CECO_T]],1,5)</f>
        <v>3E55Y</v>
      </c>
      <c r="B3245" t="str">
        <f>MID(TB_CECO[[#This Row],[TRABAJO]],1,SEARCH(",",TB_CECO[[#This Row],[TRABAJO]],1)-1)</f>
        <v>Snv  025  SW (Ch 835)</v>
      </c>
      <c r="C32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 025  SW (Ch 835),SOSTENIMIENTO</v>
      </c>
      <c r="D32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45" s="47" t="s">
        <v>6414</v>
      </c>
      <c r="G3245" t="s">
        <v>6415</v>
      </c>
      <c r="H32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46" spans="1:8" ht="15" customHeight="1" x14ac:dyDescent="0.25">
      <c r="A3246" t="str">
        <f>MID(TB_CECO[[#This Row],[CECO_T]],1,5)</f>
        <v>3E55Y</v>
      </c>
      <c r="B3246" t="str">
        <f>MID(TB_CECO[[#This Row],[TRABAJO]],1,SEARCH(",",TB_CECO[[#This Row],[TRABAJO]],1)-1)</f>
        <v>Snv  025  SW (Ch 835)</v>
      </c>
      <c r="C32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 025  SW (Ch 835),VOLADURA</v>
      </c>
      <c r="D32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46" s="47" t="s">
        <v>6416</v>
      </c>
      <c r="G3246" t="s">
        <v>6417</v>
      </c>
      <c r="H32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47" spans="1:8" ht="15" customHeight="1" x14ac:dyDescent="0.25">
      <c r="A3247" t="str">
        <f>MID(TB_CECO[[#This Row],[CECO_T]],1,5)</f>
        <v>3E566</v>
      </c>
      <c r="B3247" t="str">
        <f>MID(TB_CECO[[#This Row],[TRABAJO]],1,SEARCH(",",TB_CECO[[#This Row],[TRABAJO]],1)-1)</f>
        <v>Snv 128 SW (Tj 117 SW)</v>
      </c>
      <c r="C32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128 SW (Tj 117 SW),SUMINISTROS</v>
      </c>
      <c r="D32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47" s="47" t="s">
        <v>6418</v>
      </c>
      <c r="G3247" t="s">
        <v>6419</v>
      </c>
      <c r="H32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48" spans="1:8" ht="15" customHeight="1" x14ac:dyDescent="0.25">
      <c r="A3248" t="str">
        <f>MID(TB_CECO[[#This Row],[CECO_T]],1,5)</f>
        <v>3E566</v>
      </c>
      <c r="B3248" t="str">
        <f>MID(TB_CECO[[#This Row],[TRABAJO]],1,SEARCH(",",TB_CECO[[#This Row],[TRABAJO]],1)-1)</f>
        <v>Snv 128 SW (Tj 117 SW)</v>
      </c>
      <c r="C32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128 SW (Tj 117 SW),SOSTENIMIENTO</v>
      </c>
      <c r="D32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48" s="47" t="s">
        <v>6420</v>
      </c>
      <c r="G3248" t="s">
        <v>6421</v>
      </c>
      <c r="H32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49" spans="1:8" ht="15" customHeight="1" x14ac:dyDescent="0.25">
      <c r="A3249" t="str">
        <f>MID(TB_CECO[[#This Row],[CECO_T]],1,5)</f>
        <v>3E566</v>
      </c>
      <c r="B3249" t="str">
        <f>MID(TB_CECO[[#This Row],[TRABAJO]],1,SEARCH(",",TB_CECO[[#This Row],[TRABAJO]],1)-1)</f>
        <v>Snv 128 SW (Tj 117 SW)</v>
      </c>
      <c r="C32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128 SW (Tj 117 SW),SERVICIO</v>
      </c>
      <c r="D32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49" s="47" t="s">
        <v>6422</v>
      </c>
      <c r="G3249" t="s">
        <v>6423</v>
      </c>
      <c r="H32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50" spans="1:8" ht="15" customHeight="1" x14ac:dyDescent="0.25">
      <c r="A3250" t="str">
        <f>MID(TB_CECO[[#This Row],[CECO_T]],1,5)</f>
        <v>3E566</v>
      </c>
      <c r="B3250" t="str">
        <f>MID(TB_CECO[[#This Row],[TRABAJO]],1,SEARCH(",",TB_CECO[[#This Row],[TRABAJO]],1)-1)</f>
        <v>Snv 128 SW (Tj 117 SW)</v>
      </c>
      <c r="C32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128 SW (Tj 117 SW),REHABILITACION</v>
      </c>
      <c r="D32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50" s="47" t="s">
        <v>6424</v>
      </c>
      <c r="G3250" t="s">
        <v>6425</v>
      </c>
      <c r="H32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51" spans="1:8" ht="15" customHeight="1" x14ac:dyDescent="0.25">
      <c r="A3251" t="str">
        <f>MID(TB_CECO[[#This Row],[CECO_T]],1,5)</f>
        <v>3E568</v>
      </c>
      <c r="B3251" t="str">
        <f>MID(TB_CECO[[#This Row],[TRABAJO]],1,SEARCH(",",TB_CECO[[#This Row],[TRABAJO]],1)-1)</f>
        <v>Snv 118 NE (Ch 086)</v>
      </c>
      <c r="C32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118 NE (Ch 086),SUMINISTROS</v>
      </c>
      <c r="D32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51" s="47" t="s">
        <v>6426</v>
      </c>
      <c r="G3251" t="s">
        <v>6427</v>
      </c>
      <c r="H32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52" spans="1:8" ht="15" customHeight="1" x14ac:dyDescent="0.25">
      <c r="A3252" t="str">
        <f>MID(TB_CECO[[#This Row],[CECO_T]],1,5)</f>
        <v>3E568</v>
      </c>
      <c r="B3252" t="str">
        <f>MID(TB_CECO[[#This Row],[TRABAJO]],1,SEARCH(",",TB_CECO[[#This Row],[TRABAJO]],1)-1)</f>
        <v>Snv 118 NE (Ch 086)</v>
      </c>
      <c r="C32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118 NE (Ch 086),SOSTENIMIENTO</v>
      </c>
      <c r="D32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52" s="47" t="s">
        <v>6428</v>
      </c>
      <c r="G3252" t="s">
        <v>6429</v>
      </c>
      <c r="H32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53" spans="1:8" ht="15" customHeight="1" x14ac:dyDescent="0.25">
      <c r="A3253" t="str">
        <f>MID(TB_CECO[[#This Row],[CECO_T]],1,5)</f>
        <v>3E568</v>
      </c>
      <c r="B3253" t="str">
        <f>MID(TB_CECO[[#This Row],[TRABAJO]],1,SEARCH(",",TB_CECO[[#This Row],[TRABAJO]],1)-1)</f>
        <v>Snv 118 NE (Ch 086)</v>
      </c>
      <c r="C32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118 NE (Ch 086),SERVICIO</v>
      </c>
      <c r="D32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53" s="47" t="s">
        <v>6430</v>
      </c>
      <c r="G3253" t="s">
        <v>6431</v>
      </c>
      <c r="H32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54" spans="1:8" ht="15" customHeight="1" x14ac:dyDescent="0.25">
      <c r="A3254" t="str">
        <f>MID(TB_CECO[[#This Row],[CECO_T]],1,5)</f>
        <v>3E568</v>
      </c>
      <c r="B3254" t="str">
        <f>MID(TB_CECO[[#This Row],[TRABAJO]],1,SEARCH(",",TB_CECO[[#This Row],[TRABAJO]],1)-1)</f>
        <v>Snv 118 NE (Ch 086)</v>
      </c>
      <c r="C32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118 NE (Ch 086),REHABILITACION</v>
      </c>
      <c r="D32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54" s="47" t="s">
        <v>6432</v>
      </c>
      <c r="G3254" t="s">
        <v>6433</v>
      </c>
      <c r="H32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55" spans="1:8" ht="15" customHeight="1" x14ac:dyDescent="0.25">
      <c r="A3255" t="str">
        <f>MID(TB_CECO[[#This Row],[CECO_T]],1,5)</f>
        <v>3E569</v>
      </c>
      <c r="B3255" t="str">
        <f>MID(TB_CECO[[#This Row],[TRABAJO]],1,SEARCH(",",TB_CECO[[#This Row],[TRABAJO]],1)-1)</f>
        <v>Snv 118 SW (Ch 086)</v>
      </c>
      <c r="C32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118 SW (Ch 086),SUMINISTROS</v>
      </c>
      <c r="D32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55" s="47" t="s">
        <v>6434</v>
      </c>
      <c r="G3255" t="s">
        <v>6435</v>
      </c>
      <c r="H32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56" spans="1:8" ht="15" customHeight="1" x14ac:dyDescent="0.25">
      <c r="A3256" t="str">
        <f>MID(TB_CECO[[#This Row],[CECO_T]],1,5)</f>
        <v>3E569</v>
      </c>
      <c r="B3256" t="str">
        <f>MID(TB_CECO[[#This Row],[TRABAJO]],1,SEARCH(",",TB_CECO[[#This Row],[TRABAJO]],1)-1)</f>
        <v>Snv 118 SW (Ch 086)</v>
      </c>
      <c r="C32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118 SW (Ch 086),SOSTENIMIENTO</v>
      </c>
      <c r="D32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56" s="47" t="s">
        <v>6436</v>
      </c>
      <c r="G3256" t="s">
        <v>6437</v>
      </c>
      <c r="H32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57" spans="1:8" ht="15" customHeight="1" x14ac:dyDescent="0.25">
      <c r="A3257" t="str">
        <f>MID(TB_CECO[[#This Row],[CECO_T]],1,5)</f>
        <v>3E569</v>
      </c>
      <c r="B3257" t="str">
        <f>MID(TB_CECO[[#This Row],[TRABAJO]],1,SEARCH(",",TB_CECO[[#This Row],[TRABAJO]],1)-1)</f>
        <v>Snv 118 SW (Ch 086)</v>
      </c>
      <c r="C32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118 SW (Ch 086),SERVICIO</v>
      </c>
      <c r="D32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57" s="47" t="s">
        <v>6438</v>
      </c>
      <c r="G3257" t="s">
        <v>6439</v>
      </c>
      <c r="H32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58" spans="1:8" ht="15" customHeight="1" x14ac:dyDescent="0.25">
      <c r="A3258" t="str">
        <f>MID(TB_CECO[[#This Row],[CECO_T]],1,5)</f>
        <v>3E569</v>
      </c>
      <c r="B3258" t="str">
        <f>MID(TB_CECO[[#This Row],[TRABAJO]],1,SEARCH(",",TB_CECO[[#This Row],[TRABAJO]],1)-1)</f>
        <v>Snv 118 SW (Ch 086)</v>
      </c>
      <c r="C32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118 SW (Ch 086),REHABILITACION</v>
      </c>
      <c r="D32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58" s="47" t="s">
        <v>6440</v>
      </c>
      <c r="G3258" t="s">
        <v>6441</v>
      </c>
      <c r="H32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59" spans="1:8" ht="15" customHeight="1" x14ac:dyDescent="0.25">
      <c r="A3259" t="str">
        <f>MID(TB_CECO[[#This Row],[CECO_T]],1,5)</f>
        <v>3E56F</v>
      </c>
      <c r="B3259" t="str">
        <f>MID(TB_CECO[[#This Row],[TRABAJO]],1,SEARCH(",",TB_CECO[[#This Row],[TRABAJO]],1)-1)</f>
        <v xml:space="preserve">Snv 084 SW (Tj 077 NE) </v>
      </c>
      <c r="C32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084 SW (Tj 077 NE) ,LIMPIEZA</v>
      </c>
      <c r="D32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59" s="47" t="s">
        <v>6442</v>
      </c>
      <c r="G3259" t="s">
        <v>6443</v>
      </c>
      <c r="H32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60" spans="1:8" ht="15" customHeight="1" x14ac:dyDescent="0.25">
      <c r="A3260" t="str">
        <f>MID(TB_CECO[[#This Row],[CECO_T]],1,5)</f>
        <v>3E56F</v>
      </c>
      <c r="B3260" t="str">
        <f>MID(TB_CECO[[#This Row],[TRABAJO]],1,SEARCH(",",TB_CECO[[#This Row],[TRABAJO]],1)-1)</f>
        <v xml:space="preserve">Snv 084 SW (Tj 077 NE) </v>
      </c>
      <c r="C32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084 SW (Tj 077 NE) ,SERVICIO</v>
      </c>
      <c r="D32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60" s="47" t="s">
        <v>6444</v>
      </c>
      <c r="G3260" t="s">
        <v>6445</v>
      </c>
      <c r="H32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61" spans="1:8" ht="15" customHeight="1" x14ac:dyDescent="0.25">
      <c r="A3261" t="str">
        <f>MID(TB_CECO[[#This Row],[CECO_T]],1,5)</f>
        <v>3E56F</v>
      </c>
      <c r="B3261" t="str">
        <f>MID(TB_CECO[[#This Row],[TRABAJO]],1,SEARCH(",",TB_CECO[[#This Row],[TRABAJO]],1)-1)</f>
        <v xml:space="preserve">Snv 084 SW (Tj 077 NE) </v>
      </c>
      <c r="C32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084 SW (Tj 077 NE) ,PERFORACION</v>
      </c>
      <c r="D32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61" s="47" t="s">
        <v>6446</v>
      </c>
      <c r="G3261" t="s">
        <v>6447</v>
      </c>
      <c r="H32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62" spans="1:8" ht="15" customHeight="1" x14ac:dyDescent="0.25">
      <c r="A3262" t="str">
        <f>MID(TB_CECO[[#This Row],[CECO_T]],1,5)</f>
        <v>3E56F</v>
      </c>
      <c r="B3262" t="str">
        <f>MID(TB_CECO[[#This Row],[TRABAJO]],1,SEARCH(",",TB_CECO[[#This Row],[TRABAJO]],1)-1)</f>
        <v xml:space="preserve">Snv 084 SW (Tj 077 NE) </v>
      </c>
      <c r="C32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084 SW (Tj 077 NE) ,SOSTENIMIENTO</v>
      </c>
      <c r="D32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62" s="47" t="s">
        <v>6448</v>
      </c>
      <c r="G3262" t="s">
        <v>6449</v>
      </c>
      <c r="H32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63" spans="1:8" ht="15" customHeight="1" x14ac:dyDescent="0.25">
      <c r="A3263" t="str">
        <f>MID(TB_CECO[[#This Row],[CECO_T]],1,5)</f>
        <v>3E56F</v>
      </c>
      <c r="B3263" t="str">
        <f>MID(TB_CECO[[#This Row],[TRABAJO]],1,SEARCH(",",TB_CECO[[#This Row],[TRABAJO]],1)-1)</f>
        <v xml:space="preserve">Snv 084 SW (Tj 077 NE) </v>
      </c>
      <c r="C32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084 SW (Tj 077 NE) ,VOLADURA</v>
      </c>
      <c r="D32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63" s="47" t="s">
        <v>6450</v>
      </c>
      <c r="G3263" t="s">
        <v>6451</v>
      </c>
      <c r="H32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64" spans="1:8" ht="15" customHeight="1" x14ac:dyDescent="0.25">
      <c r="A3264" t="str">
        <f>MID(TB_CECO[[#This Row],[CECO_T]],1,5)</f>
        <v>3E570</v>
      </c>
      <c r="B3264" t="str">
        <f>MID(TB_CECO[[#This Row],[TRABAJO]],1,SEARCH(",",TB_CECO[[#This Row],[TRABAJO]],1)-1)</f>
        <v>Snv 145 NE (Tj 127 NE)</v>
      </c>
      <c r="C32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 (Tj 127 NE),SUMINISTROS</v>
      </c>
      <c r="D32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64" s="47" t="s">
        <v>6452</v>
      </c>
      <c r="G3264" t="s">
        <v>6453</v>
      </c>
      <c r="H32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65" spans="1:8" ht="15" customHeight="1" x14ac:dyDescent="0.25">
      <c r="A3265" t="str">
        <f>MID(TB_CECO[[#This Row],[CECO_T]],1,5)</f>
        <v>3E570</v>
      </c>
      <c r="B3265" t="str">
        <f>MID(TB_CECO[[#This Row],[TRABAJO]],1,SEARCH(",",TB_CECO[[#This Row],[TRABAJO]],1)-1)</f>
        <v>Snv 145 NE (Tj 127 NE)</v>
      </c>
      <c r="C32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 (Tj 127 NE),SOSTENIMIENTO</v>
      </c>
      <c r="D32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65" s="47" t="s">
        <v>6454</v>
      </c>
      <c r="G3265" t="s">
        <v>6455</v>
      </c>
      <c r="H32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66" spans="1:8" ht="15" customHeight="1" x14ac:dyDescent="0.25">
      <c r="A3266" t="str">
        <f>MID(TB_CECO[[#This Row],[CECO_T]],1,5)</f>
        <v>3E570</v>
      </c>
      <c r="B3266" t="str">
        <f>MID(TB_CECO[[#This Row],[TRABAJO]],1,SEARCH(",",TB_CECO[[#This Row],[TRABAJO]],1)-1)</f>
        <v>Snv 145 NE (Tj 127 NE)</v>
      </c>
      <c r="C32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 (Tj 127 NE),SERVICIO</v>
      </c>
      <c r="D32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66" s="47" t="s">
        <v>6456</v>
      </c>
      <c r="G3266" t="s">
        <v>6457</v>
      </c>
      <c r="H32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67" spans="1:8" ht="15" customHeight="1" x14ac:dyDescent="0.25">
      <c r="A3267" t="str">
        <f>MID(TB_CECO[[#This Row],[CECO_T]],1,5)</f>
        <v>3E570</v>
      </c>
      <c r="B3267" t="str">
        <f>MID(TB_CECO[[#This Row],[TRABAJO]],1,SEARCH(",",TB_CECO[[#This Row],[TRABAJO]],1)-1)</f>
        <v>Snv 145 NE (Tj 127 NE)</v>
      </c>
      <c r="C32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 (Tj 127 NE),REHABILITACION</v>
      </c>
      <c r="D32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67" s="47" t="s">
        <v>6458</v>
      </c>
      <c r="G3267" t="s">
        <v>6459</v>
      </c>
      <c r="H32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68" spans="1:8" ht="15" customHeight="1" x14ac:dyDescent="0.25">
      <c r="A3268" t="str">
        <f>MID(TB_CECO[[#This Row],[CECO_T]],1,5)</f>
        <v>3E574</v>
      </c>
      <c r="B3268" t="str">
        <f>MID(TB_CECO[[#This Row],[TRABAJO]],1,SEARCH(",",TB_CECO[[#This Row],[TRABAJO]],1)-1)</f>
        <v>Snv 088 NE (Est 075-2 SE)</v>
      </c>
      <c r="C32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NE (Est 075-2 SE),SUMINISTROS</v>
      </c>
      <c r="D32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68" s="47" t="s">
        <v>6460</v>
      </c>
      <c r="G3268" t="s">
        <v>6461</v>
      </c>
      <c r="H32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69" spans="1:8" ht="15" customHeight="1" x14ac:dyDescent="0.25">
      <c r="A3269" t="str">
        <f>MID(TB_CECO[[#This Row],[CECO_T]],1,5)</f>
        <v>3E574</v>
      </c>
      <c r="B3269" t="str">
        <f>MID(TB_CECO[[#This Row],[TRABAJO]],1,SEARCH(",",TB_CECO[[#This Row],[TRABAJO]],1)-1)</f>
        <v>Snv 088 NE (Est 075-2 SE)</v>
      </c>
      <c r="C32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NE (Est 075-2 SE),SOSTENIMIENTO</v>
      </c>
      <c r="D32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69" s="47" t="s">
        <v>6462</v>
      </c>
      <c r="G3269" t="s">
        <v>6463</v>
      </c>
      <c r="H32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70" spans="1:8" ht="15" customHeight="1" x14ac:dyDescent="0.25">
      <c r="A3270" t="str">
        <f>MID(TB_CECO[[#This Row],[CECO_T]],1,5)</f>
        <v>3E574</v>
      </c>
      <c r="B3270" t="str">
        <f>MID(TB_CECO[[#This Row],[TRABAJO]],1,SEARCH(",",TB_CECO[[#This Row],[TRABAJO]],1)-1)</f>
        <v>Snv 088 NE (Est 075-2 SE)</v>
      </c>
      <c r="C32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NE (Est 075-2 SE),SERVICIO</v>
      </c>
      <c r="D32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70" s="47" t="s">
        <v>6464</v>
      </c>
      <c r="G3270" t="s">
        <v>6465</v>
      </c>
      <c r="H32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71" spans="1:8" ht="15" customHeight="1" x14ac:dyDescent="0.25">
      <c r="A3271" t="str">
        <f>MID(TB_CECO[[#This Row],[CECO_T]],1,5)</f>
        <v>3E574</v>
      </c>
      <c r="B3271" t="str">
        <f>MID(TB_CECO[[#This Row],[TRABAJO]],1,SEARCH(",",TB_CECO[[#This Row],[TRABAJO]],1)-1)</f>
        <v>Snv 088 NE (Est 075-2 SE)</v>
      </c>
      <c r="C32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NE (Est 075-2 SE),REHABILITACION</v>
      </c>
      <c r="D32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71" s="47" t="s">
        <v>6466</v>
      </c>
      <c r="G3271" t="s">
        <v>6467</v>
      </c>
      <c r="H32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72" spans="1:8" ht="15" customHeight="1" x14ac:dyDescent="0.25">
      <c r="A3272" t="str">
        <f>MID(TB_CECO[[#This Row],[CECO_T]],1,5)</f>
        <v>3E575</v>
      </c>
      <c r="B3272" t="str">
        <f>MID(TB_CECO[[#This Row],[TRABAJO]],1,SEARCH(",",TB_CECO[[#This Row],[TRABAJO]],1)-1)</f>
        <v>Snv 088 SW (Est 075-2 SE)</v>
      </c>
      <c r="C32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SW (Est 075-2 SE),SUMINISTROS</v>
      </c>
      <c r="D32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72" s="47" t="s">
        <v>6468</v>
      </c>
      <c r="G3272" t="s">
        <v>6469</v>
      </c>
      <c r="H32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73" spans="1:8" ht="15" customHeight="1" x14ac:dyDescent="0.25">
      <c r="A3273" t="str">
        <f>MID(TB_CECO[[#This Row],[CECO_T]],1,5)</f>
        <v>3E575</v>
      </c>
      <c r="B3273" t="str">
        <f>MID(TB_CECO[[#This Row],[TRABAJO]],1,SEARCH(",",TB_CECO[[#This Row],[TRABAJO]],1)-1)</f>
        <v>Snv 088 SW (Est 075-2 SE)</v>
      </c>
      <c r="C32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SW (Est 075-2 SE),SOSTENIMIENTO</v>
      </c>
      <c r="D32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73" s="47" t="s">
        <v>6470</v>
      </c>
      <c r="G3273" t="s">
        <v>6471</v>
      </c>
      <c r="H32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74" spans="1:8" ht="15" customHeight="1" x14ac:dyDescent="0.25">
      <c r="A3274" t="str">
        <f>MID(TB_CECO[[#This Row],[CECO_T]],1,5)</f>
        <v>3E575</v>
      </c>
      <c r="B3274" t="str">
        <f>MID(TB_CECO[[#This Row],[TRABAJO]],1,SEARCH(",",TB_CECO[[#This Row],[TRABAJO]],1)-1)</f>
        <v>Snv 088 SW (Est 075-2 SE)</v>
      </c>
      <c r="C32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SW (Est 075-2 SE),SERVICIO</v>
      </c>
      <c r="D32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74" s="47" t="s">
        <v>6472</v>
      </c>
      <c r="G3274" t="s">
        <v>6473</v>
      </c>
      <c r="H32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75" spans="1:8" ht="15" customHeight="1" x14ac:dyDescent="0.25">
      <c r="A3275" t="str">
        <f>MID(TB_CECO[[#This Row],[CECO_T]],1,5)</f>
        <v>3E575</v>
      </c>
      <c r="B3275" t="str">
        <f>MID(TB_CECO[[#This Row],[TRABAJO]],1,SEARCH(",",TB_CECO[[#This Row],[TRABAJO]],1)-1)</f>
        <v>Snv 088 SW (Est 075-2 SE)</v>
      </c>
      <c r="C32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088 SW (Est 075-2 SE),REHABILITACION</v>
      </c>
      <c r="D32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75" s="47" t="s">
        <v>6474</v>
      </c>
      <c r="G3275" t="s">
        <v>6475</v>
      </c>
      <c r="H32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76" spans="1:8" ht="15" customHeight="1" x14ac:dyDescent="0.25">
      <c r="A3276" t="str">
        <f>MID(TB_CECO[[#This Row],[CECO_T]],1,5)</f>
        <v>3E577</v>
      </c>
      <c r="B3276" t="str">
        <f>MID(TB_CECO[[#This Row],[TRABAJO]],1,SEARCH(",",TB_CECO[[#This Row],[TRABAJO]],1)-1)</f>
        <v>Snv 095 SW (Ch 066)</v>
      </c>
      <c r="C32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SW (Ch 066),SUMINISTROS</v>
      </c>
      <c r="D32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76" s="47" t="s">
        <v>6476</v>
      </c>
      <c r="G3276" t="s">
        <v>6477</v>
      </c>
      <c r="H32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77" spans="1:8" ht="15" customHeight="1" x14ac:dyDescent="0.25">
      <c r="A3277" t="str">
        <f>MID(TB_CECO[[#This Row],[CECO_T]],1,5)</f>
        <v>3E577</v>
      </c>
      <c r="B3277" t="str">
        <f>MID(TB_CECO[[#This Row],[TRABAJO]],1,SEARCH(",",TB_CECO[[#This Row],[TRABAJO]],1)-1)</f>
        <v>Snv 095 SW (Ch 066)</v>
      </c>
      <c r="C32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SW (Ch 066),SOSTENIMIENTO</v>
      </c>
      <c r="D32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77" s="47" t="s">
        <v>6478</v>
      </c>
      <c r="G3277" t="s">
        <v>6479</v>
      </c>
      <c r="H32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78" spans="1:8" ht="15" customHeight="1" x14ac:dyDescent="0.25">
      <c r="A3278" t="str">
        <f>MID(TB_CECO[[#This Row],[CECO_T]],1,5)</f>
        <v>3E577</v>
      </c>
      <c r="B3278" t="str">
        <f>MID(TB_CECO[[#This Row],[TRABAJO]],1,SEARCH(",",TB_CECO[[#This Row],[TRABAJO]],1)-1)</f>
        <v>Snv 095 SW (Ch 066)</v>
      </c>
      <c r="C32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SW (Ch 066),SERVICIO</v>
      </c>
      <c r="D32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78" s="47" t="s">
        <v>6480</v>
      </c>
      <c r="G3278" t="s">
        <v>6481</v>
      </c>
      <c r="H32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79" spans="1:8" ht="15" customHeight="1" x14ac:dyDescent="0.25">
      <c r="A3279" t="str">
        <f>MID(TB_CECO[[#This Row],[CECO_T]],1,5)</f>
        <v>3E577</v>
      </c>
      <c r="B3279" t="str">
        <f>MID(TB_CECO[[#This Row],[TRABAJO]],1,SEARCH(",",TB_CECO[[#This Row],[TRABAJO]],1)-1)</f>
        <v>Snv 095 SW (Ch 066)</v>
      </c>
      <c r="C32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095 SW (Ch 066),REHABILITACION</v>
      </c>
      <c r="D32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79" s="47" t="s">
        <v>6482</v>
      </c>
      <c r="G3279" t="s">
        <v>6483</v>
      </c>
      <c r="H32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80" spans="1:8" ht="15" customHeight="1" x14ac:dyDescent="0.25">
      <c r="A3280" t="str">
        <f>MID(TB_CECO[[#This Row],[CECO_T]],1,5)</f>
        <v>3E579</v>
      </c>
      <c r="B3280" t="str">
        <f>MID(TB_CECO[[#This Row],[TRABAJO]],1,SEARCH(",",TB_CECO[[#This Row],[TRABAJO]],1)-1)</f>
        <v>Snv 150 NE (TJ 065 NE)</v>
      </c>
      <c r="C32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 NE (TJ 065 NE),SUMINISTROS</v>
      </c>
      <c r="D32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80" s="47" t="s">
        <v>6484</v>
      </c>
      <c r="G3280" t="s">
        <v>6485</v>
      </c>
      <c r="H32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81" spans="1:8" ht="15" customHeight="1" x14ac:dyDescent="0.25">
      <c r="A3281" t="str">
        <f>MID(TB_CECO[[#This Row],[CECO_T]],1,5)</f>
        <v>3E579</v>
      </c>
      <c r="B3281" t="str">
        <f>MID(TB_CECO[[#This Row],[TRABAJO]],1,SEARCH(",",TB_CECO[[#This Row],[TRABAJO]],1)-1)</f>
        <v>Snv 150 NE (TJ 065 NE)</v>
      </c>
      <c r="C32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 NE (TJ 065 NE),SOSTENIMIENTO</v>
      </c>
      <c r="D32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81" s="47" t="s">
        <v>6486</v>
      </c>
      <c r="G3281" t="s">
        <v>6487</v>
      </c>
      <c r="H32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82" spans="1:8" ht="15" customHeight="1" x14ac:dyDescent="0.25">
      <c r="A3282" t="str">
        <f>MID(TB_CECO[[#This Row],[CECO_T]],1,5)</f>
        <v>3E579</v>
      </c>
      <c r="B3282" t="str">
        <f>MID(TB_CECO[[#This Row],[TRABAJO]],1,SEARCH(",",TB_CECO[[#This Row],[TRABAJO]],1)-1)</f>
        <v>Snv 150 NE (TJ 065 NE)</v>
      </c>
      <c r="C32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 NE (TJ 065 NE),SERVICIO</v>
      </c>
      <c r="D32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82" s="47" t="s">
        <v>6488</v>
      </c>
      <c r="G3282" t="s">
        <v>6489</v>
      </c>
      <c r="H32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83" spans="1:8" ht="15" customHeight="1" x14ac:dyDescent="0.25">
      <c r="A3283" t="str">
        <f>MID(TB_CECO[[#This Row],[CECO_T]],1,5)</f>
        <v>3E579</v>
      </c>
      <c r="B3283" t="str">
        <f>MID(TB_CECO[[#This Row],[TRABAJO]],1,SEARCH(",",TB_CECO[[#This Row],[TRABAJO]],1)-1)</f>
        <v>Snv 150 NE (TJ 065 NE)</v>
      </c>
      <c r="C32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 NE (TJ 065 NE),REHABILITACION</v>
      </c>
      <c r="D32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83" s="47" t="s">
        <v>6490</v>
      </c>
      <c r="G3283" t="s">
        <v>6491</v>
      </c>
      <c r="H32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84" spans="1:8" ht="15" customHeight="1" x14ac:dyDescent="0.25">
      <c r="A3284" t="str">
        <f>MID(TB_CECO[[#This Row],[CECO_T]],1,5)</f>
        <v>3E588</v>
      </c>
      <c r="B3284" t="str">
        <f>MID(TB_CECO[[#This Row],[TRABAJO]],1,SEARCH(",",TB_CECO[[#This Row],[TRABAJO]],1)-1)</f>
        <v>Snv 072 NE (Tj 097 NE)</v>
      </c>
      <c r="C32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NE (Tj 097 NE),SUMINISTROS</v>
      </c>
      <c r="D32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84" s="47" t="s">
        <v>6492</v>
      </c>
      <c r="G3284" t="s">
        <v>6493</v>
      </c>
      <c r="H32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85" spans="1:8" ht="15" customHeight="1" x14ac:dyDescent="0.25">
      <c r="A3285" t="str">
        <f>MID(TB_CECO[[#This Row],[CECO_T]],1,5)</f>
        <v>3E588</v>
      </c>
      <c r="B3285" t="str">
        <f>MID(TB_CECO[[#This Row],[TRABAJO]],1,SEARCH(",",TB_CECO[[#This Row],[TRABAJO]],1)-1)</f>
        <v>Snv 072 NE (Tj 097 NE)</v>
      </c>
      <c r="C32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NE (Tj 097 NE),SOSTENIMIENTO</v>
      </c>
      <c r="D32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85" s="47" t="s">
        <v>6494</v>
      </c>
      <c r="G3285" t="s">
        <v>6495</v>
      </c>
      <c r="H32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86" spans="1:8" ht="15" customHeight="1" x14ac:dyDescent="0.25">
      <c r="A3286" t="str">
        <f>MID(TB_CECO[[#This Row],[CECO_T]],1,5)</f>
        <v>3E588</v>
      </c>
      <c r="B3286" t="str">
        <f>MID(TB_CECO[[#This Row],[TRABAJO]],1,SEARCH(",",TB_CECO[[#This Row],[TRABAJO]],1)-1)</f>
        <v>Snv 072 NE (Tj 097 NE)</v>
      </c>
      <c r="C32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NE (Tj 097 NE),SERVICIO</v>
      </c>
      <c r="D32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86" s="47" t="s">
        <v>6496</v>
      </c>
      <c r="G3286" t="s">
        <v>6497</v>
      </c>
      <c r="H32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87" spans="1:8" ht="15" customHeight="1" x14ac:dyDescent="0.25">
      <c r="A3287" t="str">
        <f>MID(TB_CECO[[#This Row],[CECO_T]],1,5)</f>
        <v>3E588</v>
      </c>
      <c r="B3287" t="str">
        <f>MID(TB_CECO[[#This Row],[TRABAJO]],1,SEARCH(",",TB_CECO[[#This Row],[TRABAJO]],1)-1)</f>
        <v>Snv 072 NE (Tj 097 NE)</v>
      </c>
      <c r="C32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072 NE (Tj 097 NE),REHABILITACION</v>
      </c>
      <c r="D32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87" s="47" t="s">
        <v>6498</v>
      </c>
      <c r="G3287" t="s">
        <v>6499</v>
      </c>
      <c r="H32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88" spans="1:8" ht="15" customHeight="1" x14ac:dyDescent="0.25">
      <c r="A3288" t="str">
        <f>MID(TB_CECO[[#This Row],[CECO_T]],1,5)</f>
        <v>3E591</v>
      </c>
      <c r="B3288" t="str">
        <f>MID(TB_CECO[[#This Row],[TRABAJO]],1,SEARCH(",",TB_CECO[[#This Row],[TRABAJO]],1)-1)</f>
        <v>Snv 074 SW (TJ 071 SW)</v>
      </c>
      <c r="C32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074 SW (TJ 071 SW),SUMINISTROS</v>
      </c>
      <c r="D32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88" s="47" t="s">
        <v>6500</v>
      </c>
      <c r="G3288" t="s">
        <v>6501</v>
      </c>
      <c r="H32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89" spans="1:8" ht="15" customHeight="1" x14ac:dyDescent="0.25">
      <c r="A3289" t="str">
        <f>MID(TB_CECO[[#This Row],[CECO_T]],1,5)</f>
        <v>3E591</v>
      </c>
      <c r="B3289" t="str">
        <f>MID(TB_CECO[[#This Row],[TRABAJO]],1,SEARCH(",",TB_CECO[[#This Row],[TRABAJO]],1)-1)</f>
        <v>Snv 074 SW (TJ 071 SW)</v>
      </c>
      <c r="C32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074 SW (TJ 071 SW),SOSTENIMIENTO</v>
      </c>
      <c r="D32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89" s="47" t="s">
        <v>6502</v>
      </c>
      <c r="G3289" t="s">
        <v>6503</v>
      </c>
      <c r="H32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90" spans="1:8" ht="15" customHeight="1" x14ac:dyDescent="0.25">
      <c r="A3290" t="str">
        <f>MID(TB_CECO[[#This Row],[CECO_T]],1,5)</f>
        <v>3E591</v>
      </c>
      <c r="B3290" t="str">
        <f>MID(TB_CECO[[#This Row],[TRABAJO]],1,SEARCH(",",TB_CECO[[#This Row],[TRABAJO]],1)-1)</f>
        <v>Snv 074 SW (TJ 071 SW)</v>
      </c>
      <c r="C32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074 SW (TJ 071 SW),SERVICIO</v>
      </c>
      <c r="D32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90" s="47" t="s">
        <v>6504</v>
      </c>
      <c r="G3290" t="s">
        <v>6505</v>
      </c>
      <c r="H32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91" spans="1:8" ht="15" customHeight="1" x14ac:dyDescent="0.25">
      <c r="A3291" t="str">
        <f>MID(TB_CECO[[#This Row],[CECO_T]],1,5)</f>
        <v>3E591</v>
      </c>
      <c r="B3291" t="str">
        <f>MID(TB_CECO[[#This Row],[TRABAJO]],1,SEARCH(",",TB_CECO[[#This Row],[TRABAJO]],1)-1)</f>
        <v>Snv 074 SW (TJ 071 SW)</v>
      </c>
      <c r="C32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074 SW (TJ 071 SW),REHABILITACION</v>
      </c>
      <c r="D32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91" s="47" t="s">
        <v>6506</v>
      </c>
      <c r="G3291" t="s">
        <v>6507</v>
      </c>
      <c r="H32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92" spans="1:8" ht="15" customHeight="1" x14ac:dyDescent="0.25">
      <c r="A3292" t="str">
        <f>MID(TB_CECO[[#This Row],[CECO_T]],1,5)</f>
        <v>3E629</v>
      </c>
      <c r="B3292" t="str">
        <f>MID(TB_CECO[[#This Row],[TRABAJO]],1,SEARCH(",",TB_CECO[[#This Row],[TRABAJO]],1)-1)</f>
        <v>EST 140 S (SNV 140 SW)</v>
      </c>
      <c r="C32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140 S (SNV 140 SW),SUMINISTROS</v>
      </c>
      <c r="D32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92" s="47" t="s">
        <v>6508</v>
      </c>
      <c r="G3292" t="s">
        <v>6509</v>
      </c>
      <c r="H32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93" spans="1:8" ht="15" customHeight="1" x14ac:dyDescent="0.25">
      <c r="A3293" t="str">
        <f>MID(TB_CECO[[#This Row],[CECO_T]],1,5)</f>
        <v>3E629</v>
      </c>
      <c r="B3293" t="str">
        <f>MID(TB_CECO[[#This Row],[TRABAJO]],1,SEARCH(",",TB_CECO[[#This Row],[TRABAJO]],1)-1)</f>
        <v>EST 140 S (SNV 140 SW)</v>
      </c>
      <c r="C32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140 S (SNV 140 SW),SOSTENIMIENTO</v>
      </c>
      <c r="D32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93" s="47" t="s">
        <v>6510</v>
      </c>
      <c r="G3293" t="s">
        <v>6511</v>
      </c>
      <c r="H32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94" spans="1:8" ht="15" customHeight="1" x14ac:dyDescent="0.25">
      <c r="A3294" t="str">
        <f>MID(TB_CECO[[#This Row],[CECO_T]],1,5)</f>
        <v>3E629</v>
      </c>
      <c r="B3294" t="str">
        <f>MID(TB_CECO[[#This Row],[TRABAJO]],1,SEARCH(",",TB_CECO[[#This Row],[TRABAJO]],1)-1)</f>
        <v>EST 140 S (SNV 140 SW)</v>
      </c>
      <c r="C32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140 S (SNV 140 SW),SERVICIO</v>
      </c>
      <c r="D32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94" s="47" t="s">
        <v>6512</v>
      </c>
      <c r="G3294" t="s">
        <v>6513</v>
      </c>
      <c r="H32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95" spans="1:8" ht="15" customHeight="1" x14ac:dyDescent="0.25">
      <c r="A3295" t="str">
        <f>MID(TB_CECO[[#This Row],[CECO_T]],1,5)</f>
        <v>3E629</v>
      </c>
      <c r="B3295" t="str">
        <f>MID(TB_CECO[[#This Row],[TRABAJO]],1,SEARCH(",",TB_CECO[[#This Row],[TRABAJO]],1)-1)</f>
        <v>EST 140 S (SNV 140 SW)</v>
      </c>
      <c r="C32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140 S (SNV 140 SW),REHABILITACION</v>
      </c>
      <c r="D32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2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295" s="47" t="s">
        <v>6514</v>
      </c>
      <c r="G3295" t="s">
        <v>6515</v>
      </c>
      <c r="H32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96" spans="1:8" ht="15" customHeight="1" x14ac:dyDescent="0.25">
      <c r="A3296" t="str">
        <f>MID(TB_CECO[[#This Row],[CECO_T]],1,5)</f>
        <v>3E937</v>
      </c>
      <c r="B3296" t="str">
        <f>MID(TB_CECO[[#This Row],[TRABAJO]],1,SEARCH(",",TB_CECO[[#This Row],[TRABAJO]],1)-1)</f>
        <v>Ven 032 (Tj 077 NE)</v>
      </c>
      <c r="C32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032 (Tj 077 NE),LIMPIEZA</v>
      </c>
      <c r="D32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96" s="47" t="s">
        <v>6516</v>
      </c>
      <c r="G3296" t="s">
        <v>6517</v>
      </c>
      <c r="H32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97" spans="1:8" ht="15" customHeight="1" x14ac:dyDescent="0.25">
      <c r="A3297" t="str">
        <f>MID(TB_CECO[[#This Row],[CECO_T]],1,5)</f>
        <v>3E937</v>
      </c>
      <c r="B3297" t="str">
        <f>MID(TB_CECO[[#This Row],[TRABAJO]],1,SEARCH(",",TB_CECO[[#This Row],[TRABAJO]],1)-1)</f>
        <v>Ven 032 (Tj 077 NE)</v>
      </c>
      <c r="C32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032 (Tj 077 NE),SERVICIO</v>
      </c>
      <c r="D32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97" s="47" t="s">
        <v>6518</v>
      </c>
      <c r="G3297" t="s">
        <v>6519</v>
      </c>
      <c r="H32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98" spans="1:8" ht="15" customHeight="1" x14ac:dyDescent="0.25">
      <c r="A3298" t="str">
        <f>MID(TB_CECO[[#This Row],[CECO_T]],1,5)</f>
        <v>3E937</v>
      </c>
      <c r="B3298" t="str">
        <f>MID(TB_CECO[[#This Row],[TRABAJO]],1,SEARCH(",",TB_CECO[[#This Row],[TRABAJO]],1)-1)</f>
        <v>Ven 032 (Tj 077 NE)</v>
      </c>
      <c r="C32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032 (Tj 077 NE),PERFORACION</v>
      </c>
      <c r="D32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98" s="47" t="s">
        <v>6520</v>
      </c>
      <c r="G3298" t="s">
        <v>6521</v>
      </c>
      <c r="H32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299" spans="1:8" ht="15" customHeight="1" x14ac:dyDescent="0.25">
      <c r="A3299" t="str">
        <f>MID(TB_CECO[[#This Row],[CECO_T]],1,5)</f>
        <v>3E937</v>
      </c>
      <c r="B3299" t="str">
        <f>MID(TB_CECO[[#This Row],[TRABAJO]],1,SEARCH(",",TB_CECO[[#This Row],[TRABAJO]],1)-1)</f>
        <v>Ven 032 (Tj 077 NE)</v>
      </c>
      <c r="C32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032 (Tj 077 NE),SOSTENIMIENTO</v>
      </c>
      <c r="D32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2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299" s="47" t="s">
        <v>6522</v>
      </c>
      <c r="G3299" t="s">
        <v>6523</v>
      </c>
      <c r="H32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00" spans="1:8" ht="15" customHeight="1" x14ac:dyDescent="0.25">
      <c r="A3300" t="str">
        <f>MID(TB_CECO[[#This Row],[CECO_T]],1,5)</f>
        <v>3E937</v>
      </c>
      <c r="B3300" t="str">
        <f>MID(TB_CECO[[#This Row],[TRABAJO]],1,SEARCH(",",TB_CECO[[#This Row],[TRABAJO]],1)-1)</f>
        <v>Ven 032 (Tj 077 NE)</v>
      </c>
      <c r="C33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032 (Tj 077 NE),VOLADURA</v>
      </c>
      <c r="D33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3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00" s="47" t="s">
        <v>6524</v>
      </c>
      <c r="G3300" t="s">
        <v>6525</v>
      </c>
      <c r="H33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01" spans="1:8" ht="15" customHeight="1" x14ac:dyDescent="0.25">
      <c r="A3301" t="str">
        <f>MID(TB_CECO[[#This Row],[CECO_T]],1,5)</f>
        <v>3E943</v>
      </c>
      <c r="B3301" t="str">
        <f>MID(TB_CECO[[#This Row],[TRABAJO]],1,SEARCH(",",TB_CECO[[#This Row],[TRABAJO]],1)-1)</f>
        <v>Ven 038 SW (Tj 037 NE)</v>
      </c>
      <c r="C33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038 SW (Tj 037 NE),LIMPIEZA</v>
      </c>
      <c r="D33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3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01" s="47" t="s">
        <v>6526</v>
      </c>
      <c r="G3301" t="s">
        <v>6527</v>
      </c>
      <c r="H33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02" spans="1:8" ht="15" customHeight="1" x14ac:dyDescent="0.25">
      <c r="A3302" t="str">
        <f>MID(TB_CECO[[#This Row],[CECO_T]],1,5)</f>
        <v>3E943</v>
      </c>
      <c r="B3302" t="str">
        <f>MID(TB_CECO[[#This Row],[TRABAJO]],1,SEARCH(",",TB_CECO[[#This Row],[TRABAJO]],1)-1)</f>
        <v>Ven 038 SW (Tj 037 NE)</v>
      </c>
      <c r="C33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038 SW (Tj 037 NE),SERVICIO</v>
      </c>
      <c r="D33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3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02" s="47" t="s">
        <v>6528</v>
      </c>
      <c r="G3302" t="s">
        <v>6529</v>
      </c>
      <c r="H33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03" spans="1:8" ht="15" customHeight="1" x14ac:dyDescent="0.25">
      <c r="A3303" t="str">
        <f>MID(TB_CECO[[#This Row],[CECO_T]],1,5)</f>
        <v>3E943</v>
      </c>
      <c r="B3303" t="str">
        <f>MID(TB_CECO[[#This Row],[TRABAJO]],1,SEARCH(",",TB_CECO[[#This Row],[TRABAJO]],1)-1)</f>
        <v>Ven 038 SW (Tj 037 NE)</v>
      </c>
      <c r="C33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038 SW (Tj 037 NE),PERFORACION</v>
      </c>
      <c r="D33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3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03" s="47" t="s">
        <v>6530</v>
      </c>
      <c r="G3303" t="s">
        <v>6531</v>
      </c>
      <c r="H33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04" spans="1:8" ht="15" customHeight="1" x14ac:dyDescent="0.25">
      <c r="A3304" t="str">
        <f>MID(TB_CECO[[#This Row],[CECO_T]],1,5)</f>
        <v>3E943</v>
      </c>
      <c r="B3304" t="str">
        <f>MID(TB_CECO[[#This Row],[TRABAJO]],1,SEARCH(",",TB_CECO[[#This Row],[TRABAJO]],1)-1)</f>
        <v>Ven 038 SW (Tj 037 NE)</v>
      </c>
      <c r="C33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038 SW (Tj 037 NE),SOSTENIMIENTO</v>
      </c>
      <c r="D33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3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04" s="47" t="s">
        <v>6532</v>
      </c>
      <c r="G3304" t="s">
        <v>6533</v>
      </c>
      <c r="H33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05" spans="1:8" ht="15" customHeight="1" x14ac:dyDescent="0.25">
      <c r="A3305" t="str">
        <f>MID(TB_CECO[[#This Row],[CECO_T]],1,5)</f>
        <v>3E943</v>
      </c>
      <c r="B3305" t="str">
        <f>MID(TB_CECO[[#This Row],[TRABAJO]],1,SEARCH(",",TB_CECO[[#This Row],[TRABAJO]],1)-1)</f>
        <v>Ven 038 SW (Tj 037 NE)</v>
      </c>
      <c r="C33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038 SW (Tj 037 NE),VOLADURA</v>
      </c>
      <c r="D33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3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05" s="47" t="s">
        <v>6534</v>
      </c>
      <c r="G3305" t="s">
        <v>6535</v>
      </c>
      <c r="H33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06" spans="1:8" ht="15" customHeight="1" x14ac:dyDescent="0.25">
      <c r="A3306" t="str">
        <f>MID(TB_CECO[[#This Row],[CECO_T]],1,5)</f>
        <v>3ED04</v>
      </c>
      <c r="B3306" t="str">
        <f>MID(TB_CECO[[#This Row],[TRABAJO]],1,SEARCH(",",TB_CECO[[#This Row],[TRABAJO]],1)-1)</f>
        <v>Inc 870 SW (Snv 030 SW)</v>
      </c>
      <c r="C33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SW),LIMPIEZA</v>
      </c>
      <c r="D33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3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06" s="47" t="s">
        <v>6536</v>
      </c>
      <c r="G3306" t="s">
        <v>6537</v>
      </c>
      <c r="H33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07" spans="1:8" ht="15" customHeight="1" x14ac:dyDescent="0.25">
      <c r="A3307" t="str">
        <f>MID(TB_CECO[[#This Row],[CECO_T]],1,5)</f>
        <v>3ED04</v>
      </c>
      <c r="B3307" t="str">
        <f>MID(TB_CECO[[#This Row],[TRABAJO]],1,SEARCH(",",TB_CECO[[#This Row],[TRABAJO]],1)-1)</f>
        <v>Inc 870 SW (Snv 030 SW)</v>
      </c>
      <c r="C33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SW),SERVICIO</v>
      </c>
      <c r="D33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3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07" s="47" t="s">
        <v>6538</v>
      </c>
      <c r="G3307" t="s">
        <v>6539</v>
      </c>
      <c r="H33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08" spans="1:8" ht="15" customHeight="1" x14ac:dyDescent="0.25">
      <c r="A3308" t="str">
        <f>MID(TB_CECO[[#This Row],[CECO_T]],1,5)</f>
        <v>3ED04</v>
      </c>
      <c r="B3308" t="str">
        <f>MID(TB_CECO[[#This Row],[TRABAJO]],1,SEARCH(",",TB_CECO[[#This Row],[TRABAJO]],1)-1)</f>
        <v>Inc 870 SW (Snv 030 SW)</v>
      </c>
      <c r="C33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SW),PERFORACION</v>
      </c>
      <c r="D33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3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08" s="47" t="s">
        <v>6540</v>
      </c>
      <c r="G3308" t="s">
        <v>6541</v>
      </c>
      <c r="H33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09" spans="1:8" ht="15" customHeight="1" x14ac:dyDescent="0.25">
      <c r="A3309" t="str">
        <f>MID(TB_CECO[[#This Row],[CECO_T]],1,5)</f>
        <v>3ED04</v>
      </c>
      <c r="B3309" t="str">
        <f>MID(TB_CECO[[#This Row],[TRABAJO]],1,SEARCH(",",TB_CECO[[#This Row],[TRABAJO]],1)-1)</f>
        <v>Inc 870 SW (Snv 030 SW)</v>
      </c>
      <c r="C33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SW),SOSTENIMIENTO</v>
      </c>
      <c r="D33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3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09" s="47" t="s">
        <v>6542</v>
      </c>
      <c r="G3309" t="s">
        <v>6543</v>
      </c>
      <c r="H33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10" spans="1:8" ht="15" customHeight="1" x14ac:dyDescent="0.25">
      <c r="A3310" t="str">
        <f>MID(TB_CECO[[#This Row],[CECO_T]],1,5)</f>
        <v>3ED04</v>
      </c>
      <c r="B3310" t="str">
        <f>MID(TB_CECO[[#This Row],[TRABAJO]],1,SEARCH(",",TB_CECO[[#This Row],[TRABAJO]],1)-1)</f>
        <v>Inc 870 SW (Snv 030 SW)</v>
      </c>
      <c r="C33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SW),VOLADURA</v>
      </c>
      <c r="D33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3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10" s="47" t="s">
        <v>6544</v>
      </c>
      <c r="G3310" t="s">
        <v>6545</v>
      </c>
      <c r="H33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11" spans="1:8" ht="15" customHeight="1" x14ac:dyDescent="0.25">
      <c r="A3311" t="str">
        <f>MID(TB_CECO[[#This Row],[CECO_T]],1,5)</f>
        <v>3F337</v>
      </c>
      <c r="B3311" t="str">
        <f>MID(TB_CECO[[#This Row],[TRABAJO]],1,SEARCH(",",TB_CECO[[#This Row],[TRABAJO]],1)-1)</f>
        <v>Ch 133 (Gal 127 NE)</v>
      </c>
      <c r="C33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133 (Gal 127 NE),SUMINISTROS</v>
      </c>
      <c r="D33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11" s="47" t="s">
        <v>6546</v>
      </c>
      <c r="G3311" t="s">
        <v>6547</v>
      </c>
      <c r="H33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12" spans="1:8" ht="15" customHeight="1" x14ac:dyDescent="0.25">
      <c r="A3312" t="str">
        <f>MID(TB_CECO[[#This Row],[CECO_T]],1,5)</f>
        <v>3F337</v>
      </c>
      <c r="B3312" t="str">
        <f>MID(TB_CECO[[#This Row],[TRABAJO]],1,SEARCH(",",TB_CECO[[#This Row],[TRABAJO]],1)-1)</f>
        <v>Ch 133 (Gal 127 NE)</v>
      </c>
      <c r="C33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133 (Gal 127 NE),SOSTENIMIENTO</v>
      </c>
      <c r="D33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12" s="47" t="s">
        <v>6548</v>
      </c>
      <c r="G3312" t="s">
        <v>6549</v>
      </c>
      <c r="H33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13" spans="1:8" ht="15" customHeight="1" x14ac:dyDescent="0.25">
      <c r="A3313" t="str">
        <f>MID(TB_CECO[[#This Row],[CECO_T]],1,5)</f>
        <v>3F337</v>
      </c>
      <c r="B3313" t="str">
        <f>MID(TB_CECO[[#This Row],[TRABAJO]],1,SEARCH(",",TB_CECO[[#This Row],[TRABAJO]],1)-1)</f>
        <v>Ch 133 (Gal 127 NE)</v>
      </c>
      <c r="C33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133 (Gal 127 NE),SERVICIO</v>
      </c>
      <c r="D33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13" s="47" t="s">
        <v>6550</v>
      </c>
      <c r="G3313" t="s">
        <v>6551</v>
      </c>
      <c r="H33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14" spans="1:8" ht="15" customHeight="1" x14ac:dyDescent="0.25">
      <c r="A3314" t="str">
        <f>MID(TB_CECO[[#This Row],[CECO_T]],1,5)</f>
        <v>3F337</v>
      </c>
      <c r="B3314" t="str">
        <f>MID(TB_CECO[[#This Row],[TRABAJO]],1,SEARCH(",",TB_CECO[[#This Row],[TRABAJO]],1)-1)</f>
        <v>Ch 133 (Gal 127 NE)</v>
      </c>
      <c r="C33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133 (Gal 127 NE),REHABILITACION</v>
      </c>
      <c r="D33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14" s="47" t="s">
        <v>6552</v>
      </c>
      <c r="G3314" t="s">
        <v>6553</v>
      </c>
      <c r="H33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15" spans="1:8" ht="15" customHeight="1" x14ac:dyDescent="0.25">
      <c r="A3315" t="str">
        <f>MID(TB_CECO[[#This Row],[CECO_T]],1,5)</f>
        <v>3F354</v>
      </c>
      <c r="B3315" t="str">
        <f>MID(TB_CECO[[#This Row],[TRABAJO]],1,SEARCH(",",TB_CECO[[#This Row],[TRABAJO]],1)-1)</f>
        <v>Ch 116 (Gal 127 SW)</v>
      </c>
      <c r="C33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116 (Gal 127 SW),SUMINISTROS</v>
      </c>
      <c r="D33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15" s="47" t="s">
        <v>6554</v>
      </c>
      <c r="G3315" t="s">
        <v>6555</v>
      </c>
      <c r="H33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16" spans="1:8" ht="15" customHeight="1" x14ac:dyDescent="0.25">
      <c r="A3316" t="str">
        <f>MID(TB_CECO[[#This Row],[CECO_T]],1,5)</f>
        <v>3F354</v>
      </c>
      <c r="B3316" t="str">
        <f>MID(TB_CECO[[#This Row],[TRABAJO]],1,SEARCH(",",TB_CECO[[#This Row],[TRABAJO]],1)-1)</f>
        <v>Ch 116 (Gal 127 SW)</v>
      </c>
      <c r="C33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116 (Gal 127 SW),SOSTENIMIENTO</v>
      </c>
      <c r="D33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16" s="47" t="s">
        <v>6556</v>
      </c>
      <c r="G3316" t="s">
        <v>6557</v>
      </c>
      <c r="H33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17" spans="1:8" ht="15" customHeight="1" x14ac:dyDescent="0.25">
      <c r="A3317" t="str">
        <f>MID(TB_CECO[[#This Row],[CECO_T]],1,5)</f>
        <v>3F354</v>
      </c>
      <c r="B3317" t="str">
        <f>MID(TB_CECO[[#This Row],[TRABAJO]],1,SEARCH(",",TB_CECO[[#This Row],[TRABAJO]],1)-1)</f>
        <v>Ch 116 (Gal 127 SW)</v>
      </c>
      <c r="C33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116 (Gal 127 SW),SERVICIO</v>
      </c>
      <c r="D33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17" s="47" t="s">
        <v>6558</v>
      </c>
      <c r="G3317" t="s">
        <v>6559</v>
      </c>
      <c r="H33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18" spans="1:8" ht="15" customHeight="1" x14ac:dyDescent="0.25">
      <c r="A3318" t="str">
        <f>MID(TB_CECO[[#This Row],[CECO_T]],1,5)</f>
        <v>3F354</v>
      </c>
      <c r="B3318" t="str">
        <f>MID(TB_CECO[[#This Row],[TRABAJO]],1,SEARCH(",",TB_CECO[[#This Row],[TRABAJO]],1)-1)</f>
        <v>Ch 116 (Gal 127 SW)</v>
      </c>
      <c r="C33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116 (Gal 127 SW),REHABILITACION</v>
      </c>
      <c r="D33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18" s="47" t="s">
        <v>6560</v>
      </c>
      <c r="G3318" t="s">
        <v>6561</v>
      </c>
      <c r="H33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19" spans="1:8" ht="15" customHeight="1" x14ac:dyDescent="0.25">
      <c r="A3319" t="str">
        <f>MID(TB_CECO[[#This Row],[CECO_T]],1,5)</f>
        <v>3F557</v>
      </c>
      <c r="B3319" t="str">
        <f>MID(TB_CECO[[#This Row],[TRABAJO]],1,SEARCH(",",TB_CECO[[#This Row],[TRABAJO]],1)-1)</f>
        <v>Snv 3830 NE (Ch 133)</v>
      </c>
      <c r="C33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3830 NE (Ch 133),SUMINISTROS</v>
      </c>
      <c r="D33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19" s="47" t="s">
        <v>6562</v>
      </c>
      <c r="G3319" t="s">
        <v>6563</v>
      </c>
      <c r="H33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20" spans="1:8" ht="15" customHeight="1" x14ac:dyDescent="0.25">
      <c r="A3320" t="str">
        <f>MID(TB_CECO[[#This Row],[CECO_T]],1,5)</f>
        <v>3F557</v>
      </c>
      <c r="B3320" t="str">
        <f>MID(TB_CECO[[#This Row],[TRABAJO]],1,SEARCH(",",TB_CECO[[#This Row],[TRABAJO]],1)-1)</f>
        <v>Snv 3830 NE (Ch 133)</v>
      </c>
      <c r="C33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3830 NE (Ch 133),SOSTENIMIENTO</v>
      </c>
      <c r="D33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20" s="47" t="s">
        <v>6564</v>
      </c>
      <c r="G3320" t="s">
        <v>6565</v>
      </c>
      <c r="H33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21" spans="1:8" ht="15" customHeight="1" x14ac:dyDescent="0.25">
      <c r="A3321" t="str">
        <f>MID(TB_CECO[[#This Row],[CECO_T]],1,5)</f>
        <v>3F557</v>
      </c>
      <c r="B3321" t="str">
        <f>MID(TB_CECO[[#This Row],[TRABAJO]],1,SEARCH(",",TB_CECO[[#This Row],[TRABAJO]],1)-1)</f>
        <v>Snv 3830 NE (Ch 133)</v>
      </c>
      <c r="C33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3830 NE (Ch 133),SERVICIO</v>
      </c>
      <c r="D33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21" s="47" t="s">
        <v>6566</v>
      </c>
      <c r="G3321" t="s">
        <v>6567</v>
      </c>
      <c r="H33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22" spans="1:8" ht="15" customHeight="1" x14ac:dyDescent="0.25">
      <c r="A3322" t="str">
        <f>MID(TB_CECO[[#This Row],[CECO_T]],1,5)</f>
        <v>3F557</v>
      </c>
      <c r="B3322" t="str">
        <f>MID(TB_CECO[[#This Row],[TRABAJO]],1,SEARCH(",",TB_CECO[[#This Row],[TRABAJO]],1)-1)</f>
        <v>Snv 3830 NE (Ch 133)</v>
      </c>
      <c r="C33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3830 NE (Ch 133),REHABILITACION</v>
      </c>
      <c r="D33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22" s="47" t="s">
        <v>6568</v>
      </c>
      <c r="G3322" t="s">
        <v>6569</v>
      </c>
      <c r="H33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23" spans="1:8" ht="15" customHeight="1" x14ac:dyDescent="0.25">
      <c r="A3323" t="str">
        <f>MID(TB_CECO[[#This Row],[CECO_T]],1,5)</f>
        <v>3F558</v>
      </c>
      <c r="B3323" t="str">
        <f>MID(TB_CECO[[#This Row],[TRABAJO]],1,SEARCH(",",TB_CECO[[#This Row],[TRABAJO]],1)-1)</f>
        <v>Snv 3830 SW (Ch 133)</v>
      </c>
      <c r="C33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3830 SW (Ch 133),SUMINISTROS</v>
      </c>
      <c r="D33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23" s="47" t="s">
        <v>6570</v>
      </c>
      <c r="G3323" t="s">
        <v>6571</v>
      </c>
      <c r="H33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24" spans="1:8" ht="15" customHeight="1" x14ac:dyDescent="0.25">
      <c r="A3324" t="str">
        <f>MID(TB_CECO[[#This Row],[CECO_T]],1,5)</f>
        <v>3F558</v>
      </c>
      <c r="B3324" t="str">
        <f>MID(TB_CECO[[#This Row],[TRABAJO]],1,SEARCH(",",TB_CECO[[#This Row],[TRABAJO]],1)-1)</f>
        <v>Snv 3830 SW (Ch 133)</v>
      </c>
      <c r="C33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3830 SW (Ch 133),SOSTENIMIENTO</v>
      </c>
      <c r="D33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24" s="47" t="s">
        <v>6572</v>
      </c>
      <c r="G3324" t="s">
        <v>6573</v>
      </c>
      <c r="H33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25" spans="1:8" ht="15" customHeight="1" x14ac:dyDescent="0.25">
      <c r="A3325" t="str">
        <f>MID(TB_CECO[[#This Row],[CECO_T]],1,5)</f>
        <v>3F558</v>
      </c>
      <c r="B3325" t="str">
        <f>MID(TB_CECO[[#This Row],[TRABAJO]],1,SEARCH(",",TB_CECO[[#This Row],[TRABAJO]],1)-1)</f>
        <v>Snv 3830 SW (Ch 133)</v>
      </c>
      <c r="C33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3830 SW (Ch 133),SERVICIO</v>
      </c>
      <c r="D33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25" s="47" t="s">
        <v>6574</v>
      </c>
      <c r="G3325" t="s">
        <v>6575</v>
      </c>
      <c r="H33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26" spans="1:8" ht="15" customHeight="1" x14ac:dyDescent="0.25">
      <c r="A3326" t="str">
        <f>MID(TB_CECO[[#This Row],[CECO_T]],1,5)</f>
        <v>3F558</v>
      </c>
      <c r="B3326" t="str">
        <f>MID(TB_CECO[[#This Row],[TRABAJO]],1,SEARCH(",",TB_CECO[[#This Row],[TRABAJO]],1)-1)</f>
        <v>Snv 3830 SW (Ch 133)</v>
      </c>
      <c r="C33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3830 SW (Ch 133),REHABILITACION</v>
      </c>
      <c r="D33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26" s="47" t="s">
        <v>6576</v>
      </c>
      <c r="G3326" t="s">
        <v>6577</v>
      </c>
      <c r="H33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27" spans="1:8" ht="15" customHeight="1" x14ac:dyDescent="0.25">
      <c r="A3327" t="str">
        <f>MID(TB_CECO[[#This Row],[CECO_T]],1,5)</f>
        <v>3G31P</v>
      </c>
      <c r="B3327" t="str">
        <f>MID(TB_CECO[[#This Row],[TRABAJO]],1,SEARCH(",",TB_CECO[[#This Row],[TRABAJO]],1)-1)</f>
        <v>Ch 907 (Snv 019 NE)</v>
      </c>
      <c r="C33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019 NE),LIMPIEZA</v>
      </c>
      <c r="D33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27" s="47" t="s">
        <v>6578</v>
      </c>
      <c r="G3327" t="s">
        <v>6579</v>
      </c>
      <c r="H33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28" spans="1:8" ht="15" customHeight="1" x14ac:dyDescent="0.25">
      <c r="A3328" t="str">
        <f>MID(TB_CECO[[#This Row],[CECO_T]],1,5)</f>
        <v>3G31P</v>
      </c>
      <c r="B3328" t="str">
        <f>MID(TB_CECO[[#This Row],[TRABAJO]],1,SEARCH(",",TB_CECO[[#This Row],[TRABAJO]],1)-1)</f>
        <v>Ch 907 (Snv 019 NE)</v>
      </c>
      <c r="C33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019 NE),SERVICIO</v>
      </c>
      <c r="D33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28" s="47" t="s">
        <v>6580</v>
      </c>
      <c r="G3328" t="s">
        <v>6581</v>
      </c>
      <c r="H33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29" spans="1:8" ht="15" customHeight="1" x14ac:dyDescent="0.25">
      <c r="A3329" t="str">
        <f>MID(TB_CECO[[#This Row],[CECO_T]],1,5)</f>
        <v>3G31P</v>
      </c>
      <c r="B3329" t="str">
        <f>MID(TB_CECO[[#This Row],[TRABAJO]],1,SEARCH(",",TB_CECO[[#This Row],[TRABAJO]],1)-1)</f>
        <v>Ch 907 (Snv 019 NE)</v>
      </c>
      <c r="C33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019 NE),PERFORACION</v>
      </c>
      <c r="D33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29" s="47" t="s">
        <v>6582</v>
      </c>
      <c r="G3329" t="s">
        <v>6583</v>
      </c>
      <c r="H33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30" spans="1:8" ht="15" customHeight="1" x14ac:dyDescent="0.25">
      <c r="A3330" t="str">
        <f>MID(TB_CECO[[#This Row],[CECO_T]],1,5)</f>
        <v>3G31P</v>
      </c>
      <c r="B3330" t="str">
        <f>MID(TB_CECO[[#This Row],[TRABAJO]],1,SEARCH(",",TB_CECO[[#This Row],[TRABAJO]],1)-1)</f>
        <v>Ch 907 (Snv 019 NE)</v>
      </c>
      <c r="C33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019 NE),SOSTENIMIENTO</v>
      </c>
      <c r="D33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30" s="47" t="s">
        <v>6584</v>
      </c>
      <c r="G3330" t="s">
        <v>6585</v>
      </c>
      <c r="H33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31" spans="1:8" ht="15" customHeight="1" x14ac:dyDescent="0.25">
      <c r="A3331" t="str">
        <f>MID(TB_CECO[[#This Row],[CECO_T]],1,5)</f>
        <v>3G31P</v>
      </c>
      <c r="B3331" t="str">
        <f>MID(TB_CECO[[#This Row],[TRABAJO]],1,SEARCH(",",TB_CECO[[#This Row],[TRABAJO]],1)-1)</f>
        <v>Ch 907 (Snv 019 NE)</v>
      </c>
      <c r="C33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019 NE),VOLADURA</v>
      </c>
      <c r="D33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31" s="47" t="s">
        <v>6586</v>
      </c>
      <c r="G3331" t="s">
        <v>6587</v>
      </c>
      <c r="H33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32" spans="1:8" ht="15" customHeight="1" x14ac:dyDescent="0.25">
      <c r="A3332" t="str">
        <f>MID(TB_CECO[[#This Row],[CECO_T]],1,5)</f>
        <v>3G51X</v>
      </c>
      <c r="B3332" t="str">
        <f>MID(TB_CECO[[#This Row],[TRABAJO]],1,SEARCH(",",TB_CECO[[#This Row],[TRABAJO]],1)-1)</f>
        <v>Snv 938 SW (Est 935 NE)</v>
      </c>
      <c r="C33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SW (Est 935 NE),LIMPIEZA</v>
      </c>
      <c r="D33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32" s="47" t="s">
        <v>6588</v>
      </c>
      <c r="G3332" t="s">
        <v>6589</v>
      </c>
      <c r="H33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33" spans="1:8" ht="15" customHeight="1" x14ac:dyDescent="0.25">
      <c r="A3333" t="str">
        <f>MID(TB_CECO[[#This Row],[CECO_T]],1,5)</f>
        <v>3G51X</v>
      </c>
      <c r="B3333" t="str">
        <f>MID(TB_CECO[[#This Row],[TRABAJO]],1,SEARCH(",",TB_CECO[[#This Row],[TRABAJO]],1)-1)</f>
        <v>Snv 938 SW (Est 935 NE)</v>
      </c>
      <c r="C33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SW (Est 935 NE),SERVICIO</v>
      </c>
      <c r="D33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33" s="47" t="s">
        <v>6590</v>
      </c>
      <c r="G3333" t="s">
        <v>6591</v>
      </c>
      <c r="H33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34" spans="1:8" ht="15" customHeight="1" x14ac:dyDescent="0.25">
      <c r="A3334" t="str">
        <f>MID(TB_CECO[[#This Row],[CECO_T]],1,5)</f>
        <v>3G51X</v>
      </c>
      <c r="B3334" t="str">
        <f>MID(TB_CECO[[#This Row],[TRABAJO]],1,SEARCH(",",TB_CECO[[#This Row],[TRABAJO]],1)-1)</f>
        <v>Snv 938 SW (Est 935 NE)</v>
      </c>
      <c r="C33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SW (Est 935 NE),PERFORACION</v>
      </c>
      <c r="D33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34" s="47" t="s">
        <v>6592</v>
      </c>
      <c r="G3334" t="s">
        <v>6593</v>
      </c>
      <c r="H33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35" spans="1:8" ht="15" customHeight="1" x14ac:dyDescent="0.25">
      <c r="A3335" t="str">
        <f>MID(TB_CECO[[#This Row],[CECO_T]],1,5)</f>
        <v>3G51X</v>
      </c>
      <c r="B3335" t="str">
        <f>MID(TB_CECO[[#This Row],[TRABAJO]],1,SEARCH(",",TB_CECO[[#This Row],[TRABAJO]],1)-1)</f>
        <v>Snv 938 SW (Est 935 NE)</v>
      </c>
      <c r="C33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SW (Est 935 NE),SOSTENIMIENTO</v>
      </c>
      <c r="D33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35" s="47" t="s">
        <v>6594</v>
      </c>
      <c r="G3335" t="s">
        <v>6595</v>
      </c>
      <c r="H33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36" spans="1:8" ht="15" customHeight="1" x14ac:dyDescent="0.25">
      <c r="A3336" t="str">
        <f>MID(TB_CECO[[#This Row],[CECO_T]],1,5)</f>
        <v>3G51X</v>
      </c>
      <c r="B3336" t="str">
        <f>MID(TB_CECO[[#This Row],[TRABAJO]],1,SEARCH(",",TB_CECO[[#This Row],[TRABAJO]],1)-1)</f>
        <v>Snv 938 SW (Est 935 NE)</v>
      </c>
      <c r="C33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SW (Est 935 NE),VOLADURA</v>
      </c>
      <c r="D33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36" s="47" t="s">
        <v>6596</v>
      </c>
      <c r="G3336" t="s">
        <v>6597</v>
      </c>
      <c r="H33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37" spans="1:8" ht="15" customHeight="1" x14ac:dyDescent="0.25">
      <c r="A3337" t="str">
        <f>MID(TB_CECO[[#This Row],[CECO_T]],1,5)</f>
        <v>3G51Y</v>
      </c>
      <c r="B3337" t="str">
        <f>MID(TB_CECO[[#This Row],[TRABAJO]],1,SEARCH(",",TB_CECO[[#This Row],[TRABAJO]],1)-1)</f>
        <v>Snv 938 NE (Est 935 NE)</v>
      </c>
      <c r="C33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NE (Est 935 NE),LIMPIEZA</v>
      </c>
      <c r="D33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37" s="47" t="s">
        <v>6598</v>
      </c>
      <c r="G3337" t="s">
        <v>6599</v>
      </c>
      <c r="H33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38" spans="1:8" ht="15" customHeight="1" x14ac:dyDescent="0.25">
      <c r="A3338" t="str">
        <f>MID(TB_CECO[[#This Row],[CECO_T]],1,5)</f>
        <v>3G51Y</v>
      </c>
      <c r="B3338" t="str">
        <f>MID(TB_CECO[[#This Row],[TRABAJO]],1,SEARCH(",",TB_CECO[[#This Row],[TRABAJO]],1)-1)</f>
        <v>Snv 938 NE (Est 935 NE)</v>
      </c>
      <c r="C33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NE (Est 935 NE),SERVICIO</v>
      </c>
      <c r="D33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38" s="47" t="s">
        <v>6600</v>
      </c>
      <c r="G3338" t="s">
        <v>6601</v>
      </c>
      <c r="H33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39" spans="1:8" ht="15" customHeight="1" x14ac:dyDescent="0.25">
      <c r="A3339" t="str">
        <f>MID(TB_CECO[[#This Row],[CECO_T]],1,5)</f>
        <v>3G51Y</v>
      </c>
      <c r="B3339" t="str">
        <f>MID(TB_CECO[[#This Row],[TRABAJO]],1,SEARCH(",",TB_CECO[[#This Row],[TRABAJO]],1)-1)</f>
        <v>Snv 938 NE (Est 935 NE)</v>
      </c>
      <c r="C33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NE (Est 935 NE),PERFORACION</v>
      </c>
      <c r="D33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39" s="47" t="s">
        <v>6602</v>
      </c>
      <c r="G3339" t="s">
        <v>6603</v>
      </c>
      <c r="H33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40" spans="1:8" ht="15" customHeight="1" x14ac:dyDescent="0.25">
      <c r="A3340" t="str">
        <f>MID(TB_CECO[[#This Row],[CECO_T]],1,5)</f>
        <v>3G51Y</v>
      </c>
      <c r="B3340" t="str">
        <f>MID(TB_CECO[[#This Row],[TRABAJO]],1,SEARCH(",",TB_CECO[[#This Row],[TRABAJO]],1)-1)</f>
        <v>Snv 938 NE (Est 935 NE)</v>
      </c>
      <c r="C33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NE (Est 935 NE),SOSTENIMIENTO</v>
      </c>
      <c r="D33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40" s="47" t="s">
        <v>6604</v>
      </c>
      <c r="G3340" t="s">
        <v>6605</v>
      </c>
      <c r="H33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41" spans="1:8" ht="15" customHeight="1" x14ac:dyDescent="0.25">
      <c r="A3341" t="str">
        <f>MID(TB_CECO[[#This Row],[CECO_T]],1,5)</f>
        <v>3G51Y</v>
      </c>
      <c r="B3341" t="str">
        <f>MID(TB_CECO[[#This Row],[TRABAJO]],1,SEARCH(",",TB_CECO[[#This Row],[TRABAJO]],1)-1)</f>
        <v>Snv 938 NE (Est 935 NE)</v>
      </c>
      <c r="C33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NE (Est 935 NE),VOLADURA</v>
      </c>
      <c r="D33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41" s="47" t="s">
        <v>6606</v>
      </c>
      <c r="G3341" t="s">
        <v>6607</v>
      </c>
      <c r="H33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42" spans="1:8" ht="15" customHeight="1" x14ac:dyDescent="0.25">
      <c r="A3342" t="str">
        <f>MID(TB_CECO[[#This Row],[CECO_T]],1,5)</f>
        <v>3G53E</v>
      </c>
      <c r="B3342" t="str">
        <f>MID(TB_CECO[[#This Row],[TRABAJO]],1,SEARCH(",",TB_CECO[[#This Row],[TRABAJO]],1)-1)</f>
        <v>Snv 945 SW (Ch 931)</v>
      </c>
      <c r="C33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945 SW (Ch 931),LIMPIEZA</v>
      </c>
      <c r="D33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42" s="47" t="s">
        <v>6608</v>
      </c>
      <c r="G3342" t="s">
        <v>6609</v>
      </c>
      <c r="H33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43" spans="1:8" ht="15" customHeight="1" x14ac:dyDescent="0.25">
      <c r="A3343" t="str">
        <f>MID(TB_CECO[[#This Row],[CECO_T]],1,5)</f>
        <v>3G53E</v>
      </c>
      <c r="B3343" t="str">
        <f>MID(TB_CECO[[#This Row],[TRABAJO]],1,SEARCH(",",TB_CECO[[#This Row],[TRABAJO]],1)-1)</f>
        <v>Snv 945 SW (Ch 931)</v>
      </c>
      <c r="C33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945 SW (Ch 931),SERVICIO</v>
      </c>
      <c r="D33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43" s="47" t="s">
        <v>6610</v>
      </c>
      <c r="G3343" t="s">
        <v>6611</v>
      </c>
      <c r="H33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44" spans="1:8" ht="15" customHeight="1" x14ac:dyDescent="0.25">
      <c r="A3344" t="str">
        <f>MID(TB_CECO[[#This Row],[CECO_T]],1,5)</f>
        <v>3G53E</v>
      </c>
      <c r="B3344" t="str">
        <f>MID(TB_CECO[[#This Row],[TRABAJO]],1,SEARCH(",",TB_CECO[[#This Row],[TRABAJO]],1)-1)</f>
        <v>Snv 945 SW (Ch 931)</v>
      </c>
      <c r="C33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945 SW (Ch 931),PERFORACION</v>
      </c>
      <c r="D33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44" s="47" t="s">
        <v>6612</v>
      </c>
      <c r="G3344" t="s">
        <v>6613</v>
      </c>
      <c r="H33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45" spans="1:8" ht="15" customHeight="1" x14ac:dyDescent="0.25">
      <c r="A3345" t="str">
        <f>MID(TB_CECO[[#This Row],[CECO_T]],1,5)</f>
        <v>3G53E</v>
      </c>
      <c r="B3345" t="str">
        <f>MID(TB_CECO[[#This Row],[TRABAJO]],1,SEARCH(",",TB_CECO[[#This Row],[TRABAJO]],1)-1)</f>
        <v>Snv 945 SW (Ch 931)</v>
      </c>
      <c r="C33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945 SW (Ch 931),SOSTENIMIENTO</v>
      </c>
      <c r="D33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45" s="47" t="s">
        <v>6614</v>
      </c>
      <c r="G3345" t="s">
        <v>6615</v>
      </c>
      <c r="H33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46" spans="1:8" ht="15" customHeight="1" x14ac:dyDescent="0.25">
      <c r="A3346" t="str">
        <f>MID(TB_CECO[[#This Row],[CECO_T]],1,5)</f>
        <v>3G53E</v>
      </c>
      <c r="B3346" t="str">
        <f>MID(TB_CECO[[#This Row],[TRABAJO]],1,SEARCH(",",TB_CECO[[#This Row],[TRABAJO]],1)-1)</f>
        <v>Snv 945 SW (Ch 931)</v>
      </c>
      <c r="C33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945 SW (Ch 931),VOLADURA</v>
      </c>
      <c r="D33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46" s="47" t="s">
        <v>6616</v>
      </c>
      <c r="G3346" t="s">
        <v>6617</v>
      </c>
      <c r="H33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47" spans="1:8" ht="15" customHeight="1" x14ac:dyDescent="0.25">
      <c r="A3347" t="str">
        <f>MID(TB_CECO[[#This Row],[CECO_T]],1,5)</f>
        <v>3G54D</v>
      </c>
      <c r="B3347" t="str">
        <f>MID(TB_CECO[[#This Row],[TRABAJO]],1,SEARCH(",",TB_CECO[[#This Row],[TRABAJO]],1)-1)</f>
        <v>Snv 878 NE (Snv 030 NE)</v>
      </c>
      <c r="C33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878 NE (Snv 030 NE),LIMPIEZA</v>
      </c>
      <c r="D33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47" s="47" t="s">
        <v>6618</v>
      </c>
      <c r="G3347" t="s">
        <v>6619</v>
      </c>
      <c r="H33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48" spans="1:8" ht="15" customHeight="1" x14ac:dyDescent="0.25">
      <c r="A3348" t="str">
        <f>MID(TB_CECO[[#This Row],[CECO_T]],1,5)</f>
        <v>3G54D</v>
      </c>
      <c r="B3348" t="str">
        <f>MID(TB_CECO[[#This Row],[TRABAJO]],1,SEARCH(",",TB_CECO[[#This Row],[TRABAJO]],1)-1)</f>
        <v>Snv 878 NE (Snv 030 NE)</v>
      </c>
      <c r="C33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878 NE (Snv 030 NE),SERVICIO</v>
      </c>
      <c r="D33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48" s="47" t="s">
        <v>6620</v>
      </c>
      <c r="G3348" t="s">
        <v>6621</v>
      </c>
      <c r="H33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49" spans="1:8" ht="15" customHeight="1" x14ac:dyDescent="0.25">
      <c r="A3349" t="str">
        <f>MID(TB_CECO[[#This Row],[CECO_T]],1,5)</f>
        <v>3G54D</v>
      </c>
      <c r="B3349" t="str">
        <f>MID(TB_CECO[[#This Row],[TRABAJO]],1,SEARCH(",",TB_CECO[[#This Row],[TRABAJO]],1)-1)</f>
        <v>Snv 878 NE (Snv 030 NE)</v>
      </c>
      <c r="C33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878 NE (Snv 030 NE),PERFORACION</v>
      </c>
      <c r="D33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49" s="47" t="s">
        <v>6622</v>
      </c>
      <c r="G3349" t="s">
        <v>6623</v>
      </c>
      <c r="H33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50" spans="1:8" ht="15" customHeight="1" x14ac:dyDescent="0.25">
      <c r="A3350" t="str">
        <f>MID(TB_CECO[[#This Row],[CECO_T]],1,5)</f>
        <v>3G54D</v>
      </c>
      <c r="B3350" t="str">
        <f>MID(TB_CECO[[#This Row],[TRABAJO]],1,SEARCH(",",TB_CECO[[#This Row],[TRABAJO]],1)-1)</f>
        <v>Snv 878 NE (Snv 030 NE)</v>
      </c>
      <c r="C33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878 NE (Snv 030 NE),SOSTENIMIENTO</v>
      </c>
      <c r="D33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50" s="47" t="s">
        <v>6624</v>
      </c>
      <c r="G3350" t="s">
        <v>6625</v>
      </c>
      <c r="H33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51" spans="1:8" ht="15" customHeight="1" x14ac:dyDescent="0.25">
      <c r="A3351" t="str">
        <f>MID(TB_CECO[[#This Row],[CECO_T]],1,5)</f>
        <v>3G54D</v>
      </c>
      <c r="B3351" t="str">
        <f>MID(TB_CECO[[#This Row],[TRABAJO]],1,SEARCH(",",TB_CECO[[#This Row],[TRABAJO]],1)-1)</f>
        <v>Snv 878 NE (Snv 030 NE)</v>
      </c>
      <c r="C33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878 NE (Snv 030 NE),VOLADURA</v>
      </c>
      <c r="D33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51" s="47" t="s">
        <v>6626</v>
      </c>
      <c r="G3351" t="s">
        <v>6627</v>
      </c>
      <c r="H33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52" spans="1:8" ht="15" customHeight="1" x14ac:dyDescent="0.25">
      <c r="A3352" t="str">
        <f>MID(TB_CECO[[#This Row],[CECO_T]],1,5)</f>
        <v>3G54E</v>
      </c>
      <c r="B3352" t="str">
        <f>MID(TB_CECO[[#This Row],[TRABAJO]],1,SEARCH(",",TB_CECO[[#This Row],[TRABAJO]],1)-1)</f>
        <v>Snv 898 NE (Snv 050 NE)</v>
      </c>
      <c r="C33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(Snv 050 NE),LIMPIEZA</v>
      </c>
      <c r="D33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52" s="47" t="s">
        <v>6628</v>
      </c>
      <c r="G3352" t="s">
        <v>6629</v>
      </c>
      <c r="H33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53" spans="1:8" ht="15" customHeight="1" x14ac:dyDescent="0.25">
      <c r="A3353" t="str">
        <f>MID(TB_CECO[[#This Row],[CECO_T]],1,5)</f>
        <v>3G54E</v>
      </c>
      <c r="B3353" t="str">
        <f>MID(TB_CECO[[#This Row],[TRABAJO]],1,SEARCH(",",TB_CECO[[#This Row],[TRABAJO]],1)-1)</f>
        <v>Snv 898 NE (Snv 050 NE)</v>
      </c>
      <c r="C33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(Snv 050 NE),SERVICIO</v>
      </c>
      <c r="D33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53" s="47" t="s">
        <v>6630</v>
      </c>
      <c r="G3353" t="s">
        <v>6631</v>
      </c>
      <c r="H33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54" spans="1:8" ht="15" customHeight="1" x14ac:dyDescent="0.25">
      <c r="A3354" t="str">
        <f>MID(TB_CECO[[#This Row],[CECO_T]],1,5)</f>
        <v>3G54E</v>
      </c>
      <c r="B3354" t="str">
        <f>MID(TB_CECO[[#This Row],[TRABAJO]],1,SEARCH(",",TB_CECO[[#This Row],[TRABAJO]],1)-1)</f>
        <v>Snv 898 NE (Snv 050 NE)</v>
      </c>
      <c r="C33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(Snv 050 NE),PERFORACION</v>
      </c>
      <c r="D33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54" s="47" t="s">
        <v>6632</v>
      </c>
      <c r="G3354" t="s">
        <v>6633</v>
      </c>
      <c r="H33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55" spans="1:8" ht="15" customHeight="1" x14ac:dyDescent="0.25">
      <c r="A3355" t="str">
        <f>MID(TB_CECO[[#This Row],[CECO_T]],1,5)</f>
        <v>3G54E</v>
      </c>
      <c r="B3355" t="str">
        <f>MID(TB_CECO[[#This Row],[TRABAJO]],1,SEARCH(",",TB_CECO[[#This Row],[TRABAJO]],1)-1)</f>
        <v>Snv 898 NE (Snv 050 NE)</v>
      </c>
      <c r="C33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(Snv 050 NE),SOSTENIMIENTO</v>
      </c>
      <c r="D33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55" s="47" t="s">
        <v>6634</v>
      </c>
      <c r="G3355" t="s">
        <v>6635</v>
      </c>
      <c r="H33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56" spans="1:8" ht="15" customHeight="1" x14ac:dyDescent="0.25">
      <c r="A3356" t="str">
        <f>MID(TB_CECO[[#This Row],[CECO_T]],1,5)</f>
        <v>3G54E</v>
      </c>
      <c r="B3356" t="str">
        <f>MID(TB_CECO[[#This Row],[TRABAJO]],1,SEARCH(",",TB_CECO[[#This Row],[TRABAJO]],1)-1)</f>
        <v>Snv 898 NE (Snv 050 NE)</v>
      </c>
      <c r="C33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(Snv 050 NE),VOLADURA</v>
      </c>
      <c r="D33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56" s="47" t="s">
        <v>6636</v>
      </c>
      <c r="G3356" t="s">
        <v>6637</v>
      </c>
      <c r="H33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57" spans="1:8" ht="15" customHeight="1" x14ac:dyDescent="0.25">
      <c r="A3357" t="str">
        <f>MID(TB_CECO[[#This Row],[CECO_T]],1,5)</f>
        <v>3G54P</v>
      </c>
      <c r="B3357" t="str">
        <f>MID(TB_CECO[[#This Row],[TRABAJO]],1,SEARCH(",",TB_CECO[[#This Row],[TRABAJO]],1)-1)</f>
        <v>Snv 881 NE (Ch 907)</v>
      </c>
      <c r="C33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NE (Ch 907),LIMPIEZA</v>
      </c>
      <c r="D33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57" s="47" t="s">
        <v>6638</v>
      </c>
      <c r="G3357" t="s">
        <v>6639</v>
      </c>
      <c r="H33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58" spans="1:8" ht="15" customHeight="1" x14ac:dyDescent="0.25">
      <c r="A3358" t="str">
        <f>MID(TB_CECO[[#This Row],[CECO_T]],1,5)</f>
        <v>3G54P</v>
      </c>
      <c r="B3358" t="str">
        <f>MID(TB_CECO[[#This Row],[TRABAJO]],1,SEARCH(",",TB_CECO[[#This Row],[TRABAJO]],1)-1)</f>
        <v>Snv 881 NE (Ch 907)</v>
      </c>
      <c r="C33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NE (Ch 907),SERVICIO</v>
      </c>
      <c r="D33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58" s="47" t="s">
        <v>6640</v>
      </c>
      <c r="G3358" t="s">
        <v>6641</v>
      </c>
      <c r="H33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59" spans="1:8" ht="15" customHeight="1" x14ac:dyDescent="0.25">
      <c r="A3359" t="str">
        <f>MID(TB_CECO[[#This Row],[CECO_T]],1,5)</f>
        <v>3G54P</v>
      </c>
      <c r="B3359" t="str">
        <f>MID(TB_CECO[[#This Row],[TRABAJO]],1,SEARCH(",",TB_CECO[[#This Row],[TRABAJO]],1)-1)</f>
        <v>Snv 881 NE (Ch 907)</v>
      </c>
      <c r="C33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NE (Ch 907),PERFORACION</v>
      </c>
      <c r="D33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59" s="47" t="s">
        <v>6642</v>
      </c>
      <c r="G3359" t="s">
        <v>6643</v>
      </c>
      <c r="H33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60" spans="1:8" ht="15" customHeight="1" x14ac:dyDescent="0.25">
      <c r="A3360" t="str">
        <f>MID(TB_CECO[[#This Row],[CECO_T]],1,5)</f>
        <v>3G54P</v>
      </c>
      <c r="B3360" t="str">
        <f>MID(TB_CECO[[#This Row],[TRABAJO]],1,SEARCH(",",TB_CECO[[#This Row],[TRABAJO]],1)-1)</f>
        <v>Snv 881 NE (Ch 907)</v>
      </c>
      <c r="C33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NE (Ch 907),SOSTENIMIENTO</v>
      </c>
      <c r="D33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60" s="47" t="s">
        <v>6644</v>
      </c>
      <c r="G3360" t="s">
        <v>6645</v>
      </c>
      <c r="H33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61" spans="1:8" ht="15" customHeight="1" x14ac:dyDescent="0.25">
      <c r="A3361" t="str">
        <f>MID(TB_CECO[[#This Row],[CECO_T]],1,5)</f>
        <v>3G54P</v>
      </c>
      <c r="B3361" t="str">
        <f>MID(TB_CECO[[#This Row],[TRABAJO]],1,SEARCH(",",TB_CECO[[#This Row],[TRABAJO]],1)-1)</f>
        <v>Snv 881 NE (Ch 907)</v>
      </c>
      <c r="C33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NE (Ch 907),VOLADURA</v>
      </c>
      <c r="D33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61" s="47" t="s">
        <v>6646</v>
      </c>
      <c r="G3361" t="s">
        <v>6647</v>
      </c>
      <c r="H33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62" spans="1:8" ht="15" customHeight="1" x14ac:dyDescent="0.25">
      <c r="A3362" t="str">
        <f>MID(TB_CECO[[#This Row],[CECO_T]],1,5)</f>
        <v>3G55E</v>
      </c>
      <c r="B3362" t="str">
        <f>MID(TB_CECO[[#This Row],[TRABAJO]],1,SEARCH(",",TB_CECO[[#This Row],[TRABAJO]],1)-1)</f>
        <v>Snv 019 NE (Snv 020 NE)</v>
      </c>
      <c r="C33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019 NE (Snv 020 NE),LIMPIEZA</v>
      </c>
      <c r="D33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62" s="47" t="s">
        <v>6648</v>
      </c>
      <c r="G3362" t="s">
        <v>6649</v>
      </c>
      <c r="H33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63" spans="1:8" ht="15" customHeight="1" x14ac:dyDescent="0.25">
      <c r="A3363" t="str">
        <f>MID(TB_CECO[[#This Row],[CECO_T]],1,5)</f>
        <v>3G55E</v>
      </c>
      <c r="B3363" t="str">
        <f>MID(TB_CECO[[#This Row],[TRABAJO]],1,SEARCH(",",TB_CECO[[#This Row],[TRABAJO]],1)-1)</f>
        <v>Snv 019 NE (Snv 020 NE)</v>
      </c>
      <c r="C33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019 NE (Snv 020 NE),SERVICIO</v>
      </c>
      <c r="D33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63" s="47" t="s">
        <v>6650</v>
      </c>
      <c r="G3363" t="s">
        <v>6651</v>
      </c>
      <c r="H33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64" spans="1:8" ht="15" customHeight="1" x14ac:dyDescent="0.25">
      <c r="A3364" t="str">
        <f>MID(TB_CECO[[#This Row],[CECO_T]],1,5)</f>
        <v>3G55E</v>
      </c>
      <c r="B3364" t="str">
        <f>MID(TB_CECO[[#This Row],[TRABAJO]],1,SEARCH(",",TB_CECO[[#This Row],[TRABAJO]],1)-1)</f>
        <v>Snv 019 NE (Snv 020 NE)</v>
      </c>
      <c r="C33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019 NE (Snv 020 NE),PERFORACION</v>
      </c>
      <c r="D33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64" s="47" t="s">
        <v>6652</v>
      </c>
      <c r="G3364" t="s">
        <v>6653</v>
      </c>
      <c r="H33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65" spans="1:8" ht="15" customHeight="1" x14ac:dyDescent="0.25">
      <c r="A3365" t="str">
        <f>MID(TB_CECO[[#This Row],[CECO_T]],1,5)</f>
        <v>3G55E</v>
      </c>
      <c r="B3365" t="str">
        <f>MID(TB_CECO[[#This Row],[TRABAJO]],1,SEARCH(",",TB_CECO[[#This Row],[TRABAJO]],1)-1)</f>
        <v>Snv 019 NE (Snv 020 NE)</v>
      </c>
      <c r="C33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019 NE (Snv 020 NE),SOSTENIMIENTO</v>
      </c>
      <c r="D33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65" s="47" t="s">
        <v>6654</v>
      </c>
      <c r="G3365" t="s">
        <v>6655</v>
      </c>
      <c r="H33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66" spans="1:8" ht="15" customHeight="1" x14ac:dyDescent="0.25">
      <c r="A3366" t="str">
        <f>MID(TB_CECO[[#This Row],[CECO_T]],1,5)</f>
        <v>3G55E</v>
      </c>
      <c r="B3366" t="str">
        <f>MID(TB_CECO[[#This Row],[TRABAJO]],1,SEARCH(",",TB_CECO[[#This Row],[TRABAJO]],1)-1)</f>
        <v>Snv 019 NE (Snv 020 NE)</v>
      </c>
      <c r="C33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019 NE (Snv 020 NE),VOLADURA</v>
      </c>
      <c r="D33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33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66" s="47" t="s">
        <v>6656</v>
      </c>
      <c r="G3366" t="s">
        <v>6657</v>
      </c>
      <c r="H33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67" spans="1:8" ht="15" customHeight="1" x14ac:dyDescent="0.25">
      <c r="A3367" t="str">
        <f>MID(TB_CECO[[#This Row],[CECO_T]],1,5)</f>
        <v>3H52X</v>
      </c>
      <c r="B3367" t="str">
        <f>MID(TB_CECO[[#This Row],[TRABAJO]],1,SEARCH(",",TB_CECO[[#This Row],[TRABAJO]],1)-1)</f>
        <v>Snv 836 SW (Ch 669)</v>
      </c>
      <c r="C33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SW (Ch 669),LIMPIEZA</v>
      </c>
      <c r="D33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33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67" s="47" t="s">
        <v>6658</v>
      </c>
      <c r="G3367" t="s">
        <v>6659</v>
      </c>
      <c r="H33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68" spans="1:8" ht="15" customHeight="1" x14ac:dyDescent="0.25">
      <c r="A3368" t="str">
        <f>MID(TB_CECO[[#This Row],[CECO_T]],1,5)</f>
        <v>3H52X</v>
      </c>
      <c r="B3368" t="str">
        <f>MID(TB_CECO[[#This Row],[TRABAJO]],1,SEARCH(",",TB_CECO[[#This Row],[TRABAJO]],1)-1)</f>
        <v>Snv 836 SW (Ch 669)</v>
      </c>
      <c r="C33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SW (Ch 669),SERVICIO</v>
      </c>
      <c r="D33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33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68" s="47" t="s">
        <v>6660</v>
      </c>
      <c r="G3368" t="s">
        <v>6661</v>
      </c>
      <c r="H33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69" spans="1:8" ht="15" customHeight="1" x14ac:dyDescent="0.25">
      <c r="A3369" t="str">
        <f>MID(TB_CECO[[#This Row],[CECO_T]],1,5)</f>
        <v>3H52X</v>
      </c>
      <c r="B3369" t="str">
        <f>MID(TB_CECO[[#This Row],[TRABAJO]],1,SEARCH(",",TB_CECO[[#This Row],[TRABAJO]],1)-1)</f>
        <v>Snv 836 SW (Ch 669)</v>
      </c>
      <c r="C33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SW (Ch 669),PERFORACION</v>
      </c>
      <c r="D33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33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69" s="47" t="s">
        <v>6662</v>
      </c>
      <c r="G3369" t="s">
        <v>6663</v>
      </c>
      <c r="H33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70" spans="1:8" ht="15" customHeight="1" x14ac:dyDescent="0.25">
      <c r="A3370" t="str">
        <f>MID(TB_CECO[[#This Row],[CECO_T]],1,5)</f>
        <v>3H52X</v>
      </c>
      <c r="B3370" t="str">
        <f>MID(TB_CECO[[#This Row],[TRABAJO]],1,SEARCH(",",TB_CECO[[#This Row],[TRABAJO]],1)-1)</f>
        <v>Snv 836 SW (Ch 669)</v>
      </c>
      <c r="C33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SW (Ch 669),SOSTENIMIENTO</v>
      </c>
      <c r="D33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33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70" s="47" t="s">
        <v>6664</v>
      </c>
      <c r="G3370" t="s">
        <v>6665</v>
      </c>
      <c r="H33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71" spans="1:8" ht="15" customHeight="1" x14ac:dyDescent="0.25">
      <c r="A3371" t="str">
        <f>MID(TB_CECO[[#This Row],[CECO_T]],1,5)</f>
        <v>3H52X</v>
      </c>
      <c r="B3371" t="str">
        <f>MID(TB_CECO[[#This Row],[TRABAJO]],1,SEARCH(",",TB_CECO[[#This Row],[TRABAJO]],1)-1)</f>
        <v>Snv 836 SW (Ch 669)</v>
      </c>
      <c r="C33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SW (Ch 669),VOLADURA</v>
      </c>
      <c r="D33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33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71" s="47" t="s">
        <v>6666</v>
      </c>
      <c r="G3371" t="s">
        <v>6667</v>
      </c>
      <c r="H33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72" spans="1:8" ht="15" customHeight="1" x14ac:dyDescent="0.25">
      <c r="A3372" t="str">
        <f>MID(TB_CECO[[#This Row],[CECO_T]],1,5)</f>
        <v>3H52Y</v>
      </c>
      <c r="B3372" t="str">
        <f>MID(TB_CECO[[#This Row],[TRABAJO]],1,SEARCH(",",TB_CECO[[#This Row],[TRABAJO]],1)-1)</f>
        <v>Snv 836 NE (Ch 669)</v>
      </c>
      <c r="C33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NE (Ch 669),LIMPIEZA</v>
      </c>
      <c r="D33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33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72" s="47" t="s">
        <v>6668</v>
      </c>
      <c r="G3372" t="s">
        <v>6669</v>
      </c>
      <c r="H33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73" spans="1:8" ht="15" customHeight="1" x14ac:dyDescent="0.25">
      <c r="A3373" t="str">
        <f>MID(TB_CECO[[#This Row],[CECO_T]],1,5)</f>
        <v>3H52Y</v>
      </c>
      <c r="B3373" t="str">
        <f>MID(TB_CECO[[#This Row],[TRABAJO]],1,SEARCH(",",TB_CECO[[#This Row],[TRABAJO]],1)-1)</f>
        <v>Snv 836 NE (Ch 669)</v>
      </c>
      <c r="C33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NE (Ch 669),SERVICIO</v>
      </c>
      <c r="D33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33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73" s="47" t="s">
        <v>6670</v>
      </c>
      <c r="G3373" t="s">
        <v>6671</v>
      </c>
      <c r="H33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74" spans="1:8" ht="15" customHeight="1" x14ac:dyDescent="0.25">
      <c r="A3374" t="str">
        <f>MID(TB_CECO[[#This Row],[CECO_T]],1,5)</f>
        <v>3H52Y</v>
      </c>
      <c r="B3374" t="str">
        <f>MID(TB_CECO[[#This Row],[TRABAJO]],1,SEARCH(",",TB_CECO[[#This Row],[TRABAJO]],1)-1)</f>
        <v>Snv 836 NE (Ch 669)</v>
      </c>
      <c r="C33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NE (Ch 669),PERFORACION</v>
      </c>
      <c r="D33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33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74" s="47" t="s">
        <v>6672</v>
      </c>
      <c r="G3374" t="s">
        <v>6673</v>
      </c>
      <c r="H33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75" spans="1:8" ht="15" customHeight="1" x14ac:dyDescent="0.25">
      <c r="A3375" t="str">
        <f>MID(TB_CECO[[#This Row],[CECO_T]],1,5)</f>
        <v>3H52Y</v>
      </c>
      <c r="B3375" t="str">
        <f>MID(TB_CECO[[#This Row],[TRABAJO]],1,SEARCH(",",TB_CECO[[#This Row],[TRABAJO]],1)-1)</f>
        <v>Snv 836 NE (Ch 669)</v>
      </c>
      <c r="C33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NE (Ch 669),SOSTENIMIENTO</v>
      </c>
      <c r="D33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33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75" s="47" t="s">
        <v>6674</v>
      </c>
      <c r="G3375" t="s">
        <v>6675</v>
      </c>
      <c r="H33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76" spans="1:8" ht="15" customHeight="1" x14ac:dyDescent="0.25">
      <c r="A3376" t="str">
        <f>MID(TB_CECO[[#This Row],[CECO_T]],1,5)</f>
        <v>3H52Y</v>
      </c>
      <c r="B3376" t="str">
        <f>MID(TB_CECO[[#This Row],[TRABAJO]],1,SEARCH(",",TB_CECO[[#This Row],[TRABAJO]],1)-1)</f>
        <v>Snv 836 NE (Ch 669)</v>
      </c>
      <c r="C33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NE (Ch 669),VOLADURA</v>
      </c>
      <c r="D33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33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76" s="47" t="s">
        <v>6676</v>
      </c>
      <c r="G3376" t="s">
        <v>6677</v>
      </c>
      <c r="H33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77" spans="1:8" ht="15" customHeight="1" x14ac:dyDescent="0.25">
      <c r="A3377" t="str">
        <f>MID(TB_CECO[[#This Row],[CECO_T]],1,5)</f>
        <v>3L31A</v>
      </c>
      <c r="B3377" t="str">
        <f>MID(TB_CECO[[#This Row],[TRABAJO]],1,SEARCH(",",TB_CECO[[#This Row],[TRABAJO]],1)-1)</f>
        <v>Ch 948 (Snv 152 NE)</v>
      </c>
      <c r="C33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948 (Snv 152 NE),LIMPIEZA</v>
      </c>
      <c r="D33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77" s="47" t="s">
        <v>6678</v>
      </c>
      <c r="G3377" t="s">
        <v>6679</v>
      </c>
      <c r="H33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78" spans="1:8" ht="15" customHeight="1" x14ac:dyDescent="0.25">
      <c r="A3378" t="str">
        <f>MID(TB_CECO[[#This Row],[CECO_T]],1,5)</f>
        <v>3L31A</v>
      </c>
      <c r="B3378" t="str">
        <f>MID(TB_CECO[[#This Row],[TRABAJO]],1,SEARCH(",",TB_CECO[[#This Row],[TRABAJO]],1)-1)</f>
        <v>Ch 948 (Snv 152 NE)</v>
      </c>
      <c r="C33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948 (Snv 152 NE),SERVICIO</v>
      </c>
      <c r="D33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78" s="47" t="s">
        <v>6680</v>
      </c>
      <c r="G3378" t="s">
        <v>6681</v>
      </c>
      <c r="H33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79" spans="1:8" ht="15" customHeight="1" x14ac:dyDescent="0.25">
      <c r="A3379" t="str">
        <f>MID(TB_CECO[[#This Row],[CECO_T]],1,5)</f>
        <v>3L31A</v>
      </c>
      <c r="B3379" t="str">
        <f>MID(TB_CECO[[#This Row],[TRABAJO]],1,SEARCH(",",TB_CECO[[#This Row],[TRABAJO]],1)-1)</f>
        <v>Ch 948 (Snv 152 NE)</v>
      </c>
      <c r="C33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948 (Snv 152 NE),PERFORACION</v>
      </c>
      <c r="D33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79" s="47" t="s">
        <v>6682</v>
      </c>
      <c r="G3379" t="s">
        <v>6683</v>
      </c>
      <c r="H33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80" spans="1:8" ht="15" customHeight="1" x14ac:dyDescent="0.25">
      <c r="A3380" t="str">
        <f>MID(TB_CECO[[#This Row],[CECO_T]],1,5)</f>
        <v>3L31A</v>
      </c>
      <c r="B3380" t="str">
        <f>MID(TB_CECO[[#This Row],[TRABAJO]],1,SEARCH(",",TB_CECO[[#This Row],[TRABAJO]],1)-1)</f>
        <v>Ch 948 (Snv 152 NE)</v>
      </c>
      <c r="C33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948 (Snv 152 NE),SOSTENIMIENTO</v>
      </c>
      <c r="D33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80" s="47" t="s">
        <v>6684</v>
      </c>
      <c r="G3380" t="s">
        <v>6685</v>
      </c>
      <c r="H33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81" spans="1:8" ht="15" customHeight="1" x14ac:dyDescent="0.25">
      <c r="A3381" t="str">
        <f>MID(TB_CECO[[#This Row],[CECO_T]],1,5)</f>
        <v>3L31A</v>
      </c>
      <c r="B3381" t="str">
        <f>MID(TB_CECO[[#This Row],[TRABAJO]],1,SEARCH(",",TB_CECO[[#This Row],[TRABAJO]],1)-1)</f>
        <v>Ch 948 (Snv 152 NE)</v>
      </c>
      <c r="C33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948 (Snv 152 NE),VOLADURA</v>
      </c>
      <c r="D33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81" s="47" t="s">
        <v>6686</v>
      </c>
      <c r="G3381" t="s">
        <v>6687</v>
      </c>
      <c r="H33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82" spans="1:8" ht="15" customHeight="1" x14ac:dyDescent="0.25">
      <c r="A3382" t="str">
        <f>MID(TB_CECO[[#This Row],[CECO_T]],1,5)</f>
        <v>3L31B</v>
      </c>
      <c r="B3382" t="str">
        <f>MID(TB_CECO[[#This Row],[TRABAJO]],1,SEARCH(",",TB_CECO[[#This Row],[TRABAJO]],1)-1)</f>
        <v>Ch 950 (Snv 152 NE) </v>
      </c>
      <c r="C33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950 (Snv 152 NE) ,LIMPIEZA</v>
      </c>
      <c r="D33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82" s="47" t="s">
        <v>6688</v>
      </c>
      <c r="G3382" t="s">
        <v>6689</v>
      </c>
      <c r="H33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83" spans="1:8" ht="15" customHeight="1" x14ac:dyDescent="0.25">
      <c r="A3383" t="str">
        <f>MID(TB_CECO[[#This Row],[CECO_T]],1,5)</f>
        <v>3L31B</v>
      </c>
      <c r="B3383" t="str">
        <f>MID(TB_CECO[[#This Row],[TRABAJO]],1,SEARCH(",",TB_CECO[[#This Row],[TRABAJO]],1)-1)</f>
        <v>Ch 950 (Snv 152 NE) </v>
      </c>
      <c r="C33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950 (Snv 152 NE) ,SERVICIO</v>
      </c>
      <c r="D33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83" s="47" t="s">
        <v>6690</v>
      </c>
      <c r="G3383" t="s">
        <v>6691</v>
      </c>
      <c r="H33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84" spans="1:8" ht="15" customHeight="1" x14ac:dyDescent="0.25">
      <c r="A3384" t="str">
        <f>MID(TB_CECO[[#This Row],[CECO_T]],1,5)</f>
        <v>3L31B</v>
      </c>
      <c r="B3384" t="str">
        <f>MID(TB_CECO[[#This Row],[TRABAJO]],1,SEARCH(",",TB_CECO[[#This Row],[TRABAJO]],1)-1)</f>
        <v>Ch 950 (Snv 152 NE) </v>
      </c>
      <c r="C33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950 (Snv 152 NE) ,PERFORACION</v>
      </c>
      <c r="D33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84" s="47" t="s">
        <v>6692</v>
      </c>
      <c r="G3384" t="s">
        <v>6693</v>
      </c>
      <c r="H33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85" spans="1:8" ht="15" customHeight="1" x14ac:dyDescent="0.25">
      <c r="A3385" t="str">
        <f>MID(TB_CECO[[#This Row],[CECO_T]],1,5)</f>
        <v>3L31B</v>
      </c>
      <c r="B3385" t="str">
        <f>MID(TB_CECO[[#This Row],[TRABAJO]],1,SEARCH(",",TB_CECO[[#This Row],[TRABAJO]],1)-1)</f>
        <v>Ch 950 (Snv 152 NE) </v>
      </c>
      <c r="C33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950 (Snv 152 NE) ,SOSTENIMIENTO</v>
      </c>
      <c r="D33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85" s="47" t="s">
        <v>6694</v>
      </c>
      <c r="G3385" t="s">
        <v>6695</v>
      </c>
      <c r="H33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86" spans="1:8" ht="15" customHeight="1" x14ac:dyDescent="0.25">
      <c r="A3386" t="str">
        <f>MID(TB_CECO[[#This Row],[CECO_T]],1,5)</f>
        <v>3L31B</v>
      </c>
      <c r="B3386" t="str">
        <f>MID(TB_CECO[[#This Row],[TRABAJO]],1,SEARCH(",",TB_CECO[[#This Row],[TRABAJO]],1)-1)</f>
        <v>Ch 950 (Snv 152 NE) </v>
      </c>
      <c r="C33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950 (Snv 152 NE) ,VOLADURA</v>
      </c>
      <c r="D33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86" s="47" t="s">
        <v>6696</v>
      </c>
      <c r="G3386" t="s">
        <v>6697</v>
      </c>
      <c r="H33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87" spans="1:8" ht="15" customHeight="1" x14ac:dyDescent="0.25">
      <c r="A3387" t="str">
        <f>MID(TB_CECO[[#This Row],[CECO_T]],1,5)</f>
        <v>3L370</v>
      </c>
      <c r="B3387" t="str">
        <f>MID(TB_CECO[[#This Row],[TRABAJO]],1,SEARCH(",",TB_CECO[[#This Row],[TRABAJO]],1)-1)</f>
        <v>Ch 003 (Snv 256 SW)</v>
      </c>
      <c r="C33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003 (Snv 256 SW),LIMPIEZA</v>
      </c>
      <c r="D33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87" s="47" t="s">
        <v>6698</v>
      </c>
      <c r="G3387" t="s">
        <v>6699</v>
      </c>
      <c r="H33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88" spans="1:8" ht="15" customHeight="1" x14ac:dyDescent="0.25">
      <c r="A3388" t="str">
        <f>MID(TB_CECO[[#This Row],[CECO_T]],1,5)</f>
        <v>3L370</v>
      </c>
      <c r="B3388" t="str">
        <f>MID(TB_CECO[[#This Row],[TRABAJO]],1,SEARCH(",",TB_CECO[[#This Row],[TRABAJO]],1)-1)</f>
        <v>Ch 003 (Snv 256 SW)</v>
      </c>
      <c r="C33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003 (Snv 256 SW),SERVICIO</v>
      </c>
      <c r="D33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88" s="47" t="s">
        <v>6700</v>
      </c>
      <c r="G3388" t="s">
        <v>6701</v>
      </c>
      <c r="H33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89" spans="1:8" ht="15" customHeight="1" x14ac:dyDescent="0.25">
      <c r="A3389" t="str">
        <f>MID(TB_CECO[[#This Row],[CECO_T]],1,5)</f>
        <v>3L370</v>
      </c>
      <c r="B3389" t="str">
        <f>MID(TB_CECO[[#This Row],[TRABAJO]],1,SEARCH(",",TB_CECO[[#This Row],[TRABAJO]],1)-1)</f>
        <v>Ch 003 (Snv 256 SW)</v>
      </c>
      <c r="C33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003 (Snv 256 SW),PERFORACION</v>
      </c>
      <c r="D33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89" s="47" t="s">
        <v>6702</v>
      </c>
      <c r="G3389" t="s">
        <v>6703</v>
      </c>
      <c r="H33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90" spans="1:8" ht="15" customHeight="1" x14ac:dyDescent="0.25">
      <c r="A3390" t="str">
        <f>MID(TB_CECO[[#This Row],[CECO_T]],1,5)</f>
        <v>3L370</v>
      </c>
      <c r="B3390" t="str">
        <f>MID(TB_CECO[[#This Row],[TRABAJO]],1,SEARCH(",",TB_CECO[[#This Row],[TRABAJO]],1)-1)</f>
        <v>Ch 003 (Snv 256 SW)</v>
      </c>
      <c r="C33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003 (Snv 256 SW),SOSTENIMIENTO</v>
      </c>
      <c r="D33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90" s="47" t="s">
        <v>6704</v>
      </c>
      <c r="G3390" t="s">
        <v>6705</v>
      </c>
      <c r="H33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91" spans="1:8" ht="15" customHeight="1" x14ac:dyDescent="0.25">
      <c r="A3391" t="str">
        <f>MID(TB_CECO[[#This Row],[CECO_T]],1,5)</f>
        <v>3L370</v>
      </c>
      <c r="B3391" t="str">
        <f>MID(TB_CECO[[#This Row],[TRABAJO]],1,SEARCH(",",TB_CECO[[#This Row],[TRABAJO]],1)-1)</f>
        <v>Ch 003 (Snv 256 SW)</v>
      </c>
      <c r="C33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003 (Snv 256 SW),VOLADURA</v>
      </c>
      <c r="D33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3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391" s="47" t="s">
        <v>6706</v>
      </c>
      <c r="G3391" t="s">
        <v>6707</v>
      </c>
      <c r="H33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92" spans="1:8" ht="15" customHeight="1" x14ac:dyDescent="0.25">
      <c r="A3392" t="str">
        <f>MID(TB_CECO[[#This Row],[CECO_T]],1,5)</f>
        <v>3L381</v>
      </c>
      <c r="B3392" t="str">
        <f>MID(TB_CECO[[#This Row],[TRABAJO]],1,SEARCH(",",TB_CECO[[#This Row],[TRABAJO]],1)-1)</f>
        <v>Ch 998 (Snv 015 SW)</v>
      </c>
      <c r="C33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998 (Snv 015 SW),LIMPIEZA</v>
      </c>
      <c r="D33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92" s="47" t="s">
        <v>6708</v>
      </c>
      <c r="G3392" t="s">
        <v>6709</v>
      </c>
      <c r="H33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93" spans="1:8" ht="15" customHeight="1" x14ac:dyDescent="0.25">
      <c r="A3393" t="str">
        <f>MID(TB_CECO[[#This Row],[CECO_T]],1,5)</f>
        <v>3L381</v>
      </c>
      <c r="B3393" t="str">
        <f>MID(TB_CECO[[#This Row],[TRABAJO]],1,SEARCH(",",TB_CECO[[#This Row],[TRABAJO]],1)-1)</f>
        <v>Ch 998 (Snv 015 SW)</v>
      </c>
      <c r="C33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998 (Snv 015 SW),SERVICIO</v>
      </c>
      <c r="D33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93" s="47" t="s">
        <v>6710</v>
      </c>
      <c r="G3393" t="s">
        <v>6711</v>
      </c>
      <c r="H33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94" spans="1:8" ht="15" customHeight="1" x14ac:dyDescent="0.25">
      <c r="A3394" t="str">
        <f>MID(TB_CECO[[#This Row],[CECO_T]],1,5)</f>
        <v>3L381</v>
      </c>
      <c r="B3394" t="str">
        <f>MID(TB_CECO[[#This Row],[TRABAJO]],1,SEARCH(",",TB_CECO[[#This Row],[TRABAJO]],1)-1)</f>
        <v>Ch 998 (Snv 015 SW)</v>
      </c>
      <c r="C33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998 (Snv 015 SW),PERFORACION</v>
      </c>
      <c r="D33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94" s="47" t="s">
        <v>6712</v>
      </c>
      <c r="G3394" t="s">
        <v>6713</v>
      </c>
      <c r="H33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95" spans="1:8" ht="15" customHeight="1" x14ac:dyDescent="0.25">
      <c r="A3395" t="str">
        <f>MID(TB_CECO[[#This Row],[CECO_T]],1,5)</f>
        <v>3L381</v>
      </c>
      <c r="B3395" t="str">
        <f>MID(TB_CECO[[#This Row],[TRABAJO]],1,SEARCH(",",TB_CECO[[#This Row],[TRABAJO]],1)-1)</f>
        <v>Ch 998 (Snv 015 SW)</v>
      </c>
      <c r="C33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998 (Snv 015 SW),SOSTENIMIENTO</v>
      </c>
      <c r="D33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95" s="47" t="s">
        <v>6714</v>
      </c>
      <c r="G3395" t="s">
        <v>6715</v>
      </c>
      <c r="H33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96" spans="1:8" ht="15" customHeight="1" x14ac:dyDescent="0.25">
      <c r="A3396" t="str">
        <f>MID(TB_CECO[[#This Row],[CECO_T]],1,5)</f>
        <v>3L381</v>
      </c>
      <c r="B3396" t="str">
        <f>MID(TB_CECO[[#This Row],[TRABAJO]],1,SEARCH(",",TB_CECO[[#This Row],[TRABAJO]],1)-1)</f>
        <v>Ch 998 (Snv 015 SW)</v>
      </c>
      <c r="C33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998 (Snv 015 SW),VOLADURA</v>
      </c>
      <c r="D33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96" s="47" t="s">
        <v>6716</v>
      </c>
      <c r="G3396" t="s">
        <v>6717</v>
      </c>
      <c r="H33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97" spans="1:8" ht="15" customHeight="1" x14ac:dyDescent="0.25">
      <c r="A3397" t="str">
        <f>MID(TB_CECO[[#This Row],[CECO_T]],1,5)</f>
        <v>3L395</v>
      </c>
      <c r="B3397" t="str">
        <f>MID(TB_CECO[[#This Row],[TRABAJO]],1,SEARCH(",",TB_CECO[[#This Row],[TRABAJO]],1)-1)</f>
        <v>Ch 973 (Snv 974 SW)</v>
      </c>
      <c r="C33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973 (Snv 974 SW),LIMPIEZA</v>
      </c>
      <c r="D33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97" s="47" t="s">
        <v>6718</v>
      </c>
      <c r="G3397" t="s">
        <v>6719</v>
      </c>
      <c r="H33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98" spans="1:8" ht="15" customHeight="1" x14ac:dyDescent="0.25">
      <c r="A3398" t="str">
        <f>MID(TB_CECO[[#This Row],[CECO_T]],1,5)</f>
        <v>3L395</v>
      </c>
      <c r="B3398" t="str">
        <f>MID(TB_CECO[[#This Row],[TRABAJO]],1,SEARCH(",",TB_CECO[[#This Row],[TRABAJO]],1)-1)</f>
        <v>Ch 973 (Snv 974 SW)</v>
      </c>
      <c r="C33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973 (Snv 974 SW),SERVICIO</v>
      </c>
      <c r="D33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98" s="47" t="s">
        <v>6720</v>
      </c>
      <c r="G3398" t="s">
        <v>6721</v>
      </c>
      <c r="H33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399" spans="1:8" ht="15" customHeight="1" x14ac:dyDescent="0.25">
      <c r="A3399" t="str">
        <f>MID(TB_CECO[[#This Row],[CECO_T]],1,5)</f>
        <v>3L395</v>
      </c>
      <c r="B3399" t="str">
        <f>MID(TB_CECO[[#This Row],[TRABAJO]],1,SEARCH(",",TB_CECO[[#This Row],[TRABAJO]],1)-1)</f>
        <v>Ch 973 (Snv 974 SW)</v>
      </c>
      <c r="C33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973 (Snv 974 SW),PERFORACION</v>
      </c>
      <c r="D33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3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399" s="47" t="s">
        <v>6722</v>
      </c>
      <c r="G3399" t="s">
        <v>6723</v>
      </c>
      <c r="H33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00" spans="1:8" ht="15" customHeight="1" x14ac:dyDescent="0.25">
      <c r="A3400" t="str">
        <f>MID(TB_CECO[[#This Row],[CECO_T]],1,5)</f>
        <v>3L395</v>
      </c>
      <c r="B3400" t="str">
        <f>MID(TB_CECO[[#This Row],[TRABAJO]],1,SEARCH(",",TB_CECO[[#This Row],[TRABAJO]],1)-1)</f>
        <v>Ch 973 (Snv 974 SW)</v>
      </c>
      <c r="C34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973 (Snv 974 SW),SOSTENIMIENTO</v>
      </c>
      <c r="D34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00" s="47" t="s">
        <v>6724</v>
      </c>
      <c r="G3400" t="s">
        <v>6725</v>
      </c>
      <c r="H34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01" spans="1:8" ht="15" customHeight="1" x14ac:dyDescent="0.25">
      <c r="A3401" t="str">
        <f>MID(TB_CECO[[#This Row],[CECO_T]],1,5)</f>
        <v>3L395</v>
      </c>
      <c r="B3401" t="str">
        <f>MID(TB_CECO[[#This Row],[TRABAJO]],1,SEARCH(",",TB_CECO[[#This Row],[TRABAJO]],1)-1)</f>
        <v>Ch 973 (Snv 974 SW)</v>
      </c>
      <c r="C34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973 (Snv 974 SW),VOLADURA</v>
      </c>
      <c r="D34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01" s="47" t="s">
        <v>6726</v>
      </c>
      <c r="G3401" t="s">
        <v>6727</v>
      </c>
      <c r="H34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02" spans="1:8" ht="15" customHeight="1" x14ac:dyDescent="0.25">
      <c r="A3402" t="str">
        <f>MID(TB_CECO[[#This Row],[CECO_T]],1,5)</f>
        <v>3L51F</v>
      </c>
      <c r="B3402" t="str">
        <f>MID(TB_CECO[[#This Row],[TRABAJO]],1,SEARCH(",",TB_CECO[[#This Row],[TRABAJO]],1)-1)</f>
        <v>Snv 015 NE (Est 008 SE)</v>
      </c>
      <c r="C34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NE (Est 008 SE),SUMINISTROS</v>
      </c>
      <c r="D34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02" s="47" t="s">
        <v>6728</v>
      </c>
      <c r="G3402" t="s">
        <v>6729</v>
      </c>
      <c r="H34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03" spans="1:8" ht="15" customHeight="1" x14ac:dyDescent="0.25">
      <c r="A3403" t="str">
        <f>MID(TB_CECO[[#This Row],[CECO_T]],1,5)</f>
        <v>3L51F</v>
      </c>
      <c r="B3403" t="str">
        <f>MID(TB_CECO[[#This Row],[TRABAJO]],1,SEARCH(",",TB_CECO[[#This Row],[TRABAJO]],1)-1)</f>
        <v>Snv 015 NE (Est 008 SE)</v>
      </c>
      <c r="C34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NE (Est 008 SE),SOSTENIMIENTO</v>
      </c>
      <c r="D34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03" s="47" t="s">
        <v>6730</v>
      </c>
      <c r="G3403" t="s">
        <v>6731</v>
      </c>
      <c r="H34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04" spans="1:8" ht="15" customHeight="1" x14ac:dyDescent="0.25">
      <c r="A3404" t="str">
        <f>MID(TB_CECO[[#This Row],[CECO_T]],1,5)</f>
        <v>3L51F</v>
      </c>
      <c r="B3404" t="str">
        <f>MID(TB_CECO[[#This Row],[TRABAJO]],1,SEARCH(",",TB_CECO[[#This Row],[TRABAJO]],1)-1)</f>
        <v>Snv 015 NE (Est 008 SE)</v>
      </c>
      <c r="C34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NE (Est 008 SE),SERVICIO</v>
      </c>
      <c r="D34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04" s="47" t="s">
        <v>6732</v>
      </c>
      <c r="G3404" t="s">
        <v>6733</v>
      </c>
      <c r="H34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05" spans="1:8" ht="15" customHeight="1" x14ac:dyDescent="0.25">
      <c r="A3405" t="str">
        <f>MID(TB_CECO[[#This Row],[CECO_T]],1,5)</f>
        <v>3L51F</v>
      </c>
      <c r="B3405" t="str">
        <f>MID(TB_CECO[[#This Row],[TRABAJO]],1,SEARCH(",",TB_CECO[[#This Row],[TRABAJO]],1)-1)</f>
        <v>Snv 015 NE (Est 008 SE)</v>
      </c>
      <c r="C34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NE (Est 008 SE),REHABILITACION</v>
      </c>
      <c r="D34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4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405" s="47" t="s">
        <v>6734</v>
      </c>
      <c r="G3405" t="s">
        <v>6735</v>
      </c>
      <c r="H34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06" spans="1:8" ht="15" customHeight="1" x14ac:dyDescent="0.25">
      <c r="A3406" t="str">
        <f>MID(TB_CECO[[#This Row],[CECO_T]],1,5)</f>
        <v>3L51Z</v>
      </c>
      <c r="B3406" t="str">
        <f>MID(TB_CECO[[#This Row],[TRABAJO]],1,SEARCH(",",TB_CECO[[#This Row],[TRABAJO]],1)-1)</f>
        <v>Snv 015 SW (Est 008 SE)</v>
      </c>
      <c r="C34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SW (Est 008 SE),LIMPIEZA</v>
      </c>
      <c r="D34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06" s="47" t="s">
        <v>6736</v>
      </c>
      <c r="G3406" t="s">
        <v>6737</v>
      </c>
      <c r="H34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07" spans="1:8" ht="15" customHeight="1" x14ac:dyDescent="0.25">
      <c r="A3407" t="str">
        <f>MID(TB_CECO[[#This Row],[CECO_T]],1,5)</f>
        <v>3L51Z</v>
      </c>
      <c r="B3407" t="str">
        <f>MID(TB_CECO[[#This Row],[TRABAJO]],1,SEARCH(",",TB_CECO[[#This Row],[TRABAJO]],1)-1)</f>
        <v>Snv 015 SW (Est 008 SE)</v>
      </c>
      <c r="C34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SW (Est 008 SE),SERVICIO</v>
      </c>
      <c r="D34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07" s="47" t="s">
        <v>6738</v>
      </c>
      <c r="G3407" t="s">
        <v>6739</v>
      </c>
      <c r="H34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08" spans="1:8" ht="15" customHeight="1" x14ac:dyDescent="0.25">
      <c r="A3408" t="str">
        <f>MID(TB_CECO[[#This Row],[CECO_T]],1,5)</f>
        <v>3L51Z</v>
      </c>
      <c r="B3408" t="str">
        <f>MID(TB_CECO[[#This Row],[TRABAJO]],1,SEARCH(",",TB_CECO[[#This Row],[TRABAJO]],1)-1)</f>
        <v>Snv 015 SW (Est 008 SE)</v>
      </c>
      <c r="C34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SW (Est 008 SE),PERFORACION</v>
      </c>
      <c r="D34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08" s="47" t="s">
        <v>6740</v>
      </c>
      <c r="G3408" t="s">
        <v>6741</v>
      </c>
      <c r="H34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09" spans="1:8" ht="15" customHeight="1" x14ac:dyDescent="0.25">
      <c r="A3409" t="str">
        <f>MID(TB_CECO[[#This Row],[CECO_T]],1,5)</f>
        <v>3L51Z</v>
      </c>
      <c r="B3409" t="str">
        <f>MID(TB_CECO[[#This Row],[TRABAJO]],1,SEARCH(",",TB_CECO[[#This Row],[TRABAJO]],1)-1)</f>
        <v>Snv 015 SW (Est 008 SE)</v>
      </c>
      <c r="C34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SW (Est 008 SE),SOSTENIMIENTO</v>
      </c>
      <c r="D34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09" s="47" t="s">
        <v>6742</v>
      </c>
      <c r="G3409" t="s">
        <v>6743</v>
      </c>
      <c r="H34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10" spans="1:8" ht="15" customHeight="1" x14ac:dyDescent="0.25">
      <c r="A3410" t="str">
        <f>MID(TB_CECO[[#This Row],[CECO_T]],1,5)</f>
        <v>3L51Z</v>
      </c>
      <c r="B3410" t="str">
        <f>MID(TB_CECO[[#This Row],[TRABAJO]],1,SEARCH(",",TB_CECO[[#This Row],[TRABAJO]],1)-1)</f>
        <v>Snv 015 SW (Est 008 SE)</v>
      </c>
      <c r="C34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SW (Est 008 SE),VOLADURA</v>
      </c>
      <c r="D34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10" s="47" t="s">
        <v>6744</v>
      </c>
      <c r="G3410" t="s">
        <v>6745</v>
      </c>
      <c r="H34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11" spans="1:8" ht="15" customHeight="1" x14ac:dyDescent="0.25">
      <c r="A3411" t="str">
        <f>MID(TB_CECO[[#This Row],[CECO_T]],1,5)</f>
        <v>3L52A</v>
      </c>
      <c r="B3411" t="str">
        <f>MID(TB_CECO[[#This Row],[TRABAJO]],1,SEARCH(",",TB_CECO[[#This Row],[TRABAJO]],1)-1)</f>
        <v>Snv 029 SW (Est 030 SW)</v>
      </c>
      <c r="C34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029 SW (Est 030 SW),LIMPIEZA</v>
      </c>
      <c r="D34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11" s="47" t="s">
        <v>6746</v>
      </c>
      <c r="G3411" t="s">
        <v>6747</v>
      </c>
      <c r="H34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12" spans="1:8" ht="15" customHeight="1" x14ac:dyDescent="0.25">
      <c r="A3412" t="str">
        <f>MID(TB_CECO[[#This Row],[CECO_T]],1,5)</f>
        <v>3L52A</v>
      </c>
      <c r="B3412" t="str">
        <f>MID(TB_CECO[[#This Row],[TRABAJO]],1,SEARCH(",",TB_CECO[[#This Row],[TRABAJO]],1)-1)</f>
        <v>Snv 029 SW (Est 030 SW)</v>
      </c>
      <c r="C34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029 SW (Est 030 SW),SERVICIO</v>
      </c>
      <c r="D34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12" s="47" t="s">
        <v>6748</v>
      </c>
      <c r="G3412" t="s">
        <v>6749</v>
      </c>
      <c r="H34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13" spans="1:8" ht="15" customHeight="1" x14ac:dyDescent="0.25">
      <c r="A3413" t="str">
        <f>MID(TB_CECO[[#This Row],[CECO_T]],1,5)</f>
        <v>3L52A</v>
      </c>
      <c r="B3413" t="str">
        <f>MID(TB_CECO[[#This Row],[TRABAJO]],1,SEARCH(",",TB_CECO[[#This Row],[TRABAJO]],1)-1)</f>
        <v>Snv 029 SW (Est 030 SW)</v>
      </c>
      <c r="C34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029 SW (Est 030 SW),PERFORACION</v>
      </c>
      <c r="D34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13" s="47" t="s">
        <v>6750</v>
      </c>
      <c r="G3413" t="s">
        <v>6751</v>
      </c>
      <c r="H34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14" spans="1:8" ht="15" customHeight="1" x14ac:dyDescent="0.25">
      <c r="A3414" t="str">
        <f>MID(TB_CECO[[#This Row],[CECO_T]],1,5)</f>
        <v>3L52A</v>
      </c>
      <c r="B3414" t="str">
        <f>MID(TB_CECO[[#This Row],[TRABAJO]],1,SEARCH(",",TB_CECO[[#This Row],[TRABAJO]],1)-1)</f>
        <v>Snv 029 SW (Est 030 SW)</v>
      </c>
      <c r="C34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029 SW (Est 030 SW),SOSTENIMIENTO</v>
      </c>
      <c r="D34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14" s="47" t="s">
        <v>6752</v>
      </c>
      <c r="G3414" t="s">
        <v>6753</v>
      </c>
      <c r="H34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15" spans="1:8" ht="15" customHeight="1" x14ac:dyDescent="0.25">
      <c r="A3415" t="str">
        <f>MID(TB_CECO[[#This Row],[CECO_T]],1,5)</f>
        <v>3L52A</v>
      </c>
      <c r="B3415" t="str">
        <f>MID(TB_CECO[[#This Row],[TRABAJO]],1,SEARCH(",",TB_CECO[[#This Row],[TRABAJO]],1)-1)</f>
        <v>Snv 029 SW (Est 030 SW)</v>
      </c>
      <c r="C34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029 SW (Est 030 SW),VOLADURA</v>
      </c>
      <c r="D34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15" s="47" t="s">
        <v>6754</v>
      </c>
      <c r="G3415" t="s">
        <v>6755</v>
      </c>
      <c r="H34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16" spans="1:8" ht="15" customHeight="1" x14ac:dyDescent="0.25">
      <c r="A3416" t="str">
        <f>MID(TB_CECO[[#This Row],[CECO_T]],1,5)</f>
        <v>3L52D</v>
      </c>
      <c r="B3416" t="str">
        <f>MID(TB_CECO[[#This Row],[TRABAJO]],1,SEARCH(",",TB_CECO[[#This Row],[TRABAJO]],1)-1)</f>
        <v>Snv 030 SW (Est 030 SW)</v>
      </c>
      <c r="C34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SW (Est 030 SW),LIMPIEZA</v>
      </c>
      <c r="D34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16" s="47" t="s">
        <v>6756</v>
      </c>
      <c r="G3416" t="s">
        <v>6757</v>
      </c>
      <c r="H34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17" spans="1:8" ht="15" customHeight="1" x14ac:dyDescent="0.25">
      <c r="A3417" t="str">
        <f>MID(TB_CECO[[#This Row],[CECO_T]],1,5)</f>
        <v>3L52D</v>
      </c>
      <c r="B3417" t="str">
        <f>MID(TB_CECO[[#This Row],[TRABAJO]],1,SEARCH(",",TB_CECO[[#This Row],[TRABAJO]],1)-1)</f>
        <v>Snv 030 SW (Est 030 SW)</v>
      </c>
      <c r="C34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SW (Est 030 SW),SERVICIO</v>
      </c>
      <c r="D34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17" s="47" t="s">
        <v>6758</v>
      </c>
      <c r="G3417" t="s">
        <v>6759</v>
      </c>
      <c r="H34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18" spans="1:8" ht="15" customHeight="1" x14ac:dyDescent="0.25">
      <c r="A3418" t="str">
        <f>MID(TB_CECO[[#This Row],[CECO_T]],1,5)</f>
        <v>3L52D</v>
      </c>
      <c r="B3418" t="str">
        <f>MID(TB_CECO[[#This Row],[TRABAJO]],1,SEARCH(",",TB_CECO[[#This Row],[TRABAJO]],1)-1)</f>
        <v>Snv 030 SW (Est 030 SW)</v>
      </c>
      <c r="C34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SW (Est 030 SW),PERFORACION</v>
      </c>
      <c r="D34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18" s="47" t="s">
        <v>6760</v>
      </c>
      <c r="G3418" t="s">
        <v>6761</v>
      </c>
      <c r="H34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19" spans="1:8" ht="15" customHeight="1" x14ac:dyDescent="0.25">
      <c r="A3419" t="str">
        <f>MID(TB_CECO[[#This Row],[CECO_T]],1,5)</f>
        <v>3L52D</v>
      </c>
      <c r="B3419" t="str">
        <f>MID(TB_CECO[[#This Row],[TRABAJO]],1,SEARCH(",",TB_CECO[[#This Row],[TRABAJO]],1)-1)</f>
        <v>Snv 030 SW (Est 030 SW)</v>
      </c>
      <c r="C34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SW (Est 030 SW),SOSTENIMIENTO</v>
      </c>
      <c r="D34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19" s="47" t="s">
        <v>6762</v>
      </c>
      <c r="G3419" t="s">
        <v>6763</v>
      </c>
      <c r="H34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20" spans="1:8" ht="15" customHeight="1" x14ac:dyDescent="0.25">
      <c r="A3420" t="str">
        <f>MID(TB_CECO[[#This Row],[CECO_T]],1,5)</f>
        <v>3L52D</v>
      </c>
      <c r="B3420" t="str">
        <f>MID(TB_CECO[[#This Row],[TRABAJO]],1,SEARCH(",",TB_CECO[[#This Row],[TRABAJO]],1)-1)</f>
        <v>Snv 030 SW (Est 030 SW)</v>
      </c>
      <c r="C34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030 SW (Est 030 SW),VOLADURA</v>
      </c>
      <c r="D34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20" s="47" t="s">
        <v>6764</v>
      </c>
      <c r="G3420" t="s">
        <v>6765</v>
      </c>
      <c r="H34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21" spans="1:8" ht="15" customHeight="1" x14ac:dyDescent="0.25">
      <c r="A3421" t="str">
        <f>MID(TB_CECO[[#This Row],[CECO_T]],1,5)</f>
        <v>3L52L</v>
      </c>
      <c r="B3421" t="str">
        <f>MID(TB_CECO[[#This Row],[TRABAJO]],1,SEARCH(",",TB_CECO[[#This Row],[TRABAJO]],1)-1)</f>
        <v>Snv 024 SW (Tj 029 SW)</v>
      </c>
      <c r="C34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024 SW (Tj 029 SW),LIMPIEZA</v>
      </c>
      <c r="D34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21" s="47" t="s">
        <v>6766</v>
      </c>
      <c r="G3421" t="s">
        <v>6767</v>
      </c>
      <c r="H34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22" spans="1:8" ht="15" customHeight="1" x14ac:dyDescent="0.25">
      <c r="A3422" t="str">
        <f>MID(TB_CECO[[#This Row],[CECO_T]],1,5)</f>
        <v>3L52L</v>
      </c>
      <c r="B3422" t="str">
        <f>MID(TB_CECO[[#This Row],[TRABAJO]],1,SEARCH(",",TB_CECO[[#This Row],[TRABAJO]],1)-1)</f>
        <v>Snv 024 SW (Tj 029 SW)</v>
      </c>
      <c r="C34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024 SW (Tj 029 SW),SERVICIO</v>
      </c>
      <c r="D34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22" s="47" t="s">
        <v>6768</v>
      </c>
      <c r="G3422" t="s">
        <v>6769</v>
      </c>
      <c r="H34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23" spans="1:8" ht="15" customHeight="1" x14ac:dyDescent="0.25">
      <c r="A3423" t="str">
        <f>MID(TB_CECO[[#This Row],[CECO_T]],1,5)</f>
        <v>3L52L</v>
      </c>
      <c r="B3423" t="str">
        <f>MID(TB_CECO[[#This Row],[TRABAJO]],1,SEARCH(",",TB_CECO[[#This Row],[TRABAJO]],1)-1)</f>
        <v>Snv 024 SW (Tj 029 SW)</v>
      </c>
      <c r="C34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024 SW (Tj 029 SW),PERFORACION</v>
      </c>
      <c r="D34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23" s="47" t="s">
        <v>6770</v>
      </c>
      <c r="G3423" t="s">
        <v>6771</v>
      </c>
      <c r="H34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24" spans="1:8" ht="15" customHeight="1" x14ac:dyDescent="0.25">
      <c r="A3424" t="str">
        <f>MID(TB_CECO[[#This Row],[CECO_T]],1,5)</f>
        <v>3L52L</v>
      </c>
      <c r="B3424" t="str">
        <f>MID(TB_CECO[[#This Row],[TRABAJO]],1,SEARCH(",",TB_CECO[[#This Row],[TRABAJO]],1)-1)</f>
        <v>Snv 024 SW (Tj 029 SW)</v>
      </c>
      <c r="C34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024 SW (Tj 029 SW),SOSTENIMIENTO</v>
      </c>
      <c r="D34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24" s="47" t="s">
        <v>6772</v>
      </c>
      <c r="G3424" t="s">
        <v>6773</v>
      </c>
      <c r="H34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25" spans="1:8" ht="15" customHeight="1" x14ac:dyDescent="0.25">
      <c r="A3425" t="str">
        <f>MID(TB_CECO[[#This Row],[CECO_T]],1,5)</f>
        <v>3L52L</v>
      </c>
      <c r="B3425" t="str">
        <f>MID(TB_CECO[[#This Row],[TRABAJO]],1,SEARCH(",",TB_CECO[[#This Row],[TRABAJO]],1)-1)</f>
        <v>Snv 024 SW (Tj 029 SW)</v>
      </c>
      <c r="C34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024 SW (Tj 029 SW),VOLADURA</v>
      </c>
      <c r="D34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25" s="47" t="s">
        <v>6774</v>
      </c>
      <c r="G3425" t="s">
        <v>6775</v>
      </c>
      <c r="H34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26" spans="1:8" ht="15" customHeight="1" x14ac:dyDescent="0.25">
      <c r="A3426" t="str">
        <f>MID(TB_CECO[[#This Row],[CECO_T]],1,5)</f>
        <v>3L52M</v>
      </c>
      <c r="B3426" t="str">
        <f>MID(TB_CECO[[#This Row],[TRABAJO]],1,SEARCH(",",TB_CECO[[#This Row],[TRABAJO]],1)-1)</f>
        <v>Snv 010 SW (Tj 030 NE)</v>
      </c>
      <c r="C34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SW (Tj 030 NE),LIMPIEZA</v>
      </c>
      <c r="D34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26" s="47" t="s">
        <v>6776</v>
      </c>
      <c r="G3426" t="s">
        <v>6777</v>
      </c>
      <c r="H34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27" spans="1:8" ht="15" customHeight="1" x14ac:dyDescent="0.25">
      <c r="A3427" t="str">
        <f>MID(TB_CECO[[#This Row],[CECO_T]],1,5)</f>
        <v>3L52M</v>
      </c>
      <c r="B3427" t="str">
        <f>MID(TB_CECO[[#This Row],[TRABAJO]],1,SEARCH(",",TB_CECO[[#This Row],[TRABAJO]],1)-1)</f>
        <v>Snv 010 SW (Tj 030 NE)</v>
      </c>
      <c r="C34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SW (Tj 030 NE),SERVICIO</v>
      </c>
      <c r="D34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27" s="47" t="s">
        <v>6778</v>
      </c>
      <c r="G3427" t="s">
        <v>6779</v>
      </c>
      <c r="H34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28" spans="1:8" ht="15" customHeight="1" x14ac:dyDescent="0.25">
      <c r="A3428" t="str">
        <f>MID(TB_CECO[[#This Row],[CECO_T]],1,5)</f>
        <v>3L52M</v>
      </c>
      <c r="B3428" t="str">
        <f>MID(TB_CECO[[#This Row],[TRABAJO]],1,SEARCH(",",TB_CECO[[#This Row],[TRABAJO]],1)-1)</f>
        <v>Snv 010 SW (Tj 030 NE)</v>
      </c>
      <c r="C34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SW (Tj 030 NE),PERFORACION</v>
      </c>
      <c r="D34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28" s="47" t="s">
        <v>6780</v>
      </c>
      <c r="G3428" t="s">
        <v>6781</v>
      </c>
      <c r="H34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29" spans="1:8" ht="15" customHeight="1" x14ac:dyDescent="0.25">
      <c r="A3429" t="str">
        <f>MID(TB_CECO[[#This Row],[CECO_T]],1,5)</f>
        <v>3L52M</v>
      </c>
      <c r="B3429" t="str">
        <f>MID(TB_CECO[[#This Row],[TRABAJO]],1,SEARCH(",",TB_CECO[[#This Row],[TRABAJO]],1)-1)</f>
        <v>Snv 010 SW (Tj 030 NE)</v>
      </c>
      <c r="C34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SW (Tj 030 NE),SOSTENIMIENTO</v>
      </c>
      <c r="D34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29" s="47" t="s">
        <v>6782</v>
      </c>
      <c r="G3429" t="s">
        <v>6783</v>
      </c>
      <c r="H34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30" spans="1:8" ht="15" customHeight="1" x14ac:dyDescent="0.25">
      <c r="A3430" t="str">
        <f>MID(TB_CECO[[#This Row],[CECO_T]],1,5)</f>
        <v>3L52M</v>
      </c>
      <c r="B3430" t="str">
        <f>MID(TB_CECO[[#This Row],[TRABAJO]],1,SEARCH(",",TB_CECO[[#This Row],[TRABAJO]],1)-1)</f>
        <v>Snv 010 SW (Tj 030 NE)</v>
      </c>
      <c r="C34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SW (Tj 030 NE),VOLADURA</v>
      </c>
      <c r="D34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30" s="47" t="s">
        <v>6784</v>
      </c>
      <c r="G3430" t="s">
        <v>6785</v>
      </c>
      <c r="H34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31" spans="1:8" ht="15" customHeight="1" x14ac:dyDescent="0.25">
      <c r="A3431" t="str">
        <f>MID(TB_CECO[[#This Row],[CECO_T]],1,5)</f>
        <v>3L52O</v>
      </c>
      <c r="B3431" t="str">
        <f>MID(TB_CECO[[#This Row],[TRABAJO]],1,SEARCH(",",TB_CECO[[#This Row],[TRABAJO]],1)-1)</f>
        <v>Snv 010 NE (Tj 030 SW)</v>
      </c>
      <c r="C34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NE (Tj 030 SW),LIMPIEZA</v>
      </c>
      <c r="D34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31" s="47" t="s">
        <v>6786</v>
      </c>
      <c r="G3431" t="s">
        <v>6787</v>
      </c>
      <c r="H34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32" spans="1:8" ht="15" customHeight="1" x14ac:dyDescent="0.25">
      <c r="A3432" t="str">
        <f>MID(TB_CECO[[#This Row],[CECO_T]],1,5)</f>
        <v>3L52O</v>
      </c>
      <c r="B3432" t="str">
        <f>MID(TB_CECO[[#This Row],[TRABAJO]],1,SEARCH(",",TB_CECO[[#This Row],[TRABAJO]],1)-1)</f>
        <v>Snv 010 NE (Tj 030 SW)</v>
      </c>
      <c r="C34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NE (Tj 030 SW),SERVICIO</v>
      </c>
      <c r="D34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32" s="47" t="s">
        <v>6788</v>
      </c>
      <c r="G3432" t="s">
        <v>6789</v>
      </c>
      <c r="H34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33" spans="1:8" ht="15" customHeight="1" x14ac:dyDescent="0.25">
      <c r="A3433" t="str">
        <f>MID(TB_CECO[[#This Row],[CECO_T]],1,5)</f>
        <v>3L52O</v>
      </c>
      <c r="B3433" t="str">
        <f>MID(TB_CECO[[#This Row],[TRABAJO]],1,SEARCH(",",TB_CECO[[#This Row],[TRABAJO]],1)-1)</f>
        <v>Snv 010 NE (Tj 030 SW)</v>
      </c>
      <c r="C34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NE (Tj 030 SW),PERFORACION</v>
      </c>
      <c r="D34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33" s="47" t="s">
        <v>6790</v>
      </c>
      <c r="G3433" t="s">
        <v>6791</v>
      </c>
      <c r="H34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34" spans="1:8" ht="15" customHeight="1" x14ac:dyDescent="0.25">
      <c r="A3434" t="str">
        <f>MID(TB_CECO[[#This Row],[CECO_T]],1,5)</f>
        <v>3L52O</v>
      </c>
      <c r="B3434" t="str">
        <f>MID(TB_CECO[[#This Row],[TRABAJO]],1,SEARCH(",",TB_CECO[[#This Row],[TRABAJO]],1)-1)</f>
        <v>Snv 010 NE (Tj 030 SW)</v>
      </c>
      <c r="C34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NE (Tj 030 SW),SOSTENIMIENTO</v>
      </c>
      <c r="D34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34" s="47" t="s">
        <v>6792</v>
      </c>
      <c r="G3434" t="s">
        <v>6793</v>
      </c>
      <c r="H34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35" spans="1:8" ht="15" customHeight="1" x14ac:dyDescent="0.25">
      <c r="A3435" t="str">
        <f>MID(TB_CECO[[#This Row],[CECO_T]],1,5)</f>
        <v>3L52O</v>
      </c>
      <c r="B3435" t="str">
        <f>MID(TB_CECO[[#This Row],[TRABAJO]],1,SEARCH(",",TB_CECO[[#This Row],[TRABAJO]],1)-1)</f>
        <v>Snv 010 NE (Tj 030 SW)</v>
      </c>
      <c r="C34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010 NE (Tj 030 SW),VOLADURA</v>
      </c>
      <c r="D34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35" s="47" t="s">
        <v>6794</v>
      </c>
      <c r="G3435" t="s">
        <v>6795</v>
      </c>
      <c r="H34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36" spans="1:8" ht="15" customHeight="1" x14ac:dyDescent="0.25">
      <c r="A3436" t="str">
        <f>MID(TB_CECO[[#This Row],[CECO_T]],1,5)</f>
        <v>3L52U</v>
      </c>
      <c r="B3436" t="str">
        <f>MID(TB_CECO[[#This Row],[TRABAJO]],1,SEARCH(",",TB_CECO[[#This Row],[TRABAJO]],1)-1)</f>
        <v>Snv 017 SW (Tj 030 NE)</v>
      </c>
      <c r="C34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017 SW (Tj 030 NE),LIMPIEZA</v>
      </c>
      <c r="D34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36" s="47" t="s">
        <v>6796</v>
      </c>
      <c r="G3436" t="s">
        <v>6797</v>
      </c>
      <c r="H34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37" spans="1:8" ht="15" customHeight="1" x14ac:dyDescent="0.25">
      <c r="A3437" t="str">
        <f>MID(TB_CECO[[#This Row],[CECO_T]],1,5)</f>
        <v>3L52U</v>
      </c>
      <c r="B3437" t="str">
        <f>MID(TB_CECO[[#This Row],[TRABAJO]],1,SEARCH(",",TB_CECO[[#This Row],[TRABAJO]],1)-1)</f>
        <v>Snv 017 SW (Tj 030 NE)</v>
      </c>
      <c r="C34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017 SW (Tj 030 NE),SERVICIO</v>
      </c>
      <c r="D34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37" s="47" t="s">
        <v>6798</v>
      </c>
      <c r="G3437" t="s">
        <v>6799</v>
      </c>
      <c r="H34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38" spans="1:8" ht="15" customHeight="1" x14ac:dyDescent="0.25">
      <c r="A3438" t="str">
        <f>MID(TB_CECO[[#This Row],[CECO_T]],1,5)</f>
        <v>3L52U</v>
      </c>
      <c r="B3438" t="str">
        <f>MID(TB_CECO[[#This Row],[TRABAJO]],1,SEARCH(",",TB_CECO[[#This Row],[TRABAJO]],1)-1)</f>
        <v>Snv 017 SW (Tj 030 NE)</v>
      </c>
      <c r="C34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017 SW (Tj 030 NE),PERFORACION</v>
      </c>
      <c r="D34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38" s="47" t="s">
        <v>6800</v>
      </c>
      <c r="G3438" t="s">
        <v>6801</v>
      </c>
      <c r="H34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39" spans="1:8" ht="15" customHeight="1" x14ac:dyDescent="0.25">
      <c r="A3439" t="str">
        <f>MID(TB_CECO[[#This Row],[CECO_T]],1,5)</f>
        <v>3L52U</v>
      </c>
      <c r="B3439" t="str">
        <f>MID(TB_CECO[[#This Row],[TRABAJO]],1,SEARCH(",",TB_CECO[[#This Row],[TRABAJO]],1)-1)</f>
        <v>Snv 017 SW (Tj 030 NE)</v>
      </c>
      <c r="C34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017 SW (Tj 030 NE),SOSTENIMIENTO</v>
      </c>
      <c r="D34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39" s="47" t="s">
        <v>6802</v>
      </c>
      <c r="G3439" t="s">
        <v>6803</v>
      </c>
      <c r="H34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40" spans="1:8" ht="15" customHeight="1" x14ac:dyDescent="0.25">
      <c r="A3440" t="str">
        <f>MID(TB_CECO[[#This Row],[CECO_T]],1,5)</f>
        <v>3L52U</v>
      </c>
      <c r="B3440" t="str">
        <f>MID(TB_CECO[[#This Row],[TRABAJO]],1,SEARCH(",",TB_CECO[[#This Row],[TRABAJO]],1)-1)</f>
        <v>Snv 017 SW (Tj 030 NE)</v>
      </c>
      <c r="C34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017 SW (Tj 030 NE),VOLADURA</v>
      </c>
      <c r="D34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40" s="47" t="s">
        <v>6804</v>
      </c>
      <c r="G3440" t="s">
        <v>6805</v>
      </c>
      <c r="H34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41" spans="1:8" ht="15" customHeight="1" x14ac:dyDescent="0.25">
      <c r="A3441" t="str">
        <f>MID(TB_CECO[[#This Row],[CECO_T]],1,5)</f>
        <v>3L53F</v>
      </c>
      <c r="B3441" t="str">
        <f>MID(TB_CECO[[#This Row],[TRABAJO]],1,SEARCH(",",TB_CECO[[#This Row],[TRABAJO]],1)-1)</f>
        <v>Snv 145 SW (Cx 171 NW)</v>
      </c>
      <c r="C34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SW (Cx 171 NW),LIMPIEZA</v>
      </c>
      <c r="D34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41" s="47" t="s">
        <v>6806</v>
      </c>
      <c r="G3441" t="s">
        <v>6807</v>
      </c>
      <c r="H34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42" spans="1:8" ht="15" customHeight="1" x14ac:dyDescent="0.25">
      <c r="A3442" t="str">
        <f>MID(TB_CECO[[#This Row],[CECO_T]],1,5)</f>
        <v>3L53F</v>
      </c>
      <c r="B3442" t="str">
        <f>MID(TB_CECO[[#This Row],[TRABAJO]],1,SEARCH(",",TB_CECO[[#This Row],[TRABAJO]],1)-1)</f>
        <v>Snv 145 SW (Cx 171 NW)</v>
      </c>
      <c r="C34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SW (Cx 171 NW),SERVICIO</v>
      </c>
      <c r="D34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42" s="47" t="s">
        <v>6808</v>
      </c>
      <c r="G3442" t="s">
        <v>6809</v>
      </c>
      <c r="H34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43" spans="1:8" ht="15" customHeight="1" x14ac:dyDescent="0.25">
      <c r="A3443" t="str">
        <f>MID(TB_CECO[[#This Row],[CECO_T]],1,5)</f>
        <v>3L53F</v>
      </c>
      <c r="B3443" t="str">
        <f>MID(TB_CECO[[#This Row],[TRABAJO]],1,SEARCH(",",TB_CECO[[#This Row],[TRABAJO]],1)-1)</f>
        <v>Snv 145 SW (Cx 171 NW)</v>
      </c>
      <c r="C34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SW (Cx 171 NW),PERFORACION</v>
      </c>
      <c r="D34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43" s="47" t="s">
        <v>6810</v>
      </c>
      <c r="G3443" t="s">
        <v>6811</v>
      </c>
      <c r="H34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44" spans="1:8" ht="15" customHeight="1" x14ac:dyDescent="0.25">
      <c r="A3444" t="str">
        <f>MID(TB_CECO[[#This Row],[CECO_T]],1,5)</f>
        <v>3L53F</v>
      </c>
      <c r="B3444" t="str">
        <f>MID(TB_CECO[[#This Row],[TRABAJO]],1,SEARCH(",",TB_CECO[[#This Row],[TRABAJO]],1)-1)</f>
        <v>Snv 145 SW (Cx 171 NW)</v>
      </c>
      <c r="C34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SW (Cx 171 NW),SOSTENIMIENTO</v>
      </c>
      <c r="D34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44" s="47" t="s">
        <v>6812</v>
      </c>
      <c r="G3444" t="s">
        <v>6813</v>
      </c>
      <c r="H34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45" spans="1:8" ht="15" customHeight="1" x14ac:dyDescent="0.25">
      <c r="A3445" t="str">
        <f>MID(TB_CECO[[#This Row],[CECO_T]],1,5)</f>
        <v>3L53F</v>
      </c>
      <c r="B3445" t="str">
        <f>MID(TB_CECO[[#This Row],[TRABAJO]],1,SEARCH(",",TB_CECO[[#This Row],[TRABAJO]],1)-1)</f>
        <v>Snv 145 SW (Cx 171 NW)</v>
      </c>
      <c r="C34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SW (Cx 171 NW),VOLADURA</v>
      </c>
      <c r="D34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45" s="47" t="s">
        <v>6814</v>
      </c>
      <c r="G3445" t="s">
        <v>6815</v>
      </c>
      <c r="H34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46" spans="1:8" ht="15" customHeight="1" x14ac:dyDescent="0.25">
      <c r="A3446" t="str">
        <f>MID(TB_CECO[[#This Row],[CECO_T]],1,5)</f>
        <v>3L53G</v>
      </c>
      <c r="B3446" t="str">
        <f>MID(TB_CECO[[#This Row],[TRABAJO]],1,SEARCH(",",TB_CECO[[#This Row],[TRABAJO]],1)-1)</f>
        <v>Snv 145 NE (Cx 171 NW)</v>
      </c>
      <c r="C34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 (Cx 171 NW),LIMPIEZA</v>
      </c>
      <c r="D34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46" s="47" t="s">
        <v>6816</v>
      </c>
      <c r="G3446" t="s">
        <v>6817</v>
      </c>
      <c r="H34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47" spans="1:8" ht="15" customHeight="1" x14ac:dyDescent="0.25">
      <c r="A3447" t="str">
        <f>MID(TB_CECO[[#This Row],[CECO_T]],1,5)</f>
        <v>3L53G</v>
      </c>
      <c r="B3447" t="str">
        <f>MID(TB_CECO[[#This Row],[TRABAJO]],1,SEARCH(",",TB_CECO[[#This Row],[TRABAJO]],1)-1)</f>
        <v>Snv 145 NE (Cx 171 NW)</v>
      </c>
      <c r="C34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 (Cx 171 NW),SERVICIO</v>
      </c>
      <c r="D34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47" s="47" t="s">
        <v>6818</v>
      </c>
      <c r="G3447" t="s">
        <v>6819</v>
      </c>
      <c r="H34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48" spans="1:8" ht="15" customHeight="1" x14ac:dyDescent="0.25">
      <c r="A3448" t="str">
        <f>MID(TB_CECO[[#This Row],[CECO_T]],1,5)</f>
        <v>3L53G</v>
      </c>
      <c r="B3448" t="str">
        <f>MID(TB_CECO[[#This Row],[TRABAJO]],1,SEARCH(",",TB_CECO[[#This Row],[TRABAJO]],1)-1)</f>
        <v>Snv 145 NE (Cx 171 NW)</v>
      </c>
      <c r="C34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 (Cx 171 NW),PERFORACION</v>
      </c>
      <c r="D34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48" s="47" t="s">
        <v>6820</v>
      </c>
      <c r="G3448" t="s">
        <v>6821</v>
      </c>
      <c r="H34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49" spans="1:8" ht="15" customHeight="1" x14ac:dyDescent="0.25">
      <c r="A3449" t="str">
        <f>MID(TB_CECO[[#This Row],[CECO_T]],1,5)</f>
        <v>3L53G</v>
      </c>
      <c r="B3449" t="str">
        <f>MID(TB_CECO[[#This Row],[TRABAJO]],1,SEARCH(",",TB_CECO[[#This Row],[TRABAJO]],1)-1)</f>
        <v>Snv 145 NE (Cx 171 NW)</v>
      </c>
      <c r="C34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 (Cx 171 NW),SOSTENIMIENTO</v>
      </c>
      <c r="D34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49" s="47" t="s">
        <v>6822</v>
      </c>
      <c r="G3449" t="s">
        <v>6823</v>
      </c>
      <c r="H34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50" spans="1:8" ht="15" customHeight="1" x14ac:dyDescent="0.25">
      <c r="A3450" t="str">
        <f>MID(TB_CECO[[#This Row],[CECO_T]],1,5)</f>
        <v>3L53G</v>
      </c>
      <c r="B3450" t="str">
        <f>MID(TB_CECO[[#This Row],[TRABAJO]],1,SEARCH(",",TB_CECO[[#This Row],[TRABAJO]],1)-1)</f>
        <v>Snv 145 NE (Cx 171 NW)</v>
      </c>
      <c r="C34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 (Cx 171 NW),VOLADURA</v>
      </c>
      <c r="D34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50" s="47" t="s">
        <v>6824</v>
      </c>
      <c r="G3450" t="s">
        <v>6825</v>
      </c>
      <c r="H34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51" spans="1:8" ht="15" customHeight="1" x14ac:dyDescent="0.25">
      <c r="A3451" t="str">
        <f>MID(TB_CECO[[#This Row],[CECO_T]],1,5)</f>
        <v>3L53H</v>
      </c>
      <c r="B3451" t="str">
        <f>MID(TB_CECO[[#This Row],[TRABAJO]],1,SEARCH(",",TB_CECO[[#This Row],[TRABAJO]],1)-1)</f>
        <v>Snv 140 NE (Cx 171 NW)</v>
      </c>
      <c r="C34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 NE (Cx 171 NW),LIMPIEZA</v>
      </c>
      <c r="D34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51" s="47" t="s">
        <v>6826</v>
      </c>
      <c r="G3451" t="s">
        <v>6827</v>
      </c>
      <c r="H34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52" spans="1:8" ht="15" customHeight="1" x14ac:dyDescent="0.25">
      <c r="A3452" t="str">
        <f>MID(TB_CECO[[#This Row],[CECO_T]],1,5)</f>
        <v>3L53H</v>
      </c>
      <c r="B3452" t="str">
        <f>MID(TB_CECO[[#This Row],[TRABAJO]],1,SEARCH(",",TB_CECO[[#This Row],[TRABAJO]],1)-1)</f>
        <v>Snv 140 NE (Cx 171 NW)</v>
      </c>
      <c r="C34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 NE (Cx 171 NW),SERVICIO</v>
      </c>
      <c r="D34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52" s="47" t="s">
        <v>6828</v>
      </c>
      <c r="G3452" t="s">
        <v>6829</v>
      </c>
      <c r="H34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53" spans="1:8" ht="15" customHeight="1" x14ac:dyDescent="0.25">
      <c r="A3453" t="str">
        <f>MID(TB_CECO[[#This Row],[CECO_T]],1,5)</f>
        <v>3L53H</v>
      </c>
      <c r="B3453" t="str">
        <f>MID(TB_CECO[[#This Row],[TRABAJO]],1,SEARCH(",",TB_CECO[[#This Row],[TRABAJO]],1)-1)</f>
        <v>Snv 140 NE (Cx 171 NW)</v>
      </c>
      <c r="C34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 NE (Cx 171 NW),PERFORACION</v>
      </c>
      <c r="D34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53" s="47" t="s">
        <v>6830</v>
      </c>
      <c r="G3453" t="s">
        <v>6831</v>
      </c>
      <c r="H34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54" spans="1:8" ht="15" customHeight="1" x14ac:dyDescent="0.25">
      <c r="A3454" t="str">
        <f>MID(TB_CECO[[#This Row],[CECO_T]],1,5)</f>
        <v>3L53H</v>
      </c>
      <c r="B3454" t="str">
        <f>MID(TB_CECO[[#This Row],[TRABAJO]],1,SEARCH(",",TB_CECO[[#This Row],[TRABAJO]],1)-1)</f>
        <v>Snv 140 NE (Cx 171 NW)</v>
      </c>
      <c r="C34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 NE (Cx 171 NW),SOSTENIMIENTO</v>
      </c>
      <c r="D34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54" s="47" t="s">
        <v>6832</v>
      </c>
      <c r="G3454" t="s">
        <v>6833</v>
      </c>
      <c r="H34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55" spans="1:8" ht="15" customHeight="1" x14ac:dyDescent="0.25">
      <c r="A3455" t="str">
        <f>MID(TB_CECO[[#This Row],[CECO_T]],1,5)</f>
        <v>3L53H</v>
      </c>
      <c r="B3455" t="str">
        <f>MID(TB_CECO[[#This Row],[TRABAJO]],1,SEARCH(",",TB_CECO[[#This Row],[TRABAJO]],1)-1)</f>
        <v>Snv 140 NE (Cx 171 NW)</v>
      </c>
      <c r="C34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 NE (Cx 171 NW),VOLADURA</v>
      </c>
      <c r="D34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55" s="47" t="s">
        <v>6834</v>
      </c>
      <c r="G3455" t="s">
        <v>6835</v>
      </c>
      <c r="H34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56" spans="1:8" ht="15" customHeight="1" x14ac:dyDescent="0.25">
      <c r="A3456" t="str">
        <f>MID(TB_CECO[[#This Row],[CECO_T]],1,5)</f>
        <v>3L53I</v>
      </c>
      <c r="B3456" t="str">
        <f>MID(TB_CECO[[#This Row],[TRABAJO]],1,SEARCH(",",TB_CECO[[#This Row],[TRABAJO]],1)-1)</f>
        <v>Snv 140 SW (Cx 171 NW)</v>
      </c>
      <c r="C34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 SW (Cx 171 NW),LIMPIEZA</v>
      </c>
      <c r="D34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56" s="47" t="s">
        <v>6836</v>
      </c>
      <c r="G3456" t="s">
        <v>6837</v>
      </c>
      <c r="H34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57" spans="1:8" ht="15" customHeight="1" x14ac:dyDescent="0.25">
      <c r="A3457" t="str">
        <f>MID(TB_CECO[[#This Row],[CECO_T]],1,5)</f>
        <v>3L53I</v>
      </c>
      <c r="B3457" t="str">
        <f>MID(TB_CECO[[#This Row],[TRABAJO]],1,SEARCH(",",TB_CECO[[#This Row],[TRABAJO]],1)-1)</f>
        <v>Snv 140 SW (Cx 171 NW)</v>
      </c>
      <c r="C34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 SW (Cx 171 NW),SERVICIO</v>
      </c>
      <c r="D34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57" s="47" t="s">
        <v>6838</v>
      </c>
      <c r="G3457" t="s">
        <v>6839</v>
      </c>
      <c r="H34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58" spans="1:8" ht="15" customHeight="1" x14ac:dyDescent="0.25">
      <c r="A3458" t="str">
        <f>MID(TB_CECO[[#This Row],[CECO_T]],1,5)</f>
        <v>3L53I</v>
      </c>
      <c r="B3458" t="str">
        <f>MID(TB_CECO[[#This Row],[TRABAJO]],1,SEARCH(",",TB_CECO[[#This Row],[TRABAJO]],1)-1)</f>
        <v>Snv 140 SW (Cx 171 NW)</v>
      </c>
      <c r="C34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 SW (Cx 171 NW),PERFORACION</v>
      </c>
      <c r="D34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58" s="47" t="s">
        <v>6840</v>
      </c>
      <c r="G3458" t="s">
        <v>6841</v>
      </c>
      <c r="H34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59" spans="1:8" ht="15" customHeight="1" x14ac:dyDescent="0.25">
      <c r="A3459" t="str">
        <f>MID(TB_CECO[[#This Row],[CECO_T]],1,5)</f>
        <v>3L53I</v>
      </c>
      <c r="B3459" t="str">
        <f>MID(TB_CECO[[#This Row],[TRABAJO]],1,SEARCH(",",TB_CECO[[#This Row],[TRABAJO]],1)-1)</f>
        <v>Snv 140 SW (Cx 171 NW)</v>
      </c>
      <c r="C34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 SW (Cx 171 NW),SOSTENIMIENTO</v>
      </c>
      <c r="D34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59" s="47" t="s">
        <v>6842</v>
      </c>
      <c r="G3459" t="s">
        <v>6843</v>
      </c>
      <c r="H34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60" spans="1:8" ht="15" customHeight="1" x14ac:dyDescent="0.25">
      <c r="A3460" t="str">
        <f>MID(TB_CECO[[#This Row],[CECO_T]],1,5)</f>
        <v>3L53I</v>
      </c>
      <c r="B3460" t="str">
        <f>MID(TB_CECO[[#This Row],[TRABAJO]],1,SEARCH(",",TB_CECO[[#This Row],[TRABAJO]],1)-1)</f>
        <v>Snv 140 SW (Cx 171 NW)</v>
      </c>
      <c r="C34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140 SW (Cx 171 NW),VOLADURA</v>
      </c>
      <c r="D34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60" s="47" t="s">
        <v>6844</v>
      </c>
      <c r="G3460" t="s">
        <v>6845</v>
      </c>
      <c r="H34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61" spans="1:8" ht="15" customHeight="1" x14ac:dyDescent="0.25">
      <c r="A3461" t="str">
        <f>MID(TB_CECO[[#This Row],[CECO_T]],1,5)</f>
        <v>3L53J</v>
      </c>
      <c r="B3461" t="str">
        <f>MID(TB_CECO[[#This Row],[TRABAJO]],1,SEARCH(",",TB_CECO[[#This Row],[TRABAJO]],1)-1)</f>
        <v>Snv 002 SW (Pq 228)</v>
      </c>
      <c r="C34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002 SW (Pq 228),LIMPIEZA</v>
      </c>
      <c r="D34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61" s="47" t="s">
        <v>6846</v>
      </c>
      <c r="G3461" t="s">
        <v>6847</v>
      </c>
      <c r="H34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62" spans="1:8" ht="15" customHeight="1" x14ac:dyDescent="0.25">
      <c r="A3462" t="str">
        <f>MID(TB_CECO[[#This Row],[CECO_T]],1,5)</f>
        <v>3L53J</v>
      </c>
      <c r="B3462" t="str">
        <f>MID(TB_CECO[[#This Row],[TRABAJO]],1,SEARCH(",",TB_CECO[[#This Row],[TRABAJO]],1)-1)</f>
        <v>Snv 002 SW (Pq 228)</v>
      </c>
      <c r="C34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002 SW (Pq 228),SERVICIO</v>
      </c>
      <c r="D34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62" s="47" t="s">
        <v>6848</v>
      </c>
      <c r="G3462" t="s">
        <v>6849</v>
      </c>
      <c r="H34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63" spans="1:8" ht="15" customHeight="1" x14ac:dyDescent="0.25">
      <c r="A3463" t="str">
        <f>MID(TB_CECO[[#This Row],[CECO_T]],1,5)</f>
        <v>3L53J</v>
      </c>
      <c r="B3463" t="str">
        <f>MID(TB_CECO[[#This Row],[TRABAJO]],1,SEARCH(",",TB_CECO[[#This Row],[TRABAJO]],1)-1)</f>
        <v>Snv 002 SW (Pq 228)</v>
      </c>
      <c r="C34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002 SW (Pq 228),PERFORACION</v>
      </c>
      <c r="D34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63" s="47" t="s">
        <v>6850</v>
      </c>
      <c r="G3463" t="s">
        <v>6851</v>
      </c>
      <c r="H34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64" spans="1:8" ht="15" customHeight="1" x14ac:dyDescent="0.25">
      <c r="A3464" t="str">
        <f>MID(TB_CECO[[#This Row],[CECO_T]],1,5)</f>
        <v>3L53J</v>
      </c>
      <c r="B3464" t="str">
        <f>MID(TB_CECO[[#This Row],[TRABAJO]],1,SEARCH(",",TB_CECO[[#This Row],[TRABAJO]],1)-1)</f>
        <v>Snv 002 SW (Pq 228)</v>
      </c>
      <c r="C34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002 SW (Pq 228),SOSTENIMIENTO</v>
      </c>
      <c r="D34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64" s="47" t="s">
        <v>6852</v>
      </c>
      <c r="G3464" t="s">
        <v>6853</v>
      </c>
      <c r="H34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65" spans="1:8" ht="15" customHeight="1" x14ac:dyDescent="0.25">
      <c r="A3465" t="str">
        <f>MID(TB_CECO[[#This Row],[CECO_T]],1,5)</f>
        <v>3L53J</v>
      </c>
      <c r="B3465" t="str">
        <f>MID(TB_CECO[[#This Row],[TRABAJO]],1,SEARCH(",",TB_CECO[[#This Row],[TRABAJO]],1)-1)</f>
        <v>Snv 002 SW (Pq 228)</v>
      </c>
      <c r="C34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002 SW (Pq 228),VOLADURA</v>
      </c>
      <c r="D34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65" s="47" t="s">
        <v>6854</v>
      </c>
      <c r="G3465" t="s">
        <v>6855</v>
      </c>
      <c r="H34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66" spans="1:8" ht="15" customHeight="1" x14ac:dyDescent="0.25">
      <c r="A3466" t="str">
        <f>MID(TB_CECO[[#This Row],[CECO_T]],1,5)</f>
        <v>3L53K</v>
      </c>
      <c r="B3466" t="str">
        <f>MID(TB_CECO[[#This Row],[TRABAJO]],1,SEARCH(",",TB_CECO[[#This Row],[TRABAJO]],1)-1)</f>
        <v>Snv 002 NE (Pq 228)</v>
      </c>
      <c r="C34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002 NE (Pq 228),LIMPIEZA</v>
      </c>
      <c r="D34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66" s="47" t="s">
        <v>6856</v>
      </c>
      <c r="G3466" t="s">
        <v>6857</v>
      </c>
      <c r="H34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67" spans="1:8" ht="15" customHeight="1" x14ac:dyDescent="0.25">
      <c r="A3467" t="str">
        <f>MID(TB_CECO[[#This Row],[CECO_T]],1,5)</f>
        <v>3L53K</v>
      </c>
      <c r="B3467" t="str">
        <f>MID(TB_CECO[[#This Row],[TRABAJO]],1,SEARCH(",",TB_CECO[[#This Row],[TRABAJO]],1)-1)</f>
        <v>Snv 002 NE (Pq 228)</v>
      </c>
      <c r="C34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002 NE (Pq 228),SERVICIO</v>
      </c>
      <c r="D34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67" s="47" t="s">
        <v>6858</v>
      </c>
      <c r="G3467" t="s">
        <v>6859</v>
      </c>
      <c r="H34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68" spans="1:8" ht="15" customHeight="1" x14ac:dyDescent="0.25">
      <c r="A3468" t="str">
        <f>MID(TB_CECO[[#This Row],[CECO_T]],1,5)</f>
        <v>3L53K</v>
      </c>
      <c r="B3468" t="str">
        <f>MID(TB_CECO[[#This Row],[TRABAJO]],1,SEARCH(",",TB_CECO[[#This Row],[TRABAJO]],1)-1)</f>
        <v>Snv 002 NE (Pq 228)</v>
      </c>
      <c r="C34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002 NE (Pq 228),PERFORACION</v>
      </c>
      <c r="D34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68" s="47" t="s">
        <v>6860</v>
      </c>
      <c r="G3468" t="s">
        <v>6861</v>
      </c>
      <c r="H34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69" spans="1:8" ht="15" customHeight="1" x14ac:dyDescent="0.25">
      <c r="A3469" t="str">
        <f>MID(TB_CECO[[#This Row],[CECO_T]],1,5)</f>
        <v>3L53K</v>
      </c>
      <c r="B3469" t="str">
        <f>MID(TB_CECO[[#This Row],[TRABAJO]],1,SEARCH(",",TB_CECO[[#This Row],[TRABAJO]],1)-1)</f>
        <v>Snv 002 NE (Pq 228)</v>
      </c>
      <c r="C34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002 NE (Pq 228),SOSTENIMIENTO</v>
      </c>
      <c r="D34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69" s="47" t="s">
        <v>6862</v>
      </c>
      <c r="G3469" t="s">
        <v>6863</v>
      </c>
      <c r="H34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70" spans="1:8" ht="15" customHeight="1" x14ac:dyDescent="0.25">
      <c r="A3470" t="str">
        <f>MID(TB_CECO[[#This Row],[CECO_T]],1,5)</f>
        <v>3L53K</v>
      </c>
      <c r="B3470" t="str">
        <f>MID(TB_CECO[[#This Row],[TRABAJO]],1,SEARCH(",",TB_CECO[[#This Row],[TRABAJO]],1)-1)</f>
        <v>Snv 002 NE (Pq 228)</v>
      </c>
      <c r="C34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002 NE (Pq 228),VOLADURA</v>
      </c>
      <c r="D34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70" s="47" t="s">
        <v>6864</v>
      </c>
      <c r="G3470" t="s">
        <v>6865</v>
      </c>
      <c r="H34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71" spans="1:8" ht="15" customHeight="1" x14ac:dyDescent="0.25">
      <c r="A3471" t="str">
        <f>MID(TB_CECO[[#This Row],[CECO_T]],1,5)</f>
        <v>3L53N</v>
      </c>
      <c r="B3471" t="str">
        <f>MID(TB_CECO[[#This Row],[TRABAJO]],1,SEARCH(",",TB_CECO[[#This Row],[TRABAJO]],1)-1)</f>
        <v>Snv 152 NE (Ch 921)</v>
      </c>
      <c r="C34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152 NE (Ch 921),LIMPIEZA</v>
      </c>
      <c r="D34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71" s="47" t="s">
        <v>6866</v>
      </c>
      <c r="G3471" t="s">
        <v>6867</v>
      </c>
      <c r="H34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72" spans="1:8" ht="15" customHeight="1" x14ac:dyDescent="0.25">
      <c r="A3472" t="str">
        <f>MID(TB_CECO[[#This Row],[CECO_T]],1,5)</f>
        <v>3L53N</v>
      </c>
      <c r="B3472" t="str">
        <f>MID(TB_CECO[[#This Row],[TRABAJO]],1,SEARCH(",",TB_CECO[[#This Row],[TRABAJO]],1)-1)</f>
        <v>Snv 152 NE (Ch 921)</v>
      </c>
      <c r="C34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152 NE (Ch 921),SERVICIO</v>
      </c>
      <c r="D34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72" s="47" t="s">
        <v>6868</v>
      </c>
      <c r="G3472" t="s">
        <v>6869</v>
      </c>
      <c r="H34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73" spans="1:8" ht="15" customHeight="1" x14ac:dyDescent="0.25">
      <c r="A3473" t="str">
        <f>MID(TB_CECO[[#This Row],[CECO_T]],1,5)</f>
        <v>3L53N</v>
      </c>
      <c r="B3473" t="str">
        <f>MID(TB_CECO[[#This Row],[TRABAJO]],1,SEARCH(",",TB_CECO[[#This Row],[TRABAJO]],1)-1)</f>
        <v>Snv 152 NE (Ch 921)</v>
      </c>
      <c r="C34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152 NE (Ch 921),PERFORACION</v>
      </c>
      <c r="D34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73" s="47" t="s">
        <v>6870</v>
      </c>
      <c r="G3473" t="s">
        <v>6871</v>
      </c>
      <c r="H34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74" spans="1:8" ht="15" customHeight="1" x14ac:dyDescent="0.25">
      <c r="A3474" t="str">
        <f>MID(TB_CECO[[#This Row],[CECO_T]],1,5)</f>
        <v>3L53N</v>
      </c>
      <c r="B3474" t="str">
        <f>MID(TB_CECO[[#This Row],[TRABAJO]],1,SEARCH(",",TB_CECO[[#This Row],[TRABAJO]],1)-1)</f>
        <v>Snv 152 NE (Ch 921)</v>
      </c>
      <c r="C34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152 NE (Ch 921),SOSTENIMIENTO</v>
      </c>
      <c r="D34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74" s="47" t="s">
        <v>6872</v>
      </c>
      <c r="G3474" t="s">
        <v>6873</v>
      </c>
      <c r="H34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75" spans="1:8" ht="15" customHeight="1" x14ac:dyDescent="0.25">
      <c r="A3475" t="str">
        <f>MID(TB_CECO[[#This Row],[CECO_T]],1,5)</f>
        <v>3L53N</v>
      </c>
      <c r="B3475" t="str">
        <f>MID(TB_CECO[[#This Row],[TRABAJO]],1,SEARCH(",",TB_CECO[[#This Row],[TRABAJO]],1)-1)</f>
        <v>Snv 152 NE (Ch 921)</v>
      </c>
      <c r="C34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152 NE (Ch 921),VOLADURA</v>
      </c>
      <c r="D34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75" s="47" t="s">
        <v>6874</v>
      </c>
      <c r="G3475" t="s">
        <v>6875</v>
      </c>
      <c r="H34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76" spans="1:8" ht="15" customHeight="1" x14ac:dyDescent="0.25">
      <c r="A3476" t="str">
        <f>MID(TB_CECO[[#This Row],[CECO_T]],1,5)</f>
        <v>3L53O</v>
      </c>
      <c r="B3476" t="str">
        <f>MID(TB_CECO[[#This Row],[TRABAJO]],1,SEARCH(",",TB_CECO[[#This Row],[TRABAJO]],1)-1)</f>
        <v>Snv 152 SW (Ch 921)</v>
      </c>
      <c r="C34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152 SW (Ch 921),LIMPIEZA</v>
      </c>
      <c r="D34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76" s="47" t="s">
        <v>6876</v>
      </c>
      <c r="G3476" t="s">
        <v>6877</v>
      </c>
      <c r="H34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77" spans="1:8" ht="15" customHeight="1" x14ac:dyDescent="0.25">
      <c r="A3477" t="str">
        <f>MID(TB_CECO[[#This Row],[CECO_T]],1,5)</f>
        <v>3L53O</v>
      </c>
      <c r="B3477" t="str">
        <f>MID(TB_CECO[[#This Row],[TRABAJO]],1,SEARCH(",",TB_CECO[[#This Row],[TRABAJO]],1)-1)</f>
        <v>Snv 152 SW (Ch 921)</v>
      </c>
      <c r="C34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152 SW (Ch 921),SERVICIO</v>
      </c>
      <c r="D34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77" s="47" t="s">
        <v>6878</v>
      </c>
      <c r="G3477" t="s">
        <v>6879</v>
      </c>
      <c r="H34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78" spans="1:8" ht="15" customHeight="1" x14ac:dyDescent="0.25">
      <c r="A3478" t="str">
        <f>MID(TB_CECO[[#This Row],[CECO_T]],1,5)</f>
        <v>3L53O</v>
      </c>
      <c r="B3478" t="str">
        <f>MID(TB_CECO[[#This Row],[TRABAJO]],1,SEARCH(",",TB_CECO[[#This Row],[TRABAJO]],1)-1)</f>
        <v>Snv 152 SW (Ch 921)</v>
      </c>
      <c r="C34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152 SW (Ch 921),PERFORACION</v>
      </c>
      <c r="D34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78" s="47" t="s">
        <v>6880</v>
      </c>
      <c r="G3478" t="s">
        <v>6881</v>
      </c>
      <c r="H34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79" spans="1:8" ht="15" customHeight="1" x14ac:dyDescent="0.25">
      <c r="A3479" t="str">
        <f>MID(TB_CECO[[#This Row],[CECO_T]],1,5)</f>
        <v>3L53O</v>
      </c>
      <c r="B3479" t="str">
        <f>MID(TB_CECO[[#This Row],[TRABAJO]],1,SEARCH(",",TB_CECO[[#This Row],[TRABAJO]],1)-1)</f>
        <v>Snv 152 SW (Ch 921)</v>
      </c>
      <c r="C34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152 SW (Ch 921),SOSTENIMIENTO</v>
      </c>
      <c r="D34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79" s="47" t="s">
        <v>6882</v>
      </c>
      <c r="G3479" t="s">
        <v>6883</v>
      </c>
      <c r="H34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80" spans="1:8" ht="15" customHeight="1" x14ac:dyDescent="0.25">
      <c r="A3480" t="str">
        <f>MID(TB_CECO[[#This Row],[CECO_T]],1,5)</f>
        <v>3L53O</v>
      </c>
      <c r="B3480" t="str">
        <f>MID(TB_CECO[[#This Row],[TRABAJO]],1,SEARCH(",",TB_CECO[[#This Row],[TRABAJO]],1)-1)</f>
        <v>Snv 152 SW (Ch 921)</v>
      </c>
      <c r="C34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152 SW (Ch 921),VOLADURA</v>
      </c>
      <c r="D34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80" s="47" t="s">
        <v>6884</v>
      </c>
      <c r="G3480" t="s">
        <v>6885</v>
      </c>
      <c r="H34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81" spans="1:8" ht="15" customHeight="1" x14ac:dyDescent="0.25">
      <c r="A3481" t="str">
        <f>MID(TB_CECO[[#This Row],[CECO_T]],1,5)</f>
        <v>3L53T</v>
      </c>
      <c r="B3481" t="str">
        <f>MID(TB_CECO[[#This Row],[TRABAJO]],1,SEARCH(",",TB_CECO[[#This Row],[TRABAJO]],1)-1)</f>
        <v>Snv 172 NE (Ch 921)</v>
      </c>
      <c r="C34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172 NE (Ch 921),LIMPIEZA</v>
      </c>
      <c r="D34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81" s="47" t="s">
        <v>6886</v>
      </c>
      <c r="G3481" t="s">
        <v>6887</v>
      </c>
      <c r="H34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82" spans="1:8" ht="15" customHeight="1" x14ac:dyDescent="0.25">
      <c r="A3482" t="str">
        <f>MID(TB_CECO[[#This Row],[CECO_T]],1,5)</f>
        <v>3L53T</v>
      </c>
      <c r="B3482" t="str">
        <f>MID(TB_CECO[[#This Row],[TRABAJO]],1,SEARCH(",",TB_CECO[[#This Row],[TRABAJO]],1)-1)</f>
        <v>Snv 172 NE (Ch 921)</v>
      </c>
      <c r="C34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172 NE (Ch 921),SERVICIO</v>
      </c>
      <c r="D34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82" s="47" t="s">
        <v>6888</v>
      </c>
      <c r="G3482" t="s">
        <v>6889</v>
      </c>
      <c r="H34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83" spans="1:8" ht="15" customHeight="1" x14ac:dyDescent="0.25">
      <c r="A3483" t="str">
        <f>MID(TB_CECO[[#This Row],[CECO_T]],1,5)</f>
        <v>3L53T</v>
      </c>
      <c r="B3483" t="str">
        <f>MID(TB_CECO[[#This Row],[TRABAJO]],1,SEARCH(",",TB_CECO[[#This Row],[TRABAJO]],1)-1)</f>
        <v>Snv 172 NE (Ch 921)</v>
      </c>
      <c r="C34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172 NE (Ch 921),PERFORACION</v>
      </c>
      <c r="D34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83" s="47" t="s">
        <v>6890</v>
      </c>
      <c r="G3483" t="s">
        <v>6891</v>
      </c>
      <c r="H34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84" spans="1:8" ht="15" customHeight="1" x14ac:dyDescent="0.25">
      <c r="A3484" t="str">
        <f>MID(TB_CECO[[#This Row],[CECO_T]],1,5)</f>
        <v>3L53T</v>
      </c>
      <c r="B3484" t="str">
        <f>MID(TB_CECO[[#This Row],[TRABAJO]],1,SEARCH(",",TB_CECO[[#This Row],[TRABAJO]],1)-1)</f>
        <v>Snv 172 NE (Ch 921)</v>
      </c>
      <c r="C34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172 NE (Ch 921),SOSTENIMIENTO</v>
      </c>
      <c r="D34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84" s="47" t="s">
        <v>6892</v>
      </c>
      <c r="G3484" t="s">
        <v>6893</v>
      </c>
      <c r="H34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85" spans="1:8" ht="15" customHeight="1" x14ac:dyDescent="0.25">
      <c r="A3485" t="str">
        <f>MID(TB_CECO[[#This Row],[CECO_T]],1,5)</f>
        <v>3L53T</v>
      </c>
      <c r="B3485" t="str">
        <f>MID(TB_CECO[[#This Row],[TRABAJO]],1,SEARCH(",",TB_CECO[[#This Row],[TRABAJO]],1)-1)</f>
        <v>Snv 172 NE (Ch 921)</v>
      </c>
      <c r="C34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172 NE (Ch 921),VOLADURA</v>
      </c>
      <c r="D34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85" s="47" t="s">
        <v>6894</v>
      </c>
      <c r="G3485" t="s">
        <v>6895</v>
      </c>
      <c r="H34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86" spans="1:8" ht="15" customHeight="1" x14ac:dyDescent="0.25">
      <c r="A3486" t="str">
        <f>MID(TB_CECO[[#This Row],[CECO_T]],1,5)</f>
        <v>3L53U</v>
      </c>
      <c r="B3486" t="str">
        <f>MID(TB_CECO[[#This Row],[TRABAJO]],1,SEARCH(",",TB_CECO[[#This Row],[TRABAJO]],1)-1)</f>
        <v>Snv 172 SW (Ch 921)</v>
      </c>
      <c r="C34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172 SW (Ch 921),LIMPIEZA</v>
      </c>
      <c r="D34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86" s="47" t="s">
        <v>6896</v>
      </c>
      <c r="G3486" t="s">
        <v>6897</v>
      </c>
      <c r="H34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87" spans="1:8" ht="15" customHeight="1" x14ac:dyDescent="0.25">
      <c r="A3487" t="str">
        <f>MID(TB_CECO[[#This Row],[CECO_T]],1,5)</f>
        <v>3L53U</v>
      </c>
      <c r="B3487" t="str">
        <f>MID(TB_CECO[[#This Row],[TRABAJO]],1,SEARCH(",",TB_CECO[[#This Row],[TRABAJO]],1)-1)</f>
        <v>Snv 172 SW (Ch 921)</v>
      </c>
      <c r="C34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172 SW (Ch 921),SERVICIO</v>
      </c>
      <c r="D34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87" s="47" t="s">
        <v>6898</v>
      </c>
      <c r="G3487" t="s">
        <v>6899</v>
      </c>
      <c r="H34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88" spans="1:8" ht="15" customHeight="1" x14ac:dyDescent="0.25">
      <c r="A3488" t="str">
        <f>MID(TB_CECO[[#This Row],[CECO_T]],1,5)</f>
        <v>3L53U</v>
      </c>
      <c r="B3488" t="str">
        <f>MID(TB_CECO[[#This Row],[TRABAJO]],1,SEARCH(",",TB_CECO[[#This Row],[TRABAJO]],1)-1)</f>
        <v>Snv 172 SW (Ch 921)</v>
      </c>
      <c r="C34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172 SW (Ch 921),PERFORACION</v>
      </c>
      <c r="D34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88" s="47" t="s">
        <v>6900</v>
      </c>
      <c r="G3488" t="s">
        <v>6901</v>
      </c>
      <c r="H34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89" spans="1:8" ht="15" customHeight="1" x14ac:dyDescent="0.25">
      <c r="A3489" t="str">
        <f>MID(TB_CECO[[#This Row],[CECO_T]],1,5)</f>
        <v>3L53U</v>
      </c>
      <c r="B3489" t="str">
        <f>MID(TB_CECO[[#This Row],[TRABAJO]],1,SEARCH(",",TB_CECO[[#This Row],[TRABAJO]],1)-1)</f>
        <v>Snv 172 SW (Ch 921)</v>
      </c>
      <c r="C34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172 SW (Ch 921),SOSTENIMIENTO</v>
      </c>
      <c r="D34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89" s="47" t="s">
        <v>6902</v>
      </c>
      <c r="G3489" t="s">
        <v>6903</v>
      </c>
      <c r="H34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90" spans="1:8" ht="15" customHeight="1" x14ac:dyDescent="0.25">
      <c r="A3490" t="str">
        <f>MID(TB_CECO[[#This Row],[CECO_T]],1,5)</f>
        <v>3L53U</v>
      </c>
      <c r="B3490" t="str">
        <f>MID(TB_CECO[[#This Row],[TRABAJO]],1,SEARCH(",",TB_CECO[[#This Row],[TRABAJO]],1)-1)</f>
        <v>Snv 172 SW (Ch 921)</v>
      </c>
      <c r="C34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172 SW (Ch 921),VOLADURA</v>
      </c>
      <c r="D34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90" s="47" t="s">
        <v>6904</v>
      </c>
      <c r="G3490" t="s">
        <v>6905</v>
      </c>
      <c r="H34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91" spans="1:8" ht="15" customHeight="1" x14ac:dyDescent="0.25">
      <c r="A3491" t="str">
        <f>MID(TB_CECO[[#This Row],[CECO_T]],1,5)</f>
        <v>3L53X</v>
      </c>
      <c r="B3491" t="str">
        <f>MID(TB_CECO[[#This Row],[TRABAJO]],1,SEARCH(",",TB_CECO[[#This Row],[TRABAJO]],1)-1)</f>
        <v>Snv 974 SW (Est 971 SW)</v>
      </c>
      <c r="C34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974 SW (Est 971 SW),LIMPIEZA</v>
      </c>
      <c r="D34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91" s="47" t="s">
        <v>6906</v>
      </c>
      <c r="G3491" t="s">
        <v>6907</v>
      </c>
      <c r="H34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92" spans="1:8" ht="15" customHeight="1" x14ac:dyDescent="0.25">
      <c r="A3492" t="str">
        <f>MID(TB_CECO[[#This Row],[CECO_T]],1,5)</f>
        <v>3L53X</v>
      </c>
      <c r="B3492" t="str">
        <f>MID(TB_CECO[[#This Row],[TRABAJO]],1,SEARCH(",",TB_CECO[[#This Row],[TRABAJO]],1)-1)</f>
        <v>Snv 974 SW (Est 971 SW)</v>
      </c>
      <c r="C34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974 SW (Est 971 SW),SERVICIO</v>
      </c>
      <c r="D34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92" s="47" t="s">
        <v>6908</v>
      </c>
      <c r="G3492" t="s">
        <v>6909</v>
      </c>
      <c r="H34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93" spans="1:8" ht="15" customHeight="1" x14ac:dyDescent="0.25">
      <c r="A3493" t="str">
        <f>MID(TB_CECO[[#This Row],[CECO_T]],1,5)</f>
        <v>3L53X</v>
      </c>
      <c r="B3493" t="str">
        <f>MID(TB_CECO[[#This Row],[TRABAJO]],1,SEARCH(",",TB_CECO[[#This Row],[TRABAJO]],1)-1)</f>
        <v>Snv 974 SW (Est 971 SW)</v>
      </c>
      <c r="C34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974 SW (Est 971 SW),PERFORACION</v>
      </c>
      <c r="D34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93" s="47" t="s">
        <v>6910</v>
      </c>
      <c r="G3493" t="s">
        <v>6911</v>
      </c>
      <c r="H34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94" spans="1:8" ht="15" customHeight="1" x14ac:dyDescent="0.25">
      <c r="A3494" t="str">
        <f>MID(TB_CECO[[#This Row],[CECO_T]],1,5)</f>
        <v>3L53X</v>
      </c>
      <c r="B3494" t="str">
        <f>MID(TB_CECO[[#This Row],[TRABAJO]],1,SEARCH(",",TB_CECO[[#This Row],[TRABAJO]],1)-1)</f>
        <v>Snv 974 SW (Est 971 SW)</v>
      </c>
      <c r="C34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974 SW (Est 971 SW),SOSTENIMIENTO</v>
      </c>
      <c r="D34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94" s="47" t="s">
        <v>6912</v>
      </c>
      <c r="G3494" t="s">
        <v>6913</v>
      </c>
      <c r="H34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95" spans="1:8" ht="15" customHeight="1" x14ac:dyDescent="0.25">
      <c r="A3495" t="str">
        <f>MID(TB_CECO[[#This Row],[CECO_T]],1,5)</f>
        <v>3L53X</v>
      </c>
      <c r="B3495" t="str">
        <f>MID(TB_CECO[[#This Row],[TRABAJO]],1,SEARCH(",",TB_CECO[[#This Row],[TRABAJO]],1)-1)</f>
        <v>Snv 974 SW (Est 971 SW)</v>
      </c>
      <c r="C34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974 SW (Est 971 SW),VOLADURA</v>
      </c>
      <c r="D34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95" s="47" t="s">
        <v>6914</v>
      </c>
      <c r="G3495" t="s">
        <v>6915</v>
      </c>
      <c r="H34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96" spans="1:8" ht="15" customHeight="1" x14ac:dyDescent="0.25">
      <c r="A3496" t="str">
        <f>MID(TB_CECO[[#This Row],[CECO_T]],1,5)</f>
        <v>3L53Y</v>
      </c>
      <c r="B3496" t="str">
        <f>MID(TB_CECO[[#This Row],[TRABAJO]],1,SEARCH(",",TB_CECO[[#This Row],[TRABAJO]],1)-1)</f>
        <v>Snv 976 SW (Ch 973)</v>
      </c>
      <c r="C34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976 SW (Ch 973),LIMPIEZA</v>
      </c>
      <c r="D34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96" s="47" t="s">
        <v>6916</v>
      </c>
      <c r="G3496" t="s">
        <v>6917</v>
      </c>
      <c r="H34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97" spans="1:8" ht="15" customHeight="1" x14ac:dyDescent="0.25">
      <c r="A3497" t="str">
        <f>MID(TB_CECO[[#This Row],[CECO_T]],1,5)</f>
        <v>3L53Y</v>
      </c>
      <c r="B3497" t="str">
        <f>MID(TB_CECO[[#This Row],[TRABAJO]],1,SEARCH(",",TB_CECO[[#This Row],[TRABAJO]],1)-1)</f>
        <v>Snv 976 SW (Ch 973)</v>
      </c>
      <c r="C34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976 SW (Ch 973),SERVICIO</v>
      </c>
      <c r="D34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97" s="47" t="s">
        <v>6918</v>
      </c>
      <c r="G3497" t="s">
        <v>6919</v>
      </c>
      <c r="H34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98" spans="1:8" ht="15" customHeight="1" x14ac:dyDescent="0.25">
      <c r="A3498" t="str">
        <f>MID(TB_CECO[[#This Row],[CECO_T]],1,5)</f>
        <v>3L53Y</v>
      </c>
      <c r="B3498" t="str">
        <f>MID(TB_CECO[[#This Row],[TRABAJO]],1,SEARCH(",",TB_CECO[[#This Row],[TRABAJO]],1)-1)</f>
        <v>Snv 976 SW (Ch 973)</v>
      </c>
      <c r="C34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976 SW (Ch 973),PERFORACION</v>
      </c>
      <c r="D34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98" s="47" t="s">
        <v>6920</v>
      </c>
      <c r="G3498" t="s">
        <v>6921</v>
      </c>
      <c r="H34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499" spans="1:8" ht="15" customHeight="1" x14ac:dyDescent="0.25">
      <c r="A3499" t="str">
        <f>MID(TB_CECO[[#This Row],[CECO_T]],1,5)</f>
        <v>3L53Y</v>
      </c>
      <c r="B3499" t="str">
        <f>MID(TB_CECO[[#This Row],[TRABAJO]],1,SEARCH(",",TB_CECO[[#This Row],[TRABAJO]],1)-1)</f>
        <v>Snv 976 SW (Ch 973)</v>
      </c>
      <c r="C34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976 SW (Ch 973),SOSTENIMIENTO</v>
      </c>
      <c r="D34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4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499" s="47" t="s">
        <v>6922</v>
      </c>
      <c r="G3499" t="s">
        <v>6923</v>
      </c>
      <c r="H34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00" spans="1:8" ht="15" customHeight="1" x14ac:dyDescent="0.25">
      <c r="A3500" t="str">
        <f>MID(TB_CECO[[#This Row],[CECO_T]],1,5)</f>
        <v>3L53Y</v>
      </c>
      <c r="B3500" t="str">
        <f>MID(TB_CECO[[#This Row],[TRABAJO]],1,SEARCH(",",TB_CECO[[#This Row],[TRABAJO]],1)-1)</f>
        <v>Snv 976 SW (Ch 973)</v>
      </c>
      <c r="C35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976 SW (Ch 973),VOLADURA</v>
      </c>
      <c r="D35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00" s="47" t="s">
        <v>6924</v>
      </c>
      <c r="G3500" t="s">
        <v>6925</v>
      </c>
      <c r="H35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01" spans="1:8" ht="15" customHeight="1" x14ac:dyDescent="0.25">
      <c r="A3501" t="str">
        <f>MID(TB_CECO[[#This Row],[CECO_T]],1,5)</f>
        <v>3L53Z</v>
      </c>
      <c r="B3501" t="str">
        <f>MID(TB_CECO[[#This Row],[TRABAJO]],1,SEARCH(",",TB_CECO[[#This Row],[TRABAJO]],1)-1)</f>
        <v>Snv 977 NE (Ch 973)</v>
      </c>
      <c r="C35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977 NE (Ch 973),LIMPIEZA</v>
      </c>
      <c r="D35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01" s="47" t="s">
        <v>6926</v>
      </c>
      <c r="G3501" t="s">
        <v>6927</v>
      </c>
      <c r="H35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02" spans="1:8" ht="15" customHeight="1" x14ac:dyDescent="0.25">
      <c r="A3502" t="str">
        <f>MID(TB_CECO[[#This Row],[CECO_T]],1,5)</f>
        <v>3L53Z</v>
      </c>
      <c r="B3502" t="str">
        <f>MID(TB_CECO[[#This Row],[TRABAJO]],1,SEARCH(",",TB_CECO[[#This Row],[TRABAJO]],1)-1)</f>
        <v>Snv 977 NE (Ch 973)</v>
      </c>
      <c r="C35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977 NE (Ch 973),SERVICIO</v>
      </c>
      <c r="D35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02" s="47" t="s">
        <v>6928</v>
      </c>
      <c r="G3502" t="s">
        <v>6929</v>
      </c>
      <c r="H35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03" spans="1:8" ht="15" customHeight="1" x14ac:dyDescent="0.25">
      <c r="A3503" t="str">
        <f>MID(TB_CECO[[#This Row],[CECO_T]],1,5)</f>
        <v>3L53Z</v>
      </c>
      <c r="B3503" t="str">
        <f>MID(TB_CECO[[#This Row],[TRABAJO]],1,SEARCH(",",TB_CECO[[#This Row],[TRABAJO]],1)-1)</f>
        <v>Snv 977 NE (Ch 973)</v>
      </c>
      <c r="C35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977 NE (Ch 973),PERFORACION</v>
      </c>
      <c r="D35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03" s="47" t="s">
        <v>6930</v>
      </c>
      <c r="G3503" t="s">
        <v>6931</v>
      </c>
      <c r="H35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04" spans="1:8" ht="15" customHeight="1" x14ac:dyDescent="0.25">
      <c r="A3504" t="str">
        <f>MID(TB_CECO[[#This Row],[CECO_T]],1,5)</f>
        <v>3L53Z</v>
      </c>
      <c r="B3504" t="str">
        <f>MID(TB_CECO[[#This Row],[TRABAJO]],1,SEARCH(",",TB_CECO[[#This Row],[TRABAJO]],1)-1)</f>
        <v>Snv 977 NE (Ch 973)</v>
      </c>
      <c r="C35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977 NE (Ch 973),SOSTENIMIENTO</v>
      </c>
      <c r="D35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04" s="47" t="s">
        <v>6932</v>
      </c>
      <c r="G3504" t="s">
        <v>6933</v>
      </c>
      <c r="H35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05" spans="1:8" ht="15" customHeight="1" x14ac:dyDescent="0.25">
      <c r="A3505" t="str">
        <f>MID(TB_CECO[[#This Row],[CECO_T]],1,5)</f>
        <v>3L53Z</v>
      </c>
      <c r="B3505" t="str">
        <f>MID(TB_CECO[[#This Row],[TRABAJO]],1,SEARCH(",",TB_CECO[[#This Row],[TRABAJO]],1)-1)</f>
        <v>Snv 977 NE (Ch 973)</v>
      </c>
      <c r="C35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977 NE (Ch 973),VOLADURA</v>
      </c>
      <c r="D35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05" s="47" t="s">
        <v>6934</v>
      </c>
      <c r="G3505" t="s">
        <v>6935</v>
      </c>
      <c r="H35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06" spans="1:8" ht="15" customHeight="1" x14ac:dyDescent="0.25">
      <c r="A3506" t="str">
        <f>MID(TB_CECO[[#This Row],[CECO_T]],1,5)</f>
        <v>3L54A</v>
      </c>
      <c r="B3506" t="str">
        <f>MID(TB_CECO[[#This Row],[TRABAJO]],1,SEARCH(",",TB_CECO[[#This Row],[TRABAJO]],1)-1)</f>
        <v>Snv 981 SW (Ch 973)</v>
      </c>
      <c r="C35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981 SW (Ch 973),LIMPIEZA</v>
      </c>
      <c r="D35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06" s="47" t="s">
        <v>6936</v>
      </c>
      <c r="G3506" t="s">
        <v>6937</v>
      </c>
      <c r="H35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07" spans="1:8" ht="15" customHeight="1" x14ac:dyDescent="0.25">
      <c r="A3507" t="str">
        <f>MID(TB_CECO[[#This Row],[CECO_T]],1,5)</f>
        <v>3L54A</v>
      </c>
      <c r="B3507" t="str">
        <f>MID(TB_CECO[[#This Row],[TRABAJO]],1,SEARCH(",",TB_CECO[[#This Row],[TRABAJO]],1)-1)</f>
        <v>Snv 981 SW (Ch 973)</v>
      </c>
      <c r="C35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981 SW (Ch 973),SERVICIO</v>
      </c>
      <c r="D35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07" s="47" t="s">
        <v>6938</v>
      </c>
      <c r="G3507" t="s">
        <v>6939</v>
      </c>
      <c r="H35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08" spans="1:8" ht="15" customHeight="1" x14ac:dyDescent="0.25">
      <c r="A3508" t="str">
        <f>MID(TB_CECO[[#This Row],[CECO_T]],1,5)</f>
        <v>3L54A</v>
      </c>
      <c r="B3508" t="str">
        <f>MID(TB_CECO[[#This Row],[TRABAJO]],1,SEARCH(",",TB_CECO[[#This Row],[TRABAJO]],1)-1)</f>
        <v>Snv 981 SW (Ch 973)</v>
      </c>
      <c r="C35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981 SW (Ch 973),PERFORACION</v>
      </c>
      <c r="D35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08" s="47" t="s">
        <v>6940</v>
      </c>
      <c r="G3508" t="s">
        <v>6941</v>
      </c>
      <c r="H35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09" spans="1:8" ht="15" customHeight="1" x14ac:dyDescent="0.25">
      <c r="A3509" t="str">
        <f>MID(TB_CECO[[#This Row],[CECO_T]],1,5)</f>
        <v>3L54A</v>
      </c>
      <c r="B3509" t="str">
        <f>MID(TB_CECO[[#This Row],[TRABAJO]],1,SEARCH(",",TB_CECO[[#This Row],[TRABAJO]],1)-1)</f>
        <v>Snv 981 SW (Ch 973)</v>
      </c>
      <c r="C35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981 SW (Ch 973),SOSTENIMIENTO</v>
      </c>
      <c r="D35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09" s="47" t="s">
        <v>6942</v>
      </c>
      <c r="G3509" t="s">
        <v>6943</v>
      </c>
      <c r="H35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10" spans="1:8" ht="15" customHeight="1" x14ac:dyDescent="0.25">
      <c r="A3510" t="str">
        <f>MID(TB_CECO[[#This Row],[CECO_T]],1,5)</f>
        <v>3L54A</v>
      </c>
      <c r="B3510" t="str">
        <f>MID(TB_CECO[[#This Row],[TRABAJO]],1,SEARCH(",",TB_CECO[[#This Row],[TRABAJO]],1)-1)</f>
        <v>Snv 981 SW (Ch 973)</v>
      </c>
      <c r="C35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981 SW (Ch 973),VOLADURA</v>
      </c>
      <c r="D35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10" s="47" t="s">
        <v>6944</v>
      </c>
      <c r="G3510" t="s">
        <v>6945</v>
      </c>
      <c r="H35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11" spans="1:8" ht="15" customHeight="1" x14ac:dyDescent="0.25">
      <c r="A3511" t="str">
        <f>MID(TB_CECO[[#This Row],[CECO_T]],1,5)</f>
        <v>3L54B</v>
      </c>
      <c r="B3511" t="str">
        <f>MID(TB_CECO[[#This Row],[TRABAJO]],1,SEARCH(",",TB_CECO[[#This Row],[TRABAJO]],1)-1)</f>
        <v>Snv 981 NE (Ch 973)</v>
      </c>
      <c r="C35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981 NE (Ch 973),LIMPIEZA</v>
      </c>
      <c r="D35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11" s="47" t="s">
        <v>6946</v>
      </c>
      <c r="G3511" t="s">
        <v>6947</v>
      </c>
      <c r="H35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12" spans="1:8" ht="15" customHeight="1" x14ac:dyDescent="0.25">
      <c r="A3512" t="str">
        <f>MID(TB_CECO[[#This Row],[CECO_T]],1,5)</f>
        <v>3L54B</v>
      </c>
      <c r="B3512" t="str">
        <f>MID(TB_CECO[[#This Row],[TRABAJO]],1,SEARCH(",",TB_CECO[[#This Row],[TRABAJO]],1)-1)</f>
        <v>Snv 981 NE (Ch 973)</v>
      </c>
      <c r="C35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981 NE (Ch 973),SERVICIO</v>
      </c>
      <c r="D35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12" s="47" t="s">
        <v>6948</v>
      </c>
      <c r="G3512" t="s">
        <v>6949</v>
      </c>
      <c r="H35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13" spans="1:8" ht="15" customHeight="1" x14ac:dyDescent="0.25">
      <c r="A3513" t="str">
        <f>MID(TB_CECO[[#This Row],[CECO_T]],1,5)</f>
        <v>3L54B</v>
      </c>
      <c r="B3513" t="str">
        <f>MID(TB_CECO[[#This Row],[TRABAJO]],1,SEARCH(",",TB_CECO[[#This Row],[TRABAJO]],1)-1)</f>
        <v>Snv 981 NE (Ch 973)</v>
      </c>
      <c r="C35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981 NE (Ch 973),PERFORACION</v>
      </c>
      <c r="D35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13" s="47" t="s">
        <v>6950</v>
      </c>
      <c r="G3513" t="s">
        <v>6951</v>
      </c>
      <c r="H35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14" spans="1:8" ht="15" customHeight="1" x14ac:dyDescent="0.25">
      <c r="A3514" t="str">
        <f>MID(TB_CECO[[#This Row],[CECO_T]],1,5)</f>
        <v>3L54B</v>
      </c>
      <c r="B3514" t="str">
        <f>MID(TB_CECO[[#This Row],[TRABAJO]],1,SEARCH(",",TB_CECO[[#This Row],[TRABAJO]],1)-1)</f>
        <v>Snv 981 NE (Ch 973)</v>
      </c>
      <c r="C35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981 NE (Ch 973),SOSTENIMIENTO</v>
      </c>
      <c r="D35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14" s="47" t="s">
        <v>6952</v>
      </c>
      <c r="G3514" t="s">
        <v>6953</v>
      </c>
      <c r="H35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15" spans="1:8" ht="15" customHeight="1" x14ac:dyDescent="0.25">
      <c r="A3515" t="str">
        <f>MID(TB_CECO[[#This Row],[CECO_T]],1,5)</f>
        <v>3L54B</v>
      </c>
      <c r="B3515" t="str">
        <f>MID(TB_CECO[[#This Row],[TRABAJO]],1,SEARCH(",",TB_CECO[[#This Row],[TRABAJO]],1)-1)</f>
        <v>Snv 981 NE (Ch 973)</v>
      </c>
      <c r="C35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981 NE (Ch 973),VOLADURA</v>
      </c>
      <c r="D35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15" s="47" t="s">
        <v>6954</v>
      </c>
      <c r="G3515" t="s">
        <v>6955</v>
      </c>
      <c r="H35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16" spans="1:8" ht="15" customHeight="1" x14ac:dyDescent="0.25">
      <c r="A3516" t="str">
        <f>MID(TB_CECO[[#This Row],[CECO_T]],1,5)</f>
        <v>3L54M</v>
      </c>
      <c r="B3516" t="str">
        <f>MID(TB_CECO[[#This Row],[TRABAJO]],1,SEARCH(",",TB_CECO[[#This Row],[TRABAJO]],1)-1)</f>
        <v>Snv 938 NE (Est 950 NW)</v>
      </c>
      <c r="C35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NE (Est 950 NW),LIMPIEZA</v>
      </c>
      <c r="D35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16" s="47" t="s">
        <v>6956</v>
      </c>
      <c r="G3516" t="s">
        <v>6957</v>
      </c>
      <c r="H35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17" spans="1:8" ht="15" customHeight="1" x14ac:dyDescent="0.25">
      <c r="A3517" t="str">
        <f>MID(TB_CECO[[#This Row],[CECO_T]],1,5)</f>
        <v>3L54M</v>
      </c>
      <c r="B3517" t="str">
        <f>MID(TB_CECO[[#This Row],[TRABAJO]],1,SEARCH(",",TB_CECO[[#This Row],[TRABAJO]],1)-1)</f>
        <v>Snv 938 NE (Est 950 NW)</v>
      </c>
      <c r="C35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NE (Est 950 NW),SERVICIO</v>
      </c>
      <c r="D35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17" s="47" t="s">
        <v>6958</v>
      </c>
      <c r="G3517" t="s">
        <v>6959</v>
      </c>
      <c r="H35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18" spans="1:8" ht="15" customHeight="1" x14ac:dyDescent="0.25">
      <c r="A3518" t="str">
        <f>MID(TB_CECO[[#This Row],[CECO_T]],1,5)</f>
        <v>3L54M</v>
      </c>
      <c r="B3518" t="str">
        <f>MID(TB_CECO[[#This Row],[TRABAJO]],1,SEARCH(",",TB_CECO[[#This Row],[TRABAJO]],1)-1)</f>
        <v>Snv 938 NE (Est 950 NW)</v>
      </c>
      <c r="C35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NE (Est 950 NW),PERFORACION</v>
      </c>
      <c r="D35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18" s="47" t="s">
        <v>6960</v>
      </c>
      <c r="G3518" t="s">
        <v>6961</v>
      </c>
      <c r="H35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19" spans="1:8" ht="15" customHeight="1" x14ac:dyDescent="0.25">
      <c r="A3519" t="str">
        <f>MID(TB_CECO[[#This Row],[CECO_T]],1,5)</f>
        <v>3L54M</v>
      </c>
      <c r="B3519" t="str">
        <f>MID(TB_CECO[[#This Row],[TRABAJO]],1,SEARCH(",",TB_CECO[[#This Row],[TRABAJO]],1)-1)</f>
        <v>Snv 938 NE (Est 950 NW)</v>
      </c>
      <c r="C35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NE (Est 950 NW),SOSTENIMIENTO</v>
      </c>
      <c r="D35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19" s="47" t="s">
        <v>6962</v>
      </c>
      <c r="G3519" t="s">
        <v>6963</v>
      </c>
      <c r="H35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20" spans="1:8" ht="15" customHeight="1" x14ac:dyDescent="0.25">
      <c r="A3520" t="str">
        <f>MID(TB_CECO[[#This Row],[CECO_T]],1,5)</f>
        <v>3L54M</v>
      </c>
      <c r="B3520" t="str">
        <f>MID(TB_CECO[[#This Row],[TRABAJO]],1,SEARCH(",",TB_CECO[[#This Row],[TRABAJO]],1)-1)</f>
        <v>Snv 938 NE (Est 950 NW)</v>
      </c>
      <c r="C35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NE (Est 950 NW),VOLADURA</v>
      </c>
      <c r="D35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20" s="47" t="s">
        <v>6964</v>
      </c>
      <c r="G3520" t="s">
        <v>6965</v>
      </c>
      <c r="H35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21" spans="1:8" ht="15" customHeight="1" x14ac:dyDescent="0.25">
      <c r="A3521" t="str">
        <f>MID(TB_CECO[[#This Row],[CECO_T]],1,5)</f>
        <v>3L54N</v>
      </c>
      <c r="B3521" t="str">
        <f>MID(TB_CECO[[#This Row],[TRABAJO]],1,SEARCH(",",TB_CECO[[#This Row],[TRABAJO]],1)-1)</f>
        <v>Snv 938 SW (Est 950 NW)</v>
      </c>
      <c r="C35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SW (Est 950 NW),LIMPIEZA</v>
      </c>
      <c r="D35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21" s="47" t="s">
        <v>6966</v>
      </c>
      <c r="G3521" t="s">
        <v>6967</v>
      </c>
      <c r="H35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22" spans="1:8" ht="15" customHeight="1" x14ac:dyDescent="0.25">
      <c r="A3522" t="str">
        <f>MID(TB_CECO[[#This Row],[CECO_T]],1,5)</f>
        <v>3L54N</v>
      </c>
      <c r="B3522" t="str">
        <f>MID(TB_CECO[[#This Row],[TRABAJO]],1,SEARCH(",",TB_CECO[[#This Row],[TRABAJO]],1)-1)</f>
        <v>Snv 938 SW (Est 950 NW)</v>
      </c>
      <c r="C35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SW (Est 950 NW),SERVICIO</v>
      </c>
      <c r="D35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22" s="47" t="s">
        <v>6968</v>
      </c>
      <c r="G3522" t="s">
        <v>6969</v>
      </c>
      <c r="H35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23" spans="1:8" ht="15" customHeight="1" x14ac:dyDescent="0.25">
      <c r="A3523" t="str">
        <f>MID(TB_CECO[[#This Row],[CECO_T]],1,5)</f>
        <v>3L54N</v>
      </c>
      <c r="B3523" t="str">
        <f>MID(TB_CECO[[#This Row],[TRABAJO]],1,SEARCH(",",TB_CECO[[#This Row],[TRABAJO]],1)-1)</f>
        <v>Snv 938 SW (Est 950 NW)</v>
      </c>
      <c r="C35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SW (Est 950 NW),PERFORACION</v>
      </c>
      <c r="D35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23" s="47" t="s">
        <v>6970</v>
      </c>
      <c r="G3523" t="s">
        <v>6971</v>
      </c>
      <c r="H35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24" spans="1:8" ht="15" customHeight="1" x14ac:dyDescent="0.25">
      <c r="A3524" t="str">
        <f>MID(TB_CECO[[#This Row],[CECO_T]],1,5)</f>
        <v>3L54N</v>
      </c>
      <c r="B3524" t="str">
        <f>MID(TB_CECO[[#This Row],[TRABAJO]],1,SEARCH(",",TB_CECO[[#This Row],[TRABAJO]],1)-1)</f>
        <v>Snv 938 SW (Est 950 NW)</v>
      </c>
      <c r="C35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SW (Est 950 NW),SOSTENIMIENTO</v>
      </c>
      <c r="D35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24" s="47" t="s">
        <v>6972</v>
      </c>
      <c r="G3524" t="s">
        <v>6973</v>
      </c>
      <c r="H35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25" spans="1:8" ht="15" customHeight="1" x14ac:dyDescent="0.25">
      <c r="A3525" t="str">
        <f>MID(TB_CECO[[#This Row],[CECO_T]],1,5)</f>
        <v>3L54N</v>
      </c>
      <c r="B3525" t="str">
        <f>MID(TB_CECO[[#This Row],[TRABAJO]],1,SEARCH(",",TB_CECO[[#This Row],[TRABAJO]],1)-1)</f>
        <v>Snv 938 SW (Est 950 NW)</v>
      </c>
      <c r="C35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938 SW (Est 950 NW),VOLADURA</v>
      </c>
      <c r="D35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25" s="47" t="s">
        <v>6974</v>
      </c>
      <c r="G3525" t="s">
        <v>6975</v>
      </c>
      <c r="H35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26" spans="1:8" ht="15" customHeight="1" x14ac:dyDescent="0.25">
      <c r="A3526" t="str">
        <f>MID(TB_CECO[[#This Row],[CECO_T]],1,5)</f>
        <v>3L54Q</v>
      </c>
      <c r="B3526" t="str">
        <f>MID(TB_CECO[[#This Row],[TRABAJO]],1,SEARCH(",",TB_CECO[[#This Row],[TRABAJO]],1)-1)</f>
        <v>Snv 026 NE (Snv 029 SW)</v>
      </c>
      <c r="C35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NE (Snv 029 SW),LIMPIEZA</v>
      </c>
      <c r="D35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26" s="47" t="s">
        <v>6976</v>
      </c>
      <c r="G3526" t="s">
        <v>6977</v>
      </c>
      <c r="H35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27" spans="1:8" ht="15" customHeight="1" x14ac:dyDescent="0.25">
      <c r="A3527" t="str">
        <f>MID(TB_CECO[[#This Row],[CECO_T]],1,5)</f>
        <v>3L54Q</v>
      </c>
      <c r="B3527" t="str">
        <f>MID(TB_CECO[[#This Row],[TRABAJO]],1,SEARCH(",",TB_CECO[[#This Row],[TRABAJO]],1)-1)</f>
        <v>Snv 026 NE (Snv 029 SW)</v>
      </c>
      <c r="C35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NE (Snv 029 SW),SERVICIO</v>
      </c>
      <c r="D35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27" s="47" t="s">
        <v>6978</v>
      </c>
      <c r="G3527" t="s">
        <v>6979</v>
      </c>
      <c r="H35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28" spans="1:8" ht="15" customHeight="1" x14ac:dyDescent="0.25">
      <c r="A3528" t="str">
        <f>MID(TB_CECO[[#This Row],[CECO_T]],1,5)</f>
        <v>3L54Q</v>
      </c>
      <c r="B3528" t="str">
        <f>MID(TB_CECO[[#This Row],[TRABAJO]],1,SEARCH(",",TB_CECO[[#This Row],[TRABAJO]],1)-1)</f>
        <v>Snv 026 NE (Snv 029 SW)</v>
      </c>
      <c r="C35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NE (Snv 029 SW),PERFORACION</v>
      </c>
      <c r="D35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28" s="47" t="s">
        <v>6980</v>
      </c>
      <c r="G3528" t="s">
        <v>6981</v>
      </c>
      <c r="H35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29" spans="1:8" ht="15" customHeight="1" x14ac:dyDescent="0.25">
      <c r="A3529" t="str">
        <f>MID(TB_CECO[[#This Row],[CECO_T]],1,5)</f>
        <v>3L54Q</v>
      </c>
      <c r="B3529" t="str">
        <f>MID(TB_CECO[[#This Row],[TRABAJO]],1,SEARCH(",",TB_CECO[[#This Row],[TRABAJO]],1)-1)</f>
        <v>Snv 026 NE (Snv 029 SW)</v>
      </c>
      <c r="C35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NE (Snv 029 SW),SOSTENIMIENTO</v>
      </c>
      <c r="D35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29" s="47" t="s">
        <v>6982</v>
      </c>
      <c r="G3529" t="s">
        <v>6983</v>
      </c>
      <c r="H35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30" spans="1:8" ht="15" customHeight="1" x14ac:dyDescent="0.25">
      <c r="A3530" t="str">
        <f>MID(TB_CECO[[#This Row],[CECO_T]],1,5)</f>
        <v>3L54Q</v>
      </c>
      <c r="B3530" t="str">
        <f>MID(TB_CECO[[#This Row],[TRABAJO]],1,SEARCH(",",TB_CECO[[#This Row],[TRABAJO]],1)-1)</f>
        <v>Snv 026 NE (Snv 029 SW)</v>
      </c>
      <c r="C35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026 NE (Snv 029 SW),VOLADURA</v>
      </c>
      <c r="D35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30" s="47" t="s">
        <v>6984</v>
      </c>
      <c r="G3530" t="s">
        <v>6985</v>
      </c>
      <c r="H35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31" spans="1:8" ht="15" customHeight="1" x14ac:dyDescent="0.25">
      <c r="A3531" t="str">
        <f>MID(TB_CECO[[#This Row],[CECO_T]],1,5)</f>
        <v>3L55C</v>
      </c>
      <c r="B3531" t="str">
        <f>MID(TB_CECO[[#This Row],[TRABAJO]],1,SEARCH(",",TB_CECO[[#This Row],[TRABAJO]],1)-1)</f>
        <v>Snv 161 SW (Ch 948)</v>
      </c>
      <c r="C35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 SW (Ch 948),LIMPIEZA</v>
      </c>
      <c r="D35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31" s="47" t="s">
        <v>6986</v>
      </c>
      <c r="G3531" t="s">
        <v>6987</v>
      </c>
      <c r="H35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32" spans="1:8" ht="15" customHeight="1" x14ac:dyDescent="0.25">
      <c r="A3532" t="str">
        <f>MID(TB_CECO[[#This Row],[CECO_T]],1,5)</f>
        <v>3L55C</v>
      </c>
      <c r="B3532" t="str">
        <f>MID(TB_CECO[[#This Row],[TRABAJO]],1,SEARCH(",",TB_CECO[[#This Row],[TRABAJO]],1)-1)</f>
        <v>Snv 161 SW (Ch 948)</v>
      </c>
      <c r="C35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 SW (Ch 948),SERVICIO</v>
      </c>
      <c r="D35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32" s="47" t="s">
        <v>6988</v>
      </c>
      <c r="G3532" t="s">
        <v>6989</v>
      </c>
      <c r="H35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33" spans="1:8" ht="15" customHeight="1" x14ac:dyDescent="0.25">
      <c r="A3533" t="str">
        <f>MID(TB_CECO[[#This Row],[CECO_T]],1,5)</f>
        <v>3L55C</v>
      </c>
      <c r="B3533" t="str">
        <f>MID(TB_CECO[[#This Row],[TRABAJO]],1,SEARCH(",",TB_CECO[[#This Row],[TRABAJO]],1)-1)</f>
        <v>Snv 161 SW (Ch 948)</v>
      </c>
      <c r="C35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 SW (Ch 948),PERFORACION</v>
      </c>
      <c r="D35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33" s="47" t="s">
        <v>6990</v>
      </c>
      <c r="G3533" t="s">
        <v>6991</v>
      </c>
      <c r="H35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34" spans="1:8" ht="15" customHeight="1" x14ac:dyDescent="0.25">
      <c r="A3534" t="str">
        <f>MID(TB_CECO[[#This Row],[CECO_T]],1,5)</f>
        <v>3L55C</v>
      </c>
      <c r="B3534" t="str">
        <f>MID(TB_CECO[[#This Row],[TRABAJO]],1,SEARCH(",",TB_CECO[[#This Row],[TRABAJO]],1)-1)</f>
        <v>Snv 161 SW (Ch 948)</v>
      </c>
      <c r="C35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 SW (Ch 948),SOSTENIMIENTO</v>
      </c>
      <c r="D35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34" s="47" t="s">
        <v>6992</v>
      </c>
      <c r="G3534" t="s">
        <v>6993</v>
      </c>
      <c r="H35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35" spans="1:8" ht="15" customHeight="1" x14ac:dyDescent="0.25">
      <c r="A3535" t="str">
        <f>MID(TB_CECO[[#This Row],[CECO_T]],1,5)</f>
        <v>3L55C</v>
      </c>
      <c r="B3535" t="str">
        <f>MID(TB_CECO[[#This Row],[TRABAJO]],1,SEARCH(",",TB_CECO[[#This Row],[TRABAJO]],1)-1)</f>
        <v>Snv 161 SW (Ch 948)</v>
      </c>
      <c r="C35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 SW (Ch 948),VOLADURA</v>
      </c>
      <c r="D35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35" s="47" t="s">
        <v>6994</v>
      </c>
      <c r="G3535" t="s">
        <v>6995</v>
      </c>
      <c r="H35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36" spans="1:8" ht="15" customHeight="1" x14ac:dyDescent="0.25">
      <c r="A3536" t="str">
        <f>MID(TB_CECO[[#This Row],[CECO_T]],1,5)</f>
        <v>3L55D</v>
      </c>
      <c r="B3536" t="str">
        <f>MID(TB_CECO[[#This Row],[TRABAJO]],1,SEARCH(",",TB_CECO[[#This Row],[TRABAJO]],1)-1)</f>
        <v>Snv 161 NE (Ch 948)</v>
      </c>
      <c r="C35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 NE (Ch 948),LIMPIEZA</v>
      </c>
      <c r="D35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36" s="47" t="s">
        <v>6996</v>
      </c>
      <c r="G3536" t="s">
        <v>6997</v>
      </c>
      <c r="H35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37" spans="1:8" ht="15" customHeight="1" x14ac:dyDescent="0.25">
      <c r="A3537" t="str">
        <f>MID(TB_CECO[[#This Row],[CECO_T]],1,5)</f>
        <v>3L55D</v>
      </c>
      <c r="B3537" t="str">
        <f>MID(TB_CECO[[#This Row],[TRABAJO]],1,SEARCH(",",TB_CECO[[#This Row],[TRABAJO]],1)-1)</f>
        <v>Snv 161 NE (Ch 948)</v>
      </c>
      <c r="C35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 NE (Ch 948),SERVICIO</v>
      </c>
      <c r="D35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37" s="47" t="s">
        <v>6998</v>
      </c>
      <c r="G3537" t="s">
        <v>6999</v>
      </c>
      <c r="H35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38" spans="1:8" ht="15" customHeight="1" x14ac:dyDescent="0.25">
      <c r="A3538" t="str">
        <f>MID(TB_CECO[[#This Row],[CECO_T]],1,5)</f>
        <v>3L55D</v>
      </c>
      <c r="B3538" t="str">
        <f>MID(TB_CECO[[#This Row],[TRABAJO]],1,SEARCH(",",TB_CECO[[#This Row],[TRABAJO]],1)-1)</f>
        <v>Snv 161 NE (Ch 948)</v>
      </c>
      <c r="C35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 NE (Ch 948),PERFORACION</v>
      </c>
      <c r="D35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38" s="47" t="s">
        <v>7000</v>
      </c>
      <c r="G3538" t="s">
        <v>7001</v>
      </c>
      <c r="H35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39" spans="1:8" ht="15" customHeight="1" x14ac:dyDescent="0.25">
      <c r="A3539" t="str">
        <f>MID(TB_CECO[[#This Row],[CECO_T]],1,5)</f>
        <v>3L55D</v>
      </c>
      <c r="B3539" t="str">
        <f>MID(TB_CECO[[#This Row],[TRABAJO]],1,SEARCH(",",TB_CECO[[#This Row],[TRABAJO]],1)-1)</f>
        <v>Snv 161 NE (Ch 948)</v>
      </c>
      <c r="C35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 NE (Ch 948),SOSTENIMIENTO</v>
      </c>
      <c r="D35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39" s="47" t="s">
        <v>7002</v>
      </c>
      <c r="G3539" t="s">
        <v>7003</v>
      </c>
      <c r="H35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40" spans="1:8" ht="15" customHeight="1" x14ac:dyDescent="0.25">
      <c r="A3540" t="str">
        <f>MID(TB_CECO[[#This Row],[CECO_T]],1,5)</f>
        <v>3L55D</v>
      </c>
      <c r="B3540" t="str">
        <f>MID(TB_CECO[[#This Row],[TRABAJO]],1,SEARCH(",",TB_CECO[[#This Row],[TRABAJO]],1)-1)</f>
        <v>Snv 161 NE (Ch 948)</v>
      </c>
      <c r="C35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 NE (Ch 948),VOLADURA</v>
      </c>
      <c r="D35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40" s="47" t="s">
        <v>7004</v>
      </c>
      <c r="G3540" t="s">
        <v>7005</v>
      </c>
      <c r="H35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41" spans="1:8" ht="15" customHeight="1" x14ac:dyDescent="0.25">
      <c r="A3541" t="str">
        <f>MID(TB_CECO[[#This Row],[CECO_T]],1,5)</f>
        <v>3L55G</v>
      </c>
      <c r="B3541" t="str">
        <f>MID(TB_CECO[[#This Row],[TRABAJO]],1,SEARCH(",",TB_CECO[[#This Row],[TRABAJO]],1)-1)</f>
        <v>Snv 161-1 SW (Tj 157 NE)</v>
      </c>
      <c r="C35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161-1 SW (Tj 157 NE),LIMPIEZA</v>
      </c>
      <c r="D35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41" s="47" t="s">
        <v>7006</v>
      </c>
      <c r="G3541" t="s">
        <v>7007</v>
      </c>
      <c r="H35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42" spans="1:8" ht="15" customHeight="1" x14ac:dyDescent="0.25">
      <c r="A3542" t="str">
        <f>MID(TB_CECO[[#This Row],[CECO_T]],1,5)</f>
        <v>3L55G</v>
      </c>
      <c r="B3542" t="str">
        <f>MID(TB_CECO[[#This Row],[TRABAJO]],1,SEARCH(",",TB_CECO[[#This Row],[TRABAJO]],1)-1)</f>
        <v>Snv 161-1 SW (Tj 157 NE)</v>
      </c>
      <c r="C35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161-1 SW (Tj 157 NE),SERVICIO</v>
      </c>
      <c r="D35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42" s="47" t="s">
        <v>7008</v>
      </c>
      <c r="G3542" t="s">
        <v>7009</v>
      </c>
      <c r="H35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43" spans="1:8" ht="15" customHeight="1" x14ac:dyDescent="0.25">
      <c r="A3543" t="str">
        <f>MID(TB_CECO[[#This Row],[CECO_T]],1,5)</f>
        <v>3L55G</v>
      </c>
      <c r="B3543" t="str">
        <f>MID(TB_CECO[[#This Row],[TRABAJO]],1,SEARCH(",",TB_CECO[[#This Row],[TRABAJO]],1)-1)</f>
        <v>Snv 161-1 SW (Tj 157 NE)</v>
      </c>
      <c r="C35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161-1 SW (Tj 157 NE),PERFORACION</v>
      </c>
      <c r="D35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43" s="47" t="s">
        <v>7010</v>
      </c>
      <c r="G3543" t="s">
        <v>7011</v>
      </c>
      <c r="H35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44" spans="1:8" ht="15" customHeight="1" x14ac:dyDescent="0.25">
      <c r="A3544" t="str">
        <f>MID(TB_CECO[[#This Row],[CECO_T]],1,5)</f>
        <v>3L55G</v>
      </c>
      <c r="B3544" t="str">
        <f>MID(TB_CECO[[#This Row],[TRABAJO]],1,SEARCH(",",TB_CECO[[#This Row],[TRABAJO]],1)-1)</f>
        <v>Snv 161-1 SW (Tj 157 NE)</v>
      </c>
      <c r="C35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161-1 SW (Tj 157 NE),SOSTENIMIENTO</v>
      </c>
      <c r="D35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44" s="47" t="s">
        <v>7012</v>
      </c>
      <c r="G3544" t="s">
        <v>7013</v>
      </c>
      <c r="H35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45" spans="1:8" ht="15" customHeight="1" x14ac:dyDescent="0.25">
      <c r="A3545" t="str">
        <f>MID(TB_CECO[[#This Row],[CECO_T]],1,5)</f>
        <v>3L55G</v>
      </c>
      <c r="B3545" t="str">
        <f>MID(TB_CECO[[#This Row],[TRABAJO]],1,SEARCH(",",TB_CECO[[#This Row],[TRABAJO]],1)-1)</f>
        <v>Snv 161-1 SW (Tj 157 NE)</v>
      </c>
      <c r="C35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161-1 SW (Tj 157 NE),VOLADURA</v>
      </c>
      <c r="D35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45" s="47" t="s">
        <v>7014</v>
      </c>
      <c r="G3545" t="s">
        <v>7015</v>
      </c>
      <c r="H35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46" spans="1:8" ht="15" customHeight="1" x14ac:dyDescent="0.25">
      <c r="A3546" t="str">
        <f>MID(TB_CECO[[#This Row],[CECO_T]],1,5)</f>
        <v>3L55M</v>
      </c>
      <c r="B3546" t="str">
        <f>MID(TB_CECO[[#This Row],[TRABAJO]],1,SEARCH(",",TB_CECO[[#This Row],[TRABAJO]],1)-1)</f>
        <v>Snv 174 SW (Ch 921)</v>
      </c>
      <c r="C35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174 SW (Ch 921),LIMPIEZA</v>
      </c>
      <c r="D35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46" s="47" t="s">
        <v>7016</v>
      </c>
      <c r="G3546" t="s">
        <v>7017</v>
      </c>
      <c r="H35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47" spans="1:8" ht="15" customHeight="1" x14ac:dyDescent="0.25">
      <c r="A3547" t="str">
        <f>MID(TB_CECO[[#This Row],[CECO_T]],1,5)</f>
        <v>3L55M</v>
      </c>
      <c r="B3547" t="str">
        <f>MID(TB_CECO[[#This Row],[TRABAJO]],1,SEARCH(",",TB_CECO[[#This Row],[TRABAJO]],1)-1)</f>
        <v>Snv 174 SW (Ch 921)</v>
      </c>
      <c r="C35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174 SW (Ch 921),SERVICIO</v>
      </c>
      <c r="D35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47" s="47" t="s">
        <v>7018</v>
      </c>
      <c r="G3547" t="s">
        <v>7019</v>
      </c>
      <c r="H35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48" spans="1:8" ht="15" customHeight="1" x14ac:dyDescent="0.25">
      <c r="A3548" t="str">
        <f>MID(TB_CECO[[#This Row],[CECO_T]],1,5)</f>
        <v>3L55M</v>
      </c>
      <c r="B3548" t="str">
        <f>MID(TB_CECO[[#This Row],[TRABAJO]],1,SEARCH(",",TB_CECO[[#This Row],[TRABAJO]],1)-1)</f>
        <v>Snv 174 SW (Ch 921)</v>
      </c>
      <c r="C35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174 SW (Ch 921),PERFORACION</v>
      </c>
      <c r="D35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48" s="47" t="s">
        <v>7020</v>
      </c>
      <c r="G3548" t="s">
        <v>7021</v>
      </c>
      <c r="H35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49" spans="1:8" ht="15" customHeight="1" x14ac:dyDescent="0.25">
      <c r="A3549" t="str">
        <f>MID(TB_CECO[[#This Row],[CECO_T]],1,5)</f>
        <v>3L55M</v>
      </c>
      <c r="B3549" t="str">
        <f>MID(TB_CECO[[#This Row],[TRABAJO]],1,SEARCH(",",TB_CECO[[#This Row],[TRABAJO]],1)-1)</f>
        <v>Snv 174 SW (Ch 921)</v>
      </c>
      <c r="C35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174 SW (Ch 921),SOSTENIMIENTO</v>
      </c>
      <c r="D35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49" s="47" t="s">
        <v>7022</v>
      </c>
      <c r="G3549" t="s">
        <v>7023</v>
      </c>
      <c r="H35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50" spans="1:8" ht="15" customHeight="1" x14ac:dyDescent="0.25">
      <c r="A3550" t="str">
        <f>MID(TB_CECO[[#This Row],[CECO_T]],1,5)</f>
        <v>3L55M</v>
      </c>
      <c r="B3550" t="str">
        <f>MID(TB_CECO[[#This Row],[TRABAJO]],1,SEARCH(",",TB_CECO[[#This Row],[TRABAJO]],1)-1)</f>
        <v>Snv 174 SW (Ch 921)</v>
      </c>
      <c r="C35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174 SW (Ch 921),VOLADURA</v>
      </c>
      <c r="D35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50" s="47" t="s">
        <v>7024</v>
      </c>
      <c r="G3550" t="s">
        <v>7025</v>
      </c>
      <c r="H35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51" spans="1:8" ht="15" customHeight="1" x14ac:dyDescent="0.25">
      <c r="A3551" t="str">
        <f>MID(TB_CECO[[#This Row],[CECO_T]],1,5)</f>
        <v>3L582</v>
      </c>
      <c r="B3551" t="str">
        <f>MID(TB_CECO[[#This Row],[TRABAJO]],1,SEARCH(",",TB_CECO[[#This Row],[TRABAJO]],1)-1)</f>
        <v>Snv 256 SW (Est 255 SW)</v>
      </c>
      <c r="C35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256 SW (Est 255 SW),SUMINISTROS</v>
      </c>
      <c r="D35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51" s="47" t="s">
        <v>7026</v>
      </c>
      <c r="G3551" t="s">
        <v>7027</v>
      </c>
      <c r="H35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52" spans="1:8" ht="15" customHeight="1" x14ac:dyDescent="0.25">
      <c r="A3552" t="str">
        <f>MID(TB_CECO[[#This Row],[CECO_T]],1,5)</f>
        <v>3L582</v>
      </c>
      <c r="B3552" t="str">
        <f>MID(TB_CECO[[#This Row],[TRABAJO]],1,SEARCH(",",TB_CECO[[#This Row],[TRABAJO]],1)-1)</f>
        <v>Snv 256 SW (Est 255 SW)</v>
      </c>
      <c r="C35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256 SW (Est 255 SW),SOSTENIMIENTO</v>
      </c>
      <c r="D35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52" s="47" t="s">
        <v>7028</v>
      </c>
      <c r="G3552" t="s">
        <v>7029</v>
      </c>
      <c r="H35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53" spans="1:8" ht="15" customHeight="1" x14ac:dyDescent="0.25">
      <c r="A3553" t="str">
        <f>MID(TB_CECO[[#This Row],[CECO_T]],1,5)</f>
        <v>3L582</v>
      </c>
      <c r="B3553" t="str">
        <f>MID(TB_CECO[[#This Row],[TRABAJO]],1,SEARCH(",",TB_CECO[[#This Row],[TRABAJO]],1)-1)</f>
        <v>Snv 256 SW (Est 255 SW)</v>
      </c>
      <c r="C35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256 SW (Est 255 SW),SERVICIO</v>
      </c>
      <c r="D35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53" s="47" t="s">
        <v>7030</v>
      </c>
      <c r="G3553" t="s">
        <v>7031</v>
      </c>
      <c r="H35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54" spans="1:8" ht="15" customHeight="1" x14ac:dyDescent="0.25">
      <c r="A3554" t="str">
        <f>MID(TB_CECO[[#This Row],[CECO_T]],1,5)</f>
        <v>3L582</v>
      </c>
      <c r="B3554" t="str">
        <f>MID(TB_CECO[[#This Row],[TRABAJO]],1,SEARCH(",",TB_CECO[[#This Row],[TRABAJO]],1)-1)</f>
        <v>Snv 256 SW (Est 255 SW)</v>
      </c>
      <c r="C35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256 SW (Est 255 SW),REHABILITACION</v>
      </c>
      <c r="D35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54" s="47" t="s">
        <v>7032</v>
      </c>
      <c r="G3554" t="s">
        <v>7033</v>
      </c>
      <c r="H35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55" spans="1:8" ht="15" customHeight="1" x14ac:dyDescent="0.25">
      <c r="A3555" t="str">
        <f>MID(TB_CECO[[#This Row],[CECO_T]],1,5)</f>
        <v>3L652</v>
      </c>
      <c r="B3555" t="str">
        <f>MID(TB_CECO[[#This Row],[TRABAJO]],1,SEARCH(",",TB_CECO[[#This Row],[TRABAJO]],1)-1)</f>
        <v>Est 004 NW (Ch 003)</v>
      </c>
      <c r="C35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004 NW (Ch 003),LIMPIEZA</v>
      </c>
      <c r="D35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55" s="47" t="s">
        <v>7034</v>
      </c>
      <c r="G3555" t="s">
        <v>7035</v>
      </c>
      <c r="H35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56" spans="1:8" ht="15" customHeight="1" x14ac:dyDescent="0.25">
      <c r="A3556" t="str">
        <f>MID(TB_CECO[[#This Row],[CECO_T]],1,5)</f>
        <v>3L652</v>
      </c>
      <c r="B3556" t="str">
        <f>MID(TB_CECO[[#This Row],[TRABAJO]],1,SEARCH(",",TB_CECO[[#This Row],[TRABAJO]],1)-1)</f>
        <v>Est 004 NW (Ch 003)</v>
      </c>
      <c r="C35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004 NW (Ch 003),SERVICIO</v>
      </c>
      <c r="D35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56" s="47" t="s">
        <v>7036</v>
      </c>
      <c r="G3556" t="s">
        <v>7037</v>
      </c>
      <c r="H35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57" spans="1:8" ht="15" customHeight="1" x14ac:dyDescent="0.25">
      <c r="A3557" t="str">
        <f>MID(TB_CECO[[#This Row],[CECO_T]],1,5)</f>
        <v>3L652</v>
      </c>
      <c r="B3557" t="str">
        <f>MID(TB_CECO[[#This Row],[TRABAJO]],1,SEARCH(",",TB_CECO[[#This Row],[TRABAJO]],1)-1)</f>
        <v>Est 004 NW (Ch 003)</v>
      </c>
      <c r="C35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004 NW (Ch 003),PERFORACION</v>
      </c>
      <c r="D35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57" s="47" t="s">
        <v>7038</v>
      </c>
      <c r="G3557" t="s">
        <v>7039</v>
      </c>
      <c r="H35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58" spans="1:8" ht="15" customHeight="1" x14ac:dyDescent="0.25">
      <c r="A3558" t="str">
        <f>MID(TB_CECO[[#This Row],[CECO_T]],1,5)</f>
        <v>3L652</v>
      </c>
      <c r="B3558" t="str">
        <f>MID(TB_CECO[[#This Row],[TRABAJO]],1,SEARCH(",",TB_CECO[[#This Row],[TRABAJO]],1)-1)</f>
        <v>Est 004 NW (Ch 003)</v>
      </c>
      <c r="C35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004 NW (Ch 003),SOSTENIMIENTO</v>
      </c>
      <c r="D35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58" s="47" t="s">
        <v>7040</v>
      </c>
      <c r="G3558" t="s">
        <v>7041</v>
      </c>
      <c r="H35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59" spans="1:8" ht="15" customHeight="1" x14ac:dyDescent="0.25">
      <c r="A3559" t="str">
        <f>MID(TB_CECO[[#This Row],[CECO_T]],1,5)</f>
        <v>3L652</v>
      </c>
      <c r="B3559" t="str">
        <f>MID(TB_CECO[[#This Row],[TRABAJO]],1,SEARCH(",",TB_CECO[[#This Row],[TRABAJO]],1)-1)</f>
        <v>Est 004 NW (Ch 003)</v>
      </c>
      <c r="C35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004 NW (Ch 003),VOLADURA</v>
      </c>
      <c r="D35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5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559" s="47" t="s">
        <v>7042</v>
      </c>
      <c r="G3559" t="s">
        <v>7043</v>
      </c>
      <c r="H35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60" spans="1:8" ht="15" customHeight="1" x14ac:dyDescent="0.25">
      <c r="A3560" t="str">
        <f>MID(TB_CECO[[#This Row],[CECO_T]],1,5)</f>
        <v>3L675</v>
      </c>
      <c r="B3560" t="str">
        <f>MID(TB_CECO[[#This Row],[TRABAJO]],1,SEARCH(",",TB_CECO[[#This Row],[TRABAJO]],1)-1)</f>
        <v>Est 950 NW (Snv 152 NE) </v>
      </c>
      <c r="C35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950 NW (Snv 152 NE) ,LIMPIEZA</v>
      </c>
      <c r="D35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60" s="47" t="s">
        <v>7044</v>
      </c>
      <c r="G3560" t="s">
        <v>7045</v>
      </c>
      <c r="H35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61" spans="1:8" ht="15" customHeight="1" x14ac:dyDescent="0.25">
      <c r="A3561" t="str">
        <f>MID(TB_CECO[[#This Row],[CECO_T]],1,5)</f>
        <v>3L675</v>
      </c>
      <c r="B3561" t="str">
        <f>MID(TB_CECO[[#This Row],[TRABAJO]],1,SEARCH(",",TB_CECO[[#This Row],[TRABAJO]],1)-1)</f>
        <v>Est 950 NW (Snv 152 NE) </v>
      </c>
      <c r="C35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950 NW (Snv 152 NE) ,SERVICIO</v>
      </c>
      <c r="D35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61" s="47" t="s">
        <v>7046</v>
      </c>
      <c r="G3561" t="s">
        <v>7047</v>
      </c>
      <c r="H35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62" spans="1:8" ht="15" customHeight="1" x14ac:dyDescent="0.25">
      <c r="A3562" t="str">
        <f>MID(TB_CECO[[#This Row],[CECO_T]],1,5)</f>
        <v>3L675</v>
      </c>
      <c r="B3562" t="str">
        <f>MID(TB_CECO[[#This Row],[TRABAJO]],1,SEARCH(",",TB_CECO[[#This Row],[TRABAJO]],1)-1)</f>
        <v>Est 950 NW (Snv 152 NE) </v>
      </c>
      <c r="C35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950 NW (Snv 152 NE) ,PERFORACION</v>
      </c>
      <c r="D35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62" s="47" t="s">
        <v>7048</v>
      </c>
      <c r="G3562" t="s">
        <v>7049</v>
      </c>
      <c r="H35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63" spans="1:8" ht="15" customHeight="1" x14ac:dyDescent="0.25">
      <c r="A3563" t="str">
        <f>MID(TB_CECO[[#This Row],[CECO_T]],1,5)</f>
        <v>3L675</v>
      </c>
      <c r="B3563" t="str">
        <f>MID(TB_CECO[[#This Row],[TRABAJO]],1,SEARCH(",",TB_CECO[[#This Row],[TRABAJO]],1)-1)</f>
        <v>Est 950 NW (Snv 152 NE) </v>
      </c>
      <c r="C35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950 NW (Snv 152 NE) ,SOSTENIMIENTO</v>
      </c>
      <c r="D35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63" s="47" t="s">
        <v>7050</v>
      </c>
      <c r="G3563" t="s">
        <v>7051</v>
      </c>
      <c r="H35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64" spans="1:8" ht="15" customHeight="1" x14ac:dyDescent="0.25">
      <c r="A3564" t="str">
        <f>MID(TB_CECO[[#This Row],[CECO_T]],1,5)</f>
        <v>3L675</v>
      </c>
      <c r="B3564" t="str">
        <f>MID(TB_CECO[[#This Row],[TRABAJO]],1,SEARCH(",",TB_CECO[[#This Row],[TRABAJO]],1)-1)</f>
        <v>Est 950 NW (Snv 152 NE) </v>
      </c>
      <c r="C35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950 NW (Snv 152 NE) ,VOLADURA</v>
      </c>
      <c r="D35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64" s="47" t="s">
        <v>7052</v>
      </c>
      <c r="G3564" t="s">
        <v>7053</v>
      </c>
      <c r="H35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65" spans="1:8" ht="15" customHeight="1" x14ac:dyDescent="0.25">
      <c r="A3565" t="str">
        <f>MID(TB_CECO[[#This Row],[CECO_T]],1,5)</f>
        <v>3L942</v>
      </c>
      <c r="B3565" t="str">
        <f>MID(TB_CECO[[#This Row],[TRABAJO]],1,SEARCH(",",TB_CECO[[#This Row],[TRABAJO]],1)-1)</f>
        <v>Ven 037 SW (Tj 157 NE)</v>
      </c>
      <c r="C35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037 SW (Tj 157 NE),LIMPIEZA</v>
      </c>
      <c r="D35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65" s="47" t="s">
        <v>7054</v>
      </c>
      <c r="G3565" t="s">
        <v>7055</v>
      </c>
      <c r="H35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66" spans="1:8" ht="15" customHeight="1" x14ac:dyDescent="0.25">
      <c r="A3566" t="str">
        <f>MID(TB_CECO[[#This Row],[CECO_T]],1,5)</f>
        <v>3L942</v>
      </c>
      <c r="B3566" t="str">
        <f>MID(TB_CECO[[#This Row],[TRABAJO]],1,SEARCH(",",TB_CECO[[#This Row],[TRABAJO]],1)-1)</f>
        <v>Ven 037 SW (Tj 157 NE)</v>
      </c>
      <c r="C35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037 SW (Tj 157 NE),SERVICIO</v>
      </c>
      <c r="D35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66" s="47" t="s">
        <v>7056</v>
      </c>
      <c r="G3566" t="s">
        <v>7057</v>
      </c>
      <c r="H35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67" spans="1:8" ht="15" customHeight="1" x14ac:dyDescent="0.25">
      <c r="A3567" t="str">
        <f>MID(TB_CECO[[#This Row],[CECO_T]],1,5)</f>
        <v>3L942</v>
      </c>
      <c r="B3567" t="str">
        <f>MID(TB_CECO[[#This Row],[TRABAJO]],1,SEARCH(",",TB_CECO[[#This Row],[TRABAJO]],1)-1)</f>
        <v>Ven 037 SW (Tj 157 NE)</v>
      </c>
      <c r="C35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037 SW (Tj 157 NE),PERFORACION</v>
      </c>
      <c r="D35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67" s="47" t="s">
        <v>7058</v>
      </c>
      <c r="G3567" t="s">
        <v>7059</v>
      </c>
      <c r="H35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68" spans="1:8" ht="15" customHeight="1" x14ac:dyDescent="0.25">
      <c r="A3568" t="str">
        <f>MID(TB_CECO[[#This Row],[CECO_T]],1,5)</f>
        <v>3L942</v>
      </c>
      <c r="B3568" t="str">
        <f>MID(TB_CECO[[#This Row],[TRABAJO]],1,SEARCH(",",TB_CECO[[#This Row],[TRABAJO]],1)-1)</f>
        <v>Ven 037 SW (Tj 157 NE)</v>
      </c>
      <c r="C35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037 SW (Tj 157 NE),SOSTENIMIENTO</v>
      </c>
      <c r="D35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68" s="47" t="s">
        <v>7060</v>
      </c>
      <c r="G3568" t="s">
        <v>7061</v>
      </c>
      <c r="H35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69" spans="1:8" ht="15" customHeight="1" x14ac:dyDescent="0.25">
      <c r="A3569" t="str">
        <f>MID(TB_CECO[[#This Row],[CECO_T]],1,5)</f>
        <v>3L942</v>
      </c>
      <c r="B3569" t="str">
        <f>MID(TB_CECO[[#This Row],[TRABAJO]],1,SEARCH(",",TB_CECO[[#This Row],[TRABAJO]],1)-1)</f>
        <v>Ven 037 SW (Tj 157 NE)</v>
      </c>
      <c r="C35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037 SW (Tj 157 NE),VOLADURA</v>
      </c>
      <c r="D35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5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69" s="47" t="s">
        <v>7062</v>
      </c>
      <c r="G3569" t="s">
        <v>7063</v>
      </c>
      <c r="H35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70" spans="1:8" ht="15" customHeight="1" x14ac:dyDescent="0.25">
      <c r="A3570" t="str">
        <f>MID(TB_CECO[[#This Row],[CECO_T]],1,5)</f>
        <v>3M31C</v>
      </c>
      <c r="B3570" t="str">
        <f>MID(TB_CECO[[#This Row],[TRABAJO]],1,SEARCH(",",TB_CECO[[#This Row],[TRABAJO]],1)-1)</f>
        <v>Ch 619 (Inc 642 SW)</v>
      </c>
      <c r="C35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619 (Inc 642 SW),LIMPIEZA</v>
      </c>
      <c r="D35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70" s="47" t="s">
        <v>7064</v>
      </c>
      <c r="G3570" t="s">
        <v>7065</v>
      </c>
      <c r="H35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71" spans="1:8" ht="15" customHeight="1" x14ac:dyDescent="0.25">
      <c r="A3571" t="str">
        <f>MID(TB_CECO[[#This Row],[CECO_T]],1,5)</f>
        <v>3M31C</v>
      </c>
      <c r="B3571" t="str">
        <f>MID(TB_CECO[[#This Row],[TRABAJO]],1,SEARCH(",",TB_CECO[[#This Row],[TRABAJO]],1)-1)</f>
        <v>Ch 619 (Inc 642 SW)</v>
      </c>
      <c r="C35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619 (Inc 642 SW),SERVICIO</v>
      </c>
      <c r="D35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71" s="47" t="s">
        <v>7066</v>
      </c>
      <c r="G3571" t="s">
        <v>7067</v>
      </c>
      <c r="H35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72" spans="1:8" ht="15" customHeight="1" x14ac:dyDescent="0.25">
      <c r="A3572" t="str">
        <f>MID(TB_CECO[[#This Row],[CECO_T]],1,5)</f>
        <v>3M31C</v>
      </c>
      <c r="B3572" t="str">
        <f>MID(TB_CECO[[#This Row],[TRABAJO]],1,SEARCH(",",TB_CECO[[#This Row],[TRABAJO]],1)-1)</f>
        <v>Ch 619 (Inc 642 SW)</v>
      </c>
      <c r="C35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619 (Inc 642 SW),PERFORACION</v>
      </c>
      <c r="D35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72" s="47" t="s">
        <v>7068</v>
      </c>
      <c r="G3572" t="s">
        <v>7069</v>
      </c>
      <c r="H35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73" spans="1:8" ht="15" customHeight="1" x14ac:dyDescent="0.25">
      <c r="A3573" t="str">
        <f>MID(TB_CECO[[#This Row],[CECO_T]],1,5)</f>
        <v>3M31C</v>
      </c>
      <c r="B3573" t="str">
        <f>MID(TB_CECO[[#This Row],[TRABAJO]],1,SEARCH(",",TB_CECO[[#This Row],[TRABAJO]],1)-1)</f>
        <v>Ch 619 (Inc 642 SW)</v>
      </c>
      <c r="C35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619 (Inc 642 SW),SOSTENIMIENTO</v>
      </c>
      <c r="D35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73" s="47" t="s">
        <v>7070</v>
      </c>
      <c r="G3573" t="s">
        <v>7071</v>
      </c>
      <c r="H35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74" spans="1:8" ht="15" customHeight="1" x14ac:dyDescent="0.25">
      <c r="A3574" t="str">
        <f>MID(TB_CECO[[#This Row],[CECO_T]],1,5)</f>
        <v>3M31C</v>
      </c>
      <c r="B3574" t="str">
        <f>MID(TB_CECO[[#This Row],[TRABAJO]],1,SEARCH(",",TB_CECO[[#This Row],[TRABAJO]],1)-1)</f>
        <v>Ch 619 (Inc 642 SW)</v>
      </c>
      <c r="C35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619 (Inc 642 SW),VOLADURA</v>
      </c>
      <c r="D35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74" s="47" t="s">
        <v>7072</v>
      </c>
      <c r="G3574" t="s">
        <v>7073</v>
      </c>
      <c r="H35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75" spans="1:8" ht="15" customHeight="1" x14ac:dyDescent="0.25">
      <c r="A3575" t="str">
        <f>MID(TB_CECO[[#This Row],[CECO_T]],1,5)</f>
        <v>3M389</v>
      </c>
      <c r="B3575" t="str">
        <f>MID(TB_CECO[[#This Row],[TRABAJO]],1,SEARCH(",",TB_CECO[[#This Row],[TRABAJO]],1)-1)</f>
        <v>Ch 642 (Tj 642 SW)</v>
      </c>
      <c r="C35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642 (Tj 642 SW),LIMPIEZA</v>
      </c>
      <c r="D35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75" s="47" t="s">
        <v>7074</v>
      </c>
      <c r="G3575" t="s">
        <v>7075</v>
      </c>
      <c r="H35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76" spans="1:8" ht="15" customHeight="1" x14ac:dyDescent="0.25">
      <c r="A3576" t="str">
        <f>MID(TB_CECO[[#This Row],[CECO_T]],1,5)</f>
        <v>3M389</v>
      </c>
      <c r="B3576" t="str">
        <f>MID(TB_CECO[[#This Row],[TRABAJO]],1,SEARCH(",",TB_CECO[[#This Row],[TRABAJO]],1)-1)</f>
        <v>Ch 642 (Tj 642 SW)</v>
      </c>
      <c r="C35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642 (Tj 642 SW),SERVICIO</v>
      </c>
      <c r="D35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76" s="47" t="s">
        <v>7076</v>
      </c>
      <c r="G3576" t="s">
        <v>7077</v>
      </c>
      <c r="H35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77" spans="1:8" ht="15" customHeight="1" x14ac:dyDescent="0.25">
      <c r="A3577" t="str">
        <f>MID(TB_CECO[[#This Row],[CECO_T]],1,5)</f>
        <v>3M389</v>
      </c>
      <c r="B3577" t="str">
        <f>MID(TB_CECO[[#This Row],[TRABAJO]],1,SEARCH(",",TB_CECO[[#This Row],[TRABAJO]],1)-1)</f>
        <v>Ch 642 (Tj 642 SW)</v>
      </c>
      <c r="C35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642 (Tj 642 SW),PERFORACION</v>
      </c>
      <c r="D35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77" s="47" t="s">
        <v>7078</v>
      </c>
      <c r="G3577" t="s">
        <v>7079</v>
      </c>
      <c r="H35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78" spans="1:8" ht="15" customHeight="1" x14ac:dyDescent="0.25">
      <c r="A3578" t="str">
        <f>MID(TB_CECO[[#This Row],[CECO_T]],1,5)</f>
        <v>3M389</v>
      </c>
      <c r="B3578" t="str">
        <f>MID(TB_CECO[[#This Row],[TRABAJO]],1,SEARCH(",",TB_CECO[[#This Row],[TRABAJO]],1)-1)</f>
        <v>Ch 642 (Tj 642 SW)</v>
      </c>
      <c r="C35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642 (Tj 642 SW),SOSTENIMIENTO</v>
      </c>
      <c r="D35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78" s="47" t="s">
        <v>7080</v>
      </c>
      <c r="G3578" t="s">
        <v>7081</v>
      </c>
      <c r="H35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79" spans="1:8" ht="15" customHeight="1" x14ac:dyDescent="0.25">
      <c r="A3579" t="str">
        <f>MID(TB_CECO[[#This Row],[CECO_T]],1,5)</f>
        <v>3M389</v>
      </c>
      <c r="B3579" t="str">
        <f>MID(TB_CECO[[#This Row],[TRABAJO]],1,SEARCH(",",TB_CECO[[#This Row],[TRABAJO]],1)-1)</f>
        <v>Ch 642 (Tj 642 SW)</v>
      </c>
      <c r="C35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642 (Tj 642 SW),VOLADURA</v>
      </c>
      <c r="D35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79" s="47" t="s">
        <v>7082</v>
      </c>
      <c r="G3579" t="s">
        <v>7083</v>
      </c>
      <c r="H35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80" spans="1:8" ht="15" customHeight="1" x14ac:dyDescent="0.25">
      <c r="A3580" t="str">
        <f>MID(TB_CECO[[#This Row],[CECO_T]],1,5)</f>
        <v>3M52Z</v>
      </c>
      <c r="B3580" t="str">
        <f>MID(TB_CECO[[#This Row],[TRABAJO]],1,SEARCH(",",TB_CECO[[#This Row],[TRABAJO]],1)-1)</f>
        <v>Snv 645 SW (Tj 642 SW)</v>
      </c>
      <c r="C35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645 SW (Tj 642 SW),LIMPIEZA</v>
      </c>
      <c r="D35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80" s="47" t="s">
        <v>7084</v>
      </c>
      <c r="G3580" t="s">
        <v>7085</v>
      </c>
      <c r="H35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81" spans="1:8" ht="15" customHeight="1" x14ac:dyDescent="0.25">
      <c r="A3581" t="str">
        <f>MID(TB_CECO[[#This Row],[CECO_T]],1,5)</f>
        <v>3M52Z</v>
      </c>
      <c r="B3581" t="str">
        <f>MID(TB_CECO[[#This Row],[TRABAJO]],1,SEARCH(",",TB_CECO[[#This Row],[TRABAJO]],1)-1)</f>
        <v>Snv 645 SW (Tj 642 SW)</v>
      </c>
      <c r="C35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645 SW (Tj 642 SW),SERVICIO</v>
      </c>
      <c r="D35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81" s="47" t="s">
        <v>7086</v>
      </c>
      <c r="G3581" t="s">
        <v>7087</v>
      </c>
      <c r="H35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82" spans="1:8" ht="15" customHeight="1" x14ac:dyDescent="0.25">
      <c r="A3582" t="str">
        <f>MID(TB_CECO[[#This Row],[CECO_T]],1,5)</f>
        <v>3M52Z</v>
      </c>
      <c r="B3582" t="str">
        <f>MID(TB_CECO[[#This Row],[TRABAJO]],1,SEARCH(",",TB_CECO[[#This Row],[TRABAJO]],1)-1)</f>
        <v>Snv 645 SW (Tj 642 SW)</v>
      </c>
      <c r="C35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645 SW (Tj 642 SW),PERFORACION</v>
      </c>
      <c r="D35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82" s="47" t="s">
        <v>7088</v>
      </c>
      <c r="G3582" t="s">
        <v>7089</v>
      </c>
      <c r="H35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83" spans="1:8" ht="15" customHeight="1" x14ac:dyDescent="0.25">
      <c r="A3583" t="str">
        <f>MID(TB_CECO[[#This Row],[CECO_T]],1,5)</f>
        <v>3M52Z</v>
      </c>
      <c r="B3583" t="str">
        <f>MID(TB_CECO[[#This Row],[TRABAJO]],1,SEARCH(",",TB_CECO[[#This Row],[TRABAJO]],1)-1)</f>
        <v>Snv 645 SW (Tj 642 SW)</v>
      </c>
      <c r="C35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645 SW (Tj 642 SW),SOSTENIMIENTO</v>
      </c>
      <c r="D35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83" s="47" t="s">
        <v>7090</v>
      </c>
      <c r="G3583" t="s">
        <v>7091</v>
      </c>
      <c r="H35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84" spans="1:8" ht="15" customHeight="1" x14ac:dyDescent="0.25">
      <c r="A3584" t="str">
        <f>MID(TB_CECO[[#This Row],[CECO_T]],1,5)</f>
        <v>3M52Z</v>
      </c>
      <c r="B3584" t="str">
        <f>MID(TB_CECO[[#This Row],[TRABAJO]],1,SEARCH(",",TB_CECO[[#This Row],[TRABAJO]],1)-1)</f>
        <v>Snv 645 SW (Tj 642 SW)</v>
      </c>
      <c r="C35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645 SW (Tj 642 SW),VOLADURA</v>
      </c>
      <c r="D35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84" s="47" t="s">
        <v>7092</v>
      </c>
      <c r="G3584" t="s">
        <v>7093</v>
      </c>
      <c r="H35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85" spans="1:8" ht="15" customHeight="1" x14ac:dyDescent="0.25">
      <c r="A3585" t="str">
        <f>MID(TB_CECO[[#This Row],[CECO_T]],1,5)</f>
        <v>3M53V</v>
      </c>
      <c r="B3585" t="str">
        <f>MID(TB_CECO[[#This Row],[TRABAJO]],1,SEARCH(",",TB_CECO[[#This Row],[TRABAJO]],1)-1)</f>
        <v>Snv 619 NW (Inc 642 SW)</v>
      </c>
      <c r="C35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619 NW (Inc 642 SW),LIMPIEZA</v>
      </c>
      <c r="D35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85" s="47" t="s">
        <v>7094</v>
      </c>
      <c r="G3585" t="s">
        <v>7095</v>
      </c>
      <c r="H35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86" spans="1:8" ht="15" customHeight="1" x14ac:dyDescent="0.25">
      <c r="A3586" t="str">
        <f>MID(TB_CECO[[#This Row],[CECO_T]],1,5)</f>
        <v>3M53V</v>
      </c>
      <c r="B3586" t="str">
        <f>MID(TB_CECO[[#This Row],[TRABAJO]],1,SEARCH(",",TB_CECO[[#This Row],[TRABAJO]],1)-1)</f>
        <v>Snv 619 NW (Inc 642 SW)</v>
      </c>
      <c r="C35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619 NW (Inc 642 SW),SERVICIO</v>
      </c>
      <c r="D35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86" s="47" t="s">
        <v>7096</v>
      </c>
      <c r="G3586" t="s">
        <v>7097</v>
      </c>
      <c r="H35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87" spans="1:8" ht="15" customHeight="1" x14ac:dyDescent="0.25">
      <c r="A3587" t="str">
        <f>MID(TB_CECO[[#This Row],[CECO_T]],1,5)</f>
        <v>3M53V</v>
      </c>
      <c r="B3587" t="str">
        <f>MID(TB_CECO[[#This Row],[TRABAJO]],1,SEARCH(",",TB_CECO[[#This Row],[TRABAJO]],1)-1)</f>
        <v>Snv 619 NW (Inc 642 SW)</v>
      </c>
      <c r="C35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619 NW (Inc 642 SW),PERFORACION</v>
      </c>
      <c r="D35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87" s="47" t="s">
        <v>7098</v>
      </c>
      <c r="G3587" t="s">
        <v>7099</v>
      </c>
      <c r="H35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88" spans="1:8" ht="15" customHeight="1" x14ac:dyDescent="0.25">
      <c r="A3588" t="str">
        <f>MID(TB_CECO[[#This Row],[CECO_T]],1,5)</f>
        <v>3M53V</v>
      </c>
      <c r="B3588" t="str">
        <f>MID(TB_CECO[[#This Row],[TRABAJO]],1,SEARCH(",",TB_CECO[[#This Row],[TRABAJO]],1)-1)</f>
        <v>Snv 619 NW (Inc 642 SW)</v>
      </c>
      <c r="C35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619 NW (Inc 642 SW),SOSTENIMIENTO</v>
      </c>
      <c r="D35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88" s="47" t="s">
        <v>7100</v>
      </c>
      <c r="G3588" t="s">
        <v>7101</v>
      </c>
      <c r="H35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89" spans="1:8" ht="15" customHeight="1" x14ac:dyDescent="0.25">
      <c r="A3589" t="str">
        <f>MID(TB_CECO[[#This Row],[CECO_T]],1,5)</f>
        <v>3M53V</v>
      </c>
      <c r="B3589" t="str">
        <f>MID(TB_CECO[[#This Row],[TRABAJO]],1,SEARCH(",",TB_CECO[[#This Row],[TRABAJO]],1)-1)</f>
        <v>Snv 619 NW (Inc 642 SW)</v>
      </c>
      <c r="C35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619 NW (Inc 642 SW),VOLADURA</v>
      </c>
      <c r="D35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89" s="47" t="s">
        <v>7102</v>
      </c>
      <c r="G3589" t="s">
        <v>7103</v>
      </c>
      <c r="H35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90" spans="1:8" ht="15" customHeight="1" x14ac:dyDescent="0.25">
      <c r="A3590" t="str">
        <f>MID(TB_CECO[[#This Row],[CECO_T]],1,5)</f>
        <v>3M53W</v>
      </c>
      <c r="B3590" t="str">
        <f>MID(TB_CECO[[#This Row],[TRABAJO]],1,SEARCH(",",TB_CECO[[#This Row],[TRABAJO]],1)-1)</f>
        <v>Snv 619 SE (Inc 642 SW)</v>
      </c>
      <c r="C35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619 SE (Inc 642 SW),LIMPIEZA</v>
      </c>
      <c r="D35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90" s="47" t="s">
        <v>7104</v>
      </c>
      <c r="G3590" t="s">
        <v>7105</v>
      </c>
      <c r="H35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91" spans="1:8" ht="15" customHeight="1" x14ac:dyDescent="0.25">
      <c r="A3591" t="str">
        <f>MID(TB_CECO[[#This Row],[CECO_T]],1,5)</f>
        <v>3M53W</v>
      </c>
      <c r="B3591" t="str">
        <f>MID(TB_CECO[[#This Row],[TRABAJO]],1,SEARCH(",",TB_CECO[[#This Row],[TRABAJO]],1)-1)</f>
        <v>Snv 619 SE (Inc 642 SW)</v>
      </c>
      <c r="C35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619 SE (Inc 642 SW),SERVICIO</v>
      </c>
      <c r="D35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91" s="47" t="s">
        <v>7106</v>
      </c>
      <c r="G3591" t="s">
        <v>7107</v>
      </c>
      <c r="H35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92" spans="1:8" ht="15" customHeight="1" x14ac:dyDescent="0.25">
      <c r="A3592" t="str">
        <f>MID(TB_CECO[[#This Row],[CECO_T]],1,5)</f>
        <v>3M53W</v>
      </c>
      <c r="B3592" t="str">
        <f>MID(TB_CECO[[#This Row],[TRABAJO]],1,SEARCH(",",TB_CECO[[#This Row],[TRABAJO]],1)-1)</f>
        <v>Snv 619 SE (Inc 642 SW)</v>
      </c>
      <c r="C35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619 SE (Inc 642 SW),PERFORACION</v>
      </c>
      <c r="D35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92" s="47" t="s">
        <v>7108</v>
      </c>
      <c r="G3592" t="s">
        <v>7109</v>
      </c>
      <c r="H35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93" spans="1:8" ht="15" customHeight="1" x14ac:dyDescent="0.25">
      <c r="A3593" t="str">
        <f>MID(TB_CECO[[#This Row],[CECO_T]],1,5)</f>
        <v>3M53W</v>
      </c>
      <c r="B3593" t="str">
        <f>MID(TB_CECO[[#This Row],[TRABAJO]],1,SEARCH(",",TB_CECO[[#This Row],[TRABAJO]],1)-1)</f>
        <v>Snv 619 SE (Inc 642 SW)</v>
      </c>
      <c r="C35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619 SE (Inc 642 SW),SOSTENIMIENTO</v>
      </c>
      <c r="D35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93" s="47" t="s">
        <v>7110</v>
      </c>
      <c r="G3593" t="s">
        <v>7111</v>
      </c>
      <c r="H35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94" spans="1:8" ht="15" customHeight="1" x14ac:dyDescent="0.25">
      <c r="A3594" t="str">
        <f>MID(TB_CECO[[#This Row],[CECO_T]],1,5)</f>
        <v>3M53W</v>
      </c>
      <c r="B3594" t="str">
        <f>MID(TB_CECO[[#This Row],[TRABAJO]],1,SEARCH(",",TB_CECO[[#This Row],[TRABAJO]],1)-1)</f>
        <v>Snv 619 SE (Inc 642 SW)</v>
      </c>
      <c r="C35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619 SE (Inc 642 SW),VOLADURA</v>
      </c>
      <c r="D35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94" s="47" t="s">
        <v>7112</v>
      </c>
      <c r="G3594" t="s">
        <v>7113</v>
      </c>
      <c r="H35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95" spans="1:8" ht="15" customHeight="1" x14ac:dyDescent="0.25">
      <c r="A3595" t="str">
        <f>MID(TB_CECO[[#This Row],[CECO_T]],1,5)</f>
        <v>3M54K</v>
      </c>
      <c r="B3595" t="str">
        <f>MID(TB_CECO[[#This Row],[TRABAJO]],1,SEARCH(",",TB_CECO[[#This Row],[TRABAJO]],1)-1)</f>
        <v>Snv 622 SW (Tj 619 SW)</v>
      </c>
      <c r="C35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622 SW (Tj 619 SW),LIMPIEZA</v>
      </c>
      <c r="D35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95" s="47" t="s">
        <v>7114</v>
      </c>
      <c r="G3595" t="s">
        <v>7115</v>
      </c>
      <c r="H35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96" spans="1:8" ht="15" customHeight="1" x14ac:dyDescent="0.25">
      <c r="A3596" t="str">
        <f>MID(TB_CECO[[#This Row],[CECO_T]],1,5)</f>
        <v>3M54K</v>
      </c>
      <c r="B3596" t="str">
        <f>MID(TB_CECO[[#This Row],[TRABAJO]],1,SEARCH(",",TB_CECO[[#This Row],[TRABAJO]],1)-1)</f>
        <v>Snv 622 SW (Tj 619 SW)</v>
      </c>
      <c r="C35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622 SW (Tj 619 SW),SERVICIO</v>
      </c>
      <c r="D35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96" s="47" t="s">
        <v>7116</v>
      </c>
      <c r="G3596" t="s">
        <v>7117</v>
      </c>
      <c r="H35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97" spans="1:8" ht="15" customHeight="1" x14ac:dyDescent="0.25">
      <c r="A3597" t="str">
        <f>MID(TB_CECO[[#This Row],[CECO_T]],1,5)</f>
        <v>3M54K</v>
      </c>
      <c r="B3597" t="str">
        <f>MID(TB_CECO[[#This Row],[TRABAJO]],1,SEARCH(",",TB_CECO[[#This Row],[TRABAJO]],1)-1)</f>
        <v>Snv 622 SW (Tj 619 SW)</v>
      </c>
      <c r="C35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622 SW (Tj 619 SW),PERFORACION</v>
      </c>
      <c r="D35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97" s="47" t="s">
        <v>7118</v>
      </c>
      <c r="G3597" t="s">
        <v>7119</v>
      </c>
      <c r="H35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98" spans="1:8" ht="15" customHeight="1" x14ac:dyDescent="0.25">
      <c r="A3598" t="str">
        <f>MID(TB_CECO[[#This Row],[CECO_T]],1,5)</f>
        <v>3M54K</v>
      </c>
      <c r="B3598" t="str">
        <f>MID(TB_CECO[[#This Row],[TRABAJO]],1,SEARCH(",",TB_CECO[[#This Row],[TRABAJO]],1)-1)</f>
        <v>Snv 622 SW (Tj 619 SW)</v>
      </c>
      <c r="C35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622 SW (Tj 619 SW),SOSTENIMIENTO</v>
      </c>
      <c r="D35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98" s="47" t="s">
        <v>7120</v>
      </c>
      <c r="G3598" t="s">
        <v>7121</v>
      </c>
      <c r="H35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599" spans="1:8" ht="15" customHeight="1" x14ac:dyDescent="0.25">
      <c r="A3599" t="str">
        <f>MID(TB_CECO[[#This Row],[CECO_T]],1,5)</f>
        <v>3M54K</v>
      </c>
      <c r="B3599" t="str">
        <f>MID(TB_CECO[[#This Row],[TRABAJO]],1,SEARCH(",",TB_CECO[[#This Row],[TRABAJO]],1)-1)</f>
        <v>Snv 622 SW (Tj 619 SW)</v>
      </c>
      <c r="C35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622 SW (Tj 619 SW),VOLADURA</v>
      </c>
      <c r="D35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5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599" s="47" t="s">
        <v>7122</v>
      </c>
      <c r="G3599" t="s">
        <v>7123</v>
      </c>
      <c r="H35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00" spans="1:8" ht="15" customHeight="1" x14ac:dyDescent="0.25">
      <c r="A3600" t="str">
        <f>MID(TB_CECO[[#This Row],[CECO_T]],1,5)</f>
        <v>3M54L</v>
      </c>
      <c r="B3600" t="str">
        <f>MID(TB_CECO[[#This Row],[TRABAJO]],1,SEARCH(",",TB_CECO[[#This Row],[TRABAJO]],1)-1)</f>
        <v>Snv 622 NE (Ch 619)</v>
      </c>
      <c r="C36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622 NE (Ch 619),LIMPIEZA</v>
      </c>
      <c r="D36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6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00" s="47" t="s">
        <v>7124</v>
      </c>
      <c r="G3600" t="s">
        <v>7125</v>
      </c>
      <c r="H36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01" spans="1:8" ht="15" customHeight="1" x14ac:dyDescent="0.25">
      <c r="A3601" t="str">
        <f>MID(TB_CECO[[#This Row],[CECO_T]],1,5)</f>
        <v>3M54L</v>
      </c>
      <c r="B3601" t="str">
        <f>MID(TB_CECO[[#This Row],[TRABAJO]],1,SEARCH(",",TB_CECO[[#This Row],[TRABAJO]],1)-1)</f>
        <v>Snv 622 NE (Ch 619)</v>
      </c>
      <c r="C36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622 NE (Ch 619),SERVICIO</v>
      </c>
      <c r="D36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6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01" s="47" t="s">
        <v>7126</v>
      </c>
      <c r="G3601" t="s">
        <v>7127</v>
      </c>
      <c r="H36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02" spans="1:8" ht="15" customHeight="1" x14ac:dyDescent="0.25">
      <c r="A3602" t="str">
        <f>MID(TB_CECO[[#This Row],[CECO_T]],1,5)</f>
        <v>3M54L</v>
      </c>
      <c r="B3602" t="str">
        <f>MID(TB_CECO[[#This Row],[TRABAJO]],1,SEARCH(",",TB_CECO[[#This Row],[TRABAJO]],1)-1)</f>
        <v>Snv 622 NE (Ch 619)</v>
      </c>
      <c r="C36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622 NE (Ch 619),PERFORACION</v>
      </c>
      <c r="D36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6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02" s="47" t="s">
        <v>7128</v>
      </c>
      <c r="G3602" t="s">
        <v>7129</v>
      </c>
      <c r="H36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03" spans="1:8" ht="15" customHeight="1" x14ac:dyDescent="0.25">
      <c r="A3603" t="str">
        <f>MID(TB_CECO[[#This Row],[CECO_T]],1,5)</f>
        <v>3M54L</v>
      </c>
      <c r="B3603" t="str">
        <f>MID(TB_CECO[[#This Row],[TRABAJO]],1,SEARCH(",",TB_CECO[[#This Row],[TRABAJO]],1)-1)</f>
        <v>Snv 622 NE (Ch 619)</v>
      </c>
      <c r="C36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622 NE (Ch 619),SOSTENIMIENTO</v>
      </c>
      <c r="D36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6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03" s="47" t="s">
        <v>7130</v>
      </c>
      <c r="G3603" t="s">
        <v>7131</v>
      </c>
      <c r="H36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04" spans="1:8" ht="15" customHeight="1" x14ac:dyDescent="0.25">
      <c r="A3604" t="str">
        <f>MID(TB_CECO[[#This Row],[CECO_T]],1,5)</f>
        <v>3M54L</v>
      </c>
      <c r="B3604" t="str">
        <f>MID(TB_CECO[[#This Row],[TRABAJO]],1,SEARCH(",",TB_CECO[[#This Row],[TRABAJO]],1)-1)</f>
        <v>Snv 622 NE (Ch 619)</v>
      </c>
      <c r="C36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622 NE (Ch 619),VOLADURA</v>
      </c>
      <c r="D36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36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04" s="47" t="s">
        <v>7132</v>
      </c>
      <c r="G3604" t="s">
        <v>7133</v>
      </c>
      <c r="H36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05" spans="1:8" ht="15" customHeight="1" x14ac:dyDescent="0.25">
      <c r="A3605" t="str">
        <f>MID(TB_CECO[[#This Row],[CECO_T]],1,5)</f>
        <v>41001</v>
      </c>
      <c r="B3605" t="str">
        <f>MID(TB_CECO[[#This Row],[TRABAJO]],1,SEARCH(",",TB_CECO[[#This Row],[TRABAJO]],1)-1)</f>
        <v>GA 170 SW Cx. 128 NE</v>
      </c>
      <c r="C36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SW Cx. 128 NE,VOLADURA     </v>
      </c>
      <c r="D36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05" s="47" t="s">
        <v>7134</v>
      </c>
      <c r="G3605" t="s">
        <v>7135</v>
      </c>
      <c r="H36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06" spans="1:8" ht="15" customHeight="1" x14ac:dyDescent="0.25">
      <c r="A3606" t="str">
        <f>MID(TB_CECO[[#This Row],[CECO_T]],1,5)</f>
        <v>41001</v>
      </c>
      <c r="B3606" t="str">
        <f>MID(TB_CECO[[#This Row],[TRABAJO]],1,SEARCH(",",TB_CECO[[#This Row],[TRABAJO]],1)-1)</f>
        <v>GA 170 SW Cx. 128 NE</v>
      </c>
      <c r="C36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SW Cx. 128 NE,CAMINOS      </v>
      </c>
      <c r="D36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06" s="47" t="s">
        <v>7136</v>
      </c>
      <c r="G3606" t="s">
        <v>7137</v>
      </c>
      <c r="H36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07" spans="1:8" ht="15" customHeight="1" x14ac:dyDescent="0.25">
      <c r="A3607" t="str">
        <f>MID(TB_CECO[[#This Row],[CECO_T]],1,5)</f>
        <v>41001</v>
      </c>
      <c r="B3607" t="str">
        <f>MID(TB_CECO[[#This Row],[TRABAJO]],1,SEARCH(",",TB_CECO[[#This Row],[TRABAJO]],1)-1)</f>
        <v>GA 170 SW Cx. 128 NE</v>
      </c>
      <c r="C36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 170 SW Cx. 128 NE,INSTALACION D</v>
      </c>
      <c r="D36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07" s="47" t="s">
        <v>7138</v>
      </c>
      <c r="G3607" t="s">
        <v>7139</v>
      </c>
      <c r="H36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08" spans="1:8" ht="15" customHeight="1" x14ac:dyDescent="0.25">
      <c r="A3608" t="str">
        <f>MID(TB_CECO[[#This Row],[CECO_T]],1,5)</f>
        <v>41001</v>
      </c>
      <c r="B3608" t="str">
        <f>MID(TB_CECO[[#This Row],[TRABAJO]],1,SEARCH(",",TB_CECO[[#This Row],[TRABAJO]],1)-1)</f>
        <v>GA 170 SW Cx. 128 NE</v>
      </c>
      <c r="C36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 170 SW Cx. 128 NE,REHAB DE LABO</v>
      </c>
      <c r="D36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08" s="47" t="s">
        <v>7140</v>
      </c>
      <c r="G3608" t="s">
        <v>7141</v>
      </c>
      <c r="H36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09" spans="1:8" ht="15" customHeight="1" x14ac:dyDescent="0.25">
      <c r="A3609" t="str">
        <f>MID(TB_CECO[[#This Row],[CECO_T]],1,5)</f>
        <v>41002</v>
      </c>
      <c r="B3609" t="str">
        <f>MID(TB_CECO[[#This Row],[TRABAJO]],1,SEARCH(",",TB_CECO[[#This Row],[TRABAJO]],1)-1)</f>
        <v>Gal_170</v>
      </c>
      <c r="C36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Gal_170,Voladura                  </v>
      </c>
      <c r="D36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09" s="47" t="s">
        <v>7142</v>
      </c>
      <c r="G3609" t="s">
        <v>7143</v>
      </c>
      <c r="H36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10" spans="1:8" ht="15" customHeight="1" x14ac:dyDescent="0.25">
      <c r="A3610" t="str">
        <f>MID(TB_CECO[[#This Row],[CECO_T]],1,5)</f>
        <v>41002</v>
      </c>
      <c r="B3610" t="str">
        <f>MID(TB_CECO[[#This Row],[TRABAJO]],1,SEARCH(",",TB_CECO[[#This Row],[TRABAJO]],1)-1)</f>
        <v>Gal_170</v>
      </c>
      <c r="C36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Gal_170,Caminos                   </v>
      </c>
      <c r="D36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10" s="47" t="s">
        <v>7144</v>
      </c>
      <c r="G3610" t="s">
        <v>7145</v>
      </c>
      <c r="H36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11" spans="1:8" ht="15" customHeight="1" x14ac:dyDescent="0.25">
      <c r="A3611" t="str">
        <f>MID(TB_CECO[[#This Row],[CECO_T]],1,5)</f>
        <v>41002</v>
      </c>
      <c r="B3611" t="str">
        <f>MID(TB_CECO[[#This Row],[TRABAJO]],1,SEARCH(",",TB_CECO[[#This Row],[TRABAJO]],1)-1)</f>
        <v>Gal_170</v>
      </c>
      <c r="C36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Gal_170,Instalaciones de Rieles   </v>
      </c>
      <c r="D36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11" s="47" t="s">
        <v>7146</v>
      </c>
      <c r="G3611" t="s">
        <v>7147</v>
      </c>
      <c r="H36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12" spans="1:8" ht="15" customHeight="1" x14ac:dyDescent="0.25">
      <c r="A3612" t="str">
        <f>MID(TB_CECO[[#This Row],[CECO_T]],1,5)</f>
        <v>41002</v>
      </c>
      <c r="B3612" t="str">
        <f>MID(TB_CECO[[#This Row],[TRABAJO]],1,SEARCH(",",TB_CECO[[#This Row],[TRABAJO]],1)-1)</f>
        <v>Gal_170</v>
      </c>
      <c r="C36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Gal_170,Rehabilitacion de Labores </v>
      </c>
      <c r="D36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12" s="47" t="s">
        <v>7148</v>
      </c>
      <c r="G3612" t="s">
        <v>7149</v>
      </c>
      <c r="H36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13" spans="1:8" ht="15" customHeight="1" x14ac:dyDescent="0.25">
      <c r="A3613" t="str">
        <f>MID(TB_CECO[[#This Row],[CECO_T]],1,5)</f>
        <v>41102</v>
      </c>
      <c r="B3613" t="str">
        <f>MID(TB_CECO[[#This Row],[TRABAJO]],1,SEARCH(",",TB_CECO[[#This Row],[TRABAJO]],1)-1)</f>
        <v>CX 128-1 NE GAL 028 NE</v>
      </c>
      <c r="C36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128-1 NE GAL 028 NE,VOLADURA   </v>
      </c>
      <c r="D36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13" s="47" t="s">
        <v>7150</v>
      </c>
      <c r="G3613" t="s">
        <v>7151</v>
      </c>
      <c r="H36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14" spans="1:8" ht="15" customHeight="1" x14ac:dyDescent="0.25">
      <c r="A3614" t="str">
        <f>MID(TB_CECO[[#This Row],[CECO_T]],1,5)</f>
        <v>41102</v>
      </c>
      <c r="B3614" t="str">
        <f>MID(TB_CECO[[#This Row],[TRABAJO]],1,SEARCH(",",TB_CECO[[#This Row],[TRABAJO]],1)-1)</f>
        <v>CX 128-1 NE GAL 028 NE</v>
      </c>
      <c r="C36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128-1 NE GAL 028 NE,CAMINOS    </v>
      </c>
      <c r="D36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14" s="47" t="s">
        <v>7152</v>
      </c>
      <c r="G3614" t="s">
        <v>7153</v>
      </c>
      <c r="H36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15" spans="1:8" ht="15" customHeight="1" x14ac:dyDescent="0.25">
      <c r="A3615" t="str">
        <f>MID(TB_CECO[[#This Row],[CECO_T]],1,5)</f>
        <v>41102</v>
      </c>
      <c r="B3615" t="str">
        <f>MID(TB_CECO[[#This Row],[TRABAJO]],1,SEARCH(",",TB_CECO[[#This Row],[TRABAJO]],1)-1)</f>
        <v>CX 128-1 NE GAL 028 NE</v>
      </c>
      <c r="C36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128-1 NE GAL 028 NE,INST. DE RI</v>
      </c>
      <c r="D36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15" s="47" t="s">
        <v>7154</v>
      </c>
      <c r="G3615" t="s">
        <v>7155</v>
      </c>
      <c r="H36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16" spans="1:8" ht="15" customHeight="1" x14ac:dyDescent="0.25">
      <c r="A3616" t="str">
        <f>MID(TB_CECO[[#This Row],[CECO_T]],1,5)</f>
        <v>41102</v>
      </c>
      <c r="B3616" t="str">
        <f>MID(TB_CECO[[#This Row],[TRABAJO]],1,SEARCH(",",TB_CECO[[#This Row],[TRABAJO]],1)-1)</f>
        <v>CX 128-1 NE GAL 028 NE</v>
      </c>
      <c r="C36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128-1 NE GAL 028 NE,REHAB DE LA</v>
      </c>
      <c r="D36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16" s="47" t="s">
        <v>7156</v>
      </c>
      <c r="G3616" t="s">
        <v>7157</v>
      </c>
      <c r="H36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17" spans="1:8" ht="15" customHeight="1" x14ac:dyDescent="0.25">
      <c r="A3617" t="str">
        <f>MID(TB_CECO[[#This Row],[CECO_T]],1,5)</f>
        <v>41104</v>
      </c>
      <c r="B3617" t="str">
        <f>MID(TB_CECO[[#This Row],[TRABAJO]],1,SEARCH(",",TB_CECO[[#This Row],[TRABAJO]],1)-1)</f>
        <v>CX 020 SW (GAL 170 SW)</v>
      </c>
      <c r="C36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020 SW (GAL 170 SW),VOLADURA    </v>
      </c>
      <c r="D36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17" s="47" t="s">
        <v>7158</v>
      </c>
      <c r="G3617" t="s">
        <v>7159</v>
      </c>
      <c r="H36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18" spans="1:8" ht="15" customHeight="1" x14ac:dyDescent="0.25">
      <c r="A3618" t="str">
        <f>MID(TB_CECO[[#This Row],[CECO_T]],1,5)</f>
        <v>41104</v>
      </c>
      <c r="B3618" t="str">
        <f>MID(TB_CECO[[#This Row],[TRABAJO]],1,SEARCH(",",TB_CECO[[#This Row],[TRABAJO]],1)-1)</f>
        <v>CX 020 SW (GAL 170 SW)</v>
      </c>
      <c r="C36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020 SW (GAL 170 SW),CAMINOS     </v>
      </c>
      <c r="D36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18" s="47" t="s">
        <v>7160</v>
      </c>
      <c r="G3618" t="s">
        <v>7161</v>
      </c>
      <c r="H36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19" spans="1:8" ht="15" customHeight="1" x14ac:dyDescent="0.25">
      <c r="A3619" t="str">
        <f>MID(TB_CECO[[#This Row],[CECO_T]],1,5)</f>
        <v>41104</v>
      </c>
      <c r="B3619" t="str">
        <f>MID(TB_CECO[[#This Row],[TRABAJO]],1,SEARCH(",",TB_CECO[[#This Row],[TRABAJO]],1)-1)</f>
        <v>CX 020 SW (GAL 170 SW)</v>
      </c>
      <c r="C36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020 SW (GAL 170 SW),INST.DE RIEL</v>
      </c>
      <c r="D36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19" s="47" t="s">
        <v>7162</v>
      </c>
      <c r="G3619" t="s">
        <v>7163</v>
      </c>
      <c r="H36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20" spans="1:8" ht="15" customHeight="1" x14ac:dyDescent="0.25">
      <c r="A3620" t="str">
        <f>MID(TB_CECO[[#This Row],[CECO_T]],1,5)</f>
        <v>41104</v>
      </c>
      <c r="B3620" t="str">
        <f>MID(TB_CECO[[#This Row],[TRABAJO]],1,SEARCH(",",TB_CECO[[#This Row],[TRABAJO]],1)-1)</f>
        <v>CX 020 SW (GAL 170 SW)</v>
      </c>
      <c r="C36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020 SW (GAL 170 SW),REHAB DE LAB</v>
      </c>
      <c r="D36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20" s="47" t="s">
        <v>7164</v>
      </c>
      <c r="G3620" t="s">
        <v>7165</v>
      </c>
      <c r="H36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21" spans="1:8" ht="15" customHeight="1" x14ac:dyDescent="0.25">
      <c r="A3621" t="str">
        <f>MID(TB_CECO[[#This Row],[CECO_T]],1,5)</f>
        <v>41221</v>
      </c>
      <c r="B3621" t="str">
        <f>MID(TB_CECO[[#This Row],[TRABAJO]],1,SEARCH(",",TB_CECO[[#This Row],[TRABAJO]],1)-1)</f>
        <v>CH 044 (GAL 170 SW)</v>
      </c>
      <c r="C36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044 (GAL 170 SW),VOLADURA       </v>
      </c>
      <c r="D36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21" s="47" t="s">
        <v>7166</v>
      </c>
      <c r="G3621" t="s">
        <v>7167</v>
      </c>
      <c r="H36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22" spans="1:8" ht="15" customHeight="1" x14ac:dyDescent="0.25">
      <c r="A3622" t="str">
        <f>MID(TB_CECO[[#This Row],[CECO_T]],1,5)</f>
        <v>41221</v>
      </c>
      <c r="B3622" t="str">
        <f>MID(TB_CECO[[#This Row],[TRABAJO]],1,SEARCH(",",TB_CECO[[#This Row],[TRABAJO]],1)-1)</f>
        <v>CH 044 (GAL 170 SW)</v>
      </c>
      <c r="C36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044 (GAL 170 SW),CAMINOS        </v>
      </c>
      <c r="D36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22" s="47" t="s">
        <v>7168</v>
      </c>
      <c r="G3622" t="s">
        <v>7169</v>
      </c>
      <c r="H36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23" spans="1:8" ht="15" customHeight="1" x14ac:dyDescent="0.25">
      <c r="A3623" t="str">
        <f>MID(TB_CECO[[#This Row],[CECO_T]],1,5)</f>
        <v>41221</v>
      </c>
      <c r="B3623" t="str">
        <f>MID(TB_CECO[[#This Row],[TRABAJO]],1,SEARCH(",",TB_CECO[[#This Row],[TRABAJO]],1)-1)</f>
        <v>CH 044 (GAL 170 SW)</v>
      </c>
      <c r="C36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044 (GAL 170 SW),INST.DE RIELES </v>
      </c>
      <c r="D36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23" s="47" t="s">
        <v>7170</v>
      </c>
      <c r="G3623" t="s">
        <v>7171</v>
      </c>
      <c r="H36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24" spans="1:8" ht="15" customHeight="1" x14ac:dyDescent="0.25">
      <c r="A3624" t="str">
        <f>MID(TB_CECO[[#This Row],[CECO_T]],1,5)</f>
        <v>41221</v>
      </c>
      <c r="B3624" t="str">
        <f>MID(TB_CECO[[#This Row],[TRABAJO]],1,SEARCH(",",TB_CECO[[#This Row],[TRABAJO]],1)-1)</f>
        <v>CH 044 (GAL 170 SW)</v>
      </c>
      <c r="C36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(GAL 170 SW),REHAB DE LABORE</v>
      </c>
      <c r="D36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24" s="47" t="s">
        <v>7172</v>
      </c>
      <c r="G3624" t="s">
        <v>7173</v>
      </c>
      <c r="H36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25" spans="1:8" ht="15" customHeight="1" x14ac:dyDescent="0.25">
      <c r="A3625" t="str">
        <f>MID(TB_CECO[[#This Row],[CECO_T]],1,5)</f>
        <v>41221</v>
      </c>
      <c r="B3625" t="str">
        <f>MID(TB_CECO[[#This Row],[TRABAJO]],1,SEARCH(",",TB_CECO[[#This Row],[TRABAJO]],1)-1)</f>
        <v>CH 044 (GAL 170 SW)</v>
      </c>
      <c r="C36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044 (GAL 170 SW),CICLO COMPLETO </v>
      </c>
      <c r="D36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6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625" s="47" t="s">
        <v>7174</v>
      </c>
      <c r="G3625" t="s">
        <v>7175</v>
      </c>
      <c r="H36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26" spans="1:8" ht="15" customHeight="1" x14ac:dyDescent="0.25">
      <c r="A3626" t="str">
        <f>MID(TB_CECO[[#This Row],[CECO_T]],1,5)</f>
        <v>41417</v>
      </c>
      <c r="B3626" t="str">
        <f>MID(TB_CECO[[#This Row],[TRABAJO]],1,SEARCH(",",TB_CECO[[#This Row],[TRABAJO]],1)-1)</f>
        <v>SNV 100-SW CH 100</v>
      </c>
      <c r="C36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100,VOLADURA        </v>
      </c>
      <c r="D36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26" s="47" t="s">
        <v>7176</v>
      </c>
      <c r="G3626" t="s">
        <v>7177</v>
      </c>
      <c r="H36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27" spans="1:8" ht="15" customHeight="1" x14ac:dyDescent="0.25">
      <c r="A3627" t="str">
        <f>MID(TB_CECO[[#This Row],[CECO_T]],1,5)</f>
        <v>41417</v>
      </c>
      <c r="B3627" t="str">
        <f>MID(TB_CECO[[#This Row],[TRABAJO]],1,SEARCH(",",TB_CECO[[#This Row],[TRABAJO]],1)-1)</f>
        <v>SNV 100-SW CH 100</v>
      </c>
      <c r="C36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100,CAMINOS         </v>
      </c>
      <c r="D36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27" s="47" t="s">
        <v>7178</v>
      </c>
      <c r="G3627" t="s">
        <v>7179</v>
      </c>
      <c r="H36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28" spans="1:8" ht="15" customHeight="1" x14ac:dyDescent="0.25">
      <c r="A3628" t="str">
        <f>MID(TB_CECO[[#This Row],[CECO_T]],1,5)</f>
        <v>41417</v>
      </c>
      <c r="B3628" t="str">
        <f>MID(TB_CECO[[#This Row],[TRABAJO]],1,SEARCH(",",TB_CECO[[#This Row],[TRABAJO]],1)-1)</f>
        <v>SNV 100-SW CH 100</v>
      </c>
      <c r="C36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100,INST.DE RIELES  </v>
      </c>
      <c r="D36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28" s="47" t="s">
        <v>7180</v>
      </c>
      <c r="G3628" t="s">
        <v>7181</v>
      </c>
      <c r="H36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29" spans="1:8" ht="15" customHeight="1" x14ac:dyDescent="0.25">
      <c r="A3629" t="str">
        <f>MID(TB_CECO[[#This Row],[CECO_T]],1,5)</f>
        <v>41417</v>
      </c>
      <c r="B3629" t="str">
        <f>MID(TB_CECO[[#This Row],[TRABAJO]],1,SEARCH(",",TB_CECO[[#This Row],[TRABAJO]],1)-1)</f>
        <v>SNV 100-SW CH 100</v>
      </c>
      <c r="C36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100-SW CH 100,REHAB DE LABORES</v>
      </c>
      <c r="D36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29" s="47" t="s">
        <v>7182</v>
      </c>
      <c r="G3629" t="s">
        <v>7183</v>
      </c>
      <c r="H36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30" spans="1:8" ht="15" customHeight="1" x14ac:dyDescent="0.25">
      <c r="A3630" t="str">
        <f>MID(TB_CECO[[#This Row],[CECO_T]],1,5)</f>
        <v>41417</v>
      </c>
      <c r="B3630" t="str">
        <f>MID(TB_CECO[[#This Row],[TRABAJO]],1,SEARCH(",",TB_CECO[[#This Row],[TRABAJO]],1)-1)</f>
        <v>SNV 100-SW CH 100</v>
      </c>
      <c r="C36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100-SW CH 100,CICLO COMPLETO  </v>
      </c>
      <c r="D36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30" s="47" t="s">
        <v>7184</v>
      </c>
      <c r="G3630" t="s">
        <v>7185</v>
      </c>
      <c r="H36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31" spans="1:8" ht="15" customHeight="1" x14ac:dyDescent="0.25">
      <c r="A3631" t="str">
        <f>MID(TB_CECO[[#This Row],[CECO_T]],1,5)</f>
        <v>41418</v>
      </c>
      <c r="B3631" t="str">
        <f>MID(TB_CECO[[#This Row],[TRABAJO]],1,SEARCH(",",TB_CECO[[#This Row],[TRABAJO]],1)-1)</f>
        <v>SNV 100-NE CH 100</v>
      </c>
      <c r="C36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100,VOLADURA        </v>
      </c>
      <c r="D36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31" s="47" t="s">
        <v>7186</v>
      </c>
      <c r="G3631" t="s">
        <v>7187</v>
      </c>
      <c r="H36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32" spans="1:8" ht="15" customHeight="1" x14ac:dyDescent="0.25">
      <c r="A3632" t="str">
        <f>MID(TB_CECO[[#This Row],[CECO_T]],1,5)</f>
        <v>41418</v>
      </c>
      <c r="B3632" t="str">
        <f>MID(TB_CECO[[#This Row],[TRABAJO]],1,SEARCH(",",TB_CECO[[#This Row],[TRABAJO]],1)-1)</f>
        <v>SNV 100-NE CH 100</v>
      </c>
      <c r="C36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100,CAMINOS         </v>
      </c>
      <c r="D36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32" s="47" t="s">
        <v>7188</v>
      </c>
      <c r="G3632" t="s">
        <v>7189</v>
      </c>
      <c r="H36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33" spans="1:8" ht="15" customHeight="1" x14ac:dyDescent="0.25">
      <c r="A3633" t="str">
        <f>MID(TB_CECO[[#This Row],[CECO_T]],1,5)</f>
        <v>41418</v>
      </c>
      <c r="B3633" t="str">
        <f>MID(TB_CECO[[#This Row],[TRABAJO]],1,SEARCH(",",TB_CECO[[#This Row],[TRABAJO]],1)-1)</f>
        <v>SNV 100-NE CH 100</v>
      </c>
      <c r="C36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100,INST.DE RIELES  </v>
      </c>
      <c r="D36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33" s="47" t="s">
        <v>7190</v>
      </c>
      <c r="G3633" t="s">
        <v>7191</v>
      </c>
      <c r="H36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34" spans="1:8" ht="15" customHeight="1" x14ac:dyDescent="0.25">
      <c r="A3634" t="str">
        <f>MID(TB_CECO[[#This Row],[CECO_T]],1,5)</f>
        <v>41418</v>
      </c>
      <c r="B3634" t="str">
        <f>MID(TB_CECO[[#This Row],[TRABAJO]],1,SEARCH(",",TB_CECO[[#This Row],[TRABAJO]],1)-1)</f>
        <v>SNV 100-NE CH 100</v>
      </c>
      <c r="C36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100-NE CH 100,REHAB DE LABORES</v>
      </c>
      <c r="D36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34" s="47" t="s">
        <v>7192</v>
      </c>
      <c r="G3634" t="s">
        <v>7193</v>
      </c>
      <c r="H36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35" spans="1:8" ht="15" customHeight="1" x14ac:dyDescent="0.25">
      <c r="A3635" t="str">
        <f>MID(TB_CECO[[#This Row],[CECO_T]],1,5)</f>
        <v>41418</v>
      </c>
      <c r="B3635" t="str">
        <f>MID(TB_CECO[[#This Row],[TRABAJO]],1,SEARCH(",",TB_CECO[[#This Row],[TRABAJO]],1)-1)</f>
        <v>SNV 100-NE CH 100</v>
      </c>
      <c r="C36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100-NE CH 100,CICLO COMPLETO  </v>
      </c>
      <c r="D36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35" s="47" t="s">
        <v>7194</v>
      </c>
      <c r="G3635" t="s">
        <v>7195</v>
      </c>
      <c r="H36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36" spans="1:8" ht="15" customHeight="1" x14ac:dyDescent="0.25">
      <c r="A3636" t="str">
        <f>MID(TB_CECO[[#This Row],[CECO_T]],1,5)</f>
        <v>41419</v>
      </c>
      <c r="B3636" t="str">
        <f>MID(TB_CECO[[#This Row],[TRABAJO]],1,SEARCH(",",TB_CECO[[#This Row],[TRABAJO]],1)-1)</f>
        <v>SNV 150-SW CH 150</v>
      </c>
      <c r="C36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150,VOLADURA        </v>
      </c>
      <c r="D36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36" s="47" t="s">
        <v>7196</v>
      </c>
      <c r="G3636" t="s">
        <v>7197</v>
      </c>
      <c r="H36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37" spans="1:8" ht="15" customHeight="1" x14ac:dyDescent="0.25">
      <c r="A3637" t="str">
        <f>MID(TB_CECO[[#This Row],[CECO_T]],1,5)</f>
        <v>41419</v>
      </c>
      <c r="B3637" t="str">
        <f>MID(TB_CECO[[#This Row],[TRABAJO]],1,SEARCH(",",TB_CECO[[#This Row],[TRABAJO]],1)-1)</f>
        <v>SNV 150-SW CH 150</v>
      </c>
      <c r="C36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150,CAMINOS         </v>
      </c>
      <c r="D36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37" s="47" t="s">
        <v>7198</v>
      </c>
      <c r="G3637" t="s">
        <v>7199</v>
      </c>
      <c r="H36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38" spans="1:8" ht="15" customHeight="1" x14ac:dyDescent="0.25">
      <c r="A3638" t="str">
        <f>MID(TB_CECO[[#This Row],[CECO_T]],1,5)</f>
        <v>41419</v>
      </c>
      <c r="B3638" t="str">
        <f>MID(TB_CECO[[#This Row],[TRABAJO]],1,SEARCH(",",TB_CECO[[#This Row],[TRABAJO]],1)-1)</f>
        <v>SNV 150-SW CH 150</v>
      </c>
      <c r="C36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150,INST.DE RIELES  </v>
      </c>
      <c r="D36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38" s="47" t="s">
        <v>7200</v>
      </c>
      <c r="G3638" t="s">
        <v>7201</v>
      </c>
      <c r="H36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39" spans="1:8" ht="15" customHeight="1" x14ac:dyDescent="0.25">
      <c r="A3639" t="str">
        <f>MID(TB_CECO[[#This Row],[CECO_T]],1,5)</f>
        <v>41419</v>
      </c>
      <c r="B3639" t="str">
        <f>MID(TB_CECO[[#This Row],[TRABAJO]],1,SEARCH(",",TB_CECO[[#This Row],[TRABAJO]],1)-1)</f>
        <v>SNV 150-SW CH 150</v>
      </c>
      <c r="C36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150-SW CH 150,REHAB DE LABORES</v>
      </c>
      <c r="D36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39" s="47" t="s">
        <v>7202</v>
      </c>
      <c r="G3639" t="s">
        <v>7203</v>
      </c>
      <c r="H36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40" spans="1:8" ht="15" customHeight="1" x14ac:dyDescent="0.25">
      <c r="A3640" t="str">
        <f>MID(TB_CECO[[#This Row],[CECO_T]],1,5)</f>
        <v>41419</v>
      </c>
      <c r="B3640" t="str">
        <f>MID(TB_CECO[[#This Row],[TRABAJO]],1,SEARCH(",",TB_CECO[[#This Row],[TRABAJO]],1)-1)</f>
        <v>SNV 150-SW CH 150</v>
      </c>
      <c r="C36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150-SW CH 150,CICLO COMPLETO  </v>
      </c>
      <c r="D36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40" s="47" t="s">
        <v>7204</v>
      </c>
      <c r="G3640" t="s">
        <v>7205</v>
      </c>
      <c r="H36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41" spans="1:8" ht="15" customHeight="1" x14ac:dyDescent="0.25">
      <c r="A3641" t="str">
        <f>MID(TB_CECO[[#This Row],[CECO_T]],1,5)</f>
        <v>41420</v>
      </c>
      <c r="B3641" t="str">
        <f>MID(TB_CECO[[#This Row],[TRABAJO]],1,SEARCH(",",TB_CECO[[#This Row],[TRABAJO]],1)-1)</f>
        <v>SNV 150-NE CH 150</v>
      </c>
      <c r="C36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150,VOLADURA        </v>
      </c>
      <c r="D36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41" s="47" t="s">
        <v>7206</v>
      </c>
      <c r="G3641" t="s">
        <v>7207</v>
      </c>
      <c r="H36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42" spans="1:8" ht="15" customHeight="1" x14ac:dyDescent="0.25">
      <c r="A3642" t="str">
        <f>MID(TB_CECO[[#This Row],[CECO_T]],1,5)</f>
        <v>41420</v>
      </c>
      <c r="B3642" t="str">
        <f>MID(TB_CECO[[#This Row],[TRABAJO]],1,SEARCH(",",TB_CECO[[#This Row],[TRABAJO]],1)-1)</f>
        <v>SNV 150-NE CH 150</v>
      </c>
      <c r="C36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150,CAMINOS         </v>
      </c>
      <c r="D36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42" s="47" t="s">
        <v>7208</v>
      </c>
      <c r="G3642" t="s">
        <v>7209</v>
      </c>
      <c r="H36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43" spans="1:8" ht="15" customHeight="1" x14ac:dyDescent="0.25">
      <c r="A3643" t="str">
        <f>MID(TB_CECO[[#This Row],[CECO_T]],1,5)</f>
        <v>41420</v>
      </c>
      <c r="B3643" t="str">
        <f>MID(TB_CECO[[#This Row],[TRABAJO]],1,SEARCH(",",TB_CECO[[#This Row],[TRABAJO]],1)-1)</f>
        <v>SNV 150-NE CH 150</v>
      </c>
      <c r="C36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150,INST.DE RIELES  </v>
      </c>
      <c r="D36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43" s="47" t="s">
        <v>7210</v>
      </c>
      <c r="G3643" t="s">
        <v>7211</v>
      </c>
      <c r="H36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44" spans="1:8" ht="15" customHeight="1" x14ac:dyDescent="0.25">
      <c r="A3644" t="str">
        <f>MID(TB_CECO[[#This Row],[CECO_T]],1,5)</f>
        <v>41420</v>
      </c>
      <c r="B3644" t="str">
        <f>MID(TB_CECO[[#This Row],[TRABAJO]],1,SEARCH(",",TB_CECO[[#This Row],[TRABAJO]],1)-1)</f>
        <v>SNV 150-NE CH 150</v>
      </c>
      <c r="C36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150-NE CH 150,REHAB DE LABORES</v>
      </c>
      <c r="D36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44" s="47" t="s">
        <v>7212</v>
      </c>
      <c r="G3644" t="s">
        <v>7213</v>
      </c>
      <c r="H36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45" spans="1:8" ht="15" customHeight="1" x14ac:dyDescent="0.25">
      <c r="A3645" t="str">
        <f>MID(TB_CECO[[#This Row],[CECO_T]],1,5)</f>
        <v>41420</v>
      </c>
      <c r="B3645" t="str">
        <f>MID(TB_CECO[[#This Row],[TRABAJO]],1,SEARCH(",",TB_CECO[[#This Row],[TRABAJO]],1)-1)</f>
        <v>SNV 150-NE CH 150</v>
      </c>
      <c r="C36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150-NE CH 150,CICLO COMPLETO  </v>
      </c>
      <c r="D36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45" s="47" t="s">
        <v>7214</v>
      </c>
      <c r="G3645" t="s">
        <v>7215</v>
      </c>
      <c r="H36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46" spans="1:8" ht="15" customHeight="1" x14ac:dyDescent="0.25">
      <c r="A3646" t="str">
        <f>MID(TB_CECO[[#This Row],[CECO_T]],1,5)</f>
        <v>41421</v>
      </c>
      <c r="B3646" t="str">
        <f>MID(TB_CECO[[#This Row],[TRABAJO]],1,SEARCH(",",TB_CECO[[#This Row],[TRABAJO]],1)-1)</f>
        <v>SNv 170 NE CX 128 NE</v>
      </c>
      <c r="C36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170 NE CX 128 NE,VOLADURA     </v>
      </c>
      <c r="D36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46" s="47" t="s">
        <v>7216</v>
      </c>
      <c r="G3646" t="s">
        <v>7217</v>
      </c>
      <c r="H36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47" spans="1:8" ht="15" customHeight="1" x14ac:dyDescent="0.25">
      <c r="A3647" t="str">
        <f>MID(TB_CECO[[#This Row],[CECO_T]],1,5)</f>
        <v>41421</v>
      </c>
      <c r="B3647" t="str">
        <f>MID(TB_CECO[[#This Row],[TRABAJO]],1,SEARCH(",",TB_CECO[[#This Row],[TRABAJO]],1)-1)</f>
        <v>SNv 170 NE CX 128 NE</v>
      </c>
      <c r="C36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170 NE CX 128 NE,CAMINOS      </v>
      </c>
      <c r="D36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47" s="47" t="s">
        <v>7218</v>
      </c>
      <c r="G3647" t="s">
        <v>7219</v>
      </c>
      <c r="H36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48" spans="1:8" ht="15" customHeight="1" x14ac:dyDescent="0.25">
      <c r="A3648" t="str">
        <f>MID(TB_CECO[[#This Row],[CECO_T]],1,5)</f>
        <v>41421</v>
      </c>
      <c r="B3648" t="str">
        <f>MID(TB_CECO[[#This Row],[TRABAJO]],1,SEARCH(",",TB_CECO[[#This Row],[TRABAJO]],1)-1)</f>
        <v>SNv 170 NE CX 128 NE</v>
      </c>
      <c r="C36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170 NE CX 128 NE,INST.DE RIELE</v>
      </c>
      <c r="D36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48" s="47" t="s">
        <v>7220</v>
      </c>
      <c r="G3648" t="s">
        <v>7221</v>
      </c>
      <c r="H36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49" spans="1:8" ht="15" customHeight="1" x14ac:dyDescent="0.25">
      <c r="A3649" t="str">
        <f>MID(TB_CECO[[#This Row],[CECO_T]],1,5)</f>
        <v>41421</v>
      </c>
      <c r="B3649" t="str">
        <f>MID(TB_CECO[[#This Row],[TRABAJO]],1,SEARCH(",",TB_CECO[[#This Row],[TRABAJO]],1)-1)</f>
        <v>SNv 170 NE CX 128 NE</v>
      </c>
      <c r="C36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170 NE CX 128 NE,REHAB DE LABO</v>
      </c>
      <c r="D36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49" s="47" t="s">
        <v>7222</v>
      </c>
      <c r="G3649" t="s">
        <v>7223</v>
      </c>
      <c r="H36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50" spans="1:8" ht="15" customHeight="1" x14ac:dyDescent="0.25">
      <c r="A3650" t="str">
        <f>MID(TB_CECO[[#This Row],[CECO_T]],1,5)</f>
        <v>41421</v>
      </c>
      <c r="B3650" t="str">
        <f>MID(TB_CECO[[#This Row],[TRABAJO]],1,SEARCH(",",TB_CECO[[#This Row],[TRABAJO]],1)-1)</f>
        <v>SNv 170 NE CX 128 NE</v>
      </c>
      <c r="C36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170 NE CX 128 NE,CICLO COMPLET</v>
      </c>
      <c r="D36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50" s="47" t="s">
        <v>7224</v>
      </c>
      <c r="G3650" t="s">
        <v>7225</v>
      </c>
      <c r="H36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51" spans="1:8" ht="15" customHeight="1" x14ac:dyDescent="0.25">
      <c r="A3651" t="str">
        <f>MID(TB_CECO[[#This Row],[CECO_T]],1,5)</f>
        <v>41514</v>
      </c>
      <c r="B3651" t="str">
        <f>MID(TB_CECO[[#This Row],[TRABAJO]],1,SEARCH(",",TB_CECO[[#This Row],[TRABAJO]],1)-1)</f>
        <v>Est. 170 SE Gal 170 SW</v>
      </c>
      <c r="C36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170 SE Gal 170 SW,VOLADURA   </v>
      </c>
      <c r="D36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51" s="47" t="s">
        <v>7226</v>
      </c>
      <c r="G3651" t="s">
        <v>7227</v>
      </c>
      <c r="H36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52" spans="1:8" ht="15" customHeight="1" x14ac:dyDescent="0.25">
      <c r="A3652" t="str">
        <f>MID(TB_CECO[[#This Row],[CECO_T]],1,5)</f>
        <v>41514</v>
      </c>
      <c r="B3652" t="str">
        <f>MID(TB_CECO[[#This Row],[TRABAJO]],1,SEARCH(",",TB_CECO[[#This Row],[TRABAJO]],1)-1)</f>
        <v>Est. 170 SE Gal 170 SW</v>
      </c>
      <c r="C36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170 SE Gal 170 SW,CAMINOS    </v>
      </c>
      <c r="D36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52" s="47" t="s">
        <v>7228</v>
      </c>
      <c r="G3652" t="s">
        <v>7229</v>
      </c>
      <c r="H36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53" spans="1:8" ht="15" customHeight="1" x14ac:dyDescent="0.25">
      <c r="A3653" t="str">
        <f>MID(TB_CECO[[#This Row],[CECO_T]],1,5)</f>
        <v>41514</v>
      </c>
      <c r="B3653" t="str">
        <f>MID(TB_CECO[[#This Row],[TRABAJO]],1,SEARCH(",",TB_CECO[[#This Row],[TRABAJO]],1)-1)</f>
        <v>Est. 170 SE Gal 170 SW</v>
      </c>
      <c r="C36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170 SE Gal 170 SW,INST.DE RIE</v>
      </c>
      <c r="D36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53" s="47" t="s">
        <v>7230</v>
      </c>
      <c r="G3653" t="s">
        <v>7231</v>
      </c>
      <c r="H36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54" spans="1:8" ht="15" customHeight="1" x14ac:dyDescent="0.25">
      <c r="A3654" t="str">
        <f>MID(TB_CECO[[#This Row],[CECO_T]],1,5)</f>
        <v>41514</v>
      </c>
      <c r="B3654" t="str">
        <f>MID(TB_CECO[[#This Row],[TRABAJO]],1,SEARCH(",",TB_CECO[[#This Row],[TRABAJO]],1)-1)</f>
        <v>Est. 170 SE Gal 170 SW</v>
      </c>
      <c r="C36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170 SE Gal 170 SW,REHAB DE LA</v>
      </c>
      <c r="D36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54" s="47" t="s">
        <v>7232</v>
      </c>
      <c r="G3654" t="s">
        <v>7233</v>
      </c>
      <c r="H36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55" spans="1:8" ht="15" customHeight="1" x14ac:dyDescent="0.25">
      <c r="A3655" t="str">
        <f>MID(TB_CECO[[#This Row],[CECO_T]],1,5)</f>
        <v>41515</v>
      </c>
      <c r="B3655" t="str">
        <f>MID(TB_CECO[[#This Row],[TRABAJO]],1,SEARCH(",",TB_CECO[[#This Row],[TRABAJO]],1)-1)</f>
        <v>Est. 074 SE Gal 170 SW</v>
      </c>
      <c r="C36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074 SE Gal 170 SW,VOLADURA   </v>
      </c>
      <c r="D36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55" s="47" t="s">
        <v>7234</v>
      </c>
      <c r="G3655" t="s">
        <v>7235</v>
      </c>
      <c r="H36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56" spans="1:8" ht="15" customHeight="1" x14ac:dyDescent="0.25">
      <c r="A3656" t="str">
        <f>MID(TB_CECO[[#This Row],[CECO_T]],1,5)</f>
        <v>41515</v>
      </c>
      <c r="B3656" t="str">
        <f>MID(TB_CECO[[#This Row],[TRABAJO]],1,SEARCH(",",TB_CECO[[#This Row],[TRABAJO]],1)-1)</f>
        <v>Est. 074 SE Gal 170 SW</v>
      </c>
      <c r="C36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074 SE Gal 170 SW,CAMINOS    </v>
      </c>
      <c r="D36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56" s="47" t="s">
        <v>7236</v>
      </c>
      <c r="G3656" t="s">
        <v>7237</v>
      </c>
      <c r="H36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57" spans="1:8" ht="15" customHeight="1" x14ac:dyDescent="0.25">
      <c r="A3657" t="str">
        <f>MID(TB_CECO[[#This Row],[CECO_T]],1,5)</f>
        <v>41515</v>
      </c>
      <c r="B3657" t="str">
        <f>MID(TB_CECO[[#This Row],[TRABAJO]],1,SEARCH(",",TB_CECO[[#This Row],[TRABAJO]],1)-1)</f>
        <v>Est. 074 SE Gal 170 SW</v>
      </c>
      <c r="C36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074 SE Gal 170 SW,INST.DE RIE</v>
      </c>
      <c r="D36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57" s="47" t="s">
        <v>7238</v>
      </c>
      <c r="G3657" t="s">
        <v>7239</v>
      </c>
      <c r="H36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58" spans="1:8" ht="15" customHeight="1" x14ac:dyDescent="0.25">
      <c r="A3658" t="str">
        <f>MID(TB_CECO[[#This Row],[CECO_T]],1,5)</f>
        <v>41515</v>
      </c>
      <c r="B3658" t="str">
        <f>MID(TB_CECO[[#This Row],[TRABAJO]],1,SEARCH(",",TB_CECO[[#This Row],[TRABAJO]],1)-1)</f>
        <v>Est. 074 SE Gal 170 SW</v>
      </c>
      <c r="C36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074 SE Gal 170 SW,REHAB DE LA</v>
      </c>
      <c r="D36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58" s="47" t="s">
        <v>7240</v>
      </c>
      <c r="G3658" t="s">
        <v>7241</v>
      </c>
      <c r="H36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59" spans="1:8" ht="15" customHeight="1" x14ac:dyDescent="0.25">
      <c r="A3659" t="str">
        <f>MID(TB_CECO[[#This Row],[CECO_T]],1,5)</f>
        <v>41516</v>
      </c>
      <c r="B3659" t="str">
        <f>MID(TB_CECO[[#This Row],[TRABAJO]],1,SEARCH(",",TB_CECO[[#This Row],[TRABAJO]],1)-1)</f>
        <v>Est 125 N Gal 170 sw</v>
      </c>
      <c r="C36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125 N Gal 170 sw,VOLADURA     </v>
      </c>
      <c r="D36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59" s="47" t="s">
        <v>7242</v>
      </c>
      <c r="G3659" t="s">
        <v>7243</v>
      </c>
      <c r="H36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60" spans="1:8" ht="15" customHeight="1" x14ac:dyDescent="0.25">
      <c r="A3660" t="str">
        <f>MID(TB_CECO[[#This Row],[CECO_T]],1,5)</f>
        <v>41516</v>
      </c>
      <c r="B3660" t="str">
        <f>MID(TB_CECO[[#This Row],[TRABAJO]],1,SEARCH(",",TB_CECO[[#This Row],[TRABAJO]],1)-1)</f>
        <v>Est 125 N Gal 170 sw</v>
      </c>
      <c r="C36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125 N Gal 170 sw,CAMINOS      </v>
      </c>
      <c r="D36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60" s="47" t="s">
        <v>7244</v>
      </c>
      <c r="G3660" t="s">
        <v>7245</v>
      </c>
      <c r="H36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61" spans="1:8" ht="15" customHeight="1" x14ac:dyDescent="0.25">
      <c r="A3661" t="str">
        <f>MID(TB_CECO[[#This Row],[CECO_T]],1,5)</f>
        <v>41516</v>
      </c>
      <c r="B3661" t="str">
        <f>MID(TB_CECO[[#This Row],[TRABAJO]],1,SEARCH(",",TB_CECO[[#This Row],[TRABAJO]],1)-1)</f>
        <v>Est 125 N Gal 170 sw</v>
      </c>
      <c r="C36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125 N Gal 170 sw,INST.DE RIELE</v>
      </c>
      <c r="D36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61" s="47" t="s">
        <v>7246</v>
      </c>
      <c r="G3661" t="s">
        <v>7247</v>
      </c>
      <c r="H36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62" spans="1:8" ht="15" customHeight="1" x14ac:dyDescent="0.25">
      <c r="A3662" t="str">
        <f>MID(TB_CECO[[#This Row],[CECO_T]],1,5)</f>
        <v>41516</v>
      </c>
      <c r="B3662" t="str">
        <f>MID(TB_CECO[[#This Row],[TRABAJO]],1,SEARCH(",",TB_CECO[[#This Row],[TRABAJO]],1)-1)</f>
        <v>Est 125 N Gal 170 sw</v>
      </c>
      <c r="C36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125 N Gal 170 sw,REHAB DE LABO</v>
      </c>
      <c r="D36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62" s="47" t="s">
        <v>7248</v>
      </c>
      <c r="G3662" t="s">
        <v>7249</v>
      </c>
      <c r="H36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63" spans="1:8" ht="15" customHeight="1" x14ac:dyDescent="0.25">
      <c r="A3663" t="str">
        <f>MID(TB_CECO[[#This Row],[CECO_T]],1,5)</f>
        <v>41516</v>
      </c>
      <c r="B3663" t="str">
        <f>MID(TB_CECO[[#This Row],[TRABAJO]],1,SEARCH(",",TB_CECO[[#This Row],[TRABAJO]],1)-1)</f>
        <v>Est 125 N Gal 170 sw</v>
      </c>
      <c r="C36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125 N Gal 170 sw,CICLO COMPLET</v>
      </c>
      <c r="D36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63" s="47" t="s">
        <v>7250</v>
      </c>
      <c r="G3663" t="s">
        <v>7251</v>
      </c>
      <c r="H36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64" spans="1:8" ht="15" customHeight="1" x14ac:dyDescent="0.25">
      <c r="A3664" t="str">
        <f>MID(TB_CECO[[#This Row],[CECO_T]],1,5)</f>
        <v>41B04</v>
      </c>
      <c r="B3664" t="str">
        <f>MID(TB_CECO[[#This Row],[TRABAJO]],1,SEARCH(",",TB_CECO[[#This Row],[TRABAJO]],1)-1)</f>
        <v>CAM 172 CX 128</v>
      </c>
      <c r="C36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128,DESQUINCHE         </v>
      </c>
      <c r="D36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64" s="47" t="s">
        <v>7252</v>
      </c>
      <c r="G3664" t="s">
        <v>7253</v>
      </c>
      <c r="H36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65" spans="1:8" ht="15" customHeight="1" x14ac:dyDescent="0.25">
      <c r="A3665" t="str">
        <f>MID(TB_CECO[[#This Row],[CECO_T]],1,5)</f>
        <v>41B04</v>
      </c>
      <c r="B3665" t="str">
        <f>MID(TB_CECO[[#This Row],[TRABAJO]],1,SEARCH(",",TB_CECO[[#This Row],[TRABAJO]],1)-1)</f>
        <v>CAM 172 CX 128</v>
      </c>
      <c r="C36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128,ENMADERADO         </v>
      </c>
      <c r="D36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65" s="47" t="s">
        <v>7254</v>
      </c>
      <c r="G3665" t="s">
        <v>7255</v>
      </c>
      <c r="H36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66" spans="1:8" ht="15" customHeight="1" x14ac:dyDescent="0.25">
      <c r="A3666" t="str">
        <f>MID(TB_CECO[[#This Row],[CECO_T]],1,5)</f>
        <v>41B04</v>
      </c>
      <c r="B3666" t="str">
        <f>MID(TB_CECO[[#This Row],[TRABAJO]],1,SEARCH(",",TB_CECO[[#This Row],[TRABAJO]],1)-1)</f>
        <v>CAM 172 CX 128</v>
      </c>
      <c r="C36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128,LIMPIEZA           </v>
      </c>
      <c r="D36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66" s="47" t="s">
        <v>7256</v>
      </c>
      <c r="G3666" t="s">
        <v>7257</v>
      </c>
      <c r="H36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67" spans="1:8" ht="15" customHeight="1" x14ac:dyDescent="0.25">
      <c r="A3667" t="str">
        <f>MID(TB_CECO[[#This Row],[CECO_T]],1,5)</f>
        <v>41B04</v>
      </c>
      <c r="B3667" t="str">
        <f>MID(TB_CECO[[#This Row],[TRABAJO]],1,SEARCH(",",TB_CECO[[#This Row],[TRABAJO]],1)-1)</f>
        <v>CAM 172 CX 128</v>
      </c>
      <c r="C36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128,SERVICIOS          </v>
      </c>
      <c r="D36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67" s="47" t="s">
        <v>7258</v>
      </c>
      <c r="G3667" t="s">
        <v>7259</v>
      </c>
      <c r="H36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68" spans="1:8" ht="15" customHeight="1" x14ac:dyDescent="0.25">
      <c r="A3668" t="str">
        <f>MID(TB_CECO[[#This Row],[CECO_T]],1,5)</f>
        <v>41B04</v>
      </c>
      <c r="B3668" t="str">
        <f>MID(TB_CECO[[#This Row],[TRABAJO]],1,SEARCH(",",TB_CECO[[#This Row],[TRABAJO]],1)-1)</f>
        <v>CAM 172 CX 128</v>
      </c>
      <c r="C36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128,EXTRACCION         </v>
      </c>
      <c r="D36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68" s="47" t="s">
        <v>7260</v>
      </c>
      <c r="G3668" t="s">
        <v>7261</v>
      </c>
      <c r="H36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69" spans="1:8" ht="15" customHeight="1" x14ac:dyDescent="0.25">
      <c r="A3669" t="str">
        <f>MID(TB_CECO[[#This Row],[CECO_T]],1,5)</f>
        <v>41B04</v>
      </c>
      <c r="B3669" t="str">
        <f>MID(TB_CECO[[#This Row],[TRABAJO]],1,SEARCH(",",TB_CECO[[#This Row],[TRABAJO]],1)-1)</f>
        <v>CAM 172 CX 128</v>
      </c>
      <c r="C36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128,SPLIT SET          </v>
      </c>
      <c r="D36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69" s="47" t="s">
        <v>7262</v>
      </c>
      <c r="G3669" t="s">
        <v>7263</v>
      </c>
      <c r="H36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70" spans="1:8" ht="15" customHeight="1" x14ac:dyDescent="0.25">
      <c r="A3670" t="str">
        <f>MID(TB_CECO[[#This Row],[CECO_T]],1,5)</f>
        <v>41B04</v>
      </c>
      <c r="B3670" t="str">
        <f>MID(TB_CECO[[#This Row],[TRABAJO]],1,SEARCH(",",TB_CECO[[#This Row],[TRABAJO]],1)-1)</f>
        <v>CAM 172 CX 128</v>
      </c>
      <c r="C36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128,SPLIT CON MALLA    </v>
      </c>
      <c r="D36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70" s="47" t="s">
        <v>7264</v>
      </c>
      <c r="G3670" t="s">
        <v>7265</v>
      </c>
      <c r="H36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71" spans="1:8" ht="15" customHeight="1" x14ac:dyDescent="0.25">
      <c r="A3671" t="str">
        <f>MID(TB_CECO[[#This Row],[CECO_T]],1,5)</f>
        <v>41B04</v>
      </c>
      <c r="B3671" t="str">
        <f>MID(TB_CECO[[#This Row],[TRABAJO]],1,SEARCH(",",TB_CECO[[#This Row],[TRABAJO]],1)-1)</f>
        <v>CAM 172 CX 128</v>
      </c>
      <c r="C36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128,IZAJE Y DESCENSO   </v>
      </c>
      <c r="D36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71" s="47" t="s">
        <v>7266</v>
      </c>
      <c r="G3671" t="s">
        <v>7267</v>
      </c>
      <c r="H36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72" spans="1:8" ht="15" customHeight="1" x14ac:dyDescent="0.25">
      <c r="A3672" t="str">
        <f>MID(TB_CECO[[#This Row],[CECO_T]],1,5)</f>
        <v>41B04</v>
      </c>
      <c r="B3672" t="str">
        <f>MID(TB_CECO[[#This Row],[TRABAJO]],1,SEARCH(",",TB_CECO[[#This Row],[TRABAJO]],1)-1)</f>
        <v>CAM 172 CX 128</v>
      </c>
      <c r="C36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128,PERFORACION        </v>
      </c>
      <c r="D36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72" s="47" t="s">
        <v>7268</v>
      </c>
      <c r="G3672" t="s">
        <v>7269</v>
      </c>
      <c r="H36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73" spans="1:8" ht="15" customHeight="1" x14ac:dyDescent="0.25">
      <c r="A3673" t="str">
        <f>MID(TB_CECO[[#This Row],[CECO_T]],1,5)</f>
        <v>41B04</v>
      </c>
      <c r="B3673" t="str">
        <f>MID(TB_CECO[[#This Row],[TRABAJO]],1,SEARCH(",",TB_CECO[[#This Row],[TRABAJO]],1)-1)</f>
        <v>CAM 172 CX 128</v>
      </c>
      <c r="C36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128,VOLADURA           </v>
      </c>
      <c r="D36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73" s="47" t="s">
        <v>7270</v>
      </c>
      <c r="G3673" t="s">
        <v>7271</v>
      </c>
      <c r="H36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74" spans="1:8" ht="15" customHeight="1" x14ac:dyDescent="0.25">
      <c r="A3674" t="str">
        <f>MID(TB_CECO[[#This Row],[CECO_T]],1,5)</f>
        <v>41B04</v>
      </c>
      <c r="B3674" t="str">
        <f>MID(TB_CECO[[#This Row],[TRABAJO]],1,SEARCH(",",TB_CECO[[#This Row],[TRABAJO]],1)-1)</f>
        <v>CAM 172 CX 128</v>
      </c>
      <c r="C36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128,CAMINOS            </v>
      </c>
      <c r="D36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74" s="47" t="s">
        <v>7272</v>
      </c>
      <c r="G3674" t="s">
        <v>7273</v>
      </c>
      <c r="H36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75" spans="1:8" ht="15" customHeight="1" x14ac:dyDescent="0.25">
      <c r="A3675" t="str">
        <f>MID(TB_CECO[[#This Row],[CECO_T]],1,5)</f>
        <v>41B04</v>
      </c>
      <c r="B3675" t="str">
        <f>MID(TB_CECO[[#This Row],[TRABAJO]],1,SEARCH(",",TB_CECO[[#This Row],[TRABAJO]],1)-1)</f>
        <v>CAM 172 CX 128</v>
      </c>
      <c r="C36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128,INST DE RIELES     </v>
      </c>
      <c r="D36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75" s="47" t="s">
        <v>7274</v>
      </c>
      <c r="G3675" t="s">
        <v>7275</v>
      </c>
      <c r="H36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76" spans="1:8" ht="15" customHeight="1" x14ac:dyDescent="0.25">
      <c r="A3676" t="str">
        <f>MID(TB_CECO[[#This Row],[CECO_T]],1,5)</f>
        <v>41B04</v>
      </c>
      <c r="B3676" t="str">
        <f>MID(TB_CECO[[#This Row],[TRABAJO]],1,SEARCH(",",TB_CECO[[#This Row],[TRABAJO]],1)-1)</f>
        <v>CAM 172 CX 128</v>
      </c>
      <c r="C36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172 CX 128,REHAB DE LABORES   </v>
      </c>
      <c r="D36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76" s="47" t="s">
        <v>7276</v>
      </c>
      <c r="G3676" t="s">
        <v>7277</v>
      </c>
      <c r="H36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77" spans="1:8" ht="15" customHeight="1" x14ac:dyDescent="0.25">
      <c r="A3677" t="str">
        <f>MID(TB_CECO[[#This Row],[CECO_T]],1,5)</f>
        <v>41P01</v>
      </c>
      <c r="B3677" t="str">
        <f>MID(TB_CECO[[#This Row],[TRABAJO]],1,SEARCH(",",TB_CECO[[#This Row],[TRABAJO]],1)-1)</f>
        <v>POZA 672 CX 172 NW</v>
      </c>
      <c r="C36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POZA 672 CX 172 NW,DESQUINCHE     </v>
      </c>
      <c r="D36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77" s="47" t="s">
        <v>7278</v>
      </c>
      <c r="G3677" t="s">
        <v>7279</v>
      </c>
      <c r="H36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78" spans="1:8" ht="15" customHeight="1" x14ac:dyDescent="0.25">
      <c r="A3678" t="str">
        <f>MID(TB_CECO[[#This Row],[CECO_T]],1,5)</f>
        <v>41P01</v>
      </c>
      <c r="B3678" t="str">
        <f>MID(TB_CECO[[#This Row],[TRABAJO]],1,SEARCH(",",TB_CECO[[#This Row],[TRABAJO]],1)-1)</f>
        <v>POZA 672 CX 172 NW</v>
      </c>
      <c r="C36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POZA 672 CX 172 NW,ENMADERADO     </v>
      </c>
      <c r="D36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78" s="47" t="s">
        <v>7280</v>
      </c>
      <c r="G3678" t="s">
        <v>7281</v>
      </c>
      <c r="H36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79" spans="1:8" ht="15" customHeight="1" x14ac:dyDescent="0.25">
      <c r="A3679" t="str">
        <f>MID(TB_CECO[[#This Row],[CECO_T]],1,5)</f>
        <v>41P01</v>
      </c>
      <c r="B3679" t="str">
        <f>MID(TB_CECO[[#This Row],[TRABAJO]],1,SEARCH(",",TB_CECO[[#This Row],[TRABAJO]],1)-1)</f>
        <v>POZA 672 CX 172 NW</v>
      </c>
      <c r="C36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POZA 672 CX 172 NW,LIMPIEZA       </v>
      </c>
      <c r="D36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79" s="47" t="s">
        <v>7282</v>
      </c>
      <c r="G3679" t="s">
        <v>7283</v>
      </c>
      <c r="H36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80" spans="1:8" ht="15" customHeight="1" x14ac:dyDescent="0.25">
      <c r="A3680" t="str">
        <f>MID(TB_CECO[[#This Row],[CECO_T]],1,5)</f>
        <v>41P01</v>
      </c>
      <c r="B3680" t="str">
        <f>MID(TB_CECO[[#This Row],[TRABAJO]],1,SEARCH(",",TB_CECO[[#This Row],[TRABAJO]],1)-1)</f>
        <v>POZA 672 CX 172 NW</v>
      </c>
      <c r="C36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POZA 672 CX 172 NW,SERVICIOS      </v>
      </c>
      <c r="D36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80" s="47" t="s">
        <v>7284</v>
      </c>
      <c r="G3680" t="s">
        <v>7285</v>
      </c>
      <c r="H36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81" spans="1:8" ht="15" customHeight="1" x14ac:dyDescent="0.25">
      <c r="A3681" t="str">
        <f>MID(TB_CECO[[#This Row],[CECO_T]],1,5)</f>
        <v>41P01</v>
      </c>
      <c r="B3681" t="str">
        <f>MID(TB_CECO[[#This Row],[TRABAJO]],1,SEARCH(",",TB_CECO[[#This Row],[TRABAJO]],1)-1)</f>
        <v>POZA 672 CX 172 NW</v>
      </c>
      <c r="C36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POZA 672 CX 172 NW,EXTRACCION     </v>
      </c>
      <c r="D36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81" s="47" t="s">
        <v>7286</v>
      </c>
      <c r="G3681" t="s">
        <v>7287</v>
      </c>
      <c r="H36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82" spans="1:8" ht="15" customHeight="1" x14ac:dyDescent="0.25">
      <c r="A3682" t="str">
        <f>MID(TB_CECO[[#This Row],[CECO_T]],1,5)</f>
        <v>41P01</v>
      </c>
      <c r="B3682" t="str">
        <f>MID(TB_CECO[[#This Row],[TRABAJO]],1,SEARCH(",",TB_CECO[[#This Row],[TRABAJO]],1)-1)</f>
        <v>POZA 672 CX 172 NW</v>
      </c>
      <c r="C36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POZA 672 CX 172 NW,SPLIT SET      </v>
      </c>
      <c r="D36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82" s="47" t="s">
        <v>7288</v>
      </c>
      <c r="G3682" t="s">
        <v>7289</v>
      </c>
      <c r="H36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83" spans="1:8" ht="15" customHeight="1" x14ac:dyDescent="0.25">
      <c r="A3683" t="str">
        <f>MID(TB_CECO[[#This Row],[CECO_T]],1,5)</f>
        <v>41P01</v>
      </c>
      <c r="B3683" t="str">
        <f>MID(TB_CECO[[#This Row],[TRABAJO]],1,SEARCH(",",TB_CECO[[#This Row],[TRABAJO]],1)-1)</f>
        <v>POZA 672 CX 172 NW</v>
      </c>
      <c r="C36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POZA 672 CX 172 NW,SPLIT CON MALLA</v>
      </c>
      <c r="D36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83" s="47" t="s">
        <v>7290</v>
      </c>
      <c r="G3683" t="s">
        <v>7291</v>
      </c>
      <c r="H36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84" spans="1:8" ht="15" customHeight="1" x14ac:dyDescent="0.25">
      <c r="A3684" t="str">
        <f>MID(TB_CECO[[#This Row],[CECO_T]],1,5)</f>
        <v>41P01</v>
      </c>
      <c r="B3684" t="str">
        <f>MID(TB_CECO[[#This Row],[TRABAJO]],1,SEARCH(",",TB_CECO[[#This Row],[TRABAJO]],1)-1)</f>
        <v>POZA 672 CX 172 NW</v>
      </c>
      <c r="C36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POZA 672 CX 172 NW,IZAJE Y DESCENS</v>
      </c>
      <c r="D36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84" s="47" t="s">
        <v>7292</v>
      </c>
      <c r="G3684" t="s">
        <v>7293</v>
      </c>
      <c r="H36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85" spans="1:8" ht="15" customHeight="1" x14ac:dyDescent="0.25">
      <c r="A3685" t="str">
        <f>MID(TB_CECO[[#This Row],[CECO_T]],1,5)</f>
        <v>41P01</v>
      </c>
      <c r="B3685" t="str">
        <f>MID(TB_CECO[[#This Row],[TRABAJO]],1,SEARCH(",",TB_CECO[[#This Row],[TRABAJO]],1)-1)</f>
        <v>POZA 672 CX 172 NW</v>
      </c>
      <c r="C36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POZA 672 CX 172 NW,PERFORACION    </v>
      </c>
      <c r="D36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85" s="47" t="s">
        <v>7294</v>
      </c>
      <c r="G3685" t="s">
        <v>7295</v>
      </c>
      <c r="H36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86" spans="1:8" ht="15" customHeight="1" x14ac:dyDescent="0.25">
      <c r="A3686" t="str">
        <f>MID(TB_CECO[[#This Row],[CECO_T]],1,5)</f>
        <v>41P01</v>
      </c>
      <c r="B3686" t="str">
        <f>MID(TB_CECO[[#This Row],[TRABAJO]],1,SEARCH(",",TB_CECO[[#This Row],[TRABAJO]],1)-1)</f>
        <v>POZA 672 CX 172 NW</v>
      </c>
      <c r="C36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POZA 672 CX 172 NW,VOLADURA       </v>
      </c>
      <c r="D36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86" s="47" t="s">
        <v>7296</v>
      </c>
      <c r="G3686" t="s">
        <v>7297</v>
      </c>
      <c r="H36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87" spans="1:8" ht="15" customHeight="1" x14ac:dyDescent="0.25">
      <c r="A3687" t="str">
        <f>MID(TB_CECO[[#This Row],[CECO_T]],1,5)</f>
        <v>41P01</v>
      </c>
      <c r="B3687" t="str">
        <f>MID(TB_CECO[[#This Row],[TRABAJO]],1,SEARCH(",",TB_CECO[[#This Row],[TRABAJO]],1)-1)</f>
        <v>POZA 672 CX 172 NW</v>
      </c>
      <c r="C36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POZA 672 CX 172 NW,CAMINOS        </v>
      </c>
      <c r="D36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87" s="47" t="s">
        <v>7298</v>
      </c>
      <c r="G3687" t="s">
        <v>7299</v>
      </c>
      <c r="H36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88" spans="1:8" ht="15" customHeight="1" x14ac:dyDescent="0.25">
      <c r="A3688" t="str">
        <f>MID(TB_CECO[[#This Row],[CECO_T]],1,5)</f>
        <v>41P01</v>
      </c>
      <c r="B3688" t="str">
        <f>MID(TB_CECO[[#This Row],[TRABAJO]],1,SEARCH(",",TB_CECO[[#This Row],[TRABAJO]],1)-1)</f>
        <v>POZA 672 CX 172 NW</v>
      </c>
      <c r="C36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POZA 672 CX 172 NW,INSTALAC DE RIE</v>
      </c>
      <c r="D36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88" s="47" t="s">
        <v>7300</v>
      </c>
      <c r="G3688" t="s">
        <v>7301</v>
      </c>
      <c r="H36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89" spans="1:8" ht="15" customHeight="1" x14ac:dyDescent="0.25">
      <c r="A3689" t="str">
        <f>MID(TB_CECO[[#This Row],[CECO_T]],1,5)</f>
        <v>41P01</v>
      </c>
      <c r="B3689" t="str">
        <f>MID(TB_CECO[[#This Row],[TRABAJO]],1,SEARCH(",",TB_CECO[[#This Row],[TRABAJO]],1)-1)</f>
        <v>POZA 672 CX 172 NW</v>
      </c>
      <c r="C36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POZA 672 CX 172 NW,REHAB DE LABORE</v>
      </c>
      <c r="D36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3689" s="47" t="s">
        <v>7302</v>
      </c>
      <c r="G3689" t="s">
        <v>7303</v>
      </c>
      <c r="H36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90" spans="1:8" ht="15" customHeight="1" x14ac:dyDescent="0.25">
      <c r="A3690" t="str">
        <f>MID(TB_CECO[[#This Row],[CECO_T]],1,5)</f>
        <v>42208</v>
      </c>
      <c r="B3690" t="str">
        <f>MID(TB_CECO[[#This Row],[TRABAJO]],1,SEARCH(",",TB_CECO[[#This Row],[TRABAJO]],1)-1)</f>
        <v>CH 100 GAL 170</v>
      </c>
      <c r="C36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170,VOLADURA           </v>
      </c>
      <c r="D36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90" s="47" t="s">
        <v>7304</v>
      </c>
      <c r="G3690" t="s">
        <v>7305</v>
      </c>
      <c r="H36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91" spans="1:8" ht="15" customHeight="1" x14ac:dyDescent="0.25">
      <c r="A3691" t="str">
        <f>MID(TB_CECO[[#This Row],[CECO_T]],1,5)</f>
        <v>42208</v>
      </c>
      <c r="B3691" t="str">
        <f>MID(TB_CECO[[#This Row],[TRABAJO]],1,SEARCH(",",TB_CECO[[#This Row],[TRABAJO]],1)-1)</f>
        <v>CH 100 GAL 170</v>
      </c>
      <c r="C36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170,CAMINOS            </v>
      </c>
      <c r="D36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91" s="47" t="s">
        <v>7306</v>
      </c>
      <c r="G3691" t="s">
        <v>7307</v>
      </c>
      <c r="H36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92" spans="1:8" ht="15" customHeight="1" x14ac:dyDescent="0.25">
      <c r="A3692" t="str">
        <f>MID(TB_CECO[[#This Row],[CECO_T]],1,5)</f>
        <v>42208</v>
      </c>
      <c r="B3692" t="str">
        <f>MID(TB_CECO[[#This Row],[TRABAJO]],1,SEARCH(",",TB_CECO[[#This Row],[TRABAJO]],1)-1)</f>
        <v>CH 100 GAL 170</v>
      </c>
      <c r="C36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170,INST.DE RIELES     </v>
      </c>
      <c r="D36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92" s="47" t="s">
        <v>7308</v>
      </c>
      <c r="G3692" t="s">
        <v>7309</v>
      </c>
      <c r="H36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93" spans="1:8" ht="15" customHeight="1" x14ac:dyDescent="0.25">
      <c r="A3693" t="str">
        <f>MID(TB_CECO[[#This Row],[CECO_T]],1,5)</f>
        <v>42208</v>
      </c>
      <c r="B3693" t="str">
        <f>MID(TB_CECO[[#This Row],[TRABAJO]],1,SEARCH(",",TB_CECO[[#This Row],[TRABAJO]],1)-1)</f>
        <v>CH 100 GAL 170</v>
      </c>
      <c r="C36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100 GAL 170,REHAB DE LABORES   </v>
      </c>
      <c r="D36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93" s="47" t="s">
        <v>7310</v>
      </c>
      <c r="G3693" t="s">
        <v>7311</v>
      </c>
      <c r="H36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94" spans="1:8" ht="15" customHeight="1" x14ac:dyDescent="0.25">
      <c r="A3694" t="str">
        <f>MID(TB_CECO[[#This Row],[CECO_T]],1,5)</f>
        <v>42215</v>
      </c>
      <c r="B3694" t="str">
        <f>MID(TB_CECO[[#This Row],[TRABAJO]],1,SEARCH(",",TB_CECO[[#This Row],[TRABAJO]],1)-1)</f>
        <v>CH 120 SNV 120 SW</v>
      </c>
      <c r="C36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SW,VOLADURA        </v>
      </c>
      <c r="D36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94" s="47" t="s">
        <v>7312</v>
      </c>
      <c r="G3694" t="s">
        <v>7313</v>
      </c>
      <c r="H36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95" spans="1:8" ht="15" customHeight="1" x14ac:dyDescent="0.25">
      <c r="A3695" t="str">
        <f>MID(TB_CECO[[#This Row],[CECO_T]],1,5)</f>
        <v>42215</v>
      </c>
      <c r="B3695" t="str">
        <f>MID(TB_CECO[[#This Row],[TRABAJO]],1,SEARCH(",",TB_CECO[[#This Row],[TRABAJO]],1)-1)</f>
        <v>CH 120 SNV 120 SW</v>
      </c>
      <c r="C36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SW,CAMINOS         </v>
      </c>
      <c r="D36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95" s="47" t="s">
        <v>7314</v>
      </c>
      <c r="G3695" t="s">
        <v>7315</v>
      </c>
      <c r="H36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96" spans="1:8" ht="15" customHeight="1" x14ac:dyDescent="0.25">
      <c r="A3696" t="str">
        <f>MID(TB_CECO[[#This Row],[CECO_T]],1,5)</f>
        <v>42215</v>
      </c>
      <c r="B3696" t="str">
        <f>MID(TB_CECO[[#This Row],[TRABAJO]],1,SEARCH(",",TB_CECO[[#This Row],[TRABAJO]],1)-1)</f>
        <v>CH 120 SNV 120 SW</v>
      </c>
      <c r="C36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SW,INST.DE RIELES  </v>
      </c>
      <c r="D36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96" s="47" t="s">
        <v>7316</v>
      </c>
      <c r="G3696" t="s">
        <v>7317</v>
      </c>
      <c r="H36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97" spans="1:8" ht="15" customHeight="1" x14ac:dyDescent="0.25">
      <c r="A3697" t="str">
        <f>MID(TB_CECO[[#This Row],[CECO_T]],1,5)</f>
        <v>42215</v>
      </c>
      <c r="B3697" t="str">
        <f>MID(TB_CECO[[#This Row],[TRABAJO]],1,SEARCH(",",TB_CECO[[#This Row],[TRABAJO]],1)-1)</f>
        <v>CH 120 SNV 120 SW</v>
      </c>
      <c r="C36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120 SNV 120 SW,REHAB DE LABORES</v>
      </c>
      <c r="D36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97" s="47" t="s">
        <v>7318</v>
      </c>
      <c r="G3697" t="s">
        <v>7319</v>
      </c>
      <c r="H36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98" spans="1:8" ht="15" customHeight="1" x14ac:dyDescent="0.25">
      <c r="A3698" t="str">
        <f>MID(TB_CECO[[#This Row],[CECO_T]],1,5)</f>
        <v>42215</v>
      </c>
      <c r="B3698" t="str">
        <f>MID(TB_CECO[[#This Row],[TRABAJO]],1,SEARCH(",",TB_CECO[[#This Row],[TRABAJO]],1)-1)</f>
        <v>CH 120 SNV 120 SW</v>
      </c>
      <c r="C36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SW,CICLO COMPLETO  </v>
      </c>
      <c r="D36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98" s="47" t="s">
        <v>7320</v>
      </c>
      <c r="G3698" t="s">
        <v>7321</v>
      </c>
      <c r="H36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699" spans="1:8" ht="15" customHeight="1" x14ac:dyDescent="0.25">
      <c r="A3699" t="str">
        <f>MID(TB_CECO[[#This Row],[CECO_T]],1,5)</f>
        <v>42216</v>
      </c>
      <c r="B3699" t="str">
        <f>MID(TB_CECO[[#This Row],[TRABAJO]],1,SEARCH(",",TB_CECO[[#This Row],[TRABAJO]],1)-1)</f>
        <v>CH 120 SNV 120 NE</v>
      </c>
      <c r="C36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NE,VOLADURA        </v>
      </c>
      <c r="D36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6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699" s="47" t="s">
        <v>7322</v>
      </c>
      <c r="G3699" t="s">
        <v>7323</v>
      </c>
      <c r="H36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00" spans="1:8" ht="15" customHeight="1" x14ac:dyDescent="0.25">
      <c r="A3700" t="str">
        <f>MID(TB_CECO[[#This Row],[CECO_T]],1,5)</f>
        <v>42216</v>
      </c>
      <c r="B3700" t="str">
        <f>MID(TB_CECO[[#This Row],[TRABAJO]],1,SEARCH(",",TB_CECO[[#This Row],[TRABAJO]],1)-1)</f>
        <v>CH 120 SNV 120 NE</v>
      </c>
      <c r="C37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NE,CAMINOS         </v>
      </c>
      <c r="D37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00" s="47" t="s">
        <v>7324</v>
      </c>
      <c r="G3700" t="s">
        <v>7325</v>
      </c>
      <c r="H37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01" spans="1:8" ht="15" customHeight="1" x14ac:dyDescent="0.25">
      <c r="A3701" t="str">
        <f>MID(TB_CECO[[#This Row],[CECO_T]],1,5)</f>
        <v>42216</v>
      </c>
      <c r="B3701" t="str">
        <f>MID(TB_CECO[[#This Row],[TRABAJO]],1,SEARCH(",",TB_CECO[[#This Row],[TRABAJO]],1)-1)</f>
        <v>CH 120 SNV 120 NE</v>
      </c>
      <c r="C37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NE,INST.DE RIELES  </v>
      </c>
      <c r="D37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01" s="47" t="s">
        <v>7326</v>
      </c>
      <c r="G3701" t="s">
        <v>7327</v>
      </c>
      <c r="H37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02" spans="1:8" ht="15" customHeight="1" x14ac:dyDescent="0.25">
      <c r="A3702" t="str">
        <f>MID(TB_CECO[[#This Row],[CECO_T]],1,5)</f>
        <v>42216</v>
      </c>
      <c r="B3702" t="str">
        <f>MID(TB_CECO[[#This Row],[TRABAJO]],1,SEARCH(",",TB_CECO[[#This Row],[TRABAJO]],1)-1)</f>
        <v>CH 120 SNV 120 NE</v>
      </c>
      <c r="C37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120 SNV 120 NE,REHAB DE LABORES</v>
      </c>
      <c r="D37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02" s="47" t="s">
        <v>7328</v>
      </c>
      <c r="G3702" t="s">
        <v>7329</v>
      </c>
      <c r="H37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03" spans="1:8" ht="15" customHeight="1" x14ac:dyDescent="0.25">
      <c r="A3703" t="str">
        <f>MID(TB_CECO[[#This Row],[CECO_T]],1,5)</f>
        <v>42216</v>
      </c>
      <c r="B3703" t="str">
        <f>MID(TB_CECO[[#This Row],[TRABAJO]],1,SEARCH(",",TB_CECO[[#This Row],[TRABAJO]],1)-1)</f>
        <v>CH 120 SNV 120 NE</v>
      </c>
      <c r="C37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SNV 120 NE,CICLO COMPLETO  </v>
      </c>
      <c r="D37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03" s="47" t="s">
        <v>7330</v>
      </c>
      <c r="G3703" t="s">
        <v>7331</v>
      </c>
      <c r="H37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04" spans="1:8" ht="15" customHeight="1" x14ac:dyDescent="0.25">
      <c r="A3704" t="str">
        <f>MID(TB_CECO[[#This Row],[CECO_T]],1,5)</f>
        <v>42408</v>
      </c>
      <c r="B3704" t="str">
        <f>MID(TB_CECO[[#This Row],[TRABAJO]],1,SEARCH(",",TB_CECO[[#This Row],[TRABAJO]],1)-1)</f>
        <v xml:space="preserve"> SNV 165 SW CH 100 </v>
      </c>
      <c r="C37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VOLADURA  </v>
      </c>
      <c r="D37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04" s="47" t="s">
        <v>7332</v>
      </c>
      <c r="G3704" t="s">
        <v>7333</v>
      </c>
      <c r="H37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05" spans="1:8" ht="15" customHeight="1" x14ac:dyDescent="0.25">
      <c r="A3705" t="str">
        <f>MID(TB_CECO[[#This Row],[CECO_T]],1,5)</f>
        <v>42408</v>
      </c>
      <c r="B3705" t="str">
        <f>MID(TB_CECO[[#This Row],[TRABAJO]],1,SEARCH(",",TB_CECO[[#This Row],[TRABAJO]],1)-1)</f>
        <v xml:space="preserve"> SNV 165 SW CH 100 </v>
      </c>
      <c r="C37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CAMINOS   </v>
      </c>
      <c r="D37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05" s="47" t="s">
        <v>7334</v>
      </c>
      <c r="G3705" t="s">
        <v>7335</v>
      </c>
      <c r="H37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06" spans="1:8" ht="15" customHeight="1" x14ac:dyDescent="0.25">
      <c r="A3706" t="str">
        <f>MID(TB_CECO[[#This Row],[CECO_T]],1,5)</f>
        <v>42408</v>
      </c>
      <c r="B3706" t="str">
        <f>MID(TB_CECO[[#This Row],[TRABAJO]],1,SEARCH(",",TB_CECO[[#This Row],[TRABAJO]],1)-1)</f>
        <v xml:space="preserve"> SNV 165 SW CH 100 </v>
      </c>
      <c r="C37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INSTALACIO</v>
      </c>
      <c r="D37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06" s="47" t="s">
        <v>7336</v>
      </c>
      <c r="G3706" t="s">
        <v>7337</v>
      </c>
      <c r="H37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07" spans="1:8" ht="15" customHeight="1" x14ac:dyDescent="0.25">
      <c r="A3707" t="str">
        <f>MID(TB_CECO[[#This Row],[CECO_T]],1,5)</f>
        <v>42408</v>
      </c>
      <c r="B3707" t="str">
        <f>MID(TB_CECO[[#This Row],[TRABAJO]],1,SEARCH(",",TB_CECO[[#This Row],[TRABAJO]],1)-1)</f>
        <v xml:space="preserve"> SNV 165 SW CH 100 </v>
      </c>
      <c r="C37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SW CH 100 , REHABILITA</v>
      </c>
      <c r="D37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07" s="47" t="s">
        <v>7338</v>
      </c>
      <c r="G3707" t="s">
        <v>7339</v>
      </c>
      <c r="H37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08" spans="1:8" ht="15" customHeight="1" x14ac:dyDescent="0.25">
      <c r="A3708" t="str">
        <f>MID(TB_CECO[[#This Row],[CECO_T]],1,5)</f>
        <v>42409</v>
      </c>
      <c r="B3708" t="str">
        <f>MID(TB_CECO[[#This Row],[TRABAJO]],1,SEARCH(",",TB_CECO[[#This Row],[TRABAJO]],1)-1)</f>
        <v xml:space="preserve"> SNV 165 NE CH 100 </v>
      </c>
      <c r="C37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VOLADURA  </v>
      </c>
      <c r="D37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08" s="47" t="s">
        <v>7340</v>
      </c>
      <c r="G3708" t="s">
        <v>7341</v>
      </c>
      <c r="H37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09" spans="1:8" ht="15" customHeight="1" x14ac:dyDescent="0.25">
      <c r="A3709" t="str">
        <f>MID(TB_CECO[[#This Row],[CECO_T]],1,5)</f>
        <v>42409</v>
      </c>
      <c r="B3709" t="str">
        <f>MID(TB_CECO[[#This Row],[TRABAJO]],1,SEARCH(",",TB_CECO[[#This Row],[TRABAJO]],1)-1)</f>
        <v xml:space="preserve"> SNV 165 NE CH 100 </v>
      </c>
      <c r="C37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CAMINOS   </v>
      </c>
      <c r="D37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09" s="47" t="s">
        <v>7342</v>
      </c>
      <c r="G3709" t="s">
        <v>7343</v>
      </c>
      <c r="H37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10" spans="1:8" ht="15" customHeight="1" x14ac:dyDescent="0.25">
      <c r="A3710" t="str">
        <f>MID(TB_CECO[[#This Row],[CECO_T]],1,5)</f>
        <v>42409</v>
      </c>
      <c r="B3710" t="str">
        <f>MID(TB_CECO[[#This Row],[TRABAJO]],1,SEARCH(",",TB_CECO[[#This Row],[TRABAJO]],1)-1)</f>
        <v xml:space="preserve"> SNV 165 NE CH 100 </v>
      </c>
      <c r="C37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INSTALACIO</v>
      </c>
      <c r="D37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10" s="47" t="s">
        <v>7344</v>
      </c>
      <c r="G3710" t="s">
        <v>7345</v>
      </c>
      <c r="H37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11" spans="1:8" ht="15" customHeight="1" x14ac:dyDescent="0.25">
      <c r="A3711" t="str">
        <f>MID(TB_CECO[[#This Row],[CECO_T]],1,5)</f>
        <v>42409</v>
      </c>
      <c r="B3711" t="str">
        <f>MID(TB_CECO[[#This Row],[TRABAJO]],1,SEARCH(",",TB_CECO[[#This Row],[TRABAJO]],1)-1)</f>
        <v xml:space="preserve"> SNV 165 NE CH 100 </v>
      </c>
      <c r="C37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165 NE CH 100 , REHABILITA</v>
      </c>
      <c r="D37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11" s="47" t="s">
        <v>7346</v>
      </c>
      <c r="G3711" t="s">
        <v>7347</v>
      </c>
      <c r="H37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12" spans="1:8" ht="15" customHeight="1" x14ac:dyDescent="0.25">
      <c r="A3712" t="str">
        <f>MID(TB_CECO[[#This Row],[CECO_T]],1,5)</f>
        <v>42423</v>
      </c>
      <c r="B3712" t="str">
        <f>MID(TB_CECO[[#This Row],[TRABAJO]],1,SEARCH(",",TB_CECO[[#This Row],[TRABAJO]],1)-1)</f>
        <v xml:space="preserve"> SNV 100_1 NE CH 100</v>
      </c>
      <c r="C37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VOLADURA   </v>
      </c>
      <c r="D37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12" s="47" t="s">
        <v>7348</v>
      </c>
      <c r="G3712" t="s">
        <v>7349</v>
      </c>
      <c r="H37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13" spans="1:8" ht="15" customHeight="1" x14ac:dyDescent="0.25">
      <c r="A3713" t="str">
        <f>MID(TB_CECO[[#This Row],[CECO_T]],1,5)</f>
        <v>42423</v>
      </c>
      <c r="B3713" t="str">
        <f>MID(TB_CECO[[#This Row],[TRABAJO]],1,SEARCH(",",TB_CECO[[#This Row],[TRABAJO]],1)-1)</f>
        <v xml:space="preserve"> SNV 100_1 NE CH 100</v>
      </c>
      <c r="C37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CAMINOS    </v>
      </c>
      <c r="D37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13" s="47" t="s">
        <v>7350</v>
      </c>
      <c r="G3713" t="s">
        <v>7351</v>
      </c>
      <c r="H37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14" spans="1:8" ht="15" customHeight="1" x14ac:dyDescent="0.25">
      <c r="A3714" t="str">
        <f>MID(TB_CECO[[#This Row],[CECO_T]],1,5)</f>
        <v>42423</v>
      </c>
      <c r="B3714" t="str">
        <f>MID(TB_CECO[[#This Row],[TRABAJO]],1,SEARCH(",",TB_CECO[[#This Row],[TRABAJO]],1)-1)</f>
        <v xml:space="preserve"> SNV 100_1 NE CH 100</v>
      </c>
      <c r="C37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INST.DE RIE</v>
      </c>
      <c r="D37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14" s="47" t="s">
        <v>7352</v>
      </c>
      <c r="G3714" t="s">
        <v>7353</v>
      </c>
      <c r="H37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15" spans="1:8" ht="15" customHeight="1" x14ac:dyDescent="0.25">
      <c r="A3715" t="str">
        <f>MID(TB_CECO[[#This Row],[CECO_T]],1,5)</f>
        <v>42423</v>
      </c>
      <c r="B3715" t="str">
        <f>MID(TB_CECO[[#This Row],[TRABAJO]],1,SEARCH(",",TB_CECO[[#This Row],[TRABAJO]],1)-1)</f>
        <v xml:space="preserve"> SNV 100_1 NE CH 100</v>
      </c>
      <c r="C37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REHAB DE LA</v>
      </c>
      <c r="D37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15" s="47" t="s">
        <v>7354</v>
      </c>
      <c r="G3715" t="s">
        <v>7355</v>
      </c>
      <c r="H37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16" spans="1:8" ht="15" customHeight="1" x14ac:dyDescent="0.25">
      <c r="A3716" t="str">
        <f>MID(TB_CECO[[#This Row],[CECO_T]],1,5)</f>
        <v>42423</v>
      </c>
      <c r="B3716" t="str">
        <f>MID(TB_CECO[[#This Row],[TRABAJO]],1,SEARCH(",",TB_CECO[[#This Row],[TRABAJO]],1)-1)</f>
        <v xml:space="preserve"> SNV 100_1 NE CH 100</v>
      </c>
      <c r="C37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NE CH 100, CICLO COMPL</v>
      </c>
      <c r="D37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16" s="47" t="s">
        <v>7356</v>
      </c>
      <c r="G3716" t="s">
        <v>7357</v>
      </c>
      <c r="H37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17" spans="1:8" ht="15" customHeight="1" x14ac:dyDescent="0.25">
      <c r="A3717" t="str">
        <f>MID(TB_CECO[[#This Row],[CECO_T]],1,5)</f>
        <v>42424</v>
      </c>
      <c r="B3717" t="str">
        <f>MID(TB_CECO[[#This Row],[TRABAJO]],1,SEARCH(",",TB_CECO[[#This Row],[TRABAJO]],1)-1)</f>
        <v xml:space="preserve"> SNV 100_1 SW CH 100</v>
      </c>
      <c r="C37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VOLADURA   </v>
      </c>
      <c r="D37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17" s="47" t="s">
        <v>7358</v>
      </c>
      <c r="G3717" t="s">
        <v>7359</v>
      </c>
      <c r="H37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18" spans="1:8" ht="15" customHeight="1" x14ac:dyDescent="0.25">
      <c r="A3718" t="str">
        <f>MID(TB_CECO[[#This Row],[CECO_T]],1,5)</f>
        <v>42424</v>
      </c>
      <c r="B3718" t="str">
        <f>MID(TB_CECO[[#This Row],[TRABAJO]],1,SEARCH(",",TB_CECO[[#This Row],[TRABAJO]],1)-1)</f>
        <v xml:space="preserve"> SNV 100_1 SW CH 100</v>
      </c>
      <c r="C37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CAMINOS    </v>
      </c>
      <c r="D37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18" s="47" t="s">
        <v>7360</v>
      </c>
      <c r="G3718" t="s">
        <v>7361</v>
      </c>
      <c r="H37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19" spans="1:8" ht="15" customHeight="1" x14ac:dyDescent="0.25">
      <c r="A3719" t="str">
        <f>MID(TB_CECO[[#This Row],[CECO_T]],1,5)</f>
        <v>42424</v>
      </c>
      <c r="B3719" t="str">
        <f>MID(TB_CECO[[#This Row],[TRABAJO]],1,SEARCH(",",TB_CECO[[#This Row],[TRABAJO]],1)-1)</f>
        <v xml:space="preserve"> SNV 100_1 SW CH 100</v>
      </c>
      <c r="C37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INST.DE RIE</v>
      </c>
      <c r="D37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19" s="47" t="s">
        <v>7362</v>
      </c>
      <c r="G3719" t="s">
        <v>7363</v>
      </c>
      <c r="H37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20" spans="1:8" ht="15" customHeight="1" x14ac:dyDescent="0.25">
      <c r="A3720" t="str">
        <f>MID(TB_CECO[[#This Row],[CECO_T]],1,5)</f>
        <v>42424</v>
      </c>
      <c r="B3720" t="str">
        <f>MID(TB_CECO[[#This Row],[TRABAJO]],1,SEARCH(",",TB_CECO[[#This Row],[TRABAJO]],1)-1)</f>
        <v xml:space="preserve"> SNV 100_1 SW CH 100</v>
      </c>
      <c r="C37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REHAB DE LA</v>
      </c>
      <c r="D37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20" s="47" t="s">
        <v>7364</v>
      </c>
      <c r="G3720" t="s">
        <v>7365</v>
      </c>
      <c r="H37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21" spans="1:8" ht="15" customHeight="1" x14ac:dyDescent="0.25">
      <c r="A3721" t="str">
        <f>MID(TB_CECO[[#This Row],[CECO_T]],1,5)</f>
        <v>42424</v>
      </c>
      <c r="B3721" t="str">
        <f>MID(TB_CECO[[#This Row],[TRABAJO]],1,SEARCH(",",TB_CECO[[#This Row],[TRABAJO]],1)-1)</f>
        <v xml:space="preserve"> SNV 100_1 SW CH 100</v>
      </c>
      <c r="C37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100_1 SW CH 100, CICLO COMPL</v>
      </c>
      <c r="D37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3721" s="47" t="s">
        <v>7366</v>
      </c>
      <c r="G3721" t="s">
        <v>7367</v>
      </c>
      <c r="H37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22" spans="1:8" ht="15" customHeight="1" x14ac:dyDescent="0.25">
      <c r="A3722" t="str">
        <f>MID(TB_CECO[[#This Row],[CECO_T]],1,5)</f>
        <v>43210</v>
      </c>
      <c r="B3722" t="str">
        <f>MID(TB_CECO[[#This Row],[TRABAJO]],1,SEARCH(",",TB_CECO[[#This Row],[TRABAJO]],1)-1)</f>
        <v>CH 150 GAL 170 SW</v>
      </c>
      <c r="C37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150 GAL 170 SW,VOLADURA        </v>
      </c>
      <c r="D37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22" s="47" t="s">
        <v>7368</v>
      </c>
      <c r="G3722" t="s">
        <v>7369</v>
      </c>
      <c r="H37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23" spans="1:8" ht="15" customHeight="1" x14ac:dyDescent="0.25">
      <c r="A3723" t="str">
        <f>MID(TB_CECO[[#This Row],[CECO_T]],1,5)</f>
        <v>43210</v>
      </c>
      <c r="B3723" t="str">
        <f>MID(TB_CECO[[#This Row],[TRABAJO]],1,SEARCH(",",TB_CECO[[#This Row],[TRABAJO]],1)-1)</f>
        <v>CH 150 GAL 170 SW</v>
      </c>
      <c r="C37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150 GAL 170 SW,CAMINOS         </v>
      </c>
      <c r="D37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23" s="47" t="s">
        <v>7370</v>
      </c>
      <c r="G3723" t="s">
        <v>7371</v>
      </c>
      <c r="H37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24" spans="1:8" ht="15" customHeight="1" x14ac:dyDescent="0.25">
      <c r="A3724" t="str">
        <f>MID(TB_CECO[[#This Row],[CECO_T]],1,5)</f>
        <v>43210</v>
      </c>
      <c r="B3724" t="str">
        <f>MID(TB_CECO[[#This Row],[TRABAJO]],1,SEARCH(",",TB_CECO[[#This Row],[TRABAJO]],1)-1)</f>
        <v>CH 150 GAL 170 SW</v>
      </c>
      <c r="C37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150 GAL 170 SW,INST. DE RIELES </v>
      </c>
      <c r="D37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24" s="47" t="s">
        <v>7372</v>
      </c>
      <c r="G3724" t="s">
        <v>7373</v>
      </c>
      <c r="H37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25" spans="1:8" ht="15" customHeight="1" x14ac:dyDescent="0.25">
      <c r="A3725" t="str">
        <f>MID(TB_CECO[[#This Row],[CECO_T]],1,5)</f>
        <v>43210</v>
      </c>
      <c r="B3725" t="str">
        <f>MID(TB_CECO[[#This Row],[TRABAJO]],1,SEARCH(",",TB_CECO[[#This Row],[TRABAJO]],1)-1)</f>
        <v>CH 150 GAL 170 SW</v>
      </c>
      <c r="C37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150 GAL 170 SW,REHAB DE LABORES</v>
      </c>
      <c r="D37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25" s="47" t="s">
        <v>7374</v>
      </c>
      <c r="G3725" t="s">
        <v>7375</v>
      </c>
      <c r="H37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26" spans="1:8" ht="15" customHeight="1" x14ac:dyDescent="0.25">
      <c r="A3726" t="str">
        <f>MID(TB_CECO[[#This Row],[CECO_T]],1,5)</f>
        <v>43213</v>
      </c>
      <c r="B3726" t="str">
        <f>MID(TB_CECO[[#This Row],[TRABAJO]],1,SEARCH(",",TB_CECO[[#This Row],[TRABAJO]],1)-1)</f>
        <v>CH 056 GAL 170 SW</v>
      </c>
      <c r="C37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056 GAL 170 SW,VOLADURA        </v>
      </c>
      <c r="D37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26" s="47" t="s">
        <v>7376</v>
      </c>
      <c r="G3726" t="s">
        <v>7377</v>
      </c>
      <c r="H37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27" spans="1:8" ht="15" customHeight="1" x14ac:dyDescent="0.25">
      <c r="A3727" t="str">
        <f>MID(TB_CECO[[#This Row],[CECO_T]],1,5)</f>
        <v>43213</v>
      </c>
      <c r="B3727" t="str">
        <f>MID(TB_CECO[[#This Row],[TRABAJO]],1,SEARCH(",",TB_CECO[[#This Row],[TRABAJO]],1)-1)</f>
        <v>CH 056 GAL 170 SW</v>
      </c>
      <c r="C37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056 GAL 170 SW,CAMINOS         </v>
      </c>
      <c r="D37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27" s="47" t="s">
        <v>7378</v>
      </c>
      <c r="G3727" t="s">
        <v>7379</v>
      </c>
      <c r="H37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28" spans="1:8" ht="15" customHeight="1" x14ac:dyDescent="0.25">
      <c r="A3728" t="str">
        <f>MID(TB_CECO[[#This Row],[CECO_T]],1,5)</f>
        <v>43213</v>
      </c>
      <c r="B3728" t="str">
        <f>MID(TB_CECO[[#This Row],[TRABAJO]],1,SEARCH(",",TB_CECO[[#This Row],[TRABAJO]],1)-1)</f>
        <v>CH 056 GAL 170 SW</v>
      </c>
      <c r="C37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056 GAL 170 SW,INST.DE RIELES  </v>
      </c>
      <c r="D37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28" s="47" t="s">
        <v>7380</v>
      </c>
      <c r="G3728" t="s">
        <v>7381</v>
      </c>
      <c r="H37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29" spans="1:8" ht="15" customHeight="1" x14ac:dyDescent="0.25">
      <c r="A3729" t="str">
        <f>MID(TB_CECO[[#This Row],[CECO_T]],1,5)</f>
        <v>43213</v>
      </c>
      <c r="B3729" t="str">
        <f>MID(TB_CECO[[#This Row],[TRABAJO]],1,SEARCH(",",TB_CECO[[#This Row],[TRABAJO]],1)-1)</f>
        <v>CH 056 GAL 170 SW</v>
      </c>
      <c r="C37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056 GAL 170 SW,REHAB DE LABORES</v>
      </c>
      <c r="D37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29" s="47" t="s">
        <v>7382</v>
      </c>
      <c r="G3729" t="s">
        <v>7383</v>
      </c>
      <c r="H37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30" spans="1:8" ht="15" customHeight="1" x14ac:dyDescent="0.25">
      <c r="A3730" t="str">
        <f>MID(TB_CECO[[#This Row],[CECO_T]],1,5)</f>
        <v>43214</v>
      </c>
      <c r="B3730" t="str">
        <f>MID(TB_CECO[[#This Row],[TRABAJO]],1,SEARCH(",",TB_CECO[[#This Row],[TRABAJO]],1)-1)</f>
        <v>CH 120 GAL 170 SW</v>
      </c>
      <c r="C37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SW,VOLADURA        </v>
      </c>
      <c r="D37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30" s="47" t="s">
        <v>7384</v>
      </c>
      <c r="G3730" t="s">
        <v>7385</v>
      </c>
      <c r="H37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31" spans="1:8" ht="15" customHeight="1" x14ac:dyDescent="0.25">
      <c r="A3731" t="str">
        <f>MID(TB_CECO[[#This Row],[CECO_T]],1,5)</f>
        <v>43214</v>
      </c>
      <c r="B3731" t="str">
        <f>MID(TB_CECO[[#This Row],[TRABAJO]],1,SEARCH(",",TB_CECO[[#This Row],[TRABAJO]],1)-1)</f>
        <v>CH 120 GAL 170 SW</v>
      </c>
      <c r="C37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SW,CAMINOS         </v>
      </c>
      <c r="D37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31" s="47" t="s">
        <v>7386</v>
      </c>
      <c r="G3731" t="s">
        <v>7387</v>
      </c>
      <c r="H37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32" spans="1:8" ht="15" customHeight="1" x14ac:dyDescent="0.25">
      <c r="A3732" t="str">
        <f>MID(TB_CECO[[#This Row],[CECO_T]],1,5)</f>
        <v>43214</v>
      </c>
      <c r="B3732" t="str">
        <f>MID(TB_CECO[[#This Row],[TRABAJO]],1,SEARCH(",",TB_CECO[[#This Row],[TRABAJO]],1)-1)</f>
        <v>CH 120 GAL 170 SW</v>
      </c>
      <c r="C37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SW,INST.DE RIELES  </v>
      </c>
      <c r="D37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32" s="47" t="s">
        <v>7388</v>
      </c>
      <c r="G3732" t="s">
        <v>7389</v>
      </c>
      <c r="H37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33" spans="1:8" ht="15" customHeight="1" x14ac:dyDescent="0.25">
      <c r="A3733" t="str">
        <f>MID(TB_CECO[[#This Row],[CECO_T]],1,5)</f>
        <v>43214</v>
      </c>
      <c r="B3733" t="str">
        <f>MID(TB_CECO[[#This Row],[TRABAJO]],1,SEARCH(",",TB_CECO[[#This Row],[TRABAJO]],1)-1)</f>
        <v>CH 120 GAL 170 SW</v>
      </c>
      <c r="C37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120 GAL 170 SW,REHAB DE LABORES</v>
      </c>
      <c r="D37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33" s="47" t="s">
        <v>7390</v>
      </c>
      <c r="G3733" t="s">
        <v>7391</v>
      </c>
      <c r="H37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34" spans="1:8" ht="15" customHeight="1" x14ac:dyDescent="0.25">
      <c r="A3734" t="str">
        <f>MID(TB_CECO[[#This Row],[CECO_T]],1,5)</f>
        <v>43214</v>
      </c>
      <c r="B3734" t="str">
        <f>MID(TB_CECO[[#This Row],[TRABAJO]],1,SEARCH(",",TB_CECO[[#This Row],[TRABAJO]],1)-1)</f>
        <v>CH 120 GAL 170 SW</v>
      </c>
      <c r="C37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120 GAL 170 SW,CICLO COMPLETO  </v>
      </c>
      <c r="D37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34" s="47" t="s">
        <v>7392</v>
      </c>
      <c r="G3734" t="s">
        <v>7393</v>
      </c>
      <c r="H37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35" spans="1:8" ht="15" customHeight="1" x14ac:dyDescent="0.25">
      <c r="A3735" t="str">
        <f>MID(TB_CECO[[#This Row],[CECO_T]],1,5)</f>
        <v>43425</v>
      </c>
      <c r="B3735" t="str">
        <f>MID(TB_CECO[[#This Row],[TRABAJO]],1,SEARCH(",",TB_CECO[[#This Row],[TRABAJO]],1)-1)</f>
        <v xml:space="preserve"> SNV 109</v>
      </c>
      <c r="C37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VOLADURA        </v>
      </c>
      <c r="D37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35" s="47" t="s">
        <v>7394</v>
      </c>
      <c r="G3735" t="s">
        <v>7395</v>
      </c>
      <c r="H37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36" spans="1:8" ht="15" customHeight="1" x14ac:dyDescent="0.25">
      <c r="A3736" t="str">
        <f>MID(TB_CECO[[#This Row],[CECO_T]],1,5)</f>
        <v>43425</v>
      </c>
      <c r="B3736" t="str">
        <f>MID(TB_CECO[[#This Row],[TRABAJO]],1,SEARCH(",",TB_CECO[[#This Row],[TRABAJO]],1)-1)</f>
        <v xml:space="preserve"> SNV 109</v>
      </c>
      <c r="C37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CAMINOS         </v>
      </c>
      <c r="D37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36" s="47" t="s">
        <v>7396</v>
      </c>
      <c r="G3736" t="s">
        <v>7397</v>
      </c>
      <c r="H37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37" spans="1:8" ht="15" customHeight="1" x14ac:dyDescent="0.25">
      <c r="A3737" t="str">
        <f>MID(TB_CECO[[#This Row],[CECO_T]],1,5)</f>
        <v>43425</v>
      </c>
      <c r="B3737" t="str">
        <f>MID(TB_CECO[[#This Row],[TRABAJO]],1,SEARCH(",",TB_CECO[[#This Row],[TRABAJO]],1)-1)</f>
        <v xml:space="preserve"> SNV 109</v>
      </c>
      <c r="C37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INST.DE RIELES  </v>
      </c>
      <c r="D37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37" s="47" t="s">
        <v>7398</v>
      </c>
      <c r="G3737" t="s">
        <v>7399</v>
      </c>
      <c r="H37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38" spans="1:8" ht="15" customHeight="1" x14ac:dyDescent="0.25">
      <c r="A3738" t="str">
        <f>MID(TB_CECO[[#This Row],[CECO_T]],1,5)</f>
        <v>43425</v>
      </c>
      <c r="B3738" t="str">
        <f>MID(TB_CECO[[#This Row],[TRABAJO]],1,SEARCH(",",TB_CECO[[#This Row],[TRABAJO]],1)-1)</f>
        <v xml:space="preserve"> SNV 109</v>
      </c>
      <c r="C37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REHAB DE LABORES</v>
      </c>
      <c r="D37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38" s="47" t="s">
        <v>7400</v>
      </c>
      <c r="G3738" t="s">
        <v>7401</v>
      </c>
      <c r="H37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39" spans="1:8" ht="15" customHeight="1" x14ac:dyDescent="0.25">
      <c r="A3739" t="str">
        <f>MID(TB_CECO[[#This Row],[CECO_T]],1,5)</f>
        <v>43425</v>
      </c>
      <c r="B3739" t="str">
        <f>MID(TB_CECO[[#This Row],[TRABAJO]],1,SEARCH(",",TB_CECO[[#This Row],[TRABAJO]],1)-1)</f>
        <v xml:space="preserve"> SNV 109</v>
      </c>
      <c r="C37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SNV 109, CH 056, CICLO COMPLETO  </v>
      </c>
      <c r="D37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7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3739" s="47" t="s">
        <v>7402</v>
      </c>
      <c r="G3739" t="s">
        <v>7403</v>
      </c>
      <c r="H37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40" spans="1:8" ht="15" customHeight="1" x14ac:dyDescent="0.25">
      <c r="A3740" t="str">
        <f>MID(TB_CECO[[#This Row],[CECO_T]],1,5)</f>
        <v>43426</v>
      </c>
      <c r="B3740" t="str">
        <f>MID(TB_CECO[[#This Row],[TRABAJO]],1,SEARCH(",",TB_CECO[[#This Row],[TRABAJO]],1)-1)</f>
        <v>SNV 109 NE</v>
      </c>
      <c r="C37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100,VOLADURA        </v>
      </c>
      <c r="D37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40" s="47" t="s">
        <v>7404</v>
      </c>
      <c r="G3740" t="s">
        <v>7405</v>
      </c>
      <c r="H37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41" spans="1:8" ht="15" customHeight="1" x14ac:dyDescent="0.25">
      <c r="A3741" t="str">
        <f>MID(TB_CECO[[#This Row],[CECO_T]],1,5)</f>
        <v>43426</v>
      </c>
      <c r="B3741" t="str">
        <f>MID(TB_CECO[[#This Row],[TRABAJO]],1,SEARCH(",",TB_CECO[[#This Row],[TRABAJO]],1)-1)</f>
        <v>SNV 109 NE</v>
      </c>
      <c r="C37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100,CAMINOS         </v>
      </c>
      <c r="D37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41" s="47" t="s">
        <v>7406</v>
      </c>
      <c r="G3741" t="s">
        <v>7407</v>
      </c>
      <c r="H37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42" spans="1:8" ht="15" customHeight="1" x14ac:dyDescent="0.25">
      <c r="A3742" t="str">
        <f>MID(TB_CECO[[#This Row],[CECO_T]],1,5)</f>
        <v>43426</v>
      </c>
      <c r="B3742" t="str">
        <f>MID(TB_CECO[[#This Row],[TRABAJO]],1,SEARCH(",",TB_CECO[[#This Row],[TRABAJO]],1)-1)</f>
        <v>SNV 109 NE</v>
      </c>
      <c r="C37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100,INST.DE RIELES  </v>
      </c>
      <c r="D37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42" s="47" t="s">
        <v>7408</v>
      </c>
      <c r="G3742" t="s">
        <v>7409</v>
      </c>
      <c r="H37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43" spans="1:8" ht="15" customHeight="1" x14ac:dyDescent="0.25">
      <c r="A3743" t="str">
        <f>MID(TB_CECO[[#This Row],[CECO_T]],1,5)</f>
        <v>43426</v>
      </c>
      <c r="B3743" t="str">
        <f>MID(TB_CECO[[#This Row],[TRABAJO]],1,SEARCH(",",TB_CECO[[#This Row],[TRABAJO]],1)-1)</f>
        <v>SNV 109 NE</v>
      </c>
      <c r="C37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109 NE, CH 100,REHAB DE LABORES</v>
      </c>
      <c r="D37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43" s="47" t="s">
        <v>7410</v>
      </c>
      <c r="G3743" t="s">
        <v>7411</v>
      </c>
      <c r="H37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44" spans="1:8" ht="15" customHeight="1" x14ac:dyDescent="0.25">
      <c r="A3744" t="str">
        <f>MID(TB_CECO[[#This Row],[CECO_T]],1,5)</f>
        <v>43426</v>
      </c>
      <c r="B3744" t="str">
        <f>MID(TB_CECO[[#This Row],[TRABAJO]],1,SEARCH(",",TB_CECO[[#This Row],[TRABAJO]],1)-1)</f>
        <v>SNV 109 NE</v>
      </c>
      <c r="C37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NE, CH 100,CICLO COMPLETO  </v>
      </c>
      <c r="D37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44" s="47" t="s">
        <v>7412</v>
      </c>
      <c r="G3744" t="s">
        <v>7413</v>
      </c>
      <c r="H37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45" spans="1:8" ht="15" customHeight="1" x14ac:dyDescent="0.25">
      <c r="A3745" t="str">
        <f>MID(TB_CECO[[#This Row],[CECO_T]],1,5)</f>
        <v>43427</v>
      </c>
      <c r="B3745" t="str">
        <f>MID(TB_CECO[[#This Row],[TRABAJO]],1,SEARCH(",",TB_CECO[[#This Row],[TRABAJO]],1)-1)</f>
        <v>SNV 109 SW</v>
      </c>
      <c r="C37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SW, CH 056, VOLADURA       </v>
      </c>
      <c r="D37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45" s="47" t="s">
        <v>7414</v>
      </c>
      <c r="G3745" t="s">
        <v>7415</v>
      </c>
      <c r="H37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46" spans="1:8" ht="15" customHeight="1" x14ac:dyDescent="0.25">
      <c r="A3746" t="str">
        <f>MID(TB_CECO[[#This Row],[CECO_T]],1,5)</f>
        <v>43427</v>
      </c>
      <c r="B3746" t="str">
        <f>MID(TB_CECO[[#This Row],[TRABAJO]],1,SEARCH(",",TB_CECO[[#This Row],[TRABAJO]],1)-1)</f>
        <v>SNV 109 SW</v>
      </c>
      <c r="C37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SW, CH 056, CAMINOS        </v>
      </c>
      <c r="D37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46" s="47" t="s">
        <v>7416</v>
      </c>
      <c r="G3746" t="s">
        <v>7417</v>
      </c>
      <c r="H37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47" spans="1:8" ht="15" customHeight="1" x14ac:dyDescent="0.25">
      <c r="A3747" t="str">
        <f>MID(TB_CECO[[#This Row],[CECO_T]],1,5)</f>
        <v>43427</v>
      </c>
      <c r="B3747" t="str">
        <f>MID(TB_CECO[[#This Row],[TRABAJO]],1,SEARCH(",",TB_CECO[[#This Row],[TRABAJO]],1)-1)</f>
        <v>SNV 109 SW</v>
      </c>
      <c r="C37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SW, CH 056, INST.DE RIELES </v>
      </c>
      <c r="D37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47" s="47" t="s">
        <v>7418</v>
      </c>
      <c r="G3747" t="s">
        <v>7419</v>
      </c>
      <c r="H37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48" spans="1:8" ht="15" customHeight="1" x14ac:dyDescent="0.25">
      <c r="A3748" t="str">
        <f>MID(TB_CECO[[#This Row],[CECO_T]],1,5)</f>
        <v>43427</v>
      </c>
      <c r="B3748" t="str">
        <f>MID(TB_CECO[[#This Row],[TRABAJO]],1,SEARCH(",",TB_CECO[[#This Row],[TRABAJO]],1)-1)</f>
        <v>SNV 109 SW</v>
      </c>
      <c r="C37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109 SW, CH 056, REHAB DE LABORE</v>
      </c>
      <c r="D37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48" s="47" t="s">
        <v>7420</v>
      </c>
      <c r="G3748" t="s">
        <v>7421</v>
      </c>
      <c r="H37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49" spans="1:8" ht="15" customHeight="1" x14ac:dyDescent="0.25">
      <c r="A3749" t="str">
        <f>MID(TB_CECO[[#This Row],[CECO_T]],1,5)</f>
        <v>43427</v>
      </c>
      <c r="B3749" t="str">
        <f>MID(TB_CECO[[#This Row],[TRABAJO]],1,SEARCH(",",TB_CECO[[#This Row],[TRABAJO]],1)-1)</f>
        <v>SNV 109 SW</v>
      </c>
      <c r="C37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109 SW, CH 056, CICLO COMPLETO </v>
      </c>
      <c r="D37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49" s="47" t="s">
        <v>7422</v>
      </c>
      <c r="G3749" t="s">
        <v>7423</v>
      </c>
      <c r="H37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50" spans="1:8" ht="15" customHeight="1" x14ac:dyDescent="0.25">
      <c r="A3750" t="str">
        <f>MID(TB_CECO[[#This Row],[CECO_T]],1,5)</f>
        <v>43428</v>
      </c>
      <c r="B3750" t="str">
        <f>MID(TB_CECO[[#This Row],[TRABAJO]],1,SEARCH(",",TB_CECO[[#This Row],[TRABAJO]],1)-1)</f>
        <v>SNV 117 NE</v>
      </c>
      <c r="C37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056VOLADURA         </v>
      </c>
      <c r="D37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50" s="47" t="s">
        <v>7424</v>
      </c>
      <c r="G3750" t="s">
        <v>7425</v>
      </c>
      <c r="H37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51" spans="1:8" ht="15" customHeight="1" x14ac:dyDescent="0.25">
      <c r="A3751" t="str">
        <f>MID(TB_CECO[[#This Row],[CECO_T]],1,5)</f>
        <v>43428</v>
      </c>
      <c r="B3751" t="str">
        <f>MID(TB_CECO[[#This Row],[TRABAJO]],1,SEARCH(",",TB_CECO[[#This Row],[TRABAJO]],1)-1)</f>
        <v>SNV 117 NE</v>
      </c>
      <c r="C37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056CAMINOS          </v>
      </c>
      <c r="D37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51" s="47" t="s">
        <v>7426</v>
      </c>
      <c r="G3751" t="s">
        <v>7427</v>
      </c>
      <c r="H37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52" spans="1:8" ht="15" customHeight="1" x14ac:dyDescent="0.25">
      <c r="A3752" t="str">
        <f>MID(TB_CECO[[#This Row],[CECO_T]],1,5)</f>
        <v>43428</v>
      </c>
      <c r="B3752" t="str">
        <f>MID(TB_CECO[[#This Row],[TRABAJO]],1,SEARCH(",",TB_CECO[[#This Row],[TRABAJO]],1)-1)</f>
        <v>SNV 117 NE</v>
      </c>
      <c r="C37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056INST.DE RIELES   </v>
      </c>
      <c r="D37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52" s="47" t="s">
        <v>7428</v>
      </c>
      <c r="G3752" t="s">
        <v>7429</v>
      </c>
      <c r="H37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53" spans="1:8" ht="15" customHeight="1" x14ac:dyDescent="0.25">
      <c r="A3753" t="str">
        <f>MID(TB_CECO[[#This Row],[CECO_T]],1,5)</f>
        <v>43428</v>
      </c>
      <c r="B3753" t="str">
        <f>MID(TB_CECO[[#This Row],[TRABAJO]],1,SEARCH(",",TB_CECO[[#This Row],[TRABAJO]],1)-1)</f>
        <v>SNV 117 NE</v>
      </c>
      <c r="C37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056REHAB DE LABORES </v>
      </c>
      <c r="D37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53" s="47" t="s">
        <v>7430</v>
      </c>
      <c r="G3753" t="s">
        <v>7431</v>
      </c>
      <c r="H37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54" spans="1:8" ht="15" customHeight="1" x14ac:dyDescent="0.25">
      <c r="A3754" t="str">
        <f>MID(TB_CECO[[#This Row],[CECO_T]],1,5)</f>
        <v>43428</v>
      </c>
      <c r="B3754" t="str">
        <f>MID(TB_CECO[[#This Row],[TRABAJO]],1,SEARCH(",",TB_CECO[[#This Row],[TRABAJO]],1)-1)</f>
        <v>SNV 117 NE</v>
      </c>
      <c r="C37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NE, CH 056CICLO COMPLETO   </v>
      </c>
      <c r="D37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54" s="47" t="s">
        <v>7432</v>
      </c>
      <c r="G3754" t="s">
        <v>7433</v>
      </c>
      <c r="H37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55" spans="1:8" ht="15" customHeight="1" x14ac:dyDescent="0.25">
      <c r="A3755" t="str">
        <f>MID(TB_CECO[[#This Row],[CECO_T]],1,5)</f>
        <v>43429</v>
      </c>
      <c r="B3755" t="str">
        <f>MID(TB_CECO[[#This Row],[TRABAJO]],1,SEARCH(",",TB_CECO[[#This Row],[TRABAJO]],1)-1)</f>
        <v>SNV 117 SW</v>
      </c>
      <c r="C37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056,VOLADURA        </v>
      </c>
      <c r="D37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55" s="47" t="s">
        <v>7434</v>
      </c>
      <c r="G3755" t="s">
        <v>7435</v>
      </c>
      <c r="H37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56" spans="1:8" ht="15" customHeight="1" x14ac:dyDescent="0.25">
      <c r="A3756" t="str">
        <f>MID(TB_CECO[[#This Row],[CECO_T]],1,5)</f>
        <v>43429</v>
      </c>
      <c r="B3756" t="str">
        <f>MID(TB_CECO[[#This Row],[TRABAJO]],1,SEARCH(",",TB_CECO[[#This Row],[TRABAJO]],1)-1)</f>
        <v>SNV 117 SW</v>
      </c>
      <c r="C37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056,CAMINOS         </v>
      </c>
      <c r="D37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56" s="47" t="s">
        <v>7436</v>
      </c>
      <c r="G3756" t="s">
        <v>7437</v>
      </c>
      <c r="H37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57" spans="1:8" ht="15" customHeight="1" x14ac:dyDescent="0.25">
      <c r="A3757" t="str">
        <f>MID(TB_CECO[[#This Row],[CECO_T]],1,5)</f>
        <v>43429</v>
      </c>
      <c r="B3757" t="str">
        <f>MID(TB_CECO[[#This Row],[TRABAJO]],1,SEARCH(",",TB_CECO[[#This Row],[TRABAJO]],1)-1)</f>
        <v>SNV 117 SW</v>
      </c>
      <c r="C37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056,INST.DE RIELES  </v>
      </c>
      <c r="D37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57" s="47" t="s">
        <v>7438</v>
      </c>
      <c r="G3757" t="s">
        <v>7439</v>
      </c>
      <c r="H37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58" spans="1:8" ht="15" customHeight="1" x14ac:dyDescent="0.25">
      <c r="A3758" t="str">
        <f>MID(TB_CECO[[#This Row],[CECO_T]],1,5)</f>
        <v>43429</v>
      </c>
      <c r="B3758" t="str">
        <f>MID(TB_CECO[[#This Row],[TRABAJO]],1,SEARCH(",",TB_CECO[[#This Row],[TRABAJO]],1)-1)</f>
        <v>SNV 117 SW</v>
      </c>
      <c r="C37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117 SW, CH 056,REHAB DE LABORES</v>
      </c>
      <c r="D37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58" s="47" t="s">
        <v>7440</v>
      </c>
      <c r="G3758" t="s">
        <v>7441</v>
      </c>
      <c r="H37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59" spans="1:8" ht="15" customHeight="1" x14ac:dyDescent="0.25">
      <c r="A3759" t="str">
        <f>MID(TB_CECO[[#This Row],[CECO_T]],1,5)</f>
        <v>43429</v>
      </c>
      <c r="B3759" t="str">
        <f>MID(TB_CECO[[#This Row],[TRABAJO]],1,SEARCH(",",TB_CECO[[#This Row],[TRABAJO]],1)-1)</f>
        <v>SNV 117 SW</v>
      </c>
      <c r="C37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117 SW, CH 056,CICLO COMPLETO  </v>
      </c>
      <c r="D37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59" s="47" t="s">
        <v>7442</v>
      </c>
      <c r="G3759" t="s">
        <v>7443</v>
      </c>
      <c r="H37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60" spans="1:8" ht="15" customHeight="1" x14ac:dyDescent="0.25">
      <c r="A3760" t="str">
        <f>MID(TB_CECO[[#This Row],[CECO_T]],1,5)</f>
        <v>44519</v>
      </c>
      <c r="B3760" t="str">
        <f>MID(TB_CECO[[#This Row],[TRABAJO]],1,SEARCH(",",TB_CECO[[#This Row],[TRABAJO]],1)-1)</f>
        <v>EST 132 SE CH 100</v>
      </c>
      <c r="C37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100,VOLADURA         </v>
      </c>
      <c r="D37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60" s="47" t="s">
        <v>7444</v>
      </c>
      <c r="G3760" t="s">
        <v>7445</v>
      </c>
      <c r="H37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61" spans="1:8" ht="15" customHeight="1" x14ac:dyDescent="0.25">
      <c r="A3761" t="str">
        <f>MID(TB_CECO[[#This Row],[CECO_T]],1,5)</f>
        <v>44519</v>
      </c>
      <c r="B3761" t="str">
        <f>MID(TB_CECO[[#This Row],[TRABAJO]],1,SEARCH(",",TB_CECO[[#This Row],[TRABAJO]],1)-1)</f>
        <v>EST 132 SE CH 100</v>
      </c>
      <c r="C37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100,CAMINOS          </v>
      </c>
      <c r="D37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61" s="47" t="s">
        <v>7446</v>
      </c>
      <c r="G3761" t="s">
        <v>7447</v>
      </c>
      <c r="H37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62" spans="1:8" ht="15" customHeight="1" x14ac:dyDescent="0.25">
      <c r="A3762" t="str">
        <f>MID(TB_CECO[[#This Row],[CECO_T]],1,5)</f>
        <v>44519</v>
      </c>
      <c r="B3762" t="str">
        <f>MID(TB_CECO[[#This Row],[TRABAJO]],1,SEARCH(",",TB_CECO[[#This Row],[TRABAJO]],1)-1)</f>
        <v>EST 132 SE CH 100</v>
      </c>
      <c r="C37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100,INST.DE RIELES   </v>
      </c>
      <c r="D37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62" s="47" t="s">
        <v>7448</v>
      </c>
      <c r="G3762" t="s">
        <v>7449</v>
      </c>
      <c r="H37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63" spans="1:8" ht="15" customHeight="1" x14ac:dyDescent="0.25">
      <c r="A3763" t="str">
        <f>MID(TB_CECO[[#This Row],[CECO_T]],1,5)</f>
        <v>44519</v>
      </c>
      <c r="B3763" t="str">
        <f>MID(TB_CECO[[#This Row],[TRABAJO]],1,SEARCH(",",TB_CECO[[#This Row],[TRABAJO]],1)-1)</f>
        <v>EST 132 SE CH 100</v>
      </c>
      <c r="C37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100,REHAB DE LABORES </v>
      </c>
      <c r="D37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63" s="47" t="s">
        <v>7450</v>
      </c>
      <c r="G3763" t="s">
        <v>7451</v>
      </c>
      <c r="H37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64" spans="1:8" ht="15" customHeight="1" x14ac:dyDescent="0.25">
      <c r="A3764" t="str">
        <f>MID(TB_CECO[[#This Row],[CECO_T]],1,5)</f>
        <v>44519</v>
      </c>
      <c r="B3764" t="str">
        <f>MID(TB_CECO[[#This Row],[TRABAJO]],1,SEARCH(",",TB_CECO[[#This Row],[TRABAJO]],1)-1)</f>
        <v>EST 132 SE CH 100</v>
      </c>
      <c r="C37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 132 SE CH 100,CICLO COMPLETO   </v>
      </c>
      <c r="D37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64" s="47" t="s">
        <v>7452</v>
      </c>
      <c r="G3764" t="s">
        <v>7453</v>
      </c>
      <c r="H37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65" spans="1:8" ht="15" customHeight="1" x14ac:dyDescent="0.25">
      <c r="A3765" t="str">
        <f>MID(TB_CECO[[#This Row],[CECO_T]],1,5)</f>
        <v>44523</v>
      </c>
      <c r="B3765" t="str">
        <f>MID(TB_CECO[[#This Row],[TRABAJO]],1,SEARCH(",",TB_CECO[[#This Row],[TRABAJO]],1)-1)</f>
        <v>EST. 150 NW (CH 150)</v>
      </c>
      <c r="C37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150 NW (CH 150),VOLADURA      </v>
      </c>
      <c r="D37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65" s="47" t="s">
        <v>7454</v>
      </c>
      <c r="G3765" t="s">
        <v>7455</v>
      </c>
      <c r="H37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66" spans="1:8" ht="15" customHeight="1" x14ac:dyDescent="0.25">
      <c r="A3766" t="str">
        <f>MID(TB_CECO[[#This Row],[CECO_T]],1,5)</f>
        <v>44523</v>
      </c>
      <c r="B3766" t="str">
        <f>MID(TB_CECO[[#This Row],[TRABAJO]],1,SEARCH(",",TB_CECO[[#This Row],[TRABAJO]],1)-1)</f>
        <v>EST. 150 NW (CH 150)</v>
      </c>
      <c r="C37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150 NW (CH 150),CAMINOS       </v>
      </c>
      <c r="D37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66" s="47" t="s">
        <v>7456</v>
      </c>
      <c r="G3766" t="s">
        <v>7457</v>
      </c>
      <c r="H37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67" spans="1:8" ht="15" customHeight="1" x14ac:dyDescent="0.25">
      <c r="A3767" t="str">
        <f>MID(TB_CECO[[#This Row],[CECO_T]],1,5)</f>
        <v>44523</v>
      </c>
      <c r="B3767" t="str">
        <f>MID(TB_CECO[[#This Row],[TRABAJO]],1,SEARCH(",",TB_CECO[[#This Row],[TRABAJO]],1)-1)</f>
        <v>EST. 150 NW (CH 150)</v>
      </c>
      <c r="C37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150 NW (CH 150),INST.DE RIELES</v>
      </c>
      <c r="D37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67" s="47" t="s">
        <v>7458</v>
      </c>
      <c r="G3767" t="s">
        <v>7459</v>
      </c>
      <c r="H37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68" spans="1:8" ht="15" customHeight="1" x14ac:dyDescent="0.25">
      <c r="A3768" t="str">
        <f>MID(TB_CECO[[#This Row],[CECO_T]],1,5)</f>
        <v>44523</v>
      </c>
      <c r="B3768" t="str">
        <f>MID(TB_CECO[[#This Row],[TRABAJO]],1,SEARCH(",",TB_CECO[[#This Row],[TRABAJO]],1)-1)</f>
        <v>EST. 150 NW (CH 150)</v>
      </c>
      <c r="C37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150 NW (CH 150),REHAB DE LABOR</v>
      </c>
      <c r="D37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68" s="47" t="s">
        <v>7460</v>
      </c>
      <c r="G3768" t="s">
        <v>7461</v>
      </c>
      <c r="H37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69" spans="1:8" ht="15" customHeight="1" x14ac:dyDescent="0.25">
      <c r="A3769" t="str">
        <f>MID(TB_CECO[[#This Row],[CECO_T]],1,5)</f>
        <v>44523</v>
      </c>
      <c r="B3769" t="str">
        <f>MID(TB_CECO[[#This Row],[TRABAJO]],1,SEARCH(",",TB_CECO[[#This Row],[TRABAJO]],1)-1)</f>
        <v>EST. 150 NW (CH 150)</v>
      </c>
      <c r="C37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150 NW (CH 150),CICLO COMPLETO</v>
      </c>
      <c r="D37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69" s="47" t="s">
        <v>7462</v>
      </c>
      <c r="G3769" t="s">
        <v>7463</v>
      </c>
      <c r="H37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70" spans="1:8" ht="15" customHeight="1" x14ac:dyDescent="0.25">
      <c r="A3770" t="str">
        <f>MID(TB_CECO[[#This Row],[CECO_T]],1,5)</f>
        <v>45313</v>
      </c>
      <c r="B3770" t="str">
        <f>MID(TB_CECO[[#This Row],[TRABAJO]],1,SEARCH(",",TB_CECO[[#This Row],[TRABAJO]],1)-1)</f>
        <v>TJ 100 CH 120</v>
      </c>
      <c r="C37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120,VOLADURA             </v>
      </c>
      <c r="D37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70" s="47" t="s">
        <v>7464</v>
      </c>
      <c r="G3770" t="s">
        <v>7465</v>
      </c>
      <c r="H37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71" spans="1:8" ht="15" customHeight="1" x14ac:dyDescent="0.25">
      <c r="A3771" t="str">
        <f>MID(TB_CECO[[#This Row],[CECO_T]],1,5)</f>
        <v>45313</v>
      </c>
      <c r="B3771" t="str">
        <f>MID(TB_CECO[[#This Row],[TRABAJO]],1,SEARCH(",",TB_CECO[[#This Row],[TRABAJO]],1)-1)</f>
        <v>TJ 100 CH 120</v>
      </c>
      <c r="C37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120,CAMINOS              </v>
      </c>
      <c r="D37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71" s="47" t="s">
        <v>7466</v>
      </c>
      <c r="G3771" t="s">
        <v>7467</v>
      </c>
      <c r="H37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72" spans="1:8" ht="15" customHeight="1" x14ac:dyDescent="0.25">
      <c r="A3772" t="str">
        <f>MID(TB_CECO[[#This Row],[CECO_T]],1,5)</f>
        <v>45313</v>
      </c>
      <c r="B3772" t="str">
        <f>MID(TB_CECO[[#This Row],[TRABAJO]],1,SEARCH(",",TB_CECO[[#This Row],[TRABAJO]],1)-1)</f>
        <v>TJ 100 CH 120</v>
      </c>
      <c r="C37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120,INST.DE RIELES       </v>
      </c>
      <c r="D37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72" s="47" t="s">
        <v>7468</v>
      </c>
      <c r="G3772" t="s">
        <v>7469</v>
      </c>
      <c r="H37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73" spans="1:8" ht="15" customHeight="1" x14ac:dyDescent="0.25">
      <c r="A3773" t="str">
        <f>MID(TB_CECO[[#This Row],[CECO_T]],1,5)</f>
        <v>45313</v>
      </c>
      <c r="B3773" t="str">
        <f>MID(TB_CECO[[#This Row],[TRABAJO]],1,SEARCH(",",TB_CECO[[#This Row],[TRABAJO]],1)-1)</f>
        <v>TJ 100 CH 120</v>
      </c>
      <c r="C37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120,REHAB DE LABORES     </v>
      </c>
      <c r="D37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73" s="47" t="s">
        <v>7470</v>
      </c>
      <c r="G3773" t="s">
        <v>7471</v>
      </c>
      <c r="H37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74" spans="1:8" ht="15" customHeight="1" x14ac:dyDescent="0.25">
      <c r="A3774" t="str">
        <f>MID(TB_CECO[[#This Row],[CECO_T]],1,5)</f>
        <v>45313</v>
      </c>
      <c r="B3774" t="str">
        <f>MID(TB_CECO[[#This Row],[TRABAJO]],1,SEARCH(",",TB_CECO[[#This Row],[TRABAJO]],1)-1)</f>
        <v>TJ 100 CH 120</v>
      </c>
      <c r="C37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100 CH 120,CICLO COMPLETO       </v>
      </c>
      <c r="D37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74" s="47" t="s">
        <v>7472</v>
      </c>
      <c r="G3774" t="s">
        <v>7473</v>
      </c>
      <c r="H37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75" spans="1:8" ht="15" customHeight="1" x14ac:dyDescent="0.25">
      <c r="A3775" t="str">
        <f>MID(TB_CECO[[#This Row],[CECO_T]],1,5)</f>
        <v>45315</v>
      </c>
      <c r="B3775" t="str">
        <f>MID(TB_CECO[[#This Row],[TRABAJO]],1,SEARCH(",",TB_CECO[[#This Row],[TRABAJO]],1)-1)</f>
        <v>TJ 056 CH 100</v>
      </c>
      <c r="C37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100,VOLADURA             </v>
      </c>
      <c r="D37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75" s="47" t="s">
        <v>7474</v>
      </c>
      <c r="G3775" t="s">
        <v>7475</v>
      </c>
      <c r="H37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76" spans="1:8" ht="15" customHeight="1" x14ac:dyDescent="0.25">
      <c r="A3776" t="str">
        <f>MID(TB_CECO[[#This Row],[CECO_T]],1,5)</f>
        <v>45315</v>
      </c>
      <c r="B3776" t="str">
        <f>MID(TB_CECO[[#This Row],[TRABAJO]],1,SEARCH(",",TB_CECO[[#This Row],[TRABAJO]],1)-1)</f>
        <v>TJ 056 CH 100</v>
      </c>
      <c r="C37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100,CAMINOS              </v>
      </c>
      <c r="D37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76" s="47" t="s">
        <v>7476</v>
      </c>
      <c r="G3776" t="s">
        <v>7477</v>
      </c>
      <c r="H37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77" spans="1:8" ht="15" customHeight="1" x14ac:dyDescent="0.25">
      <c r="A3777" t="str">
        <f>MID(TB_CECO[[#This Row],[CECO_T]],1,5)</f>
        <v>45315</v>
      </c>
      <c r="B3777" t="str">
        <f>MID(TB_CECO[[#This Row],[TRABAJO]],1,SEARCH(",",TB_CECO[[#This Row],[TRABAJO]],1)-1)</f>
        <v>TJ 056 CH 100</v>
      </c>
      <c r="C37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100,INST.DE RIELES       </v>
      </c>
      <c r="D37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77" s="47" t="s">
        <v>7478</v>
      </c>
      <c r="G3777" t="s">
        <v>7479</v>
      </c>
      <c r="H37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78" spans="1:8" ht="15" customHeight="1" x14ac:dyDescent="0.25">
      <c r="A3778" t="str">
        <f>MID(TB_CECO[[#This Row],[CECO_T]],1,5)</f>
        <v>45315</v>
      </c>
      <c r="B3778" t="str">
        <f>MID(TB_CECO[[#This Row],[TRABAJO]],1,SEARCH(",",TB_CECO[[#This Row],[TRABAJO]],1)-1)</f>
        <v>TJ 056 CH 100</v>
      </c>
      <c r="C37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100,REHAB DE LABORES     </v>
      </c>
      <c r="D37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78" s="47" t="s">
        <v>7480</v>
      </c>
      <c r="G3778" t="s">
        <v>7481</v>
      </c>
      <c r="H37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79" spans="1:8" ht="15" customHeight="1" x14ac:dyDescent="0.25">
      <c r="A3779" t="str">
        <f>MID(TB_CECO[[#This Row],[CECO_T]],1,5)</f>
        <v>45315</v>
      </c>
      <c r="B3779" t="str">
        <f>MID(TB_CECO[[#This Row],[TRABAJO]],1,SEARCH(",",TB_CECO[[#This Row],[TRABAJO]],1)-1)</f>
        <v>TJ 056 CH 100</v>
      </c>
      <c r="C37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CH 100,CICLO COMPLETO       </v>
      </c>
      <c r="D37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79" s="47" t="s">
        <v>7482</v>
      </c>
      <c r="G3779" t="s">
        <v>7483</v>
      </c>
      <c r="H37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3780" spans="1:8" ht="15" customHeight="1" x14ac:dyDescent="0.25">
      <c r="A3780" t="str">
        <f>MID(TB_CECO[[#This Row],[CECO_T]],1,5)</f>
        <v>4A324</v>
      </c>
      <c r="B3780" t="str">
        <f>MID(TB_CECO[[#This Row],[TRABAJO]],1,SEARCH(",",TB_CECO[[#This Row],[TRABAJO]],1)-1)</f>
        <v>CH 070 (TJ070)</v>
      </c>
      <c r="C37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070 (TJ070),SUMINISTROS        </v>
      </c>
      <c r="D37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80" s="47" t="s">
        <v>7484</v>
      </c>
      <c r="G3780" t="s">
        <v>7485</v>
      </c>
      <c r="H37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81" spans="1:8" ht="15" customHeight="1" x14ac:dyDescent="0.25">
      <c r="A3781" t="str">
        <f>MID(TB_CECO[[#This Row],[CECO_T]],1,5)</f>
        <v>4A324</v>
      </c>
      <c r="B3781" t="str">
        <f>MID(TB_CECO[[#This Row],[TRABAJO]],1,SEARCH(",",TB_CECO[[#This Row],[TRABAJO]],1)-1)</f>
        <v>CH 070 (TJ070)</v>
      </c>
      <c r="C37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070 (TJ070),SOSTENIMIENTO      </v>
      </c>
      <c r="D37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81" s="47" t="s">
        <v>7486</v>
      </c>
      <c r="G3781" t="s">
        <v>7487</v>
      </c>
      <c r="H37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82" spans="1:8" ht="15" customHeight="1" x14ac:dyDescent="0.25">
      <c r="A3782" t="str">
        <f>MID(TB_CECO[[#This Row],[CECO_T]],1,5)</f>
        <v>4A324</v>
      </c>
      <c r="B3782" t="str">
        <f>MID(TB_CECO[[#This Row],[TRABAJO]],1,SEARCH(",",TB_CECO[[#This Row],[TRABAJO]],1)-1)</f>
        <v>CH 070 (TJ070)</v>
      </c>
      <c r="C37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070 (TJ070),SERVICIO           </v>
      </c>
      <c r="D37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82" s="47" t="s">
        <v>7488</v>
      </c>
      <c r="G3782" t="s">
        <v>7489</v>
      </c>
      <c r="H37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83" spans="1:8" ht="15" customHeight="1" x14ac:dyDescent="0.25">
      <c r="A3783" t="str">
        <f>MID(TB_CECO[[#This Row],[CECO_T]],1,5)</f>
        <v>4A324</v>
      </c>
      <c r="B3783" t="str">
        <f>MID(TB_CECO[[#This Row],[TRABAJO]],1,SEARCH(",",TB_CECO[[#This Row],[TRABAJO]],1)-1)</f>
        <v>CH 070 (TJ070)</v>
      </c>
      <c r="C37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070 (TJ070),REHABILITACION     </v>
      </c>
      <c r="D37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83" s="47" t="s">
        <v>7490</v>
      </c>
      <c r="G3783" t="s">
        <v>7491</v>
      </c>
      <c r="H37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84" spans="1:8" ht="15" customHeight="1" x14ac:dyDescent="0.25">
      <c r="A3784" t="str">
        <f>MID(TB_CECO[[#This Row],[CECO_T]],1,5)</f>
        <v>4A811</v>
      </c>
      <c r="B3784" t="str">
        <f>MID(TB_CECO[[#This Row],[TRABAJO]],1,SEARCH(",",TB_CECO[[#This Row],[TRABAJO]],1)-1)</f>
        <v>Cam 155 (Est 155 NW)</v>
      </c>
      <c r="C37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155 (Est 155 NW),SUMINISTROS</v>
      </c>
      <c r="D37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84" s="47" t="s">
        <v>7492</v>
      </c>
      <c r="G3784" t="s">
        <v>7493</v>
      </c>
      <c r="H37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85" spans="1:8" ht="15" customHeight="1" x14ac:dyDescent="0.25">
      <c r="A3785" t="str">
        <f>MID(TB_CECO[[#This Row],[CECO_T]],1,5)</f>
        <v>4A811</v>
      </c>
      <c r="B3785" t="str">
        <f>MID(TB_CECO[[#This Row],[TRABAJO]],1,SEARCH(",",TB_CECO[[#This Row],[TRABAJO]],1)-1)</f>
        <v>Cam 155 (Est 155 NW)</v>
      </c>
      <c r="C37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155 (Est 155 NW),SOSTENIMIENTO</v>
      </c>
      <c r="D37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85" s="47" t="s">
        <v>7494</v>
      </c>
      <c r="G3785" t="s">
        <v>7495</v>
      </c>
      <c r="H37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86" spans="1:8" ht="15" customHeight="1" x14ac:dyDescent="0.25">
      <c r="A3786" t="str">
        <f>MID(TB_CECO[[#This Row],[CECO_T]],1,5)</f>
        <v>4A811</v>
      </c>
      <c r="B3786" t="str">
        <f>MID(TB_CECO[[#This Row],[TRABAJO]],1,SEARCH(",",TB_CECO[[#This Row],[TRABAJO]],1)-1)</f>
        <v>Cam 155 (Est 155 NW)</v>
      </c>
      <c r="C37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155 (Est 155 NW),SERVICIO</v>
      </c>
      <c r="D37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86" s="47" t="s">
        <v>7496</v>
      </c>
      <c r="G3786" t="s">
        <v>7497</v>
      </c>
      <c r="H37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87" spans="1:8" ht="15" customHeight="1" x14ac:dyDescent="0.25">
      <c r="A3787" t="str">
        <f>MID(TB_CECO[[#This Row],[CECO_T]],1,5)</f>
        <v>4A811</v>
      </c>
      <c r="B3787" t="str">
        <f>MID(TB_CECO[[#This Row],[TRABAJO]],1,SEARCH(",",TB_CECO[[#This Row],[TRABAJO]],1)-1)</f>
        <v>Cam 155 (Est 155 NW)</v>
      </c>
      <c r="C37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155 (Est 155 NW),REHABILITACION</v>
      </c>
      <c r="D37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87" s="47" t="s">
        <v>7498</v>
      </c>
      <c r="G3787" t="s">
        <v>7499</v>
      </c>
      <c r="H37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88" spans="1:8" ht="15" customHeight="1" x14ac:dyDescent="0.25">
      <c r="A3788" t="str">
        <f>MID(TB_CECO[[#This Row],[CECO_T]],1,5)</f>
        <v>4B404</v>
      </c>
      <c r="B3788" t="str">
        <f>MID(TB_CECO[[#This Row],[TRABAJO]],1,SEARCH(",",TB_CECO[[#This Row],[TRABAJO]],1)-1)</f>
        <v>INCLI. 618 (SNV 615 SE)</v>
      </c>
      <c r="C37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INCLI. 618 (SNV 615 SE),SUMINISTROS</v>
      </c>
      <c r="D37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88" s="47" t="s">
        <v>7500</v>
      </c>
      <c r="G3788" t="s">
        <v>7501</v>
      </c>
      <c r="H37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89" spans="1:8" ht="15" customHeight="1" x14ac:dyDescent="0.25">
      <c r="A3789" t="str">
        <f>MID(TB_CECO[[#This Row],[CECO_T]],1,5)</f>
        <v>4B404</v>
      </c>
      <c r="B3789" t="str">
        <f>MID(TB_CECO[[#This Row],[TRABAJO]],1,SEARCH(",",TB_CECO[[#This Row],[TRABAJO]],1)-1)</f>
        <v>INCLI. 618 (SNV 615 SE)</v>
      </c>
      <c r="C37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INCLI. 618 (SNV 615 SE),SOSTENIMIENTO</v>
      </c>
      <c r="D37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89" s="47" t="s">
        <v>7502</v>
      </c>
      <c r="G3789" t="s">
        <v>7503</v>
      </c>
      <c r="H37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90" spans="1:8" ht="15" customHeight="1" x14ac:dyDescent="0.25">
      <c r="A3790" t="str">
        <f>MID(TB_CECO[[#This Row],[CECO_T]],1,5)</f>
        <v>4B404</v>
      </c>
      <c r="B3790" t="str">
        <f>MID(TB_CECO[[#This Row],[TRABAJO]],1,SEARCH(",",TB_CECO[[#This Row],[TRABAJO]],1)-1)</f>
        <v>INCLI. 618 (SNV 615 SE)</v>
      </c>
      <c r="C37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INCLI. 618 (SNV 615 SE),SERVICIO</v>
      </c>
      <c r="D37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90" s="47" t="s">
        <v>7504</v>
      </c>
      <c r="G3790" t="s">
        <v>7505</v>
      </c>
      <c r="H37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91" spans="1:8" ht="15" customHeight="1" x14ac:dyDescent="0.25">
      <c r="A3791" t="str">
        <f>MID(TB_CECO[[#This Row],[CECO_T]],1,5)</f>
        <v>4B404</v>
      </c>
      <c r="B3791" t="str">
        <f>MID(TB_CECO[[#This Row],[TRABAJO]],1,SEARCH(",",TB_CECO[[#This Row],[TRABAJO]],1)-1)</f>
        <v>INCLI. 618 (SNV 615 SE)</v>
      </c>
      <c r="C37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INCLI. 618 (SNV 615 SE),REHABILITACION</v>
      </c>
      <c r="D37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91" s="47" t="s">
        <v>7506</v>
      </c>
      <c r="G3791" t="s">
        <v>7507</v>
      </c>
      <c r="H37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92" spans="1:8" ht="15" customHeight="1" x14ac:dyDescent="0.25">
      <c r="A3792" t="str">
        <f>MID(TB_CECO[[#This Row],[CECO_T]],1,5)</f>
        <v>4B628</v>
      </c>
      <c r="B3792" t="str">
        <f>MID(TB_CECO[[#This Row],[TRABAJO]],1,SEARCH(",",TB_CECO[[#This Row],[TRABAJO]],1)-1)</f>
        <v>EST. 001 ( INCL 618)</v>
      </c>
      <c r="C37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001 ( INCL 618),SUMINISTROS</v>
      </c>
      <c r="D37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92" s="47" t="s">
        <v>7508</v>
      </c>
      <c r="G3792" t="s">
        <v>7509</v>
      </c>
      <c r="H37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93" spans="1:8" ht="15" customHeight="1" x14ac:dyDescent="0.25">
      <c r="A3793" t="str">
        <f>MID(TB_CECO[[#This Row],[CECO_T]],1,5)</f>
        <v>4B628</v>
      </c>
      <c r="B3793" t="str">
        <f>MID(TB_CECO[[#This Row],[TRABAJO]],1,SEARCH(",",TB_CECO[[#This Row],[TRABAJO]],1)-1)</f>
        <v>EST. 001 ( INCL 618)</v>
      </c>
      <c r="C37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001 ( INCL 618),SOSTENIMIENTO</v>
      </c>
      <c r="D37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93" s="47" t="s">
        <v>7510</v>
      </c>
      <c r="G3793" t="s">
        <v>7511</v>
      </c>
      <c r="H37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94" spans="1:8" ht="15" customHeight="1" x14ac:dyDescent="0.25">
      <c r="A3794" t="str">
        <f>MID(TB_CECO[[#This Row],[CECO_T]],1,5)</f>
        <v>4B628</v>
      </c>
      <c r="B3794" t="str">
        <f>MID(TB_CECO[[#This Row],[TRABAJO]],1,SEARCH(",",TB_CECO[[#This Row],[TRABAJO]],1)-1)</f>
        <v>EST. 001 ( INCL 618)</v>
      </c>
      <c r="C37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001 ( INCL 618),SERVICIO</v>
      </c>
      <c r="D37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94" s="47" t="s">
        <v>7512</v>
      </c>
      <c r="G3794" t="s">
        <v>7513</v>
      </c>
      <c r="H37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95" spans="1:8" ht="15" customHeight="1" x14ac:dyDescent="0.25">
      <c r="A3795" t="str">
        <f>MID(TB_CECO[[#This Row],[CECO_T]],1,5)</f>
        <v>4B807</v>
      </c>
      <c r="B3795" t="str">
        <f>MID(TB_CECO[[#This Row],[TRABAJO]],1,SEARCH(",",TB_CECO[[#This Row],[TRABAJO]],1)-1)</f>
        <v>CAM 618 (SNV 615 SE)</v>
      </c>
      <c r="C37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618 (SNV 615 SE),SUMINISTROS</v>
      </c>
      <c r="D37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95" s="47" t="s">
        <v>7514</v>
      </c>
      <c r="G3795" t="s">
        <v>7515</v>
      </c>
      <c r="H37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96" spans="1:8" ht="15" customHeight="1" x14ac:dyDescent="0.25">
      <c r="A3796" t="str">
        <f>MID(TB_CECO[[#This Row],[CECO_T]],1,5)</f>
        <v>4B807</v>
      </c>
      <c r="B3796" t="str">
        <f>MID(TB_CECO[[#This Row],[TRABAJO]],1,SEARCH(",",TB_CECO[[#This Row],[TRABAJO]],1)-1)</f>
        <v>CAM 618 (SNV 615 SE)</v>
      </c>
      <c r="C37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618 (SNV 615 SE),SOSTENIMIENTO</v>
      </c>
      <c r="D37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96" s="47" t="s">
        <v>7516</v>
      </c>
      <c r="G3796" t="s">
        <v>7517</v>
      </c>
      <c r="H37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97" spans="1:8" ht="15" customHeight="1" x14ac:dyDescent="0.25">
      <c r="A3797" t="str">
        <f>MID(TB_CECO[[#This Row],[CECO_T]],1,5)</f>
        <v>4B807</v>
      </c>
      <c r="B3797" t="str">
        <f>MID(TB_CECO[[#This Row],[TRABAJO]],1,SEARCH(",",TB_CECO[[#This Row],[TRABAJO]],1)-1)</f>
        <v>CAM 618 (SNV 615 SE)</v>
      </c>
      <c r="C37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618 (SNV 615 SE),SERVICIO</v>
      </c>
      <c r="D37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97" s="47" t="s">
        <v>7518</v>
      </c>
      <c r="G3797" t="s">
        <v>7519</v>
      </c>
      <c r="H37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98" spans="1:8" ht="15" customHeight="1" x14ac:dyDescent="0.25">
      <c r="A3798" t="str">
        <f>MID(TB_CECO[[#This Row],[CECO_T]],1,5)</f>
        <v>4B807</v>
      </c>
      <c r="B3798" t="str">
        <f>MID(TB_CECO[[#This Row],[TRABAJO]],1,SEARCH(",",TB_CECO[[#This Row],[TRABAJO]],1)-1)</f>
        <v>CAM 618 (SNV 615 SE)</v>
      </c>
      <c r="C37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618 (SNV 615 SE),REHABILITACION</v>
      </c>
      <c r="D37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98" s="47" t="s">
        <v>7520</v>
      </c>
      <c r="G3798" t="s">
        <v>7521</v>
      </c>
      <c r="H37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799" spans="1:8" ht="15" customHeight="1" x14ac:dyDescent="0.25">
      <c r="A3799" t="str">
        <f>MID(TB_CECO[[#This Row],[CECO_T]],1,5)</f>
        <v>4C365</v>
      </c>
      <c r="B3799" t="str">
        <f>MID(TB_CECO[[#This Row],[TRABAJO]],1,SEARCH(",",TB_CECO[[#This Row],[TRABAJO]],1)-1)</f>
        <v>Ch 621 (Est 845-2 SE)</v>
      </c>
      <c r="C37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621 (Est 845-2 SE),SUMINISTROS</v>
      </c>
      <c r="D37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7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799" s="47" t="s">
        <v>7522</v>
      </c>
      <c r="G3799" t="s">
        <v>7523</v>
      </c>
      <c r="H37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00" spans="1:8" ht="15" customHeight="1" x14ac:dyDescent="0.25">
      <c r="A3800" t="str">
        <f>MID(TB_CECO[[#This Row],[CECO_T]],1,5)</f>
        <v>4C365</v>
      </c>
      <c r="B3800" t="str">
        <f>MID(TB_CECO[[#This Row],[TRABAJO]],1,SEARCH(",",TB_CECO[[#This Row],[TRABAJO]],1)-1)</f>
        <v>Ch 621 (Est 845-2 SE)</v>
      </c>
      <c r="C38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621 (Est 845-2 SE),SOSTENIMIENTO</v>
      </c>
      <c r="D38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00" s="47" t="s">
        <v>7524</v>
      </c>
      <c r="G3800" t="s">
        <v>7525</v>
      </c>
      <c r="H38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01" spans="1:8" ht="15" customHeight="1" x14ac:dyDescent="0.25">
      <c r="A3801" t="str">
        <f>MID(TB_CECO[[#This Row],[CECO_T]],1,5)</f>
        <v>4C365</v>
      </c>
      <c r="B3801" t="str">
        <f>MID(TB_CECO[[#This Row],[TRABAJO]],1,SEARCH(",",TB_CECO[[#This Row],[TRABAJO]],1)-1)</f>
        <v>Ch 621 (Est 845-2 SE)</v>
      </c>
      <c r="C38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621 (Est 845-2 SE),SERVICIO</v>
      </c>
      <c r="D38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01" s="47" t="s">
        <v>7526</v>
      </c>
      <c r="G3801" t="s">
        <v>7527</v>
      </c>
      <c r="H38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02" spans="1:8" ht="15" customHeight="1" x14ac:dyDescent="0.25">
      <c r="A3802" t="str">
        <f>MID(TB_CECO[[#This Row],[CECO_T]],1,5)</f>
        <v>4C365</v>
      </c>
      <c r="B3802" t="str">
        <f>MID(TB_CECO[[#This Row],[TRABAJO]],1,SEARCH(",",TB_CECO[[#This Row],[TRABAJO]],1)-1)</f>
        <v>Ch 621 (Est 845-2 SE)</v>
      </c>
      <c r="C38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621 (Est 845-2 SE),REHABILITACION</v>
      </c>
      <c r="D38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02" s="47" t="s">
        <v>7528</v>
      </c>
      <c r="G3802" t="s">
        <v>7529</v>
      </c>
      <c r="H38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03" spans="1:8" ht="15" customHeight="1" x14ac:dyDescent="0.25">
      <c r="A3803" t="str">
        <f>MID(TB_CECO[[#This Row],[CECO_T]],1,5)</f>
        <v>4C366</v>
      </c>
      <c r="B3803" t="str">
        <f>MID(TB_CECO[[#This Row],[TRABAJO]],1,SEARCH(",",TB_CECO[[#This Row],[TRABAJO]],1)-1)</f>
        <v>Ch 852 (Tj 862 SW)</v>
      </c>
      <c r="C38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852 (Tj 862 SW),SUMINISTROS</v>
      </c>
      <c r="D38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03" s="47" t="s">
        <v>7530</v>
      </c>
      <c r="G3803" t="s">
        <v>7531</v>
      </c>
      <c r="H38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04" spans="1:8" ht="15" customHeight="1" x14ac:dyDescent="0.25">
      <c r="A3804" t="str">
        <f>MID(TB_CECO[[#This Row],[CECO_T]],1,5)</f>
        <v>4C366</v>
      </c>
      <c r="B3804" t="str">
        <f>MID(TB_CECO[[#This Row],[TRABAJO]],1,SEARCH(",",TB_CECO[[#This Row],[TRABAJO]],1)-1)</f>
        <v>Ch 852 (Tj 862 SW)</v>
      </c>
      <c r="C38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852 (Tj 862 SW),SOSTENIMIENTO</v>
      </c>
      <c r="D38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04" s="47" t="s">
        <v>7532</v>
      </c>
      <c r="G3804" t="s">
        <v>7533</v>
      </c>
      <c r="H38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05" spans="1:8" ht="15" customHeight="1" x14ac:dyDescent="0.25">
      <c r="A3805" t="str">
        <f>MID(TB_CECO[[#This Row],[CECO_T]],1,5)</f>
        <v>4C366</v>
      </c>
      <c r="B3805" t="str">
        <f>MID(TB_CECO[[#This Row],[TRABAJO]],1,SEARCH(",",TB_CECO[[#This Row],[TRABAJO]],1)-1)</f>
        <v>Ch 852 (Tj 862 SW)</v>
      </c>
      <c r="C38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852 (Tj 862 SW),SERVICIO</v>
      </c>
      <c r="D38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05" s="47" t="s">
        <v>7534</v>
      </c>
      <c r="G3805" t="s">
        <v>7535</v>
      </c>
      <c r="H38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06" spans="1:8" ht="15" customHeight="1" x14ac:dyDescent="0.25">
      <c r="A3806" t="str">
        <f>MID(TB_CECO[[#This Row],[CECO_T]],1,5)</f>
        <v>4C366</v>
      </c>
      <c r="B3806" t="str">
        <f>MID(TB_CECO[[#This Row],[TRABAJO]],1,SEARCH(",",TB_CECO[[#This Row],[TRABAJO]],1)-1)</f>
        <v>Ch 852 (Tj 862 SW)</v>
      </c>
      <c r="C38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852 (Tj 862 SW),REHABILITACION</v>
      </c>
      <c r="D38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06" s="47" t="s">
        <v>7536</v>
      </c>
      <c r="G3806" t="s">
        <v>7537</v>
      </c>
      <c r="H38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07" spans="1:8" ht="15" customHeight="1" x14ac:dyDescent="0.25">
      <c r="A3807" t="str">
        <f>MID(TB_CECO[[#This Row],[CECO_T]],1,5)</f>
        <v>4C367</v>
      </c>
      <c r="B3807" t="str">
        <f>MID(TB_CECO[[#This Row],[TRABAJO]],1,SEARCH(",",TB_CECO[[#This Row],[TRABAJO]],1)-1)</f>
        <v>Ch 593 (SNV 840 SW)</v>
      </c>
      <c r="C38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593 (SNV 840 SW),SUMINISTROS</v>
      </c>
      <c r="D38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07" s="47" t="s">
        <v>7538</v>
      </c>
      <c r="G3807" t="s">
        <v>7539</v>
      </c>
      <c r="H38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08" spans="1:8" ht="15" customHeight="1" x14ac:dyDescent="0.25">
      <c r="A3808" t="str">
        <f>MID(TB_CECO[[#This Row],[CECO_T]],1,5)</f>
        <v>4C367</v>
      </c>
      <c r="B3808" t="str">
        <f>MID(TB_CECO[[#This Row],[TRABAJO]],1,SEARCH(",",TB_CECO[[#This Row],[TRABAJO]],1)-1)</f>
        <v>Ch 593 (SNV 840 SW)</v>
      </c>
      <c r="C38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593 (SNV 840 SW),SOSTENIMIENTO</v>
      </c>
      <c r="D38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08" s="47" t="s">
        <v>7540</v>
      </c>
      <c r="G3808" t="s">
        <v>7541</v>
      </c>
      <c r="H38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09" spans="1:8" ht="15" customHeight="1" x14ac:dyDescent="0.25">
      <c r="A3809" t="str">
        <f>MID(TB_CECO[[#This Row],[CECO_T]],1,5)</f>
        <v>4C367</v>
      </c>
      <c r="B3809" t="str">
        <f>MID(TB_CECO[[#This Row],[TRABAJO]],1,SEARCH(",",TB_CECO[[#This Row],[TRABAJO]],1)-1)</f>
        <v>Ch 593 (SNV 840 SW)</v>
      </c>
      <c r="C38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593 (SNV 840 SW),SERVICIO</v>
      </c>
      <c r="D38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09" s="47" t="s">
        <v>7542</v>
      </c>
      <c r="G3809" t="s">
        <v>7543</v>
      </c>
      <c r="H38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10" spans="1:8" ht="15" customHeight="1" x14ac:dyDescent="0.25">
      <c r="A3810" t="str">
        <f>MID(TB_CECO[[#This Row],[CECO_T]],1,5)</f>
        <v>4C367</v>
      </c>
      <c r="B3810" t="str">
        <f>MID(TB_CECO[[#This Row],[TRABAJO]],1,SEARCH(",",TB_CECO[[#This Row],[TRABAJO]],1)-1)</f>
        <v>Ch 593 (SNV 840 SW)</v>
      </c>
      <c r="C38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593 (SNV 840 SW),REHABILITACION</v>
      </c>
      <c r="D38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10" s="47" t="s">
        <v>7544</v>
      </c>
      <c r="G3810" t="s">
        <v>7545</v>
      </c>
      <c r="H38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11" spans="1:8" ht="15" customHeight="1" x14ac:dyDescent="0.25">
      <c r="A3811" t="str">
        <f>MID(TB_CECO[[#This Row],[CECO_T]],1,5)</f>
        <v>4C401</v>
      </c>
      <c r="B3811" t="str">
        <f>MID(TB_CECO[[#This Row],[TRABAJO]],1,SEARCH(",",TB_CECO[[#This Row],[TRABAJO]],1)-1)</f>
        <v>PQ 270 (SNV 317 NE)</v>
      </c>
      <c r="C38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PQ 270 (SNV 317 NE),SUMINISTROS       </v>
      </c>
      <c r="D38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11" s="47" t="s">
        <v>7546</v>
      </c>
      <c r="G3811" t="s">
        <v>7547</v>
      </c>
      <c r="H38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12" spans="1:8" ht="15" customHeight="1" x14ac:dyDescent="0.25">
      <c r="A3812" t="str">
        <f>MID(TB_CECO[[#This Row],[CECO_T]],1,5)</f>
        <v>4C401</v>
      </c>
      <c r="B3812" t="str">
        <f>MID(TB_CECO[[#This Row],[TRABAJO]],1,SEARCH(",",TB_CECO[[#This Row],[TRABAJO]],1)-1)</f>
        <v>PQ 270 (SNV 317 NE)</v>
      </c>
      <c r="C38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PQ 270 (SNV 317 NE),SOSTENIMIENTO     </v>
      </c>
      <c r="D38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12" s="47" t="s">
        <v>7548</v>
      </c>
      <c r="G3812" t="s">
        <v>7549</v>
      </c>
      <c r="H38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13" spans="1:8" ht="15" customHeight="1" x14ac:dyDescent="0.25">
      <c r="A3813" t="str">
        <f>MID(TB_CECO[[#This Row],[CECO_T]],1,5)</f>
        <v>4C401</v>
      </c>
      <c r="B3813" t="str">
        <f>MID(TB_CECO[[#This Row],[TRABAJO]],1,SEARCH(",",TB_CECO[[#This Row],[TRABAJO]],1)-1)</f>
        <v>PQ 270 (SNV 317 NE)</v>
      </c>
      <c r="C38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PQ 270 (SNV 317 NE),SERVICIO          </v>
      </c>
      <c r="D38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13" s="47" t="s">
        <v>7550</v>
      </c>
      <c r="G3813" t="s">
        <v>7551</v>
      </c>
      <c r="H38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14" spans="1:8" ht="15" customHeight="1" x14ac:dyDescent="0.25">
      <c r="A3814" t="str">
        <f>MID(TB_CECO[[#This Row],[CECO_T]],1,5)</f>
        <v>4C401</v>
      </c>
      <c r="B3814" t="str">
        <f>MID(TB_CECO[[#This Row],[TRABAJO]],1,SEARCH(",",TB_CECO[[#This Row],[TRABAJO]],1)-1)</f>
        <v>PQ 270 (SNV 317 NE)</v>
      </c>
      <c r="C38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PQ 270 (SNV 317 NE),REHABILITACION    </v>
      </c>
      <c r="D38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14" s="47" t="s">
        <v>7552</v>
      </c>
      <c r="G3814" t="s">
        <v>7553</v>
      </c>
      <c r="H38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15" spans="1:8" ht="15" customHeight="1" x14ac:dyDescent="0.25">
      <c r="A3815" t="str">
        <f>MID(TB_CECO[[#This Row],[CECO_T]],1,5)</f>
        <v>4C401</v>
      </c>
      <c r="B3815" t="str">
        <f>MID(TB_CECO[[#This Row],[TRABAJO]],1,SEARCH(",",TB_CECO[[#This Row],[TRABAJO]],1)-1)</f>
        <v>PQ 270 (SNV 317 NE)</v>
      </c>
      <c r="C38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PQ 270 (SNV 317 NE),TOLVA             </v>
      </c>
      <c r="D38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15" s="47" t="s">
        <v>7554</v>
      </c>
      <c r="G3815" t="s">
        <v>7555</v>
      </c>
      <c r="H38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16" spans="1:8" ht="15" customHeight="1" x14ac:dyDescent="0.25">
      <c r="A3816" t="str">
        <f>MID(TB_CECO[[#This Row],[CECO_T]],1,5)</f>
        <v>4C638</v>
      </c>
      <c r="B3816" t="str">
        <f>MID(TB_CECO[[#This Row],[TRABAJO]],1,SEARCH(",",TB_CECO[[#This Row],[TRABAJO]],1)-1)</f>
        <v>Est 875 NW (Snv 320 NE)</v>
      </c>
      <c r="C38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875 NW (Snv 320 NE),REFUGIO</v>
      </c>
      <c r="D38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16" s="47" t="s">
        <v>7556</v>
      </c>
      <c r="G3816" t="s">
        <v>7557</v>
      </c>
      <c r="H38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17" spans="1:8" ht="15" customHeight="1" x14ac:dyDescent="0.25">
      <c r="A3817" t="str">
        <f>MID(TB_CECO[[#This Row],[CECO_T]],1,5)</f>
        <v>4C646</v>
      </c>
      <c r="B3817" t="str">
        <f>MID(TB_CECO[[#This Row],[TRABAJO]],1,SEARCH(",",TB_CECO[[#This Row],[TRABAJO]],1)-1)</f>
        <v>Est 845-2 SE (Pq 845)</v>
      </c>
      <c r="C38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845-2 SE (Pq 845),SUMINISTROS</v>
      </c>
      <c r="D38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17" s="47" t="s">
        <v>7558</v>
      </c>
      <c r="G3817" t="s">
        <v>7559</v>
      </c>
      <c r="H38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18" spans="1:8" ht="15" customHeight="1" x14ac:dyDescent="0.25">
      <c r="A3818" t="str">
        <f>MID(TB_CECO[[#This Row],[CECO_T]],1,5)</f>
        <v>4C646</v>
      </c>
      <c r="B3818" t="str">
        <f>MID(TB_CECO[[#This Row],[TRABAJO]],1,SEARCH(",",TB_CECO[[#This Row],[TRABAJO]],1)-1)</f>
        <v>Est 845-2 SE (Pq 845)</v>
      </c>
      <c r="C38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845-2 SE (Pq 845),SOSTENIMIENTO</v>
      </c>
      <c r="D38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18" s="47" t="s">
        <v>7560</v>
      </c>
      <c r="G3818" t="s">
        <v>7561</v>
      </c>
      <c r="H38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19" spans="1:8" ht="15" customHeight="1" x14ac:dyDescent="0.25">
      <c r="A3819" t="str">
        <f>MID(TB_CECO[[#This Row],[CECO_T]],1,5)</f>
        <v>4C646</v>
      </c>
      <c r="B3819" t="str">
        <f>MID(TB_CECO[[#This Row],[TRABAJO]],1,SEARCH(",",TB_CECO[[#This Row],[TRABAJO]],1)-1)</f>
        <v>Est 845-2 SE (Pq 845)</v>
      </c>
      <c r="C38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845-2 SE (Pq 845),SERVICIO</v>
      </c>
      <c r="D38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19" s="47" t="s">
        <v>7562</v>
      </c>
      <c r="G3819" t="s">
        <v>7563</v>
      </c>
      <c r="H38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20" spans="1:8" ht="15" customHeight="1" x14ac:dyDescent="0.25">
      <c r="A3820" t="str">
        <f>MID(TB_CECO[[#This Row],[CECO_T]],1,5)</f>
        <v>4C646</v>
      </c>
      <c r="B3820" t="str">
        <f>MID(TB_CECO[[#This Row],[TRABAJO]],1,SEARCH(",",TB_CECO[[#This Row],[TRABAJO]],1)-1)</f>
        <v>Est 845-2 SE (Pq 845)</v>
      </c>
      <c r="C38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845-2 SE (Pq 845),REHABILITACION</v>
      </c>
      <c r="D38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20" s="47" t="s">
        <v>7564</v>
      </c>
      <c r="G3820" t="s">
        <v>7565</v>
      </c>
      <c r="H38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21" spans="1:8" ht="15" customHeight="1" x14ac:dyDescent="0.25">
      <c r="A3821" t="str">
        <f>MID(TB_CECO[[#This Row],[CECO_T]],1,5)</f>
        <v>4C648</v>
      </c>
      <c r="B3821" t="str">
        <f>MID(TB_CECO[[#This Row],[TRABAJO]],1,SEARCH(",",TB_CECO[[#This Row],[TRABAJO]],1)-1)</f>
        <v>Est 870 SW (Ch 621)</v>
      </c>
      <c r="C38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SW (Ch 621),SUMINISTROS</v>
      </c>
      <c r="D38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21" s="47" t="s">
        <v>7566</v>
      </c>
      <c r="G3821" t="s">
        <v>7567</v>
      </c>
      <c r="H38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22" spans="1:8" ht="15" customHeight="1" x14ac:dyDescent="0.25">
      <c r="A3822" t="str">
        <f>MID(TB_CECO[[#This Row],[CECO_T]],1,5)</f>
        <v>4C648</v>
      </c>
      <c r="B3822" t="str">
        <f>MID(TB_CECO[[#This Row],[TRABAJO]],1,SEARCH(",",TB_CECO[[#This Row],[TRABAJO]],1)-1)</f>
        <v>Est 870 SW (Ch 621)</v>
      </c>
      <c r="C38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SW (Ch 621),SOSTENIMIENTO</v>
      </c>
      <c r="D38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22" s="47" t="s">
        <v>7568</v>
      </c>
      <c r="G3822" t="s">
        <v>7569</v>
      </c>
      <c r="H38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23" spans="1:8" ht="15" customHeight="1" x14ac:dyDescent="0.25">
      <c r="A3823" t="str">
        <f>MID(TB_CECO[[#This Row],[CECO_T]],1,5)</f>
        <v>4C648</v>
      </c>
      <c r="B3823" t="str">
        <f>MID(TB_CECO[[#This Row],[TRABAJO]],1,SEARCH(",",TB_CECO[[#This Row],[TRABAJO]],1)-1)</f>
        <v>Est 870 SW (Ch 621)</v>
      </c>
      <c r="C38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SW (Ch 621),SERVICIO</v>
      </c>
      <c r="D38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23" s="47" t="s">
        <v>7570</v>
      </c>
      <c r="G3823" t="s">
        <v>7571</v>
      </c>
      <c r="H38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24" spans="1:8" ht="15" customHeight="1" x14ac:dyDescent="0.25">
      <c r="A3824" t="str">
        <f>MID(TB_CECO[[#This Row],[CECO_T]],1,5)</f>
        <v>4C648</v>
      </c>
      <c r="B3824" t="str">
        <f>MID(TB_CECO[[#This Row],[TRABAJO]],1,SEARCH(",",TB_CECO[[#This Row],[TRABAJO]],1)-1)</f>
        <v>Est 870 SW (Ch 621)</v>
      </c>
      <c r="C38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SW (Ch 621),REHABILITACION</v>
      </c>
      <c r="D38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24" s="47" t="s">
        <v>7572</v>
      </c>
      <c r="G3824" t="s">
        <v>7573</v>
      </c>
      <c r="H38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25" spans="1:8" ht="15" customHeight="1" x14ac:dyDescent="0.25">
      <c r="A3825" t="str">
        <f>MID(TB_CECO[[#This Row],[CECO_T]],1,5)</f>
        <v>4C929</v>
      </c>
      <c r="B3825" t="str">
        <f>MID(TB_CECO[[#This Row],[TRABAJO]],1,SEARCH(",",TB_CECO[[#This Row],[TRABAJO]],1)-1)</f>
        <v>Ven 024 (Tj 843 NE)</v>
      </c>
      <c r="C38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024 (Tj 843 NE),SUMINISTROS</v>
      </c>
      <c r="D38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25" s="47" t="s">
        <v>7574</v>
      </c>
      <c r="G3825" t="s">
        <v>7575</v>
      </c>
      <c r="H38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26" spans="1:8" ht="15" customHeight="1" x14ac:dyDescent="0.25">
      <c r="A3826" t="str">
        <f>MID(TB_CECO[[#This Row],[CECO_T]],1,5)</f>
        <v>4C929</v>
      </c>
      <c r="B3826" t="str">
        <f>MID(TB_CECO[[#This Row],[TRABAJO]],1,SEARCH(",",TB_CECO[[#This Row],[TRABAJO]],1)-1)</f>
        <v>Ven 024 (Tj 843 NE)</v>
      </c>
      <c r="C38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024 (Tj 843 NE),SOSTENIMIENTO</v>
      </c>
      <c r="D38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26" s="47" t="s">
        <v>7576</v>
      </c>
      <c r="G3826" t="s">
        <v>7577</v>
      </c>
      <c r="H38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27" spans="1:8" ht="15" customHeight="1" x14ac:dyDescent="0.25">
      <c r="A3827" t="str">
        <f>MID(TB_CECO[[#This Row],[CECO_T]],1,5)</f>
        <v>4C929</v>
      </c>
      <c r="B3827" t="str">
        <f>MID(TB_CECO[[#This Row],[TRABAJO]],1,SEARCH(",",TB_CECO[[#This Row],[TRABAJO]],1)-1)</f>
        <v>Ven 024 (Tj 843 NE)</v>
      </c>
      <c r="C38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024 (Tj 843 NE),SERVICIO</v>
      </c>
      <c r="D38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27" s="47" t="s">
        <v>7578</v>
      </c>
      <c r="G3827" t="s">
        <v>7579</v>
      </c>
      <c r="H38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28" spans="1:8" ht="15" customHeight="1" x14ac:dyDescent="0.25">
      <c r="A3828" t="str">
        <f>MID(TB_CECO[[#This Row],[CECO_T]],1,5)</f>
        <v>4C929</v>
      </c>
      <c r="B3828" t="str">
        <f>MID(TB_CECO[[#This Row],[TRABAJO]],1,SEARCH(",",TB_CECO[[#This Row],[TRABAJO]],1)-1)</f>
        <v>Ven 024 (Tj 843 NE)</v>
      </c>
      <c r="C38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024 (Tj 843 NE),REHABILITACION</v>
      </c>
      <c r="D38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28" s="47" t="s">
        <v>7580</v>
      </c>
      <c r="G3828" t="s">
        <v>7581</v>
      </c>
      <c r="H38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29" spans="1:8" ht="15" customHeight="1" x14ac:dyDescent="0.25">
      <c r="A3829" t="str">
        <f>MID(TB_CECO[[#This Row],[CECO_T]],1,5)</f>
        <v>4C930</v>
      </c>
      <c r="B3829" t="str">
        <f>MID(TB_CECO[[#This Row],[TRABAJO]],1,SEARCH(",",TB_CECO[[#This Row],[TRABAJO]],1)-1)</f>
        <v>Ven 025 (Tj 862 SW)</v>
      </c>
      <c r="C38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025 (Tj 862 SW),SUMINISTROS</v>
      </c>
      <c r="D38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29" s="47" t="s">
        <v>7582</v>
      </c>
      <c r="G3829" t="s">
        <v>7583</v>
      </c>
      <c r="H38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30" spans="1:8" ht="15" customHeight="1" x14ac:dyDescent="0.25">
      <c r="A3830" t="str">
        <f>MID(TB_CECO[[#This Row],[CECO_T]],1,5)</f>
        <v>4C930</v>
      </c>
      <c r="B3830" t="str">
        <f>MID(TB_CECO[[#This Row],[TRABAJO]],1,SEARCH(",",TB_CECO[[#This Row],[TRABAJO]],1)-1)</f>
        <v>Ven 025 (Tj 862 SW)</v>
      </c>
      <c r="C38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025 (Tj 862 SW),SOSTENIMIENTO</v>
      </c>
      <c r="D38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30" s="47" t="s">
        <v>7584</v>
      </c>
      <c r="G3830" t="s">
        <v>7585</v>
      </c>
      <c r="H38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31" spans="1:8" ht="15" customHeight="1" x14ac:dyDescent="0.25">
      <c r="A3831" t="str">
        <f>MID(TB_CECO[[#This Row],[CECO_T]],1,5)</f>
        <v>4C930</v>
      </c>
      <c r="B3831" t="str">
        <f>MID(TB_CECO[[#This Row],[TRABAJO]],1,SEARCH(",",TB_CECO[[#This Row],[TRABAJO]],1)-1)</f>
        <v>Ven 025 (Tj 862 SW)</v>
      </c>
      <c r="C38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025 (Tj 862 SW),SERVICIO</v>
      </c>
      <c r="D38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31" s="47" t="s">
        <v>7586</v>
      </c>
      <c r="G3831" t="s">
        <v>7587</v>
      </c>
      <c r="H38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32" spans="1:8" ht="15" customHeight="1" x14ac:dyDescent="0.25">
      <c r="A3832" t="str">
        <f>MID(TB_CECO[[#This Row],[CECO_T]],1,5)</f>
        <v>4C930</v>
      </c>
      <c r="B3832" t="str">
        <f>MID(TB_CECO[[#This Row],[TRABAJO]],1,SEARCH(",",TB_CECO[[#This Row],[TRABAJO]],1)-1)</f>
        <v>Ven 025 (Tj 862 SW)</v>
      </c>
      <c r="C38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025 (Tj 862 SW),REHABILITACION</v>
      </c>
      <c r="D38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32" s="47" t="s">
        <v>7588</v>
      </c>
      <c r="G3832" t="s">
        <v>7589</v>
      </c>
      <c r="H38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33" spans="1:8" ht="15" customHeight="1" x14ac:dyDescent="0.25">
      <c r="A3833" t="str">
        <f>MID(TB_CECO[[#This Row],[CECO_T]],1,5)</f>
        <v>4C934</v>
      </c>
      <c r="B3833" t="str">
        <f>MID(TB_CECO[[#This Row],[TRABAJO]],1,SEARCH(",",TB_CECO[[#This Row],[TRABAJO]],1)-1)</f>
        <v>Ven 029 (Tj 862 NE)</v>
      </c>
      <c r="C38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029 (Tj 862 NE),SUMINISTROS</v>
      </c>
      <c r="D38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33" s="47" t="s">
        <v>7590</v>
      </c>
      <c r="G3833" t="s">
        <v>7591</v>
      </c>
      <c r="H38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34" spans="1:8" ht="15" customHeight="1" x14ac:dyDescent="0.25">
      <c r="A3834" t="str">
        <f>MID(TB_CECO[[#This Row],[CECO_T]],1,5)</f>
        <v>4C934</v>
      </c>
      <c r="B3834" t="str">
        <f>MID(TB_CECO[[#This Row],[TRABAJO]],1,SEARCH(",",TB_CECO[[#This Row],[TRABAJO]],1)-1)</f>
        <v>Ven 029 (Tj 862 NE)</v>
      </c>
      <c r="C38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029 (Tj 862 NE),SOSTENIMIENTO</v>
      </c>
      <c r="D38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34" s="47" t="s">
        <v>7592</v>
      </c>
      <c r="G3834" t="s">
        <v>7593</v>
      </c>
      <c r="H38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35" spans="1:8" ht="15" customHeight="1" x14ac:dyDescent="0.25">
      <c r="A3835" t="str">
        <f>MID(TB_CECO[[#This Row],[CECO_T]],1,5)</f>
        <v>4C934</v>
      </c>
      <c r="B3835" t="str">
        <f>MID(TB_CECO[[#This Row],[TRABAJO]],1,SEARCH(",",TB_CECO[[#This Row],[TRABAJO]],1)-1)</f>
        <v>Ven 029 (Tj 862 NE)</v>
      </c>
      <c r="C38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029 (Tj 862 NE),SERVICIO</v>
      </c>
      <c r="D38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35" s="47" t="s">
        <v>7594</v>
      </c>
      <c r="G3835" t="s">
        <v>7595</v>
      </c>
      <c r="H38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36" spans="1:8" ht="15" customHeight="1" x14ac:dyDescent="0.25">
      <c r="A3836" t="str">
        <f>MID(TB_CECO[[#This Row],[CECO_T]],1,5)</f>
        <v>4C934</v>
      </c>
      <c r="B3836" t="str">
        <f>MID(TB_CECO[[#This Row],[TRABAJO]],1,SEARCH(",",TB_CECO[[#This Row],[TRABAJO]],1)-1)</f>
        <v>Ven 029 (Tj 862 NE)</v>
      </c>
      <c r="C38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029 (Tj 862 NE),REHABILITACION</v>
      </c>
      <c r="D38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36" s="47" t="s">
        <v>7596</v>
      </c>
      <c r="G3836" t="s">
        <v>7597</v>
      </c>
      <c r="H38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37" spans="1:8" ht="15" customHeight="1" x14ac:dyDescent="0.25">
      <c r="A3837" t="str">
        <f>MID(TB_CECO[[#This Row],[CECO_T]],1,5)</f>
        <v>4D331</v>
      </c>
      <c r="B3837" t="str">
        <f>MID(TB_CECO[[#This Row],[TRABAJO]],1,SEARCH(",",TB_CECO[[#This Row],[TRABAJO]],1)-1)</f>
        <v>CH 050 (GAL 170 SW)</v>
      </c>
      <c r="C38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050 (GAL 170 SW),SUMINISTROS    </v>
      </c>
      <c r="D38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37" s="47" t="s">
        <v>7598</v>
      </c>
      <c r="G3837" t="s">
        <v>7599</v>
      </c>
      <c r="H38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38" spans="1:8" ht="15" customHeight="1" x14ac:dyDescent="0.25">
      <c r="A3838" t="str">
        <f>MID(TB_CECO[[#This Row],[CECO_T]],1,5)</f>
        <v>4D331</v>
      </c>
      <c r="B3838" t="str">
        <f>MID(TB_CECO[[#This Row],[TRABAJO]],1,SEARCH(",",TB_CECO[[#This Row],[TRABAJO]],1)-1)</f>
        <v>CH 050 (GAL 170 SW)</v>
      </c>
      <c r="C38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050 (GAL 170 SW),SOSTENIMIENTO  </v>
      </c>
      <c r="D38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38" s="47" t="s">
        <v>7600</v>
      </c>
      <c r="G3838" t="s">
        <v>7601</v>
      </c>
      <c r="H38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39" spans="1:8" ht="15" customHeight="1" x14ac:dyDescent="0.25">
      <c r="A3839" t="str">
        <f>MID(TB_CECO[[#This Row],[CECO_T]],1,5)</f>
        <v>4D331</v>
      </c>
      <c r="B3839" t="str">
        <f>MID(TB_CECO[[#This Row],[TRABAJO]],1,SEARCH(",",TB_CECO[[#This Row],[TRABAJO]],1)-1)</f>
        <v>CH 050 (GAL 170 SW)</v>
      </c>
      <c r="C38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050 (GAL 170 SW),SERVICIO       </v>
      </c>
      <c r="D38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39" s="47" t="s">
        <v>7602</v>
      </c>
      <c r="G3839" t="s">
        <v>7603</v>
      </c>
      <c r="H38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40" spans="1:8" ht="15" customHeight="1" x14ac:dyDescent="0.25">
      <c r="A3840" t="str">
        <f>MID(TB_CECO[[#This Row],[CECO_T]],1,5)</f>
        <v>4D331</v>
      </c>
      <c r="B3840" t="str">
        <f>MID(TB_CECO[[#This Row],[TRABAJO]],1,SEARCH(",",TB_CECO[[#This Row],[TRABAJO]],1)-1)</f>
        <v>CH 050 (GAL 170 SW)</v>
      </c>
      <c r="C38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050 (GAL 170 SW),REHABILITACION </v>
      </c>
      <c r="D38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40" s="47" t="s">
        <v>7604</v>
      </c>
      <c r="G3840" t="s">
        <v>7605</v>
      </c>
      <c r="H38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41" spans="1:8" ht="15" customHeight="1" x14ac:dyDescent="0.25">
      <c r="A3841" t="str">
        <f>MID(TB_CECO[[#This Row],[CECO_T]],1,5)</f>
        <v>4D635</v>
      </c>
      <c r="B3841" t="str">
        <f>MID(TB_CECO[[#This Row],[TRABAJO]],1,SEARCH(",",TB_CECO[[#This Row],[TRABAJO]],1)-1)</f>
        <v>Est 155 NW (Cx 128 NE)</v>
      </c>
      <c r="C38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155 NW (Cx 128 NE),REFUGIO</v>
      </c>
      <c r="D38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41" s="47" t="s">
        <v>7606</v>
      </c>
      <c r="G3841" t="s">
        <v>7607</v>
      </c>
      <c r="H38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42" spans="1:8" ht="15" customHeight="1" x14ac:dyDescent="0.25">
      <c r="A3842" t="str">
        <f>MID(TB_CECO[[#This Row],[CECO_T]],1,5)</f>
        <v>4D649</v>
      </c>
      <c r="B3842" t="str">
        <f>MID(TB_CECO[[#This Row],[TRABAJO]],1,SEARCH(",",TB_CECO[[#This Row],[TRABAJO]],1)-1)</f>
        <v>Est 122 SE (Ch 122)</v>
      </c>
      <c r="C38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122 SE (Ch 122),SUMINISTROS</v>
      </c>
      <c r="D38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42" s="47" t="s">
        <v>7608</v>
      </c>
      <c r="G3842" t="s">
        <v>7609</v>
      </c>
      <c r="H38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43" spans="1:8" ht="15" customHeight="1" x14ac:dyDescent="0.25">
      <c r="A3843" t="str">
        <f>MID(TB_CECO[[#This Row],[CECO_T]],1,5)</f>
        <v>4D649</v>
      </c>
      <c r="B3843" t="str">
        <f>MID(TB_CECO[[#This Row],[TRABAJO]],1,SEARCH(",",TB_CECO[[#This Row],[TRABAJO]],1)-1)</f>
        <v>Est 122 SE (Ch 122)</v>
      </c>
      <c r="C38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122 SE (Ch 122),SOSTENIMIENTO</v>
      </c>
      <c r="D38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43" s="47" t="s">
        <v>7610</v>
      </c>
      <c r="G3843" t="s">
        <v>7611</v>
      </c>
      <c r="H38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44" spans="1:8" ht="15" customHeight="1" x14ac:dyDescent="0.25">
      <c r="A3844" t="str">
        <f>MID(TB_CECO[[#This Row],[CECO_T]],1,5)</f>
        <v>4D649</v>
      </c>
      <c r="B3844" t="str">
        <f>MID(TB_CECO[[#This Row],[TRABAJO]],1,SEARCH(",",TB_CECO[[#This Row],[TRABAJO]],1)-1)</f>
        <v>Est 122 SE (Ch 122)</v>
      </c>
      <c r="C38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122 SE (Ch 122),SERVICIO</v>
      </c>
      <c r="D38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44" s="47" t="s">
        <v>7612</v>
      </c>
      <c r="G3844" t="s">
        <v>7613</v>
      </c>
      <c r="H38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45" spans="1:8" ht="15" customHeight="1" x14ac:dyDescent="0.25">
      <c r="A3845" t="str">
        <f>MID(TB_CECO[[#This Row],[CECO_T]],1,5)</f>
        <v>4D649</v>
      </c>
      <c r="B3845" t="str">
        <f>MID(TB_CECO[[#This Row],[TRABAJO]],1,SEARCH(",",TB_CECO[[#This Row],[TRABAJO]],1)-1)</f>
        <v>Est 122 SE (Ch 122)</v>
      </c>
      <c r="C38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122 SE (Ch 122),REHABILITACION</v>
      </c>
      <c r="D38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45" s="47" t="s">
        <v>7614</v>
      </c>
      <c r="G3845" t="s">
        <v>7615</v>
      </c>
      <c r="H38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46" spans="1:8" ht="15" customHeight="1" x14ac:dyDescent="0.25">
      <c r="A3846" t="str">
        <f>MID(TB_CECO[[#This Row],[CECO_T]],1,5)</f>
        <v>4D672</v>
      </c>
      <c r="B3846" t="str">
        <f>MID(TB_CECO[[#This Row],[TRABAJO]],1,SEARCH(",",TB_CECO[[#This Row],[TRABAJO]],1)-1)</f>
        <v>Est 929 SE (Snv 089 NE)</v>
      </c>
      <c r="C38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929 SE (Snv 089 NE),LIMPIEZA</v>
      </c>
      <c r="D38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46" s="47" t="s">
        <v>7616</v>
      </c>
      <c r="G3846" t="s">
        <v>7617</v>
      </c>
      <c r="H38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47" spans="1:8" ht="15" customHeight="1" x14ac:dyDescent="0.25">
      <c r="A3847" t="str">
        <f>MID(TB_CECO[[#This Row],[CECO_T]],1,5)</f>
        <v>4D672</v>
      </c>
      <c r="B3847" t="str">
        <f>MID(TB_CECO[[#This Row],[TRABAJO]],1,SEARCH(",",TB_CECO[[#This Row],[TRABAJO]],1)-1)</f>
        <v>Est 929 SE (Snv 089 NE)</v>
      </c>
      <c r="C38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929 SE (Snv 089 NE),SERVICIO</v>
      </c>
      <c r="D38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47" s="47" t="s">
        <v>7618</v>
      </c>
      <c r="G3847" t="s">
        <v>7619</v>
      </c>
      <c r="H38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48" spans="1:8" ht="15" customHeight="1" x14ac:dyDescent="0.25">
      <c r="A3848" t="str">
        <f>MID(TB_CECO[[#This Row],[CECO_T]],1,5)</f>
        <v>4D672</v>
      </c>
      <c r="B3848" t="str">
        <f>MID(TB_CECO[[#This Row],[TRABAJO]],1,SEARCH(",",TB_CECO[[#This Row],[TRABAJO]],1)-1)</f>
        <v>Est 929 SE (Snv 089 NE)</v>
      </c>
      <c r="C38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929 SE (Snv 089 NE),PERFORACION</v>
      </c>
      <c r="D38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48" s="47" t="s">
        <v>7620</v>
      </c>
      <c r="G3848" t="s">
        <v>7621</v>
      </c>
      <c r="H38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49" spans="1:8" ht="15" customHeight="1" x14ac:dyDescent="0.25">
      <c r="A3849" t="str">
        <f>MID(TB_CECO[[#This Row],[CECO_T]],1,5)</f>
        <v>4D672</v>
      </c>
      <c r="B3849" t="str">
        <f>MID(TB_CECO[[#This Row],[TRABAJO]],1,SEARCH(",",TB_CECO[[#This Row],[TRABAJO]],1)-1)</f>
        <v>Est 929 SE (Snv 089 NE)</v>
      </c>
      <c r="C38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929 SE (Snv 089 NE),SOSTENIMIENTO</v>
      </c>
      <c r="D38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49" s="47" t="s">
        <v>7622</v>
      </c>
      <c r="G3849" t="s">
        <v>7623</v>
      </c>
      <c r="H38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50" spans="1:8" ht="15" customHeight="1" x14ac:dyDescent="0.25">
      <c r="A3850" t="str">
        <f>MID(TB_CECO[[#This Row],[CECO_T]],1,5)</f>
        <v>4D672</v>
      </c>
      <c r="B3850" t="str">
        <f>MID(TB_CECO[[#This Row],[TRABAJO]],1,SEARCH(",",TB_CECO[[#This Row],[TRABAJO]],1)-1)</f>
        <v>Est 929 SE (Snv 089 NE)</v>
      </c>
      <c r="C38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929 SE (Snv 089 NE),VOLADURA</v>
      </c>
      <c r="D38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50" s="47" t="s">
        <v>7624</v>
      </c>
      <c r="G3850" t="s">
        <v>7625</v>
      </c>
      <c r="H38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51" spans="1:8" ht="15" customHeight="1" x14ac:dyDescent="0.25">
      <c r="A3851" t="str">
        <f>MID(TB_CECO[[#This Row],[CECO_T]],1,5)</f>
        <v>4D810</v>
      </c>
      <c r="B3851" t="str">
        <f>MID(TB_CECO[[#This Row],[TRABAJO]],1,SEARCH(",",TB_CECO[[#This Row],[TRABAJO]],1)-1)</f>
        <v>Cam 12 (Cx 128 NE)</v>
      </c>
      <c r="C38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12 (Cx 128 NE),SUMINISTROS</v>
      </c>
      <c r="D38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51" s="47" t="s">
        <v>7626</v>
      </c>
      <c r="G3851" t="s">
        <v>7627</v>
      </c>
      <c r="H38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52" spans="1:8" ht="15" customHeight="1" x14ac:dyDescent="0.25">
      <c r="A3852" t="str">
        <f>MID(TB_CECO[[#This Row],[CECO_T]],1,5)</f>
        <v>4D810</v>
      </c>
      <c r="B3852" t="str">
        <f>MID(TB_CECO[[#This Row],[TRABAJO]],1,SEARCH(",",TB_CECO[[#This Row],[TRABAJO]],1)-1)</f>
        <v>Cam 12 (Cx 128 NE)</v>
      </c>
      <c r="C38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12 (Cx 128 NE),SOSTENIMIENTO</v>
      </c>
      <c r="D38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52" s="47" t="s">
        <v>7628</v>
      </c>
      <c r="G3852" t="s">
        <v>7629</v>
      </c>
      <c r="H38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53" spans="1:8" ht="15" customHeight="1" x14ac:dyDescent="0.25">
      <c r="A3853" t="str">
        <f>MID(TB_CECO[[#This Row],[CECO_T]],1,5)</f>
        <v>4D810</v>
      </c>
      <c r="B3853" t="str">
        <f>MID(TB_CECO[[#This Row],[TRABAJO]],1,SEARCH(",",TB_CECO[[#This Row],[TRABAJO]],1)-1)</f>
        <v>Cam 12 (Cx 128 NE)</v>
      </c>
      <c r="C38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12 (Cx 128 NE),SERVICIO</v>
      </c>
      <c r="D38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53" s="47" t="s">
        <v>7630</v>
      </c>
      <c r="G3853" t="s">
        <v>7631</v>
      </c>
      <c r="H38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54" spans="1:8" ht="15" customHeight="1" x14ac:dyDescent="0.25">
      <c r="A3854" t="str">
        <f>MID(TB_CECO[[#This Row],[CECO_T]],1,5)</f>
        <v>4D810</v>
      </c>
      <c r="B3854" t="str">
        <f>MID(TB_CECO[[#This Row],[TRABAJO]],1,SEARCH(",",TB_CECO[[#This Row],[TRABAJO]],1)-1)</f>
        <v>Cam 12 (Cx 128 NE)</v>
      </c>
      <c r="C38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12 (Cx 128 NE),REHABILITACION</v>
      </c>
      <c r="D38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38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54" s="47" t="s">
        <v>7632</v>
      </c>
      <c r="G3854" t="s">
        <v>7633</v>
      </c>
      <c r="H38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55" spans="1:8" ht="15" customHeight="1" x14ac:dyDescent="0.25">
      <c r="A3855" t="str">
        <f>MID(TB_CECO[[#This Row],[CECO_T]],1,5)</f>
        <v>4DB25</v>
      </c>
      <c r="B3855" t="str">
        <f>MID(TB_CECO[[#This Row],[TRABAJO]],1,SEARCH(",",TB_CECO[[#This Row],[TRABAJO]],1)-1)</f>
        <v>Hp 026 (Tj 070 NE)</v>
      </c>
      <c r="C38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026 (Tj 070 NE),LIMPIEZA</v>
      </c>
      <c r="D38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55" s="47" t="s">
        <v>7634</v>
      </c>
      <c r="G3855" t="s">
        <v>7635</v>
      </c>
      <c r="H38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56" spans="1:8" ht="15" customHeight="1" x14ac:dyDescent="0.25">
      <c r="A3856" t="str">
        <f>MID(TB_CECO[[#This Row],[CECO_T]],1,5)</f>
        <v>4DB25</v>
      </c>
      <c r="B3856" t="str">
        <f>MID(TB_CECO[[#This Row],[TRABAJO]],1,SEARCH(",",TB_CECO[[#This Row],[TRABAJO]],1)-1)</f>
        <v>Hp 026 (Tj 070 NE)</v>
      </c>
      <c r="C38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026 (Tj 070 NE),SERVICIO</v>
      </c>
      <c r="D38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56" s="47" t="s">
        <v>7636</v>
      </c>
      <c r="G3856" t="s">
        <v>7637</v>
      </c>
      <c r="H38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57" spans="1:8" ht="15" customHeight="1" x14ac:dyDescent="0.25">
      <c r="A3857" t="str">
        <f>MID(TB_CECO[[#This Row],[CECO_T]],1,5)</f>
        <v>4DB25</v>
      </c>
      <c r="B3857" t="str">
        <f>MID(TB_CECO[[#This Row],[TRABAJO]],1,SEARCH(",",TB_CECO[[#This Row],[TRABAJO]],1)-1)</f>
        <v>Hp 026 (Tj 070 NE)</v>
      </c>
      <c r="C38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026 (Tj 070 NE),PERFORACION</v>
      </c>
      <c r="D38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57" s="47" t="s">
        <v>7638</v>
      </c>
      <c r="G3857" t="s">
        <v>7639</v>
      </c>
      <c r="H38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58" spans="1:8" ht="15" customHeight="1" x14ac:dyDescent="0.25">
      <c r="A3858" t="str">
        <f>MID(TB_CECO[[#This Row],[CECO_T]],1,5)</f>
        <v>4DB25</v>
      </c>
      <c r="B3858" t="str">
        <f>MID(TB_CECO[[#This Row],[TRABAJO]],1,SEARCH(",",TB_CECO[[#This Row],[TRABAJO]],1)-1)</f>
        <v>Hp 026 (Tj 070 NE)</v>
      </c>
      <c r="C38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026 (Tj 070 NE),VOLADURA</v>
      </c>
      <c r="D38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58" s="47" t="s">
        <v>7640</v>
      </c>
      <c r="G3858" t="s">
        <v>7641</v>
      </c>
      <c r="H38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59" spans="1:8" ht="15" customHeight="1" x14ac:dyDescent="0.25">
      <c r="A3859" t="str">
        <f>MID(TB_CECO[[#This Row],[CECO_T]],1,5)</f>
        <v>4DB26</v>
      </c>
      <c r="B3859" t="str">
        <f>MID(TB_CECO[[#This Row],[TRABAJO]],1,SEARCH(",",TB_CECO[[#This Row],[TRABAJO]],1)-1)</f>
        <v>Hp 027 (Tj 070 NE)</v>
      </c>
      <c r="C38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027 (Tj 070 NE),LIMPIEZA</v>
      </c>
      <c r="D38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59" s="47" t="s">
        <v>7642</v>
      </c>
      <c r="G3859" t="s">
        <v>7643</v>
      </c>
      <c r="H38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60" spans="1:8" ht="15" customHeight="1" x14ac:dyDescent="0.25">
      <c r="A3860" t="str">
        <f>MID(TB_CECO[[#This Row],[CECO_T]],1,5)</f>
        <v>4DB26</v>
      </c>
      <c r="B3860" t="str">
        <f>MID(TB_CECO[[#This Row],[TRABAJO]],1,SEARCH(",",TB_CECO[[#This Row],[TRABAJO]],1)-1)</f>
        <v>Hp 027 (Tj 070 NE)</v>
      </c>
      <c r="C38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027 (Tj 070 NE),SERVICIO</v>
      </c>
      <c r="D38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60" s="47" t="s">
        <v>7644</v>
      </c>
      <c r="G3860" t="s">
        <v>7645</v>
      </c>
      <c r="H38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61" spans="1:8" ht="15" customHeight="1" x14ac:dyDescent="0.25">
      <c r="A3861" t="str">
        <f>MID(TB_CECO[[#This Row],[CECO_T]],1,5)</f>
        <v>4DB26</v>
      </c>
      <c r="B3861" t="str">
        <f>MID(TB_CECO[[#This Row],[TRABAJO]],1,SEARCH(",",TB_CECO[[#This Row],[TRABAJO]],1)-1)</f>
        <v>Hp 027 (Tj 070 NE)</v>
      </c>
      <c r="C38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027 (Tj 070 NE),PERFORACION</v>
      </c>
      <c r="D38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61" s="47" t="s">
        <v>7646</v>
      </c>
      <c r="G3861" t="s">
        <v>7647</v>
      </c>
      <c r="H38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62" spans="1:8" ht="15" customHeight="1" x14ac:dyDescent="0.25">
      <c r="A3862" t="str">
        <f>MID(TB_CECO[[#This Row],[CECO_T]],1,5)</f>
        <v>4DB26</v>
      </c>
      <c r="B3862" t="str">
        <f>MID(TB_CECO[[#This Row],[TRABAJO]],1,SEARCH(",",TB_CECO[[#This Row],[TRABAJO]],1)-1)</f>
        <v>Hp 027 (Tj 070 NE)</v>
      </c>
      <c r="C38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027 (Tj 070 NE),VOLADURA</v>
      </c>
      <c r="D38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62" s="47" t="s">
        <v>7648</v>
      </c>
      <c r="G3862" t="s">
        <v>7649</v>
      </c>
      <c r="H38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63" spans="1:8" ht="15" customHeight="1" x14ac:dyDescent="0.25">
      <c r="A3863" t="str">
        <f>MID(TB_CECO[[#This Row],[CECO_T]],1,5)</f>
        <v>4DB27</v>
      </c>
      <c r="B3863" t="str">
        <f>MID(TB_CECO[[#This Row],[TRABAJO]],1,SEARCH(",",TB_CECO[[#This Row],[TRABAJO]],1)-1)</f>
        <v>Hp 028 (Tj 070 NE)</v>
      </c>
      <c r="C38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028 (Tj 070 NE),LIMPIEZA</v>
      </c>
      <c r="D38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63" s="47" t="s">
        <v>7650</v>
      </c>
      <c r="G3863" t="s">
        <v>7651</v>
      </c>
      <c r="H38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64" spans="1:8" ht="15" customHeight="1" x14ac:dyDescent="0.25">
      <c r="A3864" t="str">
        <f>MID(TB_CECO[[#This Row],[CECO_T]],1,5)</f>
        <v>4DB27</v>
      </c>
      <c r="B3864" t="str">
        <f>MID(TB_CECO[[#This Row],[TRABAJO]],1,SEARCH(",",TB_CECO[[#This Row],[TRABAJO]],1)-1)</f>
        <v>Hp 028 (Tj 070 NE)</v>
      </c>
      <c r="C38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028 (Tj 070 NE),SERVICIO</v>
      </c>
      <c r="D38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64" s="47" t="s">
        <v>7652</v>
      </c>
      <c r="G3864" t="s">
        <v>7653</v>
      </c>
      <c r="H38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65" spans="1:8" ht="15" customHeight="1" x14ac:dyDescent="0.25">
      <c r="A3865" t="str">
        <f>MID(TB_CECO[[#This Row],[CECO_T]],1,5)</f>
        <v>4DB27</v>
      </c>
      <c r="B3865" t="str">
        <f>MID(TB_CECO[[#This Row],[TRABAJO]],1,SEARCH(",",TB_CECO[[#This Row],[TRABAJO]],1)-1)</f>
        <v>Hp 028 (Tj 070 NE)</v>
      </c>
      <c r="C38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028 (Tj 070 NE),PERFORACION</v>
      </c>
      <c r="D38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65" s="47" t="s">
        <v>7654</v>
      </c>
      <c r="G3865" t="s">
        <v>7655</v>
      </c>
      <c r="H38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66" spans="1:8" ht="15" customHeight="1" x14ac:dyDescent="0.25">
      <c r="A3866" t="str">
        <f>MID(TB_CECO[[#This Row],[CECO_T]],1,5)</f>
        <v>4DB27</v>
      </c>
      <c r="B3866" t="str">
        <f>MID(TB_CECO[[#This Row],[TRABAJO]],1,SEARCH(",",TB_CECO[[#This Row],[TRABAJO]],1)-1)</f>
        <v>Hp 028 (Tj 070 NE)</v>
      </c>
      <c r="C38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028 (Tj 070 NE),VOLADURA</v>
      </c>
      <c r="D38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38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66" s="47" t="s">
        <v>7656</v>
      </c>
      <c r="G3866" t="s">
        <v>7657</v>
      </c>
      <c r="H38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67" spans="1:8" ht="15" customHeight="1" x14ac:dyDescent="0.25">
      <c r="A3867" t="str">
        <f>MID(TB_CECO[[#This Row],[CECO_T]],1,5)</f>
        <v>4E332</v>
      </c>
      <c r="B3867" t="str">
        <f>MID(TB_CECO[[#This Row],[TRABAJO]],1,SEARCH(",",TB_CECO[[#This Row],[TRABAJO]],1)-1)</f>
        <v>CH 075 (CX 074 SW)</v>
      </c>
      <c r="C38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075 (CX 074 SW),SUMINISTROS</v>
      </c>
      <c r="D38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67" s="47" t="s">
        <v>7658</v>
      </c>
      <c r="G3867" t="s">
        <v>7659</v>
      </c>
      <c r="H38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68" spans="1:8" ht="15" customHeight="1" x14ac:dyDescent="0.25">
      <c r="A3868" t="str">
        <f>MID(TB_CECO[[#This Row],[CECO_T]],1,5)</f>
        <v>4E332</v>
      </c>
      <c r="B3868" t="str">
        <f>MID(TB_CECO[[#This Row],[TRABAJO]],1,SEARCH(",",TB_CECO[[#This Row],[TRABAJO]],1)-1)</f>
        <v>CH 075 (CX 074 SW)</v>
      </c>
      <c r="C38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075 (CX 074 SW),SOSTENIMIENTO</v>
      </c>
      <c r="D38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68" s="47" t="s">
        <v>7660</v>
      </c>
      <c r="G3868" t="s">
        <v>7661</v>
      </c>
      <c r="H38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69" spans="1:8" ht="15" customHeight="1" x14ac:dyDescent="0.25">
      <c r="A3869" t="str">
        <f>MID(TB_CECO[[#This Row],[CECO_T]],1,5)</f>
        <v>4E332</v>
      </c>
      <c r="B3869" t="str">
        <f>MID(TB_CECO[[#This Row],[TRABAJO]],1,SEARCH(",",TB_CECO[[#This Row],[TRABAJO]],1)-1)</f>
        <v>CH 075 (CX 074 SW)</v>
      </c>
      <c r="C38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075 (CX 074 SW),SERVICIO</v>
      </c>
      <c r="D38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69" s="47" t="s">
        <v>7662</v>
      </c>
      <c r="G3869" t="s">
        <v>7663</v>
      </c>
      <c r="H38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70" spans="1:8" ht="15" customHeight="1" x14ac:dyDescent="0.25">
      <c r="A3870" t="str">
        <f>MID(TB_CECO[[#This Row],[CECO_T]],1,5)</f>
        <v>4E332</v>
      </c>
      <c r="B3870" t="str">
        <f>MID(TB_CECO[[#This Row],[TRABAJO]],1,SEARCH(",",TB_CECO[[#This Row],[TRABAJO]],1)-1)</f>
        <v>CH 075 (CX 074 SW)</v>
      </c>
      <c r="C38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075 (CX 074 SW),REHABILITACION</v>
      </c>
      <c r="D38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70" s="47" t="s">
        <v>7664</v>
      </c>
      <c r="G3870" t="s">
        <v>7665</v>
      </c>
      <c r="H38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71" spans="1:8" ht="15" customHeight="1" x14ac:dyDescent="0.25">
      <c r="A3871" t="str">
        <f>MID(TB_CECO[[#This Row],[CECO_T]],1,5)</f>
        <v>4E334</v>
      </c>
      <c r="B3871" t="str">
        <f>MID(TB_CECO[[#This Row],[TRABAJO]],1,SEARCH(",",TB_CECO[[#This Row],[TRABAJO]],1)-1)</f>
        <v>CH 075 (CX 075  SW)</v>
      </c>
      <c r="C38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075 (CX 075  SW),SUMINISTROS</v>
      </c>
      <c r="D38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71" s="47" t="s">
        <v>7666</v>
      </c>
      <c r="G3871" t="s">
        <v>7667</v>
      </c>
      <c r="H38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72" spans="1:8" ht="15" customHeight="1" x14ac:dyDescent="0.25">
      <c r="A3872" t="str">
        <f>MID(TB_CECO[[#This Row],[CECO_T]],1,5)</f>
        <v>4E334</v>
      </c>
      <c r="B3872" t="str">
        <f>MID(TB_CECO[[#This Row],[TRABAJO]],1,SEARCH(",",TB_CECO[[#This Row],[TRABAJO]],1)-1)</f>
        <v>CH 075 (CX 075  SW)</v>
      </c>
      <c r="C38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075 (CX 075  SW),SOSTENIMIENTO</v>
      </c>
      <c r="D38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72" s="47" t="s">
        <v>7668</v>
      </c>
      <c r="G3872" t="s">
        <v>7669</v>
      </c>
      <c r="H38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73" spans="1:8" ht="15" customHeight="1" x14ac:dyDescent="0.25">
      <c r="A3873" t="str">
        <f>MID(TB_CECO[[#This Row],[CECO_T]],1,5)</f>
        <v>4E334</v>
      </c>
      <c r="B3873" t="str">
        <f>MID(TB_CECO[[#This Row],[TRABAJO]],1,SEARCH(",",TB_CECO[[#This Row],[TRABAJO]],1)-1)</f>
        <v>CH 075 (CX 075  SW)</v>
      </c>
      <c r="C38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075 (CX 075  SW),SERVICIO</v>
      </c>
      <c r="D38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73" s="47" t="s">
        <v>7670</v>
      </c>
      <c r="G3873" t="s">
        <v>7671</v>
      </c>
      <c r="H38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74" spans="1:8" ht="15" customHeight="1" x14ac:dyDescent="0.25">
      <c r="A3874" t="str">
        <f>MID(TB_CECO[[#This Row],[CECO_T]],1,5)</f>
        <v>4E334</v>
      </c>
      <c r="B3874" t="str">
        <f>MID(TB_CECO[[#This Row],[TRABAJO]],1,SEARCH(",",TB_CECO[[#This Row],[TRABAJO]],1)-1)</f>
        <v>CH 075 (CX 075  SW)</v>
      </c>
      <c r="C38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075 (CX 075  SW),REHABILITACION</v>
      </c>
      <c r="D38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74" s="47" t="s">
        <v>7672</v>
      </c>
      <c r="G3874" t="s">
        <v>7673</v>
      </c>
      <c r="H38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75" spans="1:8" ht="15" customHeight="1" x14ac:dyDescent="0.25">
      <c r="A3875" t="str">
        <f>MID(TB_CECO[[#This Row],[CECO_T]],1,5)</f>
        <v>4E335</v>
      </c>
      <c r="B3875" t="str">
        <f>MID(TB_CECO[[#This Row],[TRABAJO]],1,SEARCH(",",TB_CECO[[#This Row],[TRABAJO]],1)-1)</f>
        <v>CH 073 (CX 074  SW)</v>
      </c>
      <c r="C38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073 (CX 074  SW),SUMINISTROS</v>
      </c>
      <c r="D38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75" s="47" t="s">
        <v>7674</v>
      </c>
      <c r="G3875" t="s">
        <v>7675</v>
      </c>
      <c r="H38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76" spans="1:8" ht="15" customHeight="1" x14ac:dyDescent="0.25">
      <c r="A3876" t="str">
        <f>MID(TB_CECO[[#This Row],[CECO_T]],1,5)</f>
        <v>4E335</v>
      </c>
      <c r="B3876" t="str">
        <f>MID(TB_CECO[[#This Row],[TRABAJO]],1,SEARCH(",",TB_CECO[[#This Row],[TRABAJO]],1)-1)</f>
        <v>CH 073 (CX 074  SW)</v>
      </c>
      <c r="C38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073 (CX 074  SW),SOSTENIMIENTO</v>
      </c>
      <c r="D38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76" s="47" t="s">
        <v>7676</v>
      </c>
      <c r="G3876" t="s">
        <v>7677</v>
      </c>
      <c r="H38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77" spans="1:8" ht="15" customHeight="1" x14ac:dyDescent="0.25">
      <c r="A3877" t="str">
        <f>MID(TB_CECO[[#This Row],[CECO_T]],1,5)</f>
        <v>4E335</v>
      </c>
      <c r="B3877" t="str">
        <f>MID(TB_CECO[[#This Row],[TRABAJO]],1,SEARCH(",",TB_CECO[[#This Row],[TRABAJO]],1)-1)</f>
        <v>CH 073 (CX 074  SW)</v>
      </c>
      <c r="C38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073 (CX 074  SW),SERVICIO</v>
      </c>
      <c r="D38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77" s="47" t="s">
        <v>7678</v>
      </c>
      <c r="G3877" t="s">
        <v>7679</v>
      </c>
      <c r="H38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78" spans="1:8" ht="15" customHeight="1" x14ac:dyDescent="0.25">
      <c r="A3878" t="str">
        <f>MID(TB_CECO[[#This Row],[CECO_T]],1,5)</f>
        <v>4E335</v>
      </c>
      <c r="B3878" t="str">
        <f>MID(TB_CECO[[#This Row],[TRABAJO]],1,SEARCH(",",TB_CECO[[#This Row],[TRABAJO]],1)-1)</f>
        <v>CH 073 (CX 074  SW)</v>
      </c>
      <c r="C38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073 (CX 074  SW),REHABILITACION</v>
      </c>
      <c r="D38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78" s="47" t="s">
        <v>7680</v>
      </c>
      <c r="G3878" t="s">
        <v>7681</v>
      </c>
      <c r="H38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79" spans="1:8" ht="15" customHeight="1" x14ac:dyDescent="0.25">
      <c r="A3879" t="str">
        <f>MID(TB_CECO[[#This Row],[CECO_T]],1,5)</f>
        <v>4E337</v>
      </c>
      <c r="B3879" t="str">
        <f>MID(TB_CECO[[#This Row],[TRABAJO]],1,SEARCH(",",TB_CECO[[#This Row],[TRABAJO]],1)-1)</f>
        <v>CH 044-1 (TJ 045 SW)</v>
      </c>
      <c r="C38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044-1 (TJ 045 SW),SUMINISTROS</v>
      </c>
      <c r="D38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79" s="47" t="s">
        <v>7682</v>
      </c>
      <c r="G3879" t="s">
        <v>7683</v>
      </c>
      <c r="H38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80" spans="1:8" ht="15" customHeight="1" x14ac:dyDescent="0.25">
      <c r="A3880" t="str">
        <f>MID(TB_CECO[[#This Row],[CECO_T]],1,5)</f>
        <v>4E337</v>
      </c>
      <c r="B3880" t="str">
        <f>MID(TB_CECO[[#This Row],[TRABAJO]],1,SEARCH(",",TB_CECO[[#This Row],[TRABAJO]],1)-1)</f>
        <v>CH 044-1 (TJ 045 SW)</v>
      </c>
      <c r="C38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044-1 (TJ 045 SW),SOSTENIMIENTO</v>
      </c>
      <c r="D38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80" s="47" t="s">
        <v>7684</v>
      </c>
      <c r="G3880" t="s">
        <v>7685</v>
      </c>
      <c r="H38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81" spans="1:8" ht="15" customHeight="1" x14ac:dyDescent="0.25">
      <c r="A3881" t="str">
        <f>MID(TB_CECO[[#This Row],[CECO_T]],1,5)</f>
        <v>4E337</v>
      </c>
      <c r="B3881" t="str">
        <f>MID(TB_CECO[[#This Row],[TRABAJO]],1,SEARCH(",",TB_CECO[[#This Row],[TRABAJO]],1)-1)</f>
        <v>CH 044-1 (TJ 045 SW)</v>
      </c>
      <c r="C38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044-1 (TJ 045 SW),SERVICIO</v>
      </c>
      <c r="D38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81" s="47" t="s">
        <v>7686</v>
      </c>
      <c r="G3881" t="s">
        <v>7687</v>
      </c>
      <c r="H38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82" spans="1:8" ht="15" customHeight="1" x14ac:dyDescent="0.25">
      <c r="A3882" t="str">
        <f>MID(TB_CECO[[#This Row],[CECO_T]],1,5)</f>
        <v>4E337</v>
      </c>
      <c r="B3882" t="str">
        <f>MID(TB_CECO[[#This Row],[TRABAJO]],1,SEARCH(",",TB_CECO[[#This Row],[TRABAJO]],1)-1)</f>
        <v>CH 044-1 (TJ 045 SW)</v>
      </c>
      <c r="C38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044-1 (TJ 045 SW),REHABILITACION</v>
      </c>
      <c r="D38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82" s="47" t="s">
        <v>7688</v>
      </c>
      <c r="G3882" t="s">
        <v>7689</v>
      </c>
      <c r="H38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83" spans="1:8" ht="15" customHeight="1" x14ac:dyDescent="0.25">
      <c r="A3883" t="str">
        <f>MID(TB_CECO[[#This Row],[CECO_T]],1,5)</f>
        <v>4E350</v>
      </c>
      <c r="B3883" t="str">
        <f>MID(TB_CECO[[#This Row],[TRABAJO]],1,SEARCH(",",TB_CECO[[#This Row],[TRABAJO]],1)-1)</f>
        <v>Ch 044 (Snv 140 SW)</v>
      </c>
      <c r="C38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140 SW),SUMINISTROS</v>
      </c>
      <c r="D38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83" s="47" t="s">
        <v>7690</v>
      </c>
      <c r="G3883" t="s">
        <v>7691</v>
      </c>
      <c r="H38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84" spans="1:8" ht="15" customHeight="1" x14ac:dyDescent="0.25">
      <c r="A3884" t="str">
        <f>MID(TB_CECO[[#This Row],[CECO_T]],1,5)</f>
        <v>4E350</v>
      </c>
      <c r="B3884" t="str">
        <f>MID(TB_CECO[[#This Row],[TRABAJO]],1,SEARCH(",",TB_CECO[[#This Row],[TRABAJO]],1)-1)</f>
        <v>Ch 044 (Snv 140 SW)</v>
      </c>
      <c r="C38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140 SW),SOSTENIMIENTO</v>
      </c>
      <c r="D38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84" s="47" t="s">
        <v>7692</v>
      </c>
      <c r="G3884" t="s">
        <v>7693</v>
      </c>
      <c r="H38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85" spans="1:8" ht="15" customHeight="1" x14ac:dyDescent="0.25">
      <c r="A3885" t="str">
        <f>MID(TB_CECO[[#This Row],[CECO_T]],1,5)</f>
        <v>4E350</v>
      </c>
      <c r="B3885" t="str">
        <f>MID(TB_CECO[[#This Row],[TRABAJO]],1,SEARCH(",",TB_CECO[[#This Row],[TRABAJO]],1)-1)</f>
        <v>Ch 044 (Snv 140 SW)</v>
      </c>
      <c r="C38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140 SW),SERVICIO</v>
      </c>
      <c r="D38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85" s="47" t="s">
        <v>7694</v>
      </c>
      <c r="G3885" t="s">
        <v>7695</v>
      </c>
      <c r="H38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86" spans="1:8" ht="15" customHeight="1" x14ac:dyDescent="0.25">
      <c r="A3886" t="str">
        <f>MID(TB_CECO[[#This Row],[CECO_T]],1,5)</f>
        <v>4E350</v>
      </c>
      <c r="B3886" t="str">
        <f>MID(TB_CECO[[#This Row],[TRABAJO]],1,SEARCH(",",TB_CECO[[#This Row],[TRABAJO]],1)-1)</f>
        <v>Ch 044 (Snv 140 SW)</v>
      </c>
      <c r="C38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(Snv 140 SW),REHABILITACION</v>
      </c>
      <c r="D38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86" s="47" t="s">
        <v>7696</v>
      </c>
      <c r="G3886" t="s">
        <v>7697</v>
      </c>
      <c r="H38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87" spans="1:8" ht="15" customHeight="1" x14ac:dyDescent="0.25">
      <c r="A3887" t="str">
        <f>MID(TB_CECO[[#This Row],[CECO_T]],1,5)</f>
        <v>4E351</v>
      </c>
      <c r="B3887" t="str">
        <f>MID(TB_CECO[[#This Row],[TRABAJO]],1,SEARCH(",",TB_CECO[[#This Row],[TRABAJO]],1)-1)</f>
        <v>Ch 044-1 (Snv 123-1 SW)</v>
      </c>
      <c r="C38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044-1 (Snv 123-1 SW),SUMINISTROS</v>
      </c>
      <c r="D38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87" s="47" t="s">
        <v>7698</v>
      </c>
      <c r="G3887" t="s">
        <v>7699</v>
      </c>
      <c r="H38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88" spans="1:8" ht="15" customHeight="1" x14ac:dyDescent="0.25">
      <c r="A3888" t="str">
        <f>MID(TB_CECO[[#This Row],[CECO_T]],1,5)</f>
        <v>4E351</v>
      </c>
      <c r="B3888" t="str">
        <f>MID(TB_CECO[[#This Row],[TRABAJO]],1,SEARCH(",",TB_CECO[[#This Row],[TRABAJO]],1)-1)</f>
        <v>Ch 044-1 (Snv 123-1 SW)</v>
      </c>
      <c r="C38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044-1 (Snv 123-1 SW),SOSTENIMIENTO</v>
      </c>
      <c r="D38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88" s="47" t="s">
        <v>7700</v>
      </c>
      <c r="G3888" t="s">
        <v>7701</v>
      </c>
      <c r="H38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89" spans="1:8" ht="15" customHeight="1" x14ac:dyDescent="0.25">
      <c r="A3889" t="str">
        <f>MID(TB_CECO[[#This Row],[CECO_T]],1,5)</f>
        <v>4E351</v>
      </c>
      <c r="B3889" t="str">
        <f>MID(TB_CECO[[#This Row],[TRABAJO]],1,SEARCH(",",TB_CECO[[#This Row],[TRABAJO]],1)-1)</f>
        <v>Ch 044-1 (Snv 123-1 SW)</v>
      </c>
      <c r="C38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044-1 (Snv 123-1 SW),SERVICIO</v>
      </c>
      <c r="D38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89" s="47" t="s">
        <v>7702</v>
      </c>
      <c r="G3889" t="s">
        <v>7703</v>
      </c>
      <c r="H38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90" spans="1:8" ht="15" customHeight="1" x14ac:dyDescent="0.25">
      <c r="A3890" t="str">
        <f>MID(TB_CECO[[#This Row],[CECO_T]],1,5)</f>
        <v>4E351</v>
      </c>
      <c r="B3890" t="str">
        <f>MID(TB_CECO[[#This Row],[TRABAJO]],1,SEARCH(",",TB_CECO[[#This Row],[TRABAJO]],1)-1)</f>
        <v>Ch 044-1 (Snv 123-1 SW)</v>
      </c>
      <c r="C38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044-1 (Snv 123-1 SW),REHABILITACION</v>
      </c>
      <c r="D38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90" s="47" t="s">
        <v>7704</v>
      </c>
      <c r="G3890" t="s">
        <v>7705</v>
      </c>
      <c r="H38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91" spans="1:8" ht="15" customHeight="1" x14ac:dyDescent="0.25">
      <c r="A3891" t="str">
        <f>MID(TB_CECO[[#This Row],[CECO_T]],1,5)</f>
        <v>4E374</v>
      </c>
      <c r="B3891" t="str">
        <f>MID(TB_CECO[[#This Row],[TRABAJO]],1,SEARCH(",",TB_CECO[[#This Row],[TRABAJO]],1)-1)</f>
        <v>Ch 088 (Tj 087 NE)</v>
      </c>
      <c r="C38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088 (Tj 087 NE),LIMPIEZA</v>
      </c>
      <c r="D38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8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91" s="47" t="s">
        <v>7706</v>
      </c>
      <c r="G3891" t="s">
        <v>7707</v>
      </c>
      <c r="H38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92" spans="1:8" ht="15" customHeight="1" x14ac:dyDescent="0.25">
      <c r="A3892" t="str">
        <f>MID(TB_CECO[[#This Row],[CECO_T]],1,5)</f>
        <v>4E374</v>
      </c>
      <c r="B3892" t="str">
        <f>MID(TB_CECO[[#This Row],[TRABAJO]],1,SEARCH(",",TB_CECO[[#This Row],[TRABAJO]],1)-1)</f>
        <v>Ch 088 (Tj 087 NE)</v>
      </c>
      <c r="C38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088 (Tj 087 NE),SERVICIO</v>
      </c>
      <c r="D38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8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92" s="47" t="s">
        <v>7708</v>
      </c>
      <c r="G3892" t="s">
        <v>7709</v>
      </c>
      <c r="H38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93" spans="1:8" ht="15" customHeight="1" x14ac:dyDescent="0.25">
      <c r="A3893" t="str">
        <f>MID(TB_CECO[[#This Row],[CECO_T]],1,5)</f>
        <v>4E374</v>
      </c>
      <c r="B3893" t="str">
        <f>MID(TB_CECO[[#This Row],[TRABAJO]],1,SEARCH(",",TB_CECO[[#This Row],[TRABAJO]],1)-1)</f>
        <v>Ch 088 (Tj 087 NE)</v>
      </c>
      <c r="C38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088 (Tj 087 NE),PERFORACION</v>
      </c>
      <c r="D38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8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93" s="47" t="s">
        <v>7710</v>
      </c>
      <c r="G3893" t="s">
        <v>7711</v>
      </c>
      <c r="H38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94" spans="1:8" ht="15" customHeight="1" x14ac:dyDescent="0.25">
      <c r="A3894" t="str">
        <f>MID(TB_CECO[[#This Row],[CECO_T]],1,5)</f>
        <v>4E374</v>
      </c>
      <c r="B3894" t="str">
        <f>MID(TB_CECO[[#This Row],[TRABAJO]],1,SEARCH(",",TB_CECO[[#This Row],[TRABAJO]],1)-1)</f>
        <v>Ch 088 (Tj 087 NE)</v>
      </c>
      <c r="C38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088 (Tj 087 NE),SOSTENIMIENTO</v>
      </c>
      <c r="D38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8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94" s="47" t="s">
        <v>7712</v>
      </c>
      <c r="G3894" t="s">
        <v>7713</v>
      </c>
      <c r="H38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95" spans="1:8" ht="15" customHeight="1" x14ac:dyDescent="0.25">
      <c r="A3895" t="str">
        <f>MID(TB_CECO[[#This Row],[CECO_T]],1,5)</f>
        <v>4E374</v>
      </c>
      <c r="B3895" t="str">
        <f>MID(TB_CECO[[#This Row],[TRABAJO]],1,SEARCH(",",TB_CECO[[#This Row],[TRABAJO]],1)-1)</f>
        <v>Ch 088 (Tj 087 NE)</v>
      </c>
      <c r="C38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088 (Tj 087 NE),VOLADURA</v>
      </c>
      <c r="D38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38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OPERACION</v>
      </c>
      <c r="F3895" s="47" t="s">
        <v>7714</v>
      </c>
      <c r="G3895" t="s">
        <v>7715</v>
      </c>
      <c r="H38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96" spans="1:8" ht="15" customHeight="1" x14ac:dyDescent="0.25">
      <c r="A3896" t="str">
        <f>MID(TB_CECO[[#This Row],[CECO_T]],1,5)</f>
        <v>4E403</v>
      </c>
      <c r="B3896" t="str">
        <f>MID(TB_CECO[[#This Row],[TRABAJO]],1,SEARCH(",",TB_CECO[[#This Row],[TRABAJO]],1)-1)</f>
        <v>PQ 075 (CX 075 SW)</v>
      </c>
      <c r="C38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075 SW),SUMINISTROS</v>
      </c>
      <c r="D38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96" s="47" t="s">
        <v>7716</v>
      </c>
      <c r="G3896" t="s">
        <v>7717</v>
      </c>
      <c r="H38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97" spans="1:8" ht="15" customHeight="1" x14ac:dyDescent="0.25">
      <c r="A3897" t="str">
        <f>MID(TB_CECO[[#This Row],[CECO_T]],1,5)</f>
        <v>4E403</v>
      </c>
      <c r="B3897" t="str">
        <f>MID(TB_CECO[[#This Row],[TRABAJO]],1,SEARCH(",",TB_CECO[[#This Row],[TRABAJO]],1)-1)</f>
        <v>PQ 075 (CX 075 SW)</v>
      </c>
      <c r="C38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075 SW),SOSTENIMIENTO</v>
      </c>
      <c r="D38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97" s="47" t="s">
        <v>7718</v>
      </c>
      <c r="G3897" t="s">
        <v>7719</v>
      </c>
      <c r="H38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98" spans="1:8" ht="15" customHeight="1" x14ac:dyDescent="0.25">
      <c r="A3898" t="str">
        <f>MID(TB_CECO[[#This Row],[CECO_T]],1,5)</f>
        <v>4E403</v>
      </c>
      <c r="B3898" t="str">
        <f>MID(TB_CECO[[#This Row],[TRABAJO]],1,SEARCH(",",TB_CECO[[#This Row],[TRABAJO]],1)-1)</f>
        <v>PQ 075 (CX 075 SW)</v>
      </c>
      <c r="C38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075 SW),SERVICIO</v>
      </c>
      <c r="D38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98" s="47" t="s">
        <v>7720</v>
      </c>
      <c r="G3898" t="s">
        <v>7721</v>
      </c>
      <c r="H38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899" spans="1:8" ht="15" customHeight="1" x14ac:dyDescent="0.25">
      <c r="A3899" t="str">
        <f>MID(TB_CECO[[#This Row],[CECO_T]],1,5)</f>
        <v>4E403</v>
      </c>
      <c r="B3899" t="str">
        <f>MID(TB_CECO[[#This Row],[TRABAJO]],1,SEARCH(",",TB_CECO[[#This Row],[TRABAJO]],1)-1)</f>
        <v>PQ 075 (CX 075 SW)</v>
      </c>
      <c r="C38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075 SW),REHABILITACION</v>
      </c>
      <c r="D38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8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899" s="47" t="s">
        <v>7722</v>
      </c>
      <c r="G3899" t="s">
        <v>7723</v>
      </c>
      <c r="H38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00" spans="1:8" ht="15" customHeight="1" x14ac:dyDescent="0.25">
      <c r="A3900" t="str">
        <f>MID(TB_CECO[[#This Row],[CECO_T]],1,5)</f>
        <v>4E528</v>
      </c>
      <c r="B3900" t="str">
        <f>MID(TB_CECO[[#This Row],[TRABAJO]],1,SEARCH(",",TB_CECO[[#This Row],[TRABAJO]],1)-1)</f>
        <v>Snv 113 SW (Tj 066 NE)</v>
      </c>
      <c r="C39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113 SW (Tj 066 NE),SUMINISTROS</v>
      </c>
      <c r="D39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00" s="47" t="s">
        <v>7724</v>
      </c>
      <c r="G3900" t="s">
        <v>7725</v>
      </c>
      <c r="H39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01" spans="1:8" ht="15" customHeight="1" x14ac:dyDescent="0.25">
      <c r="A3901" t="str">
        <f>MID(TB_CECO[[#This Row],[CECO_T]],1,5)</f>
        <v>4E528</v>
      </c>
      <c r="B3901" t="str">
        <f>MID(TB_CECO[[#This Row],[TRABAJO]],1,SEARCH(",",TB_CECO[[#This Row],[TRABAJO]],1)-1)</f>
        <v>Snv 113 SW (Tj 066 NE)</v>
      </c>
      <c r="C39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113 SW (Tj 066 NE),SOSTENIMIENTO</v>
      </c>
      <c r="D39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01" s="47" t="s">
        <v>7726</v>
      </c>
      <c r="G3901" t="s">
        <v>7727</v>
      </c>
      <c r="H39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02" spans="1:8" ht="15" customHeight="1" x14ac:dyDescent="0.25">
      <c r="A3902" t="str">
        <f>MID(TB_CECO[[#This Row],[CECO_T]],1,5)</f>
        <v>4E528</v>
      </c>
      <c r="B3902" t="str">
        <f>MID(TB_CECO[[#This Row],[TRABAJO]],1,SEARCH(",",TB_CECO[[#This Row],[TRABAJO]],1)-1)</f>
        <v>Snv 113 SW (Tj 066 NE)</v>
      </c>
      <c r="C39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113 SW (Tj 066 NE),SERVICIO</v>
      </c>
      <c r="D39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02" s="47" t="s">
        <v>7728</v>
      </c>
      <c r="G3902" t="s">
        <v>7729</v>
      </c>
      <c r="H39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03" spans="1:8" ht="15" customHeight="1" x14ac:dyDescent="0.25">
      <c r="A3903" t="str">
        <f>MID(TB_CECO[[#This Row],[CECO_T]],1,5)</f>
        <v>4E528</v>
      </c>
      <c r="B3903" t="str">
        <f>MID(TB_CECO[[#This Row],[TRABAJO]],1,SEARCH(",",TB_CECO[[#This Row],[TRABAJO]],1)-1)</f>
        <v>Snv 113 SW (Tj 066 NE)</v>
      </c>
      <c r="C39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113 SW (Tj 066 NE),REHABILITACION</v>
      </c>
      <c r="D39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03" s="47" t="s">
        <v>7730</v>
      </c>
      <c r="G3903" t="s">
        <v>7731</v>
      </c>
      <c r="H39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04" spans="1:8" ht="15" customHeight="1" x14ac:dyDescent="0.25">
      <c r="A3904" t="str">
        <f>MID(TB_CECO[[#This Row],[CECO_T]],1,5)</f>
        <v>4E543</v>
      </c>
      <c r="B3904" t="str">
        <f>MID(TB_CECO[[#This Row],[TRABAJO]],1,SEARCH(",",TB_CECO[[#This Row],[TRABAJO]],1)-1)</f>
        <v>SNV 119 NE (TJ 076 NE)</v>
      </c>
      <c r="C39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119 NE (TJ 076 NE),SUMINISTROS</v>
      </c>
      <c r="D39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04" s="47" t="s">
        <v>7732</v>
      </c>
      <c r="G3904" t="s">
        <v>7733</v>
      </c>
      <c r="H39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05" spans="1:8" ht="15" customHeight="1" x14ac:dyDescent="0.25">
      <c r="A3905" t="str">
        <f>MID(TB_CECO[[#This Row],[CECO_T]],1,5)</f>
        <v>4E543</v>
      </c>
      <c r="B3905" t="str">
        <f>MID(TB_CECO[[#This Row],[TRABAJO]],1,SEARCH(",",TB_CECO[[#This Row],[TRABAJO]],1)-1)</f>
        <v>SNV 119 NE (TJ 076 NE)</v>
      </c>
      <c r="C39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119 NE (TJ 076 NE),SOSTENIMIENTO</v>
      </c>
      <c r="D39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05" s="47" t="s">
        <v>7734</v>
      </c>
      <c r="G3905" t="s">
        <v>7735</v>
      </c>
      <c r="H39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06" spans="1:8" ht="15" customHeight="1" x14ac:dyDescent="0.25">
      <c r="A3906" t="str">
        <f>MID(TB_CECO[[#This Row],[CECO_T]],1,5)</f>
        <v>4E543</v>
      </c>
      <c r="B3906" t="str">
        <f>MID(TB_CECO[[#This Row],[TRABAJO]],1,SEARCH(",",TB_CECO[[#This Row],[TRABAJO]],1)-1)</f>
        <v>SNV 119 NE (TJ 076 NE)</v>
      </c>
      <c r="C39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119 NE (TJ 076 NE),SERVICIO</v>
      </c>
      <c r="D39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06" s="47" t="s">
        <v>7736</v>
      </c>
      <c r="G3906" t="s">
        <v>7737</v>
      </c>
      <c r="H39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07" spans="1:8" ht="15" customHeight="1" x14ac:dyDescent="0.25">
      <c r="A3907" t="str">
        <f>MID(TB_CECO[[#This Row],[CECO_T]],1,5)</f>
        <v>4E543</v>
      </c>
      <c r="B3907" t="str">
        <f>MID(TB_CECO[[#This Row],[TRABAJO]],1,SEARCH(",",TB_CECO[[#This Row],[TRABAJO]],1)-1)</f>
        <v>SNV 119 NE (TJ 076 NE)</v>
      </c>
      <c r="C39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119 NE (TJ 076 NE),REHABILITACION</v>
      </c>
      <c r="D39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07" s="47" t="s">
        <v>7738</v>
      </c>
      <c r="G3907" t="s">
        <v>7739</v>
      </c>
      <c r="H39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08" spans="1:8" ht="15" customHeight="1" x14ac:dyDescent="0.25">
      <c r="A3908" t="str">
        <f>MID(TB_CECO[[#This Row],[CECO_T]],1,5)</f>
        <v>4E551</v>
      </c>
      <c r="B3908" t="str">
        <f>MID(TB_CECO[[#This Row],[TRABAJO]],1,SEARCH(",",TB_CECO[[#This Row],[TRABAJO]],1)-1)</f>
        <v>Snv 167 SW (Tj 137 SW)</v>
      </c>
      <c r="C39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167 SW (Tj 137 SW),SUMINISTROS</v>
      </c>
      <c r="D39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08" s="47" t="s">
        <v>7740</v>
      </c>
      <c r="G3908" t="s">
        <v>7741</v>
      </c>
      <c r="H39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09" spans="1:8" ht="15" customHeight="1" x14ac:dyDescent="0.25">
      <c r="A3909" t="str">
        <f>MID(TB_CECO[[#This Row],[CECO_T]],1,5)</f>
        <v>4E551</v>
      </c>
      <c r="B3909" t="str">
        <f>MID(TB_CECO[[#This Row],[TRABAJO]],1,SEARCH(",",TB_CECO[[#This Row],[TRABAJO]],1)-1)</f>
        <v>Snv 167 SW (Tj 137 SW)</v>
      </c>
      <c r="C39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167 SW (Tj 137 SW),SOSTENIMIENTO</v>
      </c>
      <c r="D39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09" s="47" t="s">
        <v>7742</v>
      </c>
      <c r="G3909" t="s">
        <v>7743</v>
      </c>
      <c r="H39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10" spans="1:8" ht="15" customHeight="1" x14ac:dyDescent="0.25">
      <c r="A3910" t="str">
        <f>MID(TB_CECO[[#This Row],[CECO_T]],1,5)</f>
        <v>4E551</v>
      </c>
      <c r="B3910" t="str">
        <f>MID(TB_CECO[[#This Row],[TRABAJO]],1,SEARCH(",",TB_CECO[[#This Row],[TRABAJO]],1)-1)</f>
        <v>Snv 167 SW (Tj 137 SW)</v>
      </c>
      <c r="C39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167 SW (Tj 137 SW),SERVICIO</v>
      </c>
      <c r="D39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10" s="47" t="s">
        <v>7744</v>
      </c>
      <c r="G3910" t="s">
        <v>7745</v>
      </c>
      <c r="H39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11" spans="1:8" ht="15" customHeight="1" x14ac:dyDescent="0.25">
      <c r="A3911" t="str">
        <f>MID(TB_CECO[[#This Row],[CECO_T]],1,5)</f>
        <v>4E573</v>
      </c>
      <c r="B3911" t="str">
        <f>MID(TB_CECO[[#This Row],[TRABAJO]],1,SEARCH(",",TB_CECO[[#This Row],[TRABAJO]],1)-1)</f>
        <v>Snv 145 NE (Tj 065 NE)</v>
      </c>
      <c r="C39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 (Tj 065 NE),SUMINISTROS</v>
      </c>
      <c r="D39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11" s="47" t="s">
        <v>7746</v>
      </c>
      <c r="G3911" t="s">
        <v>7747</v>
      </c>
      <c r="H39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12" spans="1:8" ht="15" customHeight="1" x14ac:dyDescent="0.25">
      <c r="A3912" t="str">
        <f>MID(TB_CECO[[#This Row],[CECO_T]],1,5)</f>
        <v>4E573</v>
      </c>
      <c r="B3912" t="str">
        <f>MID(TB_CECO[[#This Row],[TRABAJO]],1,SEARCH(",",TB_CECO[[#This Row],[TRABAJO]],1)-1)</f>
        <v>Snv 145 NE (Tj 065 NE)</v>
      </c>
      <c r="C39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 (Tj 065 NE),SOSTENIMIENTO</v>
      </c>
      <c r="D39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12" s="47" t="s">
        <v>7748</v>
      </c>
      <c r="G3912" t="s">
        <v>7749</v>
      </c>
      <c r="H39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13" spans="1:8" ht="15" customHeight="1" x14ac:dyDescent="0.25">
      <c r="A3913" t="str">
        <f>MID(TB_CECO[[#This Row],[CECO_T]],1,5)</f>
        <v>4E573</v>
      </c>
      <c r="B3913" t="str">
        <f>MID(TB_CECO[[#This Row],[TRABAJO]],1,SEARCH(",",TB_CECO[[#This Row],[TRABAJO]],1)-1)</f>
        <v>Snv 145 NE (Tj 065 NE)</v>
      </c>
      <c r="C39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 (Tj 065 NE),SERVICIO</v>
      </c>
      <c r="D39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13" s="47" t="s">
        <v>7750</v>
      </c>
      <c r="G3913" t="s">
        <v>7751</v>
      </c>
      <c r="H39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14" spans="1:8" ht="15" customHeight="1" x14ac:dyDescent="0.25">
      <c r="A3914" t="str">
        <f>MID(TB_CECO[[#This Row],[CECO_T]],1,5)</f>
        <v>4E573</v>
      </c>
      <c r="B3914" t="str">
        <f>MID(TB_CECO[[#This Row],[TRABAJO]],1,SEARCH(",",TB_CECO[[#This Row],[TRABAJO]],1)-1)</f>
        <v>Snv 145 NE (Tj 065 NE)</v>
      </c>
      <c r="C39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145 NE (Tj 065 NE),REHABILITACION</v>
      </c>
      <c r="D39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14" s="47" t="s">
        <v>7752</v>
      </c>
      <c r="G3914" t="s">
        <v>7753</v>
      </c>
      <c r="H39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15" spans="1:8" ht="15" customHeight="1" x14ac:dyDescent="0.25">
      <c r="A3915" t="str">
        <f>MID(TB_CECO[[#This Row],[CECO_T]],1,5)</f>
        <v>4E576</v>
      </c>
      <c r="B3915" t="str">
        <f>MID(TB_CECO[[#This Row],[TRABAJO]],1,SEARCH(",",TB_CECO[[#This Row],[TRABAJO]],1)-1)</f>
        <v>Snv 117 NE (Ch 066)</v>
      </c>
      <c r="C39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117 NE (Ch 066),SUMINISTROS</v>
      </c>
      <c r="D39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15" s="47" t="s">
        <v>7754</v>
      </c>
      <c r="G3915" t="s">
        <v>7755</v>
      </c>
      <c r="H39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16" spans="1:8" ht="15" customHeight="1" x14ac:dyDescent="0.25">
      <c r="A3916" t="str">
        <f>MID(TB_CECO[[#This Row],[CECO_T]],1,5)</f>
        <v>4E576</v>
      </c>
      <c r="B3916" t="str">
        <f>MID(TB_CECO[[#This Row],[TRABAJO]],1,SEARCH(",",TB_CECO[[#This Row],[TRABAJO]],1)-1)</f>
        <v>Snv 117 NE (Ch 066)</v>
      </c>
      <c r="C39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117 NE (Ch 066),SOSTENIMIENTO</v>
      </c>
      <c r="D39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16" s="47" t="s">
        <v>7756</v>
      </c>
      <c r="G3916" t="s">
        <v>7757</v>
      </c>
      <c r="H39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17" spans="1:8" ht="15" customHeight="1" x14ac:dyDescent="0.25">
      <c r="A3917" t="str">
        <f>MID(TB_CECO[[#This Row],[CECO_T]],1,5)</f>
        <v>4E576</v>
      </c>
      <c r="B3917" t="str">
        <f>MID(TB_CECO[[#This Row],[TRABAJO]],1,SEARCH(",",TB_CECO[[#This Row],[TRABAJO]],1)-1)</f>
        <v>Snv 117 NE (Ch 066)</v>
      </c>
      <c r="C39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117 NE (Ch 066),SERVICIO</v>
      </c>
      <c r="D39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17" s="47" t="s">
        <v>7758</v>
      </c>
      <c r="G3917" t="s">
        <v>7759</v>
      </c>
      <c r="H39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18" spans="1:8" ht="15" customHeight="1" x14ac:dyDescent="0.25">
      <c r="A3918" t="str">
        <f>MID(TB_CECO[[#This Row],[CECO_T]],1,5)</f>
        <v>4E576</v>
      </c>
      <c r="B3918" t="str">
        <f>MID(TB_CECO[[#This Row],[TRABAJO]],1,SEARCH(",",TB_CECO[[#This Row],[TRABAJO]],1)-1)</f>
        <v>Snv 117 NE (Ch 066)</v>
      </c>
      <c r="C39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117 NE (Ch 066),REHABILITACION</v>
      </c>
      <c r="D39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18" s="47" t="s">
        <v>7760</v>
      </c>
      <c r="G3918" t="s">
        <v>7761</v>
      </c>
      <c r="H39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19" spans="1:8" ht="15" customHeight="1" x14ac:dyDescent="0.25">
      <c r="A3919" t="str">
        <f>MID(TB_CECO[[#This Row],[CECO_T]],1,5)</f>
        <v>4E581</v>
      </c>
      <c r="B3919" t="str">
        <f>MID(TB_CECO[[#This Row],[TRABAJO]],1,SEARCH(",",TB_CECO[[#This Row],[TRABAJO]],1)-1)</f>
        <v>Snv 154 NE (Tj 065 NE)</v>
      </c>
      <c r="C39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154 NE (Tj 065 NE),SUMINISTROS</v>
      </c>
      <c r="D39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19" s="47" t="s">
        <v>7762</v>
      </c>
      <c r="G3919" t="s">
        <v>7763</v>
      </c>
      <c r="H39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20" spans="1:8" ht="15" customHeight="1" x14ac:dyDescent="0.25">
      <c r="A3920" t="str">
        <f>MID(TB_CECO[[#This Row],[CECO_T]],1,5)</f>
        <v>4E581</v>
      </c>
      <c r="B3920" t="str">
        <f>MID(TB_CECO[[#This Row],[TRABAJO]],1,SEARCH(",",TB_CECO[[#This Row],[TRABAJO]],1)-1)</f>
        <v>Snv 154 NE (Tj 065 NE)</v>
      </c>
      <c r="C39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154 NE (Tj 065 NE),SOSTENIMIENTO</v>
      </c>
      <c r="D39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20" s="47" t="s">
        <v>7764</v>
      </c>
      <c r="G3920" t="s">
        <v>7765</v>
      </c>
      <c r="H39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21" spans="1:8" ht="15" customHeight="1" x14ac:dyDescent="0.25">
      <c r="A3921" t="str">
        <f>MID(TB_CECO[[#This Row],[CECO_T]],1,5)</f>
        <v>4E581</v>
      </c>
      <c r="B3921" t="str">
        <f>MID(TB_CECO[[#This Row],[TRABAJO]],1,SEARCH(",",TB_CECO[[#This Row],[TRABAJO]],1)-1)</f>
        <v>Snv 154 NE (Tj 065 NE)</v>
      </c>
      <c r="C39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154 NE (Tj 065 NE),SERVICIO</v>
      </c>
      <c r="D39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21" s="47" t="s">
        <v>7766</v>
      </c>
      <c r="G3921" t="s">
        <v>7767</v>
      </c>
      <c r="H39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22" spans="1:8" ht="15" customHeight="1" x14ac:dyDescent="0.25">
      <c r="A3922" t="str">
        <f>MID(TB_CECO[[#This Row],[CECO_T]],1,5)</f>
        <v>4E581</v>
      </c>
      <c r="B3922" t="str">
        <f>MID(TB_CECO[[#This Row],[TRABAJO]],1,SEARCH(",",TB_CECO[[#This Row],[TRABAJO]],1)-1)</f>
        <v>Snv 154 NE (Tj 065 NE)</v>
      </c>
      <c r="C39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154 NE (Tj 065 NE),REHABILITACION</v>
      </c>
      <c r="D39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22" s="47" t="s">
        <v>7768</v>
      </c>
      <c r="G3922" t="s">
        <v>7769</v>
      </c>
      <c r="H39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23" spans="1:8" ht="15" customHeight="1" x14ac:dyDescent="0.25">
      <c r="A3923" t="str">
        <f>MID(TB_CECO[[#This Row],[CECO_T]],1,5)</f>
        <v>4E583</v>
      </c>
      <c r="B3923" t="str">
        <f>MID(TB_CECO[[#This Row],[TRABAJO]],1,SEARCH(",",TB_CECO[[#This Row],[TRABAJO]],1)-1)</f>
        <v>Snv 135 SW (Ch 053)</v>
      </c>
      <c r="C39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135 SW (Ch 053),SUMINISTROS</v>
      </c>
      <c r="D39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23" s="47" t="s">
        <v>7770</v>
      </c>
      <c r="G3923" t="s">
        <v>7771</v>
      </c>
      <c r="H39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24" spans="1:8" ht="15" customHeight="1" x14ac:dyDescent="0.25">
      <c r="A3924" t="str">
        <f>MID(TB_CECO[[#This Row],[CECO_T]],1,5)</f>
        <v>4E583</v>
      </c>
      <c r="B3924" t="str">
        <f>MID(TB_CECO[[#This Row],[TRABAJO]],1,SEARCH(",",TB_CECO[[#This Row],[TRABAJO]],1)-1)</f>
        <v>Snv 135 SW (Ch 053)</v>
      </c>
      <c r="C39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135 SW (Ch 053),SOSTENIMIENTO</v>
      </c>
      <c r="D39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24" s="47" t="s">
        <v>7772</v>
      </c>
      <c r="G3924" t="s">
        <v>7773</v>
      </c>
      <c r="H39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25" spans="1:8" ht="15" customHeight="1" x14ac:dyDescent="0.25">
      <c r="A3925" t="str">
        <f>MID(TB_CECO[[#This Row],[CECO_T]],1,5)</f>
        <v>4E583</v>
      </c>
      <c r="B3925" t="str">
        <f>MID(TB_CECO[[#This Row],[TRABAJO]],1,SEARCH(",",TB_CECO[[#This Row],[TRABAJO]],1)-1)</f>
        <v>Snv 135 SW (Ch 053)</v>
      </c>
      <c r="C39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135 SW (Ch 053),SERVICIO</v>
      </c>
      <c r="D39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25" s="47" t="s">
        <v>7774</v>
      </c>
      <c r="G3925" t="s">
        <v>7775</v>
      </c>
      <c r="H39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26" spans="1:8" ht="15" customHeight="1" x14ac:dyDescent="0.25">
      <c r="A3926" t="str">
        <f>MID(TB_CECO[[#This Row],[CECO_T]],1,5)</f>
        <v>4E583</v>
      </c>
      <c r="B3926" t="str">
        <f>MID(TB_CECO[[#This Row],[TRABAJO]],1,SEARCH(",",TB_CECO[[#This Row],[TRABAJO]],1)-1)</f>
        <v>Snv 135 SW (Ch 053)</v>
      </c>
      <c r="C39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135 SW (Ch 053),REHABILITACION</v>
      </c>
      <c r="D39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26" s="47" t="s">
        <v>7776</v>
      </c>
      <c r="G3926" t="s">
        <v>7777</v>
      </c>
      <c r="H39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27" spans="1:8" ht="15" customHeight="1" x14ac:dyDescent="0.25">
      <c r="A3927" t="str">
        <f>MID(TB_CECO[[#This Row],[CECO_T]],1,5)</f>
        <v>4E584</v>
      </c>
      <c r="B3927" t="str">
        <f>MID(TB_CECO[[#This Row],[TRABAJO]],1,SEARCH(",",TB_CECO[[#This Row],[TRABAJO]],1)-1)</f>
        <v>Snv 150 NE (Tj 127 NE)</v>
      </c>
      <c r="C39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 NE (Tj 127 NE),SUMINISTROS</v>
      </c>
      <c r="D39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27" s="47" t="s">
        <v>7778</v>
      </c>
      <c r="G3927" t="s">
        <v>7779</v>
      </c>
      <c r="H39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28" spans="1:8" ht="15" customHeight="1" x14ac:dyDescent="0.25">
      <c r="A3928" t="str">
        <f>MID(TB_CECO[[#This Row],[CECO_T]],1,5)</f>
        <v>4E584</v>
      </c>
      <c r="B3928" t="str">
        <f>MID(TB_CECO[[#This Row],[TRABAJO]],1,SEARCH(",",TB_CECO[[#This Row],[TRABAJO]],1)-1)</f>
        <v>Snv 150 NE (Tj 127 NE)</v>
      </c>
      <c r="C39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 NE (Tj 127 NE),SOSTENIMIENTO</v>
      </c>
      <c r="D39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28" s="47" t="s">
        <v>7780</v>
      </c>
      <c r="G3928" t="s">
        <v>7781</v>
      </c>
      <c r="H39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29" spans="1:8" ht="15" customHeight="1" x14ac:dyDescent="0.25">
      <c r="A3929" t="str">
        <f>MID(TB_CECO[[#This Row],[CECO_T]],1,5)</f>
        <v>4E584</v>
      </c>
      <c r="B3929" t="str">
        <f>MID(TB_CECO[[#This Row],[TRABAJO]],1,SEARCH(",",TB_CECO[[#This Row],[TRABAJO]],1)-1)</f>
        <v>Snv 150 NE (Tj 127 NE)</v>
      </c>
      <c r="C39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 NE (Tj 127 NE),SERVICIO</v>
      </c>
      <c r="D39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29" s="47" t="s">
        <v>7782</v>
      </c>
      <c r="G3929" t="s">
        <v>7783</v>
      </c>
      <c r="H39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30" spans="1:8" ht="15" customHeight="1" x14ac:dyDescent="0.25">
      <c r="A3930" t="str">
        <f>MID(TB_CECO[[#This Row],[CECO_T]],1,5)</f>
        <v>4E584</v>
      </c>
      <c r="B3930" t="str">
        <f>MID(TB_CECO[[#This Row],[TRABAJO]],1,SEARCH(",",TB_CECO[[#This Row],[TRABAJO]],1)-1)</f>
        <v>Snv 150 NE (Tj 127 NE)</v>
      </c>
      <c r="C39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150 NE (Tj 127 NE),REHABILITACION</v>
      </c>
      <c r="D39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30" s="47" t="s">
        <v>7784</v>
      </c>
      <c r="G3930" t="s">
        <v>7785</v>
      </c>
      <c r="H39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31" spans="1:8" ht="15" customHeight="1" x14ac:dyDescent="0.25">
      <c r="A3931" t="str">
        <f>MID(TB_CECO[[#This Row],[CECO_T]],1,5)</f>
        <v>4E625</v>
      </c>
      <c r="B3931" t="str">
        <f>MID(TB_CECO[[#This Row],[TRABAJO]],1,SEARCH(",",TB_CECO[[#This Row],[TRABAJO]],1)-1)</f>
        <v>EST. 069 SE (SNV 123 NE)</v>
      </c>
      <c r="C39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069 SE (SNV 123 NE),REFUGIO    </v>
      </c>
      <c r="D39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31" s="47" t="s">
        <v>7786</v>
      </c>
      <c r="G3931" t="s">
        <v>7787</v>
      </c>
      <c r="H39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32" spans="1:8" ht="15" customHeight="1" x14ac:dyDescent="0.25">
      <c r="A3932" t="str">
        <f>MID(TB_CECO[[#This Row],[CECO_T]],1,5)</f>
        <v>4E626</v>
      </c>
      <c r="B3932" t="str">
        <f>MID(TB_CECO[[#This Row],[TRABAJO]],1,SEARCH(",",TB_CECO[[#This Row],[TRABAJO]],1)-1)</f>
        <v>EST. 073 NW (CH 075)</v>
      </c>
      <c r="C39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073 NW (CH 075),REFUGIO</v>
      </c>
      <c r="D39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32" s="47" t="s">
        <v>7788</v>
      </c>
      <c r="G3932" t="s">
        <v>7789</v>
      </c>
      <c r="H39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33" spans="1:8" ht="15" customHeight="1" x14ac:dyDescent="0.25">
      <c r="A3933" t="str">
        <f>MID(TB_CECO[[#This Row],[CECO_T]],1,5)</f>
        <v>4E627</v>
      </c>
      <c r="B3933" t="str">
        <f>MID(TB_CECO[[#This Row],[TRABAJO]],1,SEARCH(",",TB_CECO[[#This Row],[TRABAJO]],1)-1)</f>
        <v>EST. 075 NW (CH 075)</v>
      </c>
      <c r="C39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075 NW (CH 075),SUMINISTROS</v>
      </c>
      <c r="D39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33" s="47" t="s">
        <v>7790</v>
      </c>
      <c r="G3933" t="s">
        <v>7791</v>
      </c>
      <c r="H39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34" spans="1:8" ht="15" customHeight="1" x14ac:dyDescent="0.25">
      <c r="A3934" t="str">
        <f>MID(TB_CECO[[#This Row],[CECO_T]],1,5)</f>
        <v>4E627</v>
      </c>
      <c r="B3934" t="str">
        <f>MID(TB_CECO[[#This Row],[TRABAJO]],1,SEARCH(",",TB_CECO[[#This Row],[TRABAJO]],1)-1)</f>
        <v>EST. 075 NW (CH 075)</v>
      </c>
      <c r="C39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075 NW (CH 075),SOSTENIMIENTO</v>
      </c>
      <c r="D39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34" s="47" t="s">
        <v>7792</v>
      </c>
      <c r="G3934" t="s">
        <v>7793</v>
      </c>
      <c r="H39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35" spans="1:8" ht="15" customHeight="1" x14ac:dyDescent="0.25">
      <c r="A3935" t="str">
        <f>MID(TB_CECO[[#This Row],[CECO_T]],1,5)</f>
        <v>4E627</v>
      </c>
      <c r="B3935" t="str">
        <f>MID(TB_CECO[[#This Row],[TRABAJO]],1,SEARCH(",",TB_CECO[[#This Row],[TRABAJO]],1)-1)</f>
        <v>EST. 075 NW (CH 075)</v>
      </c>
      <c r="C39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075 NW (CH 075),SERVICIO</v>
      </c>
      <c r="D39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35" s="47" t="s">
        <v>7794</v>
      </c>
      <c r="G3935" t="s">
        <v>7795</v>
      </c>
      <c r="H39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36" spans="1:8" ht="15" customHeight="1" x14ac:dyDescent="0.25">
      <c r="A3936" t="str">
        <f>MID(TB_CECO[[#This Row],[CECO_T]],1,5)</f>
        <v>4E632</v>
      </c>
      <c r="B3936" t="str">
        <f>MID(TB_CECO[[#This Row],[TRABAJO]],1,SEARCH(",",TB_CECO[[#This Row],[TRABAJO]],1)-1)</f>
        <v>EST 077 SW (EST 075 1SE)</v>
      </c>
      <c r="C39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077 SW (EST 075 1SE),REFUGIO</v>
      </c>
      <c r="D39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36" s="47" t="s">
        <v>7796</v>
      </c>
      <c r="G3936" t="s">
        <v>7797</v>
      </c>
      <c r="H39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37" spans="1:8" ht="15" customHeight="1" x14ac:dyDescent="0.25">
      <c r="A3937" t="str">
        <f>MID(TB_CECO[[#This Row],[CECO_T]],1,5)</f>
        <v>4E640</v>
      </c>
      <c r="B3937" t="str">
        <f>MID(TB_CECO[[#This Row],[TRABAJO]],1,SEARCH(",",TB_CECO[[#This Row],[TRABAJO]],1)-1)</f>
        <v>Est 070  (Gal 150 SW)</v>
      </c>
      <c r="C39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070  (Gal 150 SW),SUMINISTROS</v>
      </c>
      <c r="D39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37" s="47" t="s">
        <v>7798</v>
      </c>
      <c r="G3937" t="s">
        <v>7799</v>
      </c>
      <c r="H39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38" spans="1:8" ht="15" customHeight="1" x14ac:dyDescent="0.25">
      <c r="A3938" t="str">
        <f>MID(TB_CECO[[#This Row],[CECO_T]],1,5)</f>
        <v>4E640</v>
      </c>
      <c r="B3938" t="str">
        <f>MID(TB_CECO[[#This Row],[TRABAJO]],1,SEARCH(",",TB_CECO[[#This Row],[TRABAJO]],1)-1)</f>
        <v>Est 070  (Gal 150 SW)</v>
      </c>
      <c r="C39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070  (Gal 150 SW),SOSTENIMIENTO</v>
      </c>
      <c r="D39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38" s="47" t="s">
        <v>7800</v>
      </c>
      <c r="G3938" t="s">
        <v>7801</v>
      </c>
      <c r="H39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39" spans="1:8" ht="15" customHeight="1" x14ac:dyDescent="0.25">
      <c r="A3939" t="str">
        <f>MID(TB_CECO[[#This Row],[CECO_T]],1,5)</f>
        <v>4E640</v>
      </c>
      <c r="B3939" t="str">
        <f>MID(TB_CECO[[#This Row],[TRABAJO]],1,SEARCH(",",TB_CECO[[#This Row],[TRABAJO]],1)-1)</f>
        <v>Est 070  (Gal 150 SW)</v>
      </c>
      <c r="C39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070  (Gal 150 SW),SERVICIO</v>
      </c>
      <c r="D39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39" s="47" t="s">
        <v>7802</v>
      </c>
      <c r="G3939" t="s">
        <v>7803</v>
      </c>
      <c r="H39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40" spans="1:8" ht="15" customHeight="1" x14ac:dyDescent="0.25">
      <c r="A3940" t="str">
        <f>MID(TB_CECO[[#This Row],[CECO_T]],1,5)</f>
        <v>4E640</v>
      </c>
      <c r="B3940" t="str">
        <f>MID(TB_CECO[[#This Row],[TRABAJO]],1,SEARCH(",",TB_CECO[[#This Row],[TRABAJO]],1)-1)</f>
        <v>Est 070  (Gal 150 SW)</v>
      </c>
      <c r="C39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070  (Gal 150 SW),REHABILITACION</v>
      </c>
      <c r="D39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40" s="47" t="s">
        <v>7804</v>
      </c>
      <c r="G3940" t="s">
        <v>7805</v>
      </c>
      <c r="H39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41" spans="1:8" ht="15" customHeight="1" x14ac:dyDescent="0.25">
      <c r="A3941" t="str">
        <f>MID(TB_CECO[[#This Row],[CECO_T]],1,5)</f>
        <v>4E644</v>
      </c>
      <c r="B3941" t="str">
        <f>MID(TB_CECO[[#This Row],[TRABAJO]],1,SEARCH(",",TB_CECO[[#This Row],[TRABAJO]],1)-1)</f>
        <v>Est 076 SW (Est 075-2 SE)</v>
      </c>
      <c r="C39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076 SW (Est 075-2 SE),SUMINISTROS</v>
      </c>
      <c r="D39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41" s="47" t="s">
        <v>7806</v>
      </c>
      <c r="G3941" t="s">
        <v>7807</v>
      </c>
      <c r="H39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42" spans="1:8" ht="15" customHeight="1" x14ac:dyDescent="0.25">
      <c r="A3942" t="str">
        <f>MID(TB_CECO[[#This Row],[CECO_T]],1,5)</f>
        <v>4E644</v>
      </c>
      <c r="B3942" t="str">
        <f>MID(TB_CECO[[#This Row],[TRABAJO]],1,SEARCH(",",TB_CECO[[#This Row],[TRABAJO]],1)-1)</f>
        <v>Est 076 SW (Est 075-2 SE)</v>
      </c>
      <c r="C39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076 SW (Est 075-2 SE),SOSTENIMIENTO</v>
      </c>
      <c r="D39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42" s="47" t="s">
        <v>7808</v>
      </c>
      <c r="G3942" t="s">
        <v>7809</v>
      </c>
      <c r="H39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43" spans="1:8" ht="15" customHeight="1" x14ac:dyDescent="0.25">
      <c r="A3943" t="str">
        <f>MID(TB_CECO[[#This Row],[CECO_T]],1,5)</f>
        <v>4E644</v>
      </c>
      <c r="B3943" t="str">
        <f>MID(TB_CECO[[#This Row],[TRABAJO]],1,SEARCH(",",TB_CECO[[#This Row],[TRABAJO]],1)-1)</f>
        <v>Est 076 SW (Est 075-2 SE)</v>
      </c>
      <c r="C39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076 SW (Est 075-2 SE),SERVICIO</v>
      </c>
      <c r="D39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43" s="47" t="s">
        <v>7810</v>
      </c>
      <c r="G3943" t="s">
        <v>7811</v>
      </c>
      <c r="H39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44" spans="1:8" ht="15" customHeight="1" x14ac:dyDescent="0.25">
      <c r="A3944" t="str">
        <f>MID(TB_CECO[[#This Row],[CECO_T]],1,5)</f>
        <v>4E644</v>
      </c>
      <c r="B3944" t="str">
        <f>MID(TB_CECO[[#This Row],[TRABAJO]],1,SEARCH(",",TB_CECO[[#This Row],[TRABAJO]],1)-1)</f>
        <v>Est 076 SW (Est 075-2 SE)</v>
      </c>
      <c r="C39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076 SW (Est 075-2 SE),REHABILITACION</v>
      </c>
      <c r="D39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44" s="47" t="s">
        <v>7812</v>
      </c>
      <c r="G3944" t="s">
        <v>7813</v>
      </c>
      <c r="H39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45" spans="1:8" ht="15" customHeight="1" x14ac:dyDescent="0.25">
      <c r="A3945" t="str">
        <f>MID(TB_CECO[[#This Row],[CECO_T]],1,5)</f>
        <v>4E902</v>
      </c>
      <c r="B3945" t="str">
        <f>MID(TB_CECO[[#This Row],[TRABAJO]],1,SEARCH(",",TB_CECO[[#This Row],[TRABAJO]],1)-1)</f>
        <v>Ven 005 NE (Tj 101 SW)</v>
      </c>
      <c r="C39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005 NE (Tj 101 SW),SUMINISTROS</v>
      </c>
      <c r="D39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45" s="47" t="s">
        <v>7814</v>
      </c>
      <c r="G3945" t="s">
        <v>7815</v>
      </c>
      <c r="H39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46" spans="1:8" ht="15" customHeight="1" x14ac:dyDescent="0.25">
      <c r="A3946" t="str">
        <f>MID(TB_CECO[[#This Row],[CECO_T]],1,5)</f>
        <v>4E902</v>
      </c>
      <c r="B3946" t="str">
        <f>MID(TB_CECO[[#This Row],[TRABAJO]],1,SEARCH(",",TB_CECO[[#This Row],[TRABAJO]],1)-1)</f>
        <v>Ven 005 NE (Tj 101 SW)</v>
      </c>
      <c r="C39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005 NE (Tj 101 SW),SOSTENIMIENTO</v>
      </c>
      <c r="D39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46" s="47" t="s">
        <v>7816</v>
      </c>
      <c r="G3946" t="s">
        <v>7817</v>
      </c>
      <c r="H39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47" spans="1:8" ht="15" customHeight="1" x14ac:dyDescent="0.25">
      <c r="A3947" t="str">
        <f>MID(TB_CECO[[#This Row],[CECO_T]],1,5)</f>
        <v>4E902</v>
      </c>
      <c r="B3947" t="str">
        <f>MID(TB_CECO[[#This Row],[TRABAJO]],1,SEARCH(",",TB_CECO[[#This Row],[TRABAJO]],1)-1)</f>
        <v>Ven 005 NE (Tj 101 SW)</v>
      </c>
      <c r="C39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005 NE (Tj 101 SW),SERVICIO</v>
      </c>
      <c r="D39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47" s="47" t="s">
        <v>7818</v>
      </c>
      <c r="G3947" t="s">
        <v>7819</v>
      </c>
      <c r="H39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48" spans="1:8" ht="15" customHeight="1" x14ac:dyDescent="0.25">
      <c r="A3948" t="str">
        <f>MID(TB_CECO[[#This Row],[CECO_T]],1,5)</f>
        <v>4E902</v>
      </c>
      <c r="B3948" t="str">
        <f>MID(TB_CECO[[#This Row],[TRABAJO]],1,SEARCH(",",TB_CECO[[#This Row],[TRABAJO]],1)-1)</f>
        <v>Ven 005 NE (Tj 101 SW)</v>
      </c>
      <c r="C39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005 NE (Tj 101 SW),REHABILITACION</v>
      </c>
      <c r="D39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48" s="47" t="s">
        <v>7820</v>
      </c>
      <c r="G3948" t="s">
        <v>7821</v>
      </c>
      <c r="H39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49" spans="1:8" ht="15" customHeight="1" x14ac:dyDescent="0.25">
      <c r="A3949" t="str">
        <f>MID(TB_CECO[[#This Row],[CECO_T]],1,5)</f>
        <v>4E902</v>
      </c>
      <c r="B3949" t="str">
        <f>MID(TB_CECO[[#This Row],[TRABAJO]],1,SEARCH(",",TB_CECO[[#This Row],[TRABAJO]],1)-1)</f>
        <v>VNT. 117 NE (CH 107)</v>
      </c>
      <c r="C39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VNT. 117 NE (CH 107),BREASTING</v>
      </c>
      <c r="D39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49" s="47" t="s">
        <v>7822</v>
      </c>
      <c r="G3949" t="s">
        <v>7823</v>
      </c>
      <c r="H39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50" spans="1:8" ht="15" customHeight="1" x14ac:dyDescent="0.25">
      <c r="A3950" t="str">
        <f>MID(TB_CECO[[#This Row],[CECO_T]],1,5)</f>
        <v>4E903</v>
      </c>
      <c r="B3950" t="str">
        <f>MID(TB_CECO[[#This Row],[TRABAJO]],1,SEARCH(",",TB_CECO[[#This Row],[TRABAJO]],1)-1)</f>
        <v>Ven 001 NE (Tj 091 SW)</v>
      </c>
      <c r="C39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001 NE (Tj 091 SW),REFUGIO</v>
      </c>
      <c r="D39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50" s="47" t="s">
        <v>7824</v>
      </c>
      <c r="G3950" t="s">
        <v>7825</v>
      </c>
      <c r="H39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51" spans="1:8" ht="15" customHeight="1" x14ac:dyDescent="0.25">
      <c r="A3951" t="str">
        <f>MID(TB_CECO[[#This Row],[CECO_T]],1,5)</f>
        <v>4E904</v>
      </c>
      <c r="B3951" t="str">
        <f>MID(TB_CECO[[#This Row],[TRABAJO]],1,SEARCH(",",TB_CECO[[#This Row],[TRABAJO]],1)-1)</f>
        <v>Ven 002 SW (Tj 117 NE)</v>
      </c>
      <c r="C39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002 SW (Tj 117 NE),REFUGIO</v>
      </c>
      <c r="D39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51" s="47" t="s">
        <v>7826</v>
      </c>
      <c r="G3951" t="s">
        <v>7827</v>
      </c>
      <c r="H39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52" spans="1:8" ht="15" customHeight="1" x14ac:dyDescent="0.25">
      <c r="A3952" t="str">
        <f>MID(TB_CECO[[#This Row],[CECO_T]],1,5)</f>
        <v>4E905</v>
      </c>
      <c r="B3952" t="str">
        <f>MID(TB_CECO[[#This Row],[TRABAJO]],1,SEARCH(",",TB_CECO[[#This Row],[TRABAJO]],1)-1)</f>
        <v>Ven 003 NE (Tj 101 SW)</v>
      </c>
      <c r="C39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003 NE (Tj 101 SW),REFUGIO</v>
      </c>
      <c r="D39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52" s="47" t="s">
        <v>7828</v>
      </c>
      <c r="G3952" t="s">
        <v>7829</v>
      </c>
      <c r="H39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53" spans="1:8" ht="15" customHeight="1" x14ac:dyDescent="0.25">
      <c r="A3953" t="str">
        <f>MID(TB_CECO[[#This Row],[CECO_T]],1,5)</f>
        <v>4E906</v>
      </c>
      <c r="B3953" t="str">
        <f>MID(TB_CECO[[#This Row],[TRABAJO]],1,SEARCH(",",TB_CECO[[#This Row],[TRABAJO]],1)-1)</f>
        <v>Ven 004 NE (Tj 117 SW)</v>
      </c>
      <c r="C39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004 NE (Tj 117 SW),REFUGIO</v>
      </c>
      <c r="D39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53" s="47" t="s">
        <v>7830</v>
      </c>
      <c r="G3953" t="s">
        <v>7831</v>
      </c>
      <c r="H39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54" spans="1:8" ht="15" customHeight="1" x14ac:dyDescent="0.25">
      <c r="A3954" t="str">
        <f>MID(TB_CECO[[#This Row],[CECO_T]],1,5)</f>
        <v>4E907</v>
      </c>
      <c r="B3954" t="str">
        <f>MID(TB_CECO[[#This Row],[TRABAJO]],1,SEARCH(",",TB_CECO[[#This Row],[TRABAJO]],1)-1)</f>
        <v>Ven 006  (Tj 127 SW)</v>
      </c>
      <c r="C39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006  (Tj 127 SW),REFUGIO</v>
      </c>
      <c r="D39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54" s="47" t="s">
        <v>7832</v>
      </c>
      <c r="G3954" t="s">
        <v>7833</v>
      </c>
      <c r="H39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55" spans="1:8" ht="15" customHeight="1" x14ac:dyDescent="0.25">
      <c r="A3955" t="str">
        <f>MID(TB_CECO[[#This Row],[CECO_T]],1,5)</f>
        <v>4E908</v>
      </c>
      <c r="B3955" t="str">
        <f>MID(TB_CECO[[#This Row],[TRABAJO]],1,SEARCH(",",TB_CECO[[#This Row],[TRABAJO]],1)-1)</f>
        <v>Ven 007 (Tj 081 SW)</v>
      </c>
      <c r="C39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007 (Tj 081 SW),SUMINISTROS</v>
      </c>
      <c r="D39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55" s="47" t="s">
        <v>7834</v>
      </c>
      <c r="G3955" t="s">
        <v>7835</v>
      </c>
      <c r="H39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56" spans="1:8" ht="15" customHeight="1" x14ac:dyDescent="0.25">
      <c r="A3956" t="str">
        <f>MID(TB_CECO[[#This Row],[CECO_T]],1,5)</f>
        <v>4E908</v>
      </c>
      <c r="B3956" t="str">
        <f>MID(TB_CECO[[#This Row],[TRABAJO]],1,SEARCH(",",TB_CECO[[#This Row],[TRABAJO]],1)-1)</f>
        <v>Ven 007 (Tj 081 SW)</v>
      </c>
      <c r="C39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007 (Tj 081 SW),SOSTENIMIENTO</v>
      </c>
      <c r="D39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56" s="47" t="s">
        <v>7836</v>
      </c>
      <c r="G3956" t="s">
        <v>7837</v>
      </c>
      <c r="H39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57" spans="1:8" ht="15" customHeight="1" x14ac:dyDescent="0.25">
      <c r="A3957" t="str">
        <f>MID(TB_CECO[[#This Row],[CECO_T]],1,5)</f>
        <v>4E908</v>
      </c>
      <c r="B3957" t="str">
        <f>MID(TB_CECO[[#This Row],[TRABAJO]],1,SEARCH(",",TB_CECO[[#This Row],[TRABAJO]],1)-1)</f>
        <v>Ven 007 (Tj 081 SW)</v>
      </c>
      <c r="C39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007 (Tj 081 SW),SERVICIO</v>
      </c>
      <c r="D39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57" s="47" t="s">
        <v>7838</v>
      </c>
      <c r="G3957" t="s">
        <v>7839</v>
      </c>
      <c r="H39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58" spans="1:8" ht="15" customHeight="1" x14ac:dyDescent="0.25">
      <c r="A3958" t="str">
        <f>MID(TB_CECO[[#This Row],[CECO_T]],1,5)</f>
        <v>4E908</v>
      </c>
      <c r="B3958" t="str">
        <f>MID(TB_CECO[[#This Row],[TRABAJO]],1,SEARCH(",",TB_CECO[[#This Row],[TRABAJO]],1)-1)</f>
        <v>Ven 007 (Tj 081 SW)</v>
      </c>
      <c r="C39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007 (Tj 081 SW),REHABILITACION</v>
      </c>
      <c r="D39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58" s="47" t="s">
        <v>7840</v>
      </c>
      <c r="G3958" t="s">
        <v>7841</v>
      </c>
      <c r="H39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59" spans="1:8" ht="15" customHeight="1" x14ac:dyDescent="0.25">
      <c r="A3959" t="str">
        <f>MID(TB_CECO[[#This Row],[CECO_T]],1,5)</f>
        <v>4E909</v>
      </c>
      <c r="B3959" t="str">
        <f>MID(TB_CECO[[#This Row],[TRABAJO]],1,SEARCH(",",TB_CECO[[#This Row],[TRABAJO]],1)-1)</f>
        <v>Ven 008 (Tj 066 NE)</v>
      </c>
      <c r="C39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008 (Tj 066 NE),SUMINISTROS</v>
      </c>
      <c r="D39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59" s="47" t="s">
        <v>7842</v>
      </c>
      <c r="G3959" t="s">
        <v>7843</v>
      </c>
      <c r="H39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60" spans="1:8" ht="15" customHeight="1" x14ac:dyDescent="0.25">
      <c r="A3960" t="str">
        <f>MID(TB_CECO[[#This Row],[CECO_T]],1,5)</f>
        <v>4E909</v>
      </c>
      <c r="B3960" t="str">
        <f>MID(TB_CECO[[#This Row],[TRABAJO]],1,SEARCH(",",TB_CECO[[#This Row],[TRABAJO]],1)-1)</f>
        <v>Ven 008 (Tj 066 NE)</v>
      </c>
      <c r="C39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008 (Tj 066 NE),SOSTENIMIENTO</v>
      </c>
      <c r="D39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60" s="47" t="s">
        <v>7844</v>
      </c>
      <c r="G3960" t="s">
        <v>7845</v>
      </c>
      <c r="H39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61" spans="1:8" ht="15" customHeight="1" x14ac:dyDescent="0.25">
      <c r="A3961" t="str">
        <f>MID(TB_CECO[[#This Row],[CECO_T]],1,5)</f>
        <v>4E909</v>
      </c>
      <c r="B3961" t="str">
        <f>MID(TB_CECO[[#This Row],[TRABAJO]],1,SEARCH(",",TB_CECO[[#This Row],[TRABAJO]],1)-1)</f>
        <v>Ven 008 (Tj 066 NE)</v>
      </c>
      <c r="C39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008 (Tj 066 NE),SERVICIO</v>
      </c>
      <c r="D39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61" s="47" t="s">
        <v>7846</v>
      </c>
      <c r="G3961" t="s">
        <v>7847</v>
      </c>
      <c r="H39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62" spans="1:8" ht="15" customHeight="1" x14ac:dyDescent="0.25">
      <c r="A3962" t="str">
        <f>MID(TB_CECO[[#This Row],[CECO_T]],1,5)</f>
        <v>4E909</v>
      </c>
      <c r="B3962" t="str">
        <f>MID(TB_CECO[[#This Row],[TRABAJO]],1,SEARCH(",",TB_CECO[[#This Row],[TRABAJO]],1)-1)</f>
        <v>Ven 008 (Tj 066 NE)</v>
      </c>
      <c r="C39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008 (Tj 066 NE),REHABILITACION</v>
      </c>
      <c r="D39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62" s="47" t="s">
        <v>7848</v>
      </c>
      <c r="G3962" t="s">
        <v>7849</v>
      </c>
      <c r="H39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63" spans="1:8" ht="15" customHeight="1" x14ac:dyDescent="0.25">
      <c r="A3963" t="str">
        <f>MID(TB_CECO[[#This Row],[CECO_T]],1,5)</f>
        <v>4E910</v>
      </c>
      <c r="B3963" t="str">
        <f>MID(TB_CECO[[#This Row],[TRABAJO]],1,SEARCH(",",TB_CECO[[#This Row],[TRABAJO]],1)-1)</f>
        <v>Ven 009 (Tj 790 SW)</v>
      </c>
      <c r="C39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009 (Tj 790 SW),SUMINISTROS</v>
      </c>
      <c r="D39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63" s="47" t="s">
        <v>7850</v>
      </c>
      <c r="G3963" t="s">
        <v>7851</v>
      </c>
      <c r="H39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64" spans="1:8" ht="15" customHeight="1" x14ac:dyDescent="0.25">
      <c r="A3964" t="str">
        <f>MID(TB_CECO[[#This Row],[CECO_T]],1,5)</f>
        <v>4E910</v>
      </c>
      <c r="B3964" t="str">
        <f>MID(TB_CECO[[#This Row],[TRABAJO]],1,SEARCH(",",TB_CECO[[#This Row],[TRABAJO]],1)-1)</f>
        <v>Ven 009 (Tj 790 SW)</v>
      </c>
      <c r="C39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009 (Tj 790 SW),SOSTENIMIENTO</v>
      </c>
      <c r="D39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64" s="47" t="s">
        <v>7852</v>
      </c>
      <c r="G3964" t="s">
        <v>7853</v>
      </c>
      <c r="H39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65" spans="1:8" ht="15" customHeight="1" x14ac:dyDescent="0.25">
      <c r="A3965" t="str">
        <f>MID(TB_CECO[[#This Row],[CECO_T]],1,5)</f>
        <v>4E910</v>
      </c>
      <c r="B3965" t="str">
        <f>MID(TB_CECO[[#This Row],[TRABAJO]],1,SEARCH(",",TB_CECO[[#This Row],[TRABAJO]],1)-1)</f>
        <v>Ven 009 (Tj 790 SW)</v>
      </c>
      <c r="C39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009 (Tj 790 SW),SERVICIO</v>
      </c>
      <c r="D39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65" s="47" t="s">
        <v>7854</v>
      </c>
      <c r="G3965" t="s">
        <v>7855</v>
      </c>
      <c r="H39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66" spans="1:8" ht="15" customHeight="1" x14ac:dyDescent="0.25">
      <c r="A3966" t="str">
        <f>MID(TB_CECO[[#This Row],[CECO_T]],1,5)</f>
        <v>4E910</v>
      </c>
      <c r="B3966" t="str">
        <f>MID(TB_CECO[[#This Row],[TRABAJO]],1,SEARCH(",",TB_CECO[[#This Row],[TRABAJO]],1)-1)</f>
        <v>Ven 009 (Tj 790 SW)</v>
      </c>
      <c r="C39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009 (Tj 790 SW),REHABILITACION</v>
      </c>
      <c r="D39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66" s="47" t="s">
        <v>7856</v>
      </c>
      <c r="G3966" t="s">
        <v>7857</v>
      </c>
      <c r="H39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67" spans="1:8" ht="15" customHeight="1" x14ac:dyDescent="0.25">
      <c r="A3967" t="str">
        <f>MID(TB_CECO[[#This Row],[CECO_T]],1,5)</f>
        <v>4E911</v>
      </c>
      <c r="B3967" t="str">
        <f>MID(TB_CECO[[#This Row],[TRABAJO]],1,SEARCH(",",TB_CECO[[#This Row],[TRABAJO]],1)-1)</f>
        <v>Ven 010 (Tj 066 SW)</v>
      </c>
      <c r="C39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010 (Tj 066 SW),SUMINISTROS</v>
      </c>
      <c r="D39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67" s="47" t="s">
        <v>7858</v>
      </c>
      <c r="G3967" t="s">
        <v>7859</v>
      </c>
      <c r="H39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68" spans="1:8" ht="15" customHeight="1" x14ac:dyDescent="0.25">
      <c r="A3968" t="str">
        <f>MID(TB_CECO[[#This Row],[CECO_T]],1,5)</f>
        <v>4E911</v>
      </c>
      <c r="B3968" t="str">
        <f>MID(TB_CECO[[#This Row],[TRABAJO]],1,SEARCH(",",TB_CECO[[#This Row],[TRABAJO]],1)-1)</f>
        <v>Ven 010 (Tj 066 SW)</v>
      </c>
      <c r="C39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010 (Tj 066 SW),SOSTENIMIENTO</v>
      </c>
      <c r="D39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68" s="47" t="s">
        <v>7860</v>
      </c>
      <c r="G3968" t="s">
        <v>7861</v>
      </c>
      <c r="H39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69" spans="1:8" ht="15" customHeight="1" x14ac:dyDescent="0.25">
      <c r="A3969" t="str">
        <f>MID(TB_CECO[[#This Row],[CECO_T]],1,5)</f>
        <v>4E911</v>
      </c>
      <c r="B3969" t="str">
        <f>MID(TB_CECO[[#This Row],[TRABAJO]],1,SEARCH(",",TB_CECO[[#This Row],[TRABAJO]],1)-1)</f>
        <v>Ven 010 (Tj 066 SW)</v>
      </c>
      <c r="C39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010 (Tj 066 SW),SERVICIO</v>
      </c>
      <c r="D39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69" s="47" t="s">
        <v>7862</v>
      </c>
      <c r="G3969" t="s">
        <v>7863</v>
      </c>
      <c r="H39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70" spans="1:8" ht="15" customHeight="1" x14ac:dyDescent="0.25">
      <c r="A3970" t="str">
        <f>MID(TB_CECO[[#This Row],[CECO_T]],1,5)</f>
        <v>4E911</v>
      </c>
      <c r="B3970" t="str">
        <f>MID(TB_CECO[[#This Row],[TRABAJO]],1,SEARCH(",",TB_CECO[[#This Row],[TRABAJO]],1)-1)</f>
        <v>Ven 010 (Tj 066 SW)</v>
      </c>
      <c r="C39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010 (Tj 066 SW),REHABILITACION</v>
      </c>
      <c r="D39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70" s="47" t="s">
        <v>7864</v>
      </c>
      <c r="G3970" t="s">
        <v>7865</v>
      </c>
      <c r="H39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71" spans="1:8" ht="15" customHeight="1" x14ac:dyDescent="0.25">
      <c r="A3971" t="str">
        <f>MID(TB_CECO[[#This Row],[CECO_T]],1,5)</f>
        <v>4E912</v>
      </c>
      <c r="B3971" t="str">
        <f>MID(TB_CECO[[#This Row],[TRABAJO]],1,SEARCH(",",TB_CECO[[#This Row],[TRABAJO]],1)-1)</f>
        <v>Ven 011 (Tj 066 NE)</v>
      </c>
      <c r="C39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011 (Tj 066 NE),SUMINISTROS</v>
      </c>
      <c r="D39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71" s="47" t="s">
        <v>7866</v>
      </c>
      <c r="G3971" t="s">
        <v>7867</v>
      </c>
      <c r="H39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72" spans="1:8" ht="15" customHeight="1" x14ac:dyDescent="0.25">
      <c r="A3972" t="str">
        <f>MID(TB_CECO[[#This Row],[CECO_T]],1,5)</f>
        <v>4E912</v>
      </c>
      <c r="B3972" t="str">
        <f>MID(TB_CECO[[#This Row],[TRABAJO]],1,SEARCH(",",TB_CECO[[#This Row],[TRABAJO]],1)-1)</f>
        <v>Ven 011 (Tj 066 NE)</v>
      </c>
      <c r="C39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011 (Tj 066 NE),SOSTENIMIENTO</v>
      </c>
      <c r="D39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72" s="47" t="s">
        <v>7868</v>
      </c>
      <c r="G3972" t="s">
        <v>7869</v>
      </c>
      <c r="H39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73" spans="1:8" ht="15" customHeight="1" x14ac:dyDescent="0.25">
      <c r="A3973" t="str">
        <f>MID(TB_CECO[[#This Row],[CECO_T]],1,5)</f>
        <v>4E912</v>
      </c>
      <c r="B3973" t="str">
        <f>MID(TB_CECO[[#This Row],[TRABAJO]],1,SEARCH(",",TB_CECO[[#This Row],[TRABAJO]],1)-1)</f>
        <v>Ven 011 (Tj 066 NE)</v>
      </c>
      <c r="C39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011 (Tj 066 NE),SERVICIO</v>
      </c>
      <c r="D39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73" s="47" t="s">
        <v>7870</v>
      </c>
      <c r="G3973" t="s">
        <v>7871</v>
      </c>
      <c r="H39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74" spans="1:8" ht="15" customHeight="1" x14ac:dyDescent="0.25">
      <c r="A3974" t="str">
        <f>MID(TB_CECO[[#This Row],[CECO_T]],1,5)</f>
        <v>4E912</v>
      </c>
      <c r="B3974" t="str">
        <f>MID(TB_CECO[[#This Row],[TRABAJO]],1,SEARCH(",",TB_CECO[[#This Row],[TRABAJO]],1)-1)</f>
        <v>Ven 011 (Tj 066 NE)</v>
      </c>
      <c r="C39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011 (Tj 066 NE),REHABILITACION</v>
      </c>
      <c r="D39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74" s="47" t="s">
        <v>7872</v>
      </c>
      <c r="G3974" t="s">
        <v>7873</v>
      </c>
      <c r="H39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75" spans="1:8" ht="15" customHeight="1" x14ac:dyDescent="0.25">
      <c r="A3975" t="str">
        <f>MID(TB_CECO[[#This Row],[CECO_T]],1,5)</f>
        <v>4E913</v>
      </c>
      <c r="B3975" t="str">
        <f>MID(TB_CECO[[#This Row],[TRABAJO]],1,SEARCH(",",TB_CECO[[#This Row],[TRABAJO]],1)-1)</f>
        <v>Ven 012 (Tj 097 NE)</v>
      </c>
      <c r="C39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012 (Tj 097 NE),SUMINISTROS</v>
      </c>
      <c r="D39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75" s="47" t="s">
        <v>7874</v>
      </c>
      <c r="G3975" t="s">
        <v>7875</v>
      </c>
      <c r="H39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76" spans="1:8" ht="15" customHeight="1" x14ac:dyDescent="0.25">
      <c r="A3976" t="str">
        <f>MID(TB_CECO[[#This Row],[CECO_T]],1,5)</f>
        <v>4E913</v>
      </c>
      <c r="B3976" t="str">
        <f>MID(TB_CECO[[#This Row],[TRABAJO]],1,SEARCH(",",TB_CECO[[#This Row],[TRABAJO]],1)-1)</f>
        <v>Ven 012 (Tj 097 NE)</v>
      </c>
      <c r="C39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012 (Tj 097 NE),SOSTENIMIENTO</v>
      </c>
      <c r="D39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76" s="47" t="s">
        <v>7876</v>
      </c>
      <c r="G3976" t="s">
        <v>7877</v>
      </c>
      <c r="H39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77" spans="1:8" ht="15" customHeight="1" x14ac:dyDescent="0.25">
      <c r="A3977" t="str">
        <f>MID(TB_CECO[[#This Row],[CECO_T]],1,5)</f>
        <v>4E913</v>
      </c>
      <c r="B3977" t="str">
        <f>MID(TB_CECO[[#This Row],[TRABAJO]],1,SEARCH(",",TB_CECO[[#This Row],[TRABAJO]],1)-1)</f>
        <v>Ven 012 (Tj 097 NE)</v>
      </c>
      <c r="C39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012 (Tj 097 NE),REFUGIO</v>
      </c>
      <c r="D39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77" s="47" t="s">
        <v>7878</v>
      </c>
      <c r="G3977" t="s">
        <v>7879</v>
      </c>
      <c r="H39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78" spans="1:8" ht="15" customHeight="1" x14ac:dyDescent="0.25">
      <c r="A3978" t="str">
        <f>MID(TB_CECO[[#This Row],[CECO_T]],1,5)</f>
        <v>4E914</v>
      </c>
      <c r="B3978" t="str">
        <f>MID(TB_CECO[[#This Row],[TRABAJO]],1,SEARCH(",",TB_CECO[[#This Row],[TRABAJO]],1)-1)</f>
        <v>Ven 013 (Ch 107)</v>
      </c>
      <c r="C39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013 (Ch 107),SUMINISTROS</v>
      </c>
      <c r="D39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78" s="47" t="s">
        <v>7880</v>
      </c>
      <c r="G3978" t="s">
        <v>7881</v>
      </c>
      <c r="H39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79" spans="1:8" ht="15" customHeight="1" x14ac:dyDescent="0.25">
      <c r="A3979" t="str">
        <f>MID(TB_CECO[[#This Row],[CECO_T]],1,5)</f>
        <v>4E914</v>
      </c>
      <c r="B3979" t="str">
        <f>MID(TB_CECO[[#This Row],[TRABAJO]],1,SEARCH(",",TB_CECO[[#This Row],[TRABAJO]],1)-1)</f>
        <v>Ven 013 (Ch 107)</v>
      </c>
      <c r="C39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 013 (Ch 107),SOSTENIMIENTO</v>
      </c>
      <c r="D39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79" s="47" t="s">
        <v>7882</v>
      </c>
      <c r="G3979" t="s">
        <v>7883</v>
      </c>
      <c r="H39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80" spans="1:8" ht="15" customHeight="1" x14ac:dyDescent="0.25">
      <c r="A3980" t="str">
        <f>MID(TB_CECO[[#This Row],[CECO_T]],1,5)</f>
        <v>4E916</v>
      </c>
      <c r="B3980" t="str">
        <f>MID(TB_CECO[[#This Row],[TRABAJO]],1,SEARCH(",",TB_CECO[[#This Row],[TRABAJO]],1)-1)</f>
        <v>Ven 014 (Tj 117 SW)</v>
      </c>
      <c r="C39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014 (Tj 117 SW),SUMINISTROS</v>
      </c>
      <c r="D39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80" s="47" t="s">
        <v>7884</v>
      </c>
      <c r="G3980" t="s">
        <v>7885</v>
      </c>
      <c r="H39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81" spans="1:8" ht="15" customHeight="1" x14ac:dyDescent="0.25">
      <c r="A3981" t="str">
        <f>MID(TB_CECO[[#This Row],[CECO_T]],1,5)</f>
        <v>4E916</v>
      </c>
      <c r="B3981" t="str">
        <f>MID(TB_CECO[[#This Row],[TRABAJO]],1,SEARCH(",",TB_CECO[[#This Row],[TRABAJO]],1)-1)</f>
        <v>Ven 014 (Tj 117 SW)</v>
      </c>
      <c r="C39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014 (Tj 117 SW),SOSTENIMIENTO</v>
      </c>
      <c r="D39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81" s="47" t="s">
        <v>7886</v>
      </c>
      <c r="G3981" t="s">
        <v>7887</v>
      </c>
      <c r="H39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82" spans="1:8" ht="15" customHeight="1" x14ac:dyDescent="0.25">
      <c r="A3982" t="str">
        <f>MID(TB_CECO[[#This Row],[CECO_T]],1,5)</f>
        <v>4E916</v>
      </c>
      <c r="B3982" t="str">
        <f>MID(TB_CECO[[#This Row],[TRABAJO]],1,SEARCH(",",TB_CECO[[#This Row],[TRABAJO]],1)-1)</f>
        <v>Ven 014 (Tj 117 SW)</v>
      </c>
      <c r="C39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014 (Tj 117 SW),SERVICIO</v>
      </c>
      <c r="D39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82" s="47" t="s">
        <v>7888</v>
      </c>
      <c r="G3982" t="s">
        <v>7889</v>
      </c>
      <c r="H39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83" spans="1:8" ht="15" customHeight="1" x14ac:dyDescent="0.25">
      <c r="A3983" t="str">
        <f>MID(TB_CECO[[#This Row],[CECO_T]],1,5)</f>
        <v>4E916</v>
      </c>
      <c r="B3983" t="str">
        <f>MID(TB_CECO[[#This Row],[TRABAJO]],1,SEARCH(",",TB_CECO[[#This Row],[TRABAJO]],1)-1)</f>
        <v>Ven 014 (Tj 117 SW)</v>
      </c>
      <c r="C39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014 (Tj 117 SW),REHABILITACION</v>
      </c>
      <c r="D39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83" s="47" t="s">
        <v>7890</v>
      </c>
      <c r="G3983" t="s">
        <v>7891</v>
      </c>
      <c r="H39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84" spans="1:8" ht="15" customHeight="1" x14ac:dyDescent="0.25">
      <c r="A3984" t="str">
        <f>MID(TB_CECO[[#This Row],[CECO_T]],1,5)</f>
        <v>4E917</v>
      </c>
      <c r="B3984" t="str">
        <f>MID(TB_CECO[[#This Row],[TRABAJO]],1,SEARCH(",",TB_CECO[[#This Row],[TRABAJO]],1)-1)</f>
        <v>Ven 015 (Tj 066 SW)</v>
      </c>
      <c r="C39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015 (Tj 066 SW),SUMINISTROS</v>
      </c>
      <c r="D39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84" s="47" t="s">
        <v>7892</v>
      </c>
      <c r="G3984" t="s">
        <v>7893</v>
      </c>
      <c r="H39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85" spans="1:8" ht="15" customHeight="1" x14ac:dyDescent="0.25">
      <c r="A3985" t="str">
        <f>MID(TB_CECO[[#This Row],[CECO_T]],1,5)</f>
        <v>4E917</v>
      </c>
      <c r="B3985" t="str">
        <f>MID(TB_CECO[[#This Row],[TRABAJO]],1,SEARCH(",",TB_CECO[[#This Row],[TRABAJO]],1)-1)</f>
        <v>Ven 015 (Tj 066 SW)</v>
      </c>
      <c r="C39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015 (Tj 066 SW),SOSTENIMIENTO</v>
      </c>
      <c r="D39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85" s="47" t="s">
        <v>7894</v>
      </c>
      <c r="G3985" t="s">
        <v>7895</v>
      </c>
      <c r="H39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86" spans="1:8" ht="15" customHeight="1" x14ac:dyDescent="0.25">
      <c r="A3986" t="str">
        <f>MID(TB_CECO[[#This Row],[CECO_T]],1,5)</f>
        <v>4E917</v>
      </c>
      <c r="B3986" t="str">
        <f>MID(TB_CECO[[#This Row],[TRABAJO]],1,SEARCH(",",TB_CECO[[#This Row],[TRABAJO]],1)-1)</f>
        <v>Ven 015 (Tj 066 SW)</v>
      </c>
      <c r="C39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015 (Tj 066 SW),SERVICIO</v>
      </c>
      <c r="D39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86" s="47" t="s">
        <v>7896</v>
      </c>
      <c r="G3986" t="s">
        <v>7897</v>
      </c>
      <c r="H39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87" spans="1:8" ht="15" customHeight="1" x14ac:dyDescent="0.25">
      <c r="A3987" t="str">
        <f>MID(TB_CECO[[#This Row],[CECO_T]],1,5)</f>
        <v>4E917</v>
      </c>
      <c r="B3987" t="str">
        <f>MID(TB_CECO[[#This Row],[TRABAJO]],1,SEARCH(",",TB_CECO[[#This Row],[TRABAJO]],1)-1)</f>
        <v>Ven 015 (Tj 066 SW)</v>
      </c>
      <c r="C39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015 (Tj 066 SW),REHABILITACION</v>
      </c>
      <c r="D39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87" s="47" t="s">
        <v>7898</v>
      </c>
      <c r="G3987" t="s">
        <v>7899</v>
      </c>
      <c r="H39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88" spans="1:8" ht="15" customHeight="1" x14ac:dyDescent="0.25">
      <c r="A3988" t="str">
        <f>MID(TB_CECO[[#This Row],[CECO_T]],1,5)</f>
        <v>4E920</v>
      </c>
      <c r="B3988" t="str">
        <f>MID(TB_CECO[[#This Row],[TRABAJO]],1,SEARCH(",",TB_CECO[[#This Row],[TRABAJO]],1)-1)</f>
        <v>Ven 016 (Tj 066 SW)</v>
      </c>
      <c r="C39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016 (Tj 066 SW),SUMINISTROS</v>
      </c>
      <c r="D39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88" s="47" t="s">
        <v>7900</v>
      </c>
      <c r="G3988" t="s">
        <v>7901</v>
      </c>
      <c r="H39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89" spans="1:8" ht="15" customHeight="1" x14ac:dyDescent="0.25">
      <c r="A3989" t="str">
        <f>MID(TB_CECO[[#This Row],[CECO_T]],1,5)</f>
        <v>4E920</v>
      </c>
      <c r="B3989" t="str">
        <f>MID(TB_CECO[[#This Row],[TRABAJO]],1,SEARCH(",",TB_CECO[[#This Row],[TRABAJO]],1)-1)</f>
        <v>Ven 016 (Tj 066 SW)</v>
      </c>
      <c r="C39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016 (Tj 066 SW),SOSTENIMIENTO</v>
      </c>
      <c r="D39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89" s="47" t="s">
        <v>7902</v>
      </c>
      <c r="G3989" t="s">
        <v>7903</v>
      </c>
      <c r="H39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90" spans="1:8" ht="15" customHeight="1" x14ac:dyDescent="0.25">
      <c r="A3990" t="str">
        <f>MID(TB_CECO[[#This Row],[CECO_T]],1,5)</f>
        <v>4E920</v>
      </c>
      <c r="B3990" t="str">
        <f>MID(TB_CECO[[#This Row],[TRABAJO]],1,SEARCH(",",TB_CECO[[#This Row],[TRABAJO]],1)-1)</f>
        <v>Ven 016 (Tj 066 SW)</v>
      </c>
      <c r="C39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016 (Tj 066 SW),SERVICIO</v>
      </c>
      <c r="D39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90" s="47" t="s">
        <v>7904</v>
      </c>
      <c r="G3990" t="s">
        <v>7905</v>
      </c>
      <c r="H39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91" spans="1:8" ht="15" customHeight="1" x14ac:dyDescent="0.25">
      <c r="A3991" t="str">
        <f>MID(TB_CECO[[#This Row],[CECO_T]],1,5)</f>
        <v>4E920</v>
      </c>
      <c r="B3991" t="str">
        <f>MID(TB_CECO[[#This Row],[TRABAJO]],1,SEARCH(",",TB_CECO[[#This Row],[TRABAJO]],1)-1)</f>
        <v>Ven 016 (Tj 066 SW)</v>
      </c>
      <c r="C39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016 (Tj 066 SW),REHABILITACION</v>
      </c>
      <c r="D39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91" s="47" t="s">
        <v>7906</v>
      </c>
      <c r="G3991" t="s">
        <v>7907</v>
      </c>
      <c r="H39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92" spans="1:8" ht="15" customHeight="1" x14ac:dyDescent="0.25">
      <c r="A3992" t="str">
        <f>MID(TB_CECO[[#This Row],[CECO_T]],1,5)</f>
        <v>4E921</v>
      </c>
      <c r="B3992" t="str">
        <f>MID(TB_CECO[[#This Row],[TRABAJO]],1,SEARCH(",",TB_CECO[[#This Row],[TRABAJO]],1)-1)</f>
        <v>Ven 017 (Tj 127 SW)</v>
      </c>
      <c r="C39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017 (Tj 127 SW),SUMINISTROS</v>
      </c>
      <c r="D39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92" s="47" t="s">
        <v>7908</v>
      </c>
      <c r="G3992" t="s">
        <v>7909</v>
      </c>
      <c r="H39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93" spans="1:8" ht="15" customHeight="1" x14ac:dyDescent="0.25">
      <c r="A3993" t="str">
        <f>MID(TB_CECO[[#This Row],[CECO_T]],1,5)</f>
        <v>4E921</v>
      </c>
      <c r="B3993" t="str">
        <f>MID(TB_CECO[[#This Row],[TRABAJO]],1,SEARCH(",",TB_CECO[[#This Row],[TRABAJO]],1)-1)</f>
        <v>Ven 017 (Tj 127 SW)</v>
      </c>
      <c r="C39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017 (Tj 127 SW),SOSTENIMIENTO</v>
      </c>
      <c r="D39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93" s="47" t="s">
        <v>7910</v>
      </c>
      <c r="G3993" t="s">
        <v>7911</v>
      </c>
      <c r="H39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94" spans="1:8" ht="15" customHeight="1" x14ac:dyDescent="0.25">
      <c r="A3994" t="str">
        <f>MID(TB_CECO[[#This Row],[CECO_T]],1,5)</f>
        <v>4E921</v>
      </c>
      <c r="B3994" t="str">
        <f>MID(TB_CECO[[#This Row],[TRABAJO]],1,SEARCH(",",TB_CECO[[#This Row],[TRABAJO]],1)-1)</f>
        <v>Ven 017 (Tj 127 SW)</v>
      </c>
      <c r="C39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017 (Tj 127 SW),SERVICIO</v>
      </c>
      <c r="D39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94" s="47" t="s">
        <v>7912</v>
      </c>
      <c r="G3994" t="s">
        <v>7913</v>
      </c>
      <c r="H39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95" spans="1:8" ht="15" customHeight="1" x14ac:dyDescent="0.25">
      <c r="A3995" t="str">
        <f>MID(TB_CECO[[#This Row],[CECO_T]],1,5)</f>
        <v>4E921</v>
      </c>
      <c r="B3995" t="str">
        <f>MID(TB_CECO[[#This Row],[TRABAJO]],1,SEARCH(",",TB_CECO[[#This Row],[TRABAJO]],1)-1)</f>
        <v>Ven 017 (Tj 127 SW)</v>
      </c>
      <c r="C39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017 (Tj 127 SW),REHABILITACION</v>
      </c>
      <c r="D39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95" s="47" t="s">
        <v>7914</v>
      </c>
      <c r="G3995" t="s">
        <v>7915</v>
      </c>
      <c r="H39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96" spans="1:8" ht="15" customHeight="1" x14ac:dyDescent="0.25">
      <c r="A3996" t="str">
        <f>MID(TB_CECO[[#This Row],[CECO_T]],1,5)</f>
        <v>4E922</v>
      </c>
      <c r="B3996" t="str">
        <f>MID(TB_CECO[[#This Row],[TRABAJO]],1,SEARCH(",",TB_CECO[[#This Row],[TRABAJO]],1)-1)</f>
        <v>Ven 018 (Tj 065 SW)</v>
      </c>
      <c r="C39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018 (Tj 065 SW),SUMINISTROS</v>
      </c>
      <c r="D39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96" s="47" t="s">
        <v>7916</v>
      </c>
      <c r="G3996" t="s">
        <v>7917</v>
      </c>
      <c r="H39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97" spans="1:8" ht="15" customHeight="1" x14ac:dyDescent="0.25">
      <c r="A3997" t="str">
        <f>MID(TB_CECO[[#This Row],[CECO_T]],1,5)</f>
        <v>4E922</v>
      </c>
      <c r="B3997" t="str">
        <f>MID(TB_CECO[[#This Row],[TRABAJO]],1,SEARCH(",",TB_CECO[[#This Row],[TRABAJO]],1)-1)</f>
        <v>Ven 018 (Tj 065 SW)</v>
      </c>
      <c r="C39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018 (Tj 065 SW),SOSTENIMIENTO</v>
      </c>
      <c r="D39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97" s="47" t="s">
        <v>7918</v>
      </c>
      <c r="G3997" t="s">
        <v>7919</v>
      </c>
      <c r="H39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98" spans="1:8" ht="15" customHeight="1" x14ac:dyDescent="0.25">
      <c r="A3998" t="str">
        <f>MID(TB_CECO[[#This Row],[CECO_T]],1,5)</f>
        <v>4E922</v>
      </c>
      <c r="B3998" t="str">
        <f>MID(TB_CECO[[#This Row],[TRABAJO]],1,SEARCH(",",TB_CECO[[#This Row],[TRABAJO]],1)-1)</f>
        <v>Ven 018 (Tj 065 SW)</v>
      </c>
      <c r="C39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018 (Tj 065 SW),SERVICIO</v>
      </c>
      <c r="D39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98" s="47" t="s">
        <v>7920</v>
      </c>
      <c r="G3998" t="s">
        <v>7921</v>
      </c>
      <c r="H39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3999" spans="1:8" ht="15" customHeight="1" x14ac:dyDescent="0.25">
      <c r="A3999" t="str">
        <f>MID(TB_CECO[[#This Row],[CECO_T]],1,5)</f>
        <v>4E922</v>
      </c>
      <c r="B3999" t="str">
        <f>MID(TB_CECO[[#This Row],[TRABAJO]],1,SEARCH(",",TB_CECO[[#This Row],[TRABAJO]],1)-1)</f>
        <v>Ven 018 (Tj 065 SW)</v>
      </c>
      <c r="C39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018 (Tj 065 SW),REHABILITACION</v>
      </c>
      <c r="D39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39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3999" s="47" t="s">
        <v>7922</v>
      </c>
      <c r="G3999" t="s">
        <v>7923</v>
      </c>
      <c r="H39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00" spans="1:8" ht="15" customHeight="1" x14ac:dyDescent="0.25">
      <c r="A4000" t="str">
        <f>MID(TB_CECO[[#This Row],[CECO_T]],1,5)</f>
        <v>4E923</v>
      </c>
      <c r="B4000" t="str">
        <f>MID(TB_CECO[[#This Row],[TRABAJO]],1,SEARCH(",",TB_CECO[[#This Row],[TRABAJO]],1)-1)</f>
        <v>Ven 019 (Tj 127 SW)</v>
      </c>
      <c r="C40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019 (Tj 127 SW),SUMINISTROS</v>
      </c>
      <c r="D40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00" s="47" t="s">
        <v>7924</v>
      </c>
      <c r="G4000" t="s">
        <v>7925</v>
      </c>
      <c r="H40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01" spans="1:8" ht="15" customHeight="1" x14ac:dyDescent="0.25">
      <c r="A4001" t="str">
        <f>MID(TB_CECO[[#This Row],[CECO_T]],1,5)</f>
        <v>4E923</v>
      </c>
      <c r="B4001" t="str">
        <f>MID(TB_CECO[[#This Row],[TRABAJO]],1,SEARCH(",",TB_CECO[[#This Row],[TRABAJO]],1)-1)</f>
        <v>Ven 019 (Tj 127 SW)</v>
      </c>
      <c r="C40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019 (Tj 127 SW),SOSTENIMIENTO</v>
      </c>
      <c r="D40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01" s="47" t="s">
        <v>7926</v>
      </c>
      <c r="G4001" t="s">
        <v>7927</v>
      </c>
      <c r="H40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02" spans="1:8" ht="15" customHeight="1" x14ac:dyDescent="0.25">
      <c r="A4002" t="str">
        <f>MID(TB_CECO[[#This Row],[CECO_T]],1,5)</f>
        <v>4E923</v>
      </c>
      <c r="B4002" t="str">
        <f>MID(TB_CECO[[#This Row],[TRABAJO]],1,SEARCH(",",TB_CECO[[#This Row],[TRABAJO]],1)-1)</f>
        <v>Ven 019 (Tj 127 SW)</v>
      </c>
      <c r="C40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019 (Tj 127 SW),SERVICIO</v>
      </c>
      <c r="D40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02" s="47" t="s">
        <v>7928</v>
      </c>
      <c r="G4002" t="s">
        <v>7929</v>
      </c>
      <c r="H40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03" spans="1:8" ht="15" customHeight="1" x14ac:dyDescent="0.25">
      <c r="A4003" t="str">
        <f>MID(TB_CECO[[#This Row],[CECO_T]],1,5)</f>
        <v>4E923</v>
      </c>
      <c r="B4003" t="str">
        <f>MID(TB_CECO[[#This Row],[TRABAJO]],1,SEARCH(",",TB_CECO[[#This Row],[TRABAJO]],1)-1)</f>
        <v>Ven 019 (Tj 127 SW)</v>
      </c>
      <c r="C40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019 (Tj 127 SW),REHABILITACION</v>
      </c>
      <c r="D40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03" s="47" t="s">
        <v>7930</v>
      </c>
      <c r="G4003" t="s">
        <v>7931</v>
      </c>
      <c r="H40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04" spans="1:8" ht="15" customHeight="1" x14ac:dyDescent="0.25">
      <c r="A4004" t="str">
        <f>MID(TB_CECO[[#This Row],[CECO_T]],1,5)</f>
        <v>4E924</v>
      </c>
      <c r="B4004" t="str">
        <f>MID(TB_CECO[[#This Row],[TRABAJO]],1,SEARCH(",",TB_CECO[[#This Row],[TRABAJO]],1)-1)</f>
        <v>Ven 020 (Tj 065 NE)</v>
      </c>
      <c r="C40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020 (Tj 065 NE),SUMINISTROS</v>
      </c>
      <c r="D40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04" s="47" t="s">
        <v>7932</v>
      </c>
      <c r="G4004" t="s">
        <v>7933</v>
      </c>
      <c r="H40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05" spans="1:8" ht="15" customHeight="1" x14ac:dyDescent="0.25">
      <c r="A4005" t="str">
        <f>MID(TB_CECO[[#This Row],[CECO_T]],1,5)</f>
        <v>4E924</v>
      </c>
      <c r="B4005" t="str">
        <f>MID(TB_CECO[[#This Row],[TRABAJO]],1,SEARCH(",",TB_CECO[[#This Row],[TRABAJO]],1)-1)</f>
        <v>Ven 020 (Tj 065 NE)</v>
      </c>
      <c r="C40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020 (Tj 065 NE),SOSTENIMIENTO</v>
      </c>
      <c r="D40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05" s="47" t="s">
        <v>7934</v>
      </c>
      <c r="G4005" t="s">
        <v>7935</v>
      </c>
      <c r="H40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06" spans="1:8" ht="15" customHeight="1" x14ac:dyDescent="0.25">
      <c r="A4006" t="str">
        <f>MID(TB_CECO[[#This Row],[CECO_T]],1,5)</f>
        <v>4E924</v>
      </c>
      <c r="B4006" t="str">
        <f>MID(TB_CECO[[#This Row],[TRABAJO]],1,SEARCH(",",TB_CECO[[#This Row],[TRABAJO]],1)-1)</f>
        <v>Ven 020 (Tj 065 NE)</v>
      </c>
      <c r="C40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020 (Tj 065 NE),SERVICIO</v>
      </c>
      <c r="D40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06" s="47" t="s">
        <v>7936</v>
      </c>
      <c r="G4006" t="s">
        <v>7937</v>
      </c>
      <c r="H40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07" spans="1:8" ht="15" customHeight="1" x14ac:dyDescent="0.25">
      <c r="A4007" t="str">
        <f>MID(TB_CECO[[#This Row],[CECO_T]],1,5)</f>
        <v>4E924</v>
      </c>
      <c r="B4007" t="str">
        <f>MID(TB_CECO[[#This Row],[TRABAJO]],1,SEARCH(",",TB_CECO[[#This Row],[TRABAJO]],1)-1)</f>
        <v>Ven 020 (Tj 065 NE)</v>
      </c>
      <c r="C40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020 (Tj 065 NE),REHABILITACION</v>
      </c>
      <c r="D40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07" s="47" t="s">
        <v>7938</v>
      </c>
      <c r="G4007" t="s">
        <v>7939</v>
      </c>
      <c r="H40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08" spans="1:8" ht="15" customHeight="1" x14ac:dyDescent="0.25">
      <c r="A4008" t="str">
        <f>MID(TB_CECO[[#This Row],[CECO_T]],1,5)</f>
        <v>4E926</v>
      </c>
      <c r="B4008" t="str">
        <f>MID(TB_CECO[[#This Row],[TRABAJO]],1,SEARCH(",",TB_CECO[[#This Row],[TRABAJO]],1)-1)</f>
        <v>Ven 021 (Tj 117 SW)</v>
      </c>
      <c r="C40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021 (Tj 117 SW),SUMINISTROS</v>
      </c>
      <c r="D40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08" s="47" t="s">
        <v>7940</v>
      </c>
      <c r="G4008" t="s">
        <v>7941</v>
      </c>
      <c r="H40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09" spans="1:8" ht="15" customHeight="1" x14ac:dyDescent="0.25">
      <c r="A4009" t="str">
        <f>MID(TB_CECO[[#This Row],[CECO_T]],1,5)</f>
        <v>4E926</v>
      </c>
      <c r="B4009" t="str">
        <f>MID(TB_CECO[[#This Row],[TRABAJO]],1,SEARCH(",",TB_CECO[[#This Row],[TRABAJO]],1)-1)</f>
        <v>Ven 021 (Tj 117 SW)</v>
      </c>
      <c r="C40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021 (Tj 117 SW),SOSTENIMIENTO</v>
      </c>
      <c r="D40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09" s="47" t="s">
        <v>7942</v>
      </c>
      <c r="G4009" t="s">
        <v>7943</v>
      </c>
      <c r="H40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10" spans="1:8" ht="15" customHeight="1" x14ac:dyDescent="0.25">
      <c r="A4010" t="str">
        <f>MID(TB_CECO[[#This Row],[CECO_T]],1,5)</f>
        <v>4E926</v>
      </c>
      <c r="B4010" t="str">
        <f>MID(TB_CECO[[#This Row],[TRABAJO]],1,SEARCH(",",TB_CECO[[#This Row],[TRABAJO]],1)-1)</f>
        <v>Ven 021 (Tj 117 SW)</v>
      </c>
      <c r="C40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021 (Tj 117 SW),SERVICIO</v>
      </c>
      <c r="D40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10" s="47" t="s">
        <v>7944</v>
      </c>
      <c r="G4010" t="s">
        <v>7945</v>
      </c>
      <c r="H40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11" spans="1:8" ht="15" customHeight="1" x14ac:dyDescent="0.25">
      <c r="A4011" t="str">
        <f>MID(TB_CECO[[#This Row],[CECO_T]],1,5)</f>
        <v>4E926</v>
      </c>
      <c r="B4011" t="str">
        <f>MID(TB_CECO[[#This Row],[TRABAJO]],1,SEARCH(",",TB_CECO[[#This Row],[TRABAJO]],1)-1)</f>
        <v>Ven 021 (Tj 117 SW)</v>
      </c>
      <c r="C40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021 (Tj 117 SW),REHABILITACION</v>
      </c>
      <c r="D40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11" s="47" t="s">
        <v>7946</v>
      </c>
      <c r="G4011" t="s">
        <v>7947</v>
      </c>
      <c r="H40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12" spans="1:8" ht="15" customHeight="1" x14ac:dyDescent="0.25">
      <c r="A4012" t="str">
        <f>MID(TB_CECO[[#This Row],[CECO_T]],1,5)</f>
        <v>4E927</v>
      </c>
      <c r="B4012" t="str">
        <f>MID(TB_CECO[[#This Row],[TRABAJO]],1,SEARCH(",",TB_CECO[[#This Row],[TRABAJO]],1)-1)</f>
        <v>Ven 022 (Tj 081 SW)</v>
      </c>
      <c r="C40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022 (Tj 081 SW),SUMINISTROS</v>
      </c>
      <c r="D40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12" s="47" t="s">
        <v>7948</v>
      </c>
      <c r="G4012" t="s">
        <v>7949</v>
      </c>
      <c r="H40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13" spans="1:8" ht="15" customHeight="1" x14ac:dyDescent="0.25">
      <c r="A4013" t="str">
        <f>MID(TB_CECO[[#This Row],[CECO_T]],1,5)</f>
        <v>4E927</v>
      </c>
      <c r="B4013" t="str">
        <f>MID(TB_CECO[[#This Row],[TRABAJO]],1,SEARCH(",",TB_CECO[[#This Row],[TRABAJO]],1)-1)</f>
        <v>Ven 022 (Tj 081 SW)</v>
      </c>
      <c r="C40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022 (Tj 081 SW),SOSTENIMIENTO</v>
      </c>
      <c r="D40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13" s="47" t="s">
        <v>7950</v>
      </c>
      <c r="G4013" t="s">
        <v>7951</v>
      </c>
      <c r="H40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14" spans="1:8" ht="15" customHeight="1" x14ac:dyDescent="0.25">
      <c r="A4014" t="str">
        <f>MID(TB_CECO[[#This Row],[CECO_T]],1,5)</f>
        <v>4E927</v>
      </c>
      <c r="B4014" t="str">
        <f>MID(TB_CECO[[#This Row],[TRABAJO]],1,SEARCH(",",TB_CECO[[#This Row],[TRABAJO]],1)-1)</f>
        <v>Ven 022 (Tj 081 SW)</v>
      </c>
      <c r="C40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022 (Tj 081 SW),SERVICIO</v>
      </c>
      <c r="D40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14" s="47" t="s">
        <v>7952</v>
      </c>
      <c r="G4014" t="s">
        <v>7953</v>
      </c>
      <c r="H40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15" spans="1:8" ht="15" customHeight="1" x14ac:dyDescent="0.25">
      <c r="A4015" t="str">
        <f>MID(TB_CECO[[#This Row],[CECO_T]],1,5)</f>
        <v>4E927</v>
      </c>
      <c r="B4015" t="str">
        <f>MID(TB_CECO[[#This Row],[TRABAJO]],1,SEARCH(",",TB_CECO[[#This Row],[TRABAJO]],1)-1)</f>
        <v>Ven 022 (Tj 081 SW)</v>
      </c>
      <c r="C40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022 (Tj 081 SW),REHABILITACION</v>
      </c>
      <c r="D40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15" s="47" t="s">
        <v>7954</v>
      </c>
      <c r="G4015" t="s">
        <v>7955</v>
      </c>
      <c r="H40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16" spans="1:8" ht="15" customHeight="1" x14ac:dyDescent="0.25">
      <c r="A4016" t="str">
        <f>MID(TB_CECO[[#This Row],[CECO_T]],1,5)</f>
        <v>4E928</v>
      </c>
      <c r="B4016" t="str">
        <f>MID(TB_CECO[[#This Row],[TRABAJO]],1,SEARCH(",",TB_CECO[[#This Row],[TRABAJO]],1)-1)</f>
        <v>Ven 023 (Tj 097 NE)</v>
      </c>
      <c r="C40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023 (Tj 097 NE),SUMINISTROS</v>
      </c>
      <c r="D40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16" s="47" t="s">
        <v>7956</v>
      </c>
      <c r="G4016" t="s">
        <v>7957</v>
      </c>
      <c r="H40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17" spans="1:8" ht="15" customHeight="1" x14ac:dyDescent="0.25">
      <c r="A4017" t="str">
        <f>MID(TB_CECO[[#This Row],[CECO_T]],1,5)</f>
        <v>4E928</v>
      </c>
      <c r="B4017" t="str">
        <f>MID(TB_CECO[[#This Row],[TRABAJO]],1,SEARCH(",",TB_CECO[[#This Row],[TRABAJO]],1)-1)</f>
        <v>Ven 023 (Tj 097 NE)</v>
      </c>
      <c r="C40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023 (Tj 097 NE),SOSTENIMIENTO</v>
      </c>
      <c r="D40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17" s="47" t="s">
        <v>7958</v>
      </c>
      <c r="G4017" t="s">
        <v>7959</v>
      </c>
      <c r="H40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18" spans="1:8" ht="15" customHeight="1" x14ac:dyDescent="0.25">
      <c r="A4018" t="str">
        <f>MID(TB_CECO[[#This Row],[CECO_T]],1,5)</f>
        <v>4E928</v>
      </c>
      <c r="B4018" t="str">
        <f>MID(TB_CECO[[#This Row],[TRABAJO]],1,SEARCH(",",TB_CECO[[#This Row],[TRABAJO]],1)-1)</f>
        <v>Ven 023 (Tj 097 NE)</v>
      </c>
      <c r="C40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023 (Tj 097 NE),SERVICIO</v>
      </c>
      <c r="D40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18" s="47" t="s">
        <v>7960</v>
      </c>
      <c r="G4018" t="s">
        <v>7961</v>
      </c>
      <c r="H40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19" spans="1:8" ht="15" customHeight="1" x14ac:dyDescent="0.25">
      <c r="A4019" t="str">
        <f>MID(TB_CECO[[#This Row],[CECO_T]],1,5)</f>
        <v>4E928</v>
      </c>
      <c r="B4019" t="str">
        <f>MID(TB_CECO[[#This Row],[TRABAJO]],1,SEARCH(",",TB_CECO[[#This Row],[TRABAJO]],1)-1)</f>
        <v>Ven 023 (Tj 097 NE)</v>
      </c>
      <c r="C40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023 (Tj 097 NE),REHABILITACION</v>
      </c>
      <c r="D40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19" s="47" t="s">
        <v>7962</v>
      </c>
      <c r="G4019" t="s">
        <v>7963</v>
      </c>
      <c r="H40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20" spans="1:8" ht="15" customHeight="1" x14ac:dyDescent="0.25">
      <c r="A4020" t="str">
        <f>MID(TB_CECO[[#This Row],[CECO_T]],1,5)</f>
        <v>4E931</v>
      </c>
      <c r="B4020" t="str">
        <f>MID(TB_CECO[[#This Row],[TRABAJO]],1,SEARCH(",",TB_CECO[[#This Row],[TRABAJO]],1)-1)</f>
        <v>Ven 026 (Tj 055 SW)</v>
      </c>
      <c r="C40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026 (Tj 055 SW),SUMINISTROS</v>
      </c>
      <c r="D40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20" s="47" t="s">
        <v>7964</v>
      </c>
      <c r="G4020" t="s">
        <v>7965</v>
      </c>
      <c r="H40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21" spans="1:8" ht="15" customHeight="1" x14ac:dyDescent="0.25">
      <c r="A4021" t="str">
        <f>MID(TB_CECO[[#This Row],[CECO_T]],1,5)</f>
        <v>4E931</v>
      </c>
      <c r="B4021" t="str">
        <f>MID(TB_CECO[[#This Row],[TRABAJO]],1,SEARCH(",",TB_CECO[[#This Row],[TRABAJO]],1)-1)</f>
        <v>Ven 026 (Tj 055 SW)</v>
      </c>
      <c r="C40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026 (Tj 055 SW),SOSTENIMIENTO</v>
      </c>
      <c r="D40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21" s="47" t="s">
        <v>7966</v>
      </c>
      <c r="G4021" t="s">
        <v>7967</v>
      </c>
      <c r="H40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22" spans="1:8" ht="15" customHeight="1" x14ac:dyDescent="0.25">
      <c r="A4022" t="str">
        <f>MID(TB_CECO[[#This Row],[CECO_T]],1,5)</f>
        <v>4E931</v>
      </c>
      <c r="B4022" t="str">
        <f>MID(TB_CECO[[#This Row],[TRABAJO]],1,SEARCH(",",TB_CECO[[#This Row],[TRABAJO]],1)-1)</f>
        <v>Ven 026 (Tj 055 SW)</v>
      </c>
      <c r="C40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026 (Tj 055 SW),SERVICIO</v>
      </c>
      <c r="D40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22" s="47" t="s">
        <v>7968</v>
      </c>
      <c r="G4022" t="s">
        <v>7969</v>
      </c>
      <c r="H40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23" spans="1:8" ht="15" customHeight="1" x14ac:dyDescent="0.25">
      <c r="A4023" t="str">
        <f>MID(TB_CECO[[#This Row],[CECO_T]],1,5)</f>
        <v>4E931</v>
      </c>
      <c r="B4023" t="str">
        <f>MID(TB_CECO[[#This Row],[TRABAJO]],1,SEARCH(",",TB_CECO[[#This Row],[TRABAJO]],1)-1)</f>
        <v>Ven 026 (Tj 055 SW)</v>
      </c>
      <c r="C40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026 (Tj 055 SW),REHABILITACION</v>
      </c>
      <c r="D40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23" s="47" t="s">
        <v>7970</v>
      </c>
      <c r="G4023" t="s">
        <v>7971</v>
      </c>
      <c r="H40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24" spans="1:8" ht="15" customHeight="1" x14ac:dyDescent="0.25">
      <c r="A4024" t="str">
        <f>MID(TB_CECO[[#This Row],[CECO_T]],1,5)</f>
        <v>4E932</v>
      </c>
      <c r="B4024" t="str">
        <f>MID(TB_CECO[[#This Row],[TRABAJO]],1,SEARCH(",",TB_CECO[[#This Row],[TRABAJO]],1)-1)</f>
        <v>Ven 027 (Tj 055 SW)</v>
      </c>
      <c r="C40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027 (Tj 055 SW),SUMINISTROS</v>
      </c>
      <c r="D40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24" s="47" t="s">
        <v>7972</v>
      </c>
      <c r="G4024" t="s">
        <v>7973</v>
      </c>
      <c r="H40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25" spans="1:8" ht="15" customHeight="1" x14ac:dyDescent="0.25">
      <c r="A4025" t="str">
        <f>MID(TB_CECO[[#This Row],[CECO_T]],1,5)</f>
        <v>4E932</v>
      </c>
      <c r="B4025" t="str">
        <f>MID(TB_CECO[[#This Row],[TRABAJO]],1,SEARCH(",",TB_CECO[[#This Row],[TRABAJO]],1)-1)</f>
        <v>Ven 027 (Tj 055 SW)</v>
      </c>
      <c r="C40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027 (Tj 055 SW),SOSTENIMIENTO</v>
      </c>
      <c r="D40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25" s="47" t="s">
        <v>7974</v>
      </c>
      <c r="G4025" t="s">
        <v>7975</v>
      </c>
      <c r="H40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26" spans="1:8" ht="15" customHeight="1" x14ac:dyDescent="0.25">
      <c r="A4026" t="str">
        <f>MID(TB_CECO[[#This Row],[CECO_T]],1,5)</f>
        <v>4E932</v>
      </c>
      <c r="B4026" t="str">
        <f>MID(TB_CECO[[#This Row],[TRABAJO]],1,SEARCH(",",TB_CECO[[#This Row],[TRABAJO]],1)-1)</f>
        <v>Ven 027 (Tj 055 SW)</v>
      </c>
      <c r="C40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027 (Tj 055 SW),SERVICIO</v>
      </c>
      <c r="D40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26" s="47" t="s">
        <v>7976</v>
      </c>
      <c r="G4026" t="s">
        <v>7977</v>
      </c>
      <c r="H40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27" spans="1:8" ht="15" customHeight="1" x14ac:dyDescent="0.25">
      <c r="A4027" t="str">
        <f>MID(TB_CECO[[#This Row],[CECO_T]],1,5)</f>
        <v>4E932</v>
      </c>
      <c r="B4027" t="str">
        <f>MID(TB_CECO[[#This Row],[TRABAJO]],1,SEARCH(",",TB_CECO[[#This Row],[TRABAJO]],1)-1)</f>
        <v>Ven 027 (Tj 055 SW)</v>
      </c>
      <c r="C40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027 (Tj 055 SW),REHABILITACION</v>
      </c>
      <c r="D40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27" s="47" t="s">
        <v>7978</v>
      </c>
      <c r="G4027" t="s">
        <v>7979</v>
      </c>
      <c r="H40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28" spans="1:8" ht="15" customHeight="1" x14ac:dyDescent="0.25">
      <c r="A4028" t="str">
        <f>MID(TB_CECO[[#This Row],[CECO_T]],1,5)</f>
        <v>4E933</v>
      </c>
      <c r="B4028" t="str">
        <f>MID(TB_CECO[[#This Row],[TRABAJO]],1,SEARCH(",",TB_CECO[[#This Row],[TRABAJO]],1)-1)</f>
        <v>Ven 028 (Tj 087 NE)</v>
      </c>
      <c r="C40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028 (Tj 087 NE),SUMINISTROS</v>
      </c>
      <c r="D40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28" s="47" t="s">
        <v>7980</v>
      </c>
      <c r="G4028" t="s">
        <v>7981</v>
      </c>
      <c r="H40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29" spans="1:8" ht="15" customHeight="1" x14ac:dyDescent="0.25">
      <c r="A4029" t="str">
        <f>MID(TB_CECO[[#This Row],[CECO_T]],1,5)</f>
        <v>4E933</v>
      </c>
      <c r="B4029" t="str">
        <f>MID(TB_CECO[[#This Row],[TRABAJO]],1,SEARCH(",",TB_CECO[[#This Row],[TRABAJO]],1)-1)</f>
        <v>Ven 028 (Tj 087 NE)</v>
      </c>
      <c r="C40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028 (Tj 087 NE),SOSTENIMIENTO</v>
      </c>
      <c r="D40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29" s="47" t="s">
        <v>7982</v>
      </c>
      <c r="G4029" t="s">
        <v>7983</v>
      </c>
      <c r="H40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30" spans="1:8" ht="15" customHeight="1" x14ac:dyDescent="0.25">
      <c r="A4030" t="str">
        <f>MID(TB_CECO[[#This Row],[CECO_T]],1,5)</f>
        <v>4E933</v>
      </c>
      <c r="B4030" t="str">
        <f>MID(TB_CECO[[#This Row],[TRABAJO]],1,SEARCH(",",TB_CECO[[#This Row],[TRABAJO]],1)-1)</f>
        <v>Ven 028 (Tj 087 NE)</v>
      </c>
      <c r="C40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028 (Tj 087 NE),SERVICIO</v>
      </c>
      <c r="D40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30" s="47" t="s">
        <v>7984</v>
      </c>
      <c r="G4030" t="s">
        <v>7985</v>
      </c>
      <c r="H40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31" spans="1:8" ht="15" customHeight="1" x14ac:dyDescent="0.25">
      <c r="A4031" t="str">
        <f>MID(TB_CECO[[#This Row],[CECO_T]],1,5)</f>
        <v>4E933</v>
      </c>
      <c r="B4031" t="str">
        <f>MID(TB_CECO[[#This Row],[TRABAJO]],1,SEARCH(",",TB_CECO[[#This Row],[TRABAJO]],1)-1)</f>
        <v>Ven 028 (Tj 087 NE)</v>
      </c>
      <c r="C40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028 (Tj 087 NE),REHABILITACION</v>
      </c>
      <c r="D40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31" s="47" t="s">
        <v>7986</v>
      </c>
      <c r="G4031" t="s">
        <v>7987</v>
      </c>
      <c r="H40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32" spans="1:8" ht="15" customHeight="1" x14ac:dyDescent="0.25">
      <c r="A4032" t="str">
        <f>MID(TB_CECO[[#This Row],[CECO_T]],1,5)</f>
        <v>4EB02</v>
      </c>
      <c r="B4032" t="str">
        <f>MID(TB_CECO[[#This Row],[TRABAJO]],1,SEARCH(",",TB_CECO[[#This Row],[TRABAJO]],1)-1)</f>
        <v>Hp 004 ( Tj 117 NE )</v>
      </c>
      <c r="C40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004 ( Tj 117 NE ),SUMINISTROS</v>
      </c>
      <c r="D40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32" s="47" t="s">
        <v>7988</v>
      </c>
      <c r="G4032" t="s">
        <v>7989</v>
      </c>
      <c r="H40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33" spans="1:8" ht="15" customHeight="1" x14ac:dyDescent="0.25">
      <c r="A4033" t="str">
        <f>MID(TB_CECO[[#This Row],[CECO_T]],1,5)</f>
        <v>4EB03</v>
      </c>
      <c r="B4033" t="str">
        <f>MID(TB_CECO[[#This Row],[TRABAJO]],1,SEARCH(",",TB_CECO[[#This Row],[TRABAJO]],1)-1)</f>
        <v>Hp 005 ( Tj 117 NE )</v>
      </c>
      <c r="C40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005 ( Tj 117 NE ),SUMINISTROS</v>
      </c>
      <c r="D40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33" s="47" t="s">
        <v>7990</v>
      </c>
      <c r="G4033" t="s">
        <v>7991</v>
      </c>
      <c r="H40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34" spans="1:8" ht="15" customHeight="1" x14ac:dyDescent="0.25">
      <c r="A4034" t="str">
        <f>MID(TB_CECO[[#This Row],[CECO_T]],1,5)</f>
        <v>4EB04</v>
      </c>
      <c r="B4034" t="str">
        <f>MID(TB_CECO[[#This Row],[TRABAJO]],1,SEARCH(",",TB_CECO[[#This Row],[TRABAJO]],1)-1)</f>
        <v>Hp 002 ( Tj 117 NE )</v>
      </c>
      <c r="C40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002 ( Tj 117 NE ),SUMINISTROS</v>
      </c>
      <c r="D40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34" s="47" t="s">
        <v>7992</v>
      </c>
      <c r="G4034" t="s">
        <v>7993</v>
      </c>
      <c r="H40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35" spans="1:8" ht="15" customHeight="1" x14ac:dyDescent="0.25">
      <c r="A4035" t="str">
        <f>MID(TB_CECO[[#This Row],[CECO_T]],1,5)</f>
        <v>4EB05</v>
      </c>
      <c r="B4035" t="str">
        <f>MID(TB_CECO[[#This Row],[TRABAJO]],1,SEARCH(",",TB_CECO[[#This Row],[TRABAJO]],1)-1)</f>
        <v>Hp 006 (Tj 117 NE)</v>
      </c>
      <c r="C40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006 (Tj 117 NE),SUMINISTROS</v>
      </c>
      <c r="D40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35" s="47" t="s">
        <v>7994</v>
      </c>
      <c r="G4035" t="s">
        <v>7995</v>
      </c>
      <c r="H40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36" spans="1:8" ht="15" customHeight="1" x14ac:dyDescent="0.25">
      <c r="A4036" t="str">
        <f>MID(TB_CECO[[#This Row],[CECO_T]],1,5)</f>
        <v>4EB05</v>
      </c>
      <c r="B4036" t="str">
        <f>MID(TB_CECO[[#This Row],[TRABAJO]],1,SEARCH(",",TB_CECO[[#This Row],[TRABAJO]],1)-1)</f>
        <v>Hp 006 (Tj 117 NE)</v>
      </c>
      <c r="C40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006 (Tj 117 NE),SOSTENIMIENTO</v>
      </c>
      <c r="D40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36" s="47" t="s">
        <v>7996</v>
      </c>
      <c r="G4036" t="s">
        <v>7997</v>
      </c>
      <c r="H40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37" spans="1:8" ht="15" customHeight="1" x14ac:dyDescent="0.25">
      <c r="A4037" t="str">
        <f>MID(TB_CECO[[#This Row],[CECO_T]],1,5)</f>
        <v>4EB05</v>
      </c>
      <c r="B4037" t="str">
        <f>MID(TB_CECO[[#This Row],[TRABAJO]],1,SEARCH(",",TB_CECO[[#This Row],[TRABAJO]],1)-1)</f>
        <v>Hp 006 (Tj 117 NE)</v>
      </c>
      <c r="C40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006 (Tj 117 NE),SERVICIO</v>
      </c>
      <c r="D40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37" s="47" t="s">
        <v>7998</v>
      </c>
      <c r="G4037" t="s">
        <v>7999</v>
      </c>
      <c r="H40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38" spans="1:8" ht="15" customHeight="1" x14ac:dyDescent="0.25">
      <c r="A4038" t="str">
        <f>MID(TB_CECO[[#This Row],[CECO_T]],1,5)</f>
        <v>4EB05</v>
      </c>
      <c r="B4038" t="str">
        <f>MID(TB_CECO[[#This Row],[TRABAJO]],1,SEARCH(",",TB_CECO[[#This Row],[TRABAJO]],1)-1)</f>
        <v>Hp 006 (Tj 117 NE)</v>
      </c>
      <c r="C40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006 (Tj 117 NE),REHABILITACION</v>
      </c>
      <c r="D40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38" s="47" t="s">
        <v>8000</v>
      </c>
      <c r="G4038" t="s">
        <v>8001</v>
      </c>
      <c r="H40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39" spans="1:8" ht="15" customHeight="1" x14ac:dyDescent="0.25">
      <c r="A4039" t="str">
        <f>MID(TB_CECO[[#This Row],[CECO_T]],1,5)</f>
        <v>4EB06</v>
      </c>
      <c r="B4039" t="str">
        <f>MID(TB_CECO[[#This Row],[TRABAJO]],1,SEARCH(",",TB_CECO[[#This Row],[TRABAJO]],1)-1)</f>
        <v>Hp 007 (Tj 066 NE)</v>
      </c>
      <c r="C40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007 (Tj 066 NE),SUMINISTROS</v>
      </c>
      <c r="D40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39" s="47" t="s">
        <v>8002</v>
      </c>
      <c r="G4039" t="s">
        <v>8003</v>
      </c>
      <c r="H40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40" spans="1:8" ht="15" customHeight="1" x14ac:dyDescent="0.25">
      <c r="A4040" t="str">
        <f>MID(TB_CECO[[#This Row],[CECO_T]],1,5)</f>
        <v>4EB06</v>
      </c>
      <c r="B4040" t="str">
        <f>MID(TB_CECO[[#This Row],[TRABAJO]],1,SEARCH(",",TB_CECO[[#This Row],[TRABAJO]],1)-1)</f>
        <v>Hp 007 (Tj 066 NE)</v>
      </c>
      <c r="C40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007 (Tj 066 NE),SOSTENIMIENTO</v>
      </c>
      <c r="D40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40" s="47" t="s">
        <v>8004</v>
      </c>
      <c r="G4040" t="s">
        <v>8005</v>
      </c>
      <c r="H40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41" spans="1:8" ht="15" customHeight="1" x14ac:dyDescent="0.25">
      <c r="A4041" t="str">
        <f>MID(TB_CECO[[#This Row],[CECO_T]],1,5)</f>
        <v>4EB06</v>
      </c>
      <c r="B4041" t="str">
        <f>MID(TB_CECO[[#This Row],[TRABAJO]],1,SEARCH(",",TB_CECO[[#This Row],[TRABAJO]],1)-1)</f>
        <v>Hp 007 (Tj 066 NE)</v>
      </c>
      <c r="C40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007 (Tj 066 NE),SERVICIO</v>
      </c>
      <c r="D40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41" s="47" t="s">
        <v>8006</v>
      </c>
      <c r="G4041" t="s">
        <v>8007</v>
      </c>
      <c r="H40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42" spans="1:8" ht="15" customHeight="1" x14ac:dyDescent="0.25">
      <c r="A4042" t="str">
        <f>MID(TB_CECO[[#This Row],[CECO_T]],1,5)</f>
        <v>4EB06</v>
      </c>
      <c r="B4042" t="str">
        <f>MID(TB_CECO[[#This Row],[TRABAJO]],1,SEARCH(",",TB_CECO[[#This Row],[TRABAJO]],1)-1)</f>
        <v>Hp 007 (Tj 066 NE)</v>
      </c>
      <c r="C40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007 (Tj 066 NE),REHABILITACION</v>
      </c>
      <c r="D40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42" s="47" t="s">
        <v>8008</v>
      </c>
      <c r="G4042" t="s">
        <v>8009</v>
      </c>
      <c r="H40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43" spans="1:8" ht="15" customHeight="1" x14ac:dyDescent="0.25">
      <c r="A4043" t="str">
        <f>MID(TB_CECO[[#This Row],[CECO_T]],1,5)</f>
        <v>4EB07</v>
      </c>
      <c r="B4043" t="str">
        <f>MID(TB_CECO[[#This Row],[TRABAJO]],1,SEARCH(",",TB_CECO[[#This Row],[TRABAJO]],1)-1)</f>
        <v>Hp 008 (Tj 066 SW)</v>
      </c>
      <c r="C40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008 (Tj 066 SW),SUMINISTROS</v>
      </c>
      <c r="D40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43" s="47" t="s">
        <v>8010</v>
      </c>
      <c r="G4043" t="s">
        <v>8011</v>
      </c>
      <c r="H40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44" spans="1:8" ht="15" customHeight="1" x14ac:dyDescent="0.25">
      <c r="A4044" t="str">
        <f>MID(TB_CECO[[#This Row],[CECO_T]],1,5)</f>
        <v>4EB08</v>
      </c>
      <c r="B4044" t="str">
        <f>MID(TB_CECO[[#This Row],[TRABAJO]],1,SEARCH(",",TB_CECO[[#This Row],[TRABAJO]],1)-1)</f>
        <v>Hp 009 (Tj 117 NE)</v>
      </c>
      <c r="C40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009 (Tj 117 NE),SUMINISTROS</v>
      </c>
      <c r="D40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44" s="47" t="s">
        <v>8012</v>
      </c>
      <c r="G4044" t="s">
        <v>8013</v>
      </c>
      <c r="H40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45" spans="1:8" ht="15" customHeight="1" x14ac:dyDescent="0.25">
      <c r="A4045" t="str">
        <f>MID(TB_CECO[[#This Row],[CECO_T]],1,5)</f>
        <v>4EB08</v>
      </c>
      <c r="B4045" t="str">
        <f>MID(TB_CECO[[#This Row],[TRABAJO]],1,SEARCH(",",TB_CECO[[#This Row],[TRABAJO]],1)-1)</f>
        <v>Hp 009 (Tj 117 NE)</v>
      </c>
      <c r="C40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009 (Tj 117 NE),SOSTENIMIENTO</v>
      </c>
      <c r="D40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45" s="47" t="s">
        <v>8014</v>
      </c>
      <c r="G4045" t="s">
        <v>8015</v>
      </c>
      <c r="H40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46" spans="1:8" ht="15" customHeight="1" x14ac:dyDescent="0.25">
      <c r="A4046" t="str">
        <f>MID(TB_CECO[[#This Row],[CECO_T]],1,5)</f>
        <v>4EB08</v>
      </c>
      <c r="B4046" t="str">
        <f>MID(TB_CECO[[#This Row],[TRABAJO]],1,SEARCH(",",TB_CECO[[#This Row],[TRABAJO]],1)-1)</f>
        <v>Hp 009 (Tj 117 NE)</v>
      </c>
      <c r="C40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009 (Tj 117 NE),SERVICIO</v>
      </c>
      <c r="D40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46" s="47" t="s">
        <v>8016</v>
      </c>
      <c r="G4046" t="s">
        <v>8017</v>
      </c>
      <c r="H40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47" spans="1:8" ht="15" customHeight="1" x14ac:dyDescent="0.25">
      <c r="A4047" t="str">
        <f>MID(TB_CECO[[#This Row],[CECO_T]],1,5)</f>
        <v>4EB08</v>
      </c>
      <c r="B4047" t="str">
        <f>MID(TB_CECO[[#This Row],[TRABAJO]],1,SEARCH(",",TB_CECO[[#This Row],[TRABAJO]],1)-1)</f>
        <v>Hp 009 (Tj 117 NE)</v>
      </c>
      <c r="C40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009 (Tj 117 NE),REHABILITACION</v>
      </c>
      <c r="D40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47" s="47" t="s">
        <v>8018</v>
      </c>
      <c r="G4047" t="s">
        <v>8019</v>
      </c>
      <c r="H40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48" spans="1:8" ht="15" customHeight="1" x14ac:dyDescent="0.25">
      <c r="A4048" t="str">
        <f>MID(TB_CECO[[#This Row],[CECO_T]],1,5)</f>
        <v>4EB09</v>
      </c>
      <c r="B4048" t="str">
        <f>MID(TB_CECO[[#This Row],[TRABAJO]],1,SEARCH(",",TB_CECO[[#This Row],[TRABAJO]],1)-1)</f>
        <v>Hp 010 (Tj 066 NE)</v>
      </c>
      <c r="C40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010 (Tj 066 NE),SUMINISTROS</v>
      </c>
      <c r="D40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48" s="47" t="s">
        <v>8020</v>
      </c>
      <c r="G4048" t="s">
        <v>8021</v>
      </c>
      <c r="H40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49" spans="1:8" ht="15" customHeight="1" x14ac:dyDescent="0.25">
      <c r="A4049" t="str">
        <f>MID(TB_CECO[[#This Row],[CECO_T]],1,5)</f>
        <v>4EB09</v>
      </c>
      <c r="B4049" t="str">
        <f>MID(TB_CECO[[#This Row],[TRABAJO]],1,SEARCH(",",TB_CECO[[#This Row],[TRABAJO]],1)-1)</f>
        <v>Hp 010 (Tj 066 NE)</v>
      </c>
      <c r="C40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010 (Tj 066 NE),SOSTENIMIENTO</v>
      </c>
      <c r="D40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49" s="47" t="s">
        <v>8022</v>
      </c>
      <c r="G4049" t="s">
        <v>8023</v>
      </c>
      <c r="H40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50" spans="1:8" ht="15" customHeight="1" x14ac:dyDescent="0.25">
      <c r="A4050" t="str">
        <f>MID(TB_CECO[[#This Row],[CECO_T]],1,5)</f>
        <v>4EB09</v>
      </c>
      <c r="B4050" t="str">
        <f>MID(TB_CECO[[#This Row],[TRABAJO]],1,SEARCH(",",TB_CECO[[#This Row],[TRABAJO]],1)-1)</f>
        <v>Hp 010 (Tj 066 NE)</v>
      </c>
      <c r="C40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010 (Tj 066 NE),SERVICIO</v>
      </c>
      <c r="D40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50" s="47" t="s">
        <v>8024</v>
      </c>
      <c r="G4050" t="s">
        <v>8025</v>
      </c>
      <c r="H40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51" spans="1:8" ht="15" customHeight="1" x14ac:dyDescent="0.25">
      <c r="A4051" t="str">
        <f>MID(TB_CECO[[#This Row],[CECO_T]],1,5)</f>
        <v>4EB09</v>
      </c>
      <c r="B4051" t="str">
        <f>MID(TB_CECO[[#This Row],[TRABAJO]],1,SEARCH(",",TB_CECO[[#This Row],[TRABAJO]],1)-1)</f>
        <v>Hp 010 (Tj 066 NE)</v>
      </c>
      <c r="C40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010 (Tj 066 NE),REHABILITACION</v>
      </c>
      <c r="D40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51" s="47" t="s">
        <v>8026</v>
      </c>
      <c r="G4051" t="s">
        <v>8027</v>
      </c>
      <c r="H40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52" spans="1:8" ht="15" customHeight="1" x14ac:dyDescent="0.25">
      <c r="A4052" t="str">
        <f>MID(TB_CECO[[#This Row],[CECO_T]],1,5)</f>
        <v>4EB10</v>
      </c>
      <c r="B4052" t="str">
        <f>MID(TB_CECO[[#This Row],[TRABAJO]],1,SEARCH(",",TB_CECO[[#This Row],[TRABAJO]],1)-1)</f>
        <v>Hp 011 (Tj 066 NE)</v>
      </c>
      <c r="C40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011 (Tj 066 NE),SUMINISTROS</v>
      </c>
      <c r="D40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52" s="47" t="s">
        <v>8028</v>
      </c>
      <c r="G4052" t="s">
        <v>8029</v>
      </c>
      <c r="H40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53" spans="1:8" ht="15" customHeight="1" x14ac:dyDescent="0.25">
      <c r="A4053" t="str">
        <f>MID(TB_CECO[[#This Row],[CECO_T]],1,5)</f>
        <v>4EB10</v>
      </c>
      <c r="B4053" t="str">
        <f>MID(TB_CECO[[#This Row],[TRABAJO]],1,SEARCH(",",TB_CECO[[#This Row],[TRABAJO]],1)-1)</f>
        <v>Hp 011 (Tj 066 NE)</v>
      </c>
      <c r="C40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011 (Tj 066 NE),SOSTENIMIENTO</v>
      </c>
      <c r="D40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53" s="47" t="s">
        <v>8030</v>
      </c>
      <c r="G4053" t="s">
        <v>8031</v>
      </c>
      <c r="H40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54" spans="1:8" ht="15" customHeight="1" x14ac:dyDescent="0.25">
      <c r="A4054" t="str">
        <f>MID(TB_CECO[[#This Row],[CECO_T]],1,5)</f>
        <v>4EB10</v>
      </c>
      <c r="B4054" t="str">
        <f>MID(TB_CECO[[#This Row],[TRABAJO]],1,SEARCH(",",TB_CECO[[#This Row],[TRABAJO]],1)-1)</f>
        <v>Hp 011 (Tj 066 NE)</v>
      </c>
      <c r="C40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011 (Tj 066 NE),SERVICIO</v>
      </c>
      <c r="D40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54" s="47" t="s">
        <v>8032</v>
      </c>
      <c r="G4054" t="s">
        <v>8033</v>
      </c>
      <c r="H40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55" spans="1:8" ht="15" customHeight="1" x14ac:dyDescent="0.25">
      <c r="A4055" t="str">
        <f>MID(TB_CECO[[#This Row],[CECO_T]],1,5)</f>
        <v>4EB10</v>
      </c>
      <c r="B4055" t="str">
        <f>MID(TB_CECO[[#This Row],[TRABAJO]],1,SEARCH(",",TB_CECO[[#This Row],[TRABAJO]],1)-1)</f>
        <v>Hp 011 (Tj 066 NE)</v>
      </c>
      <c r="C40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011 (Tj 066 NE),REHABILITACION</v>
      </c>
      <c r="D40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55" s="47" t="s">
        <v>8034</v>
      </c>
      <c r="G4055" t="s">
        <v>8035</v>
      </c>
      <c r="H40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56" spans="1:8" ht="15" customHeight="1" x14ac:dyDescent="0.25">
      <c r="A4056" t="str">
        <f>MID(TB_CECO[[#This Row],[CECO_T]],1,5)</f>
        <v>4EB11</v>
      </c>
      <c r="B4056" t="str">
        <f>MID(TB_CECO[[#This Row],[TRABAJO]],1,SEARCH(",",TB_CECO[[#This Row],[TRABAJO]],1)-1)</f>
        <v>Hp 012 (Tj 066 NE)</v>
      </c>
      <c r="C40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012 (Tj 066 NE),SUMINISTROS</v>
      </c>
      <c r="D40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56" s="47" t="s">
        <v>8036</v>
      </c>
      <c r="G4056" t="s">
        <v>8037</v>
      </c>
      <c r="H40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57" spans="1:8" ht="15" customHeight="1" x14ac:dyDescent="0.25">
      <c r="A4057" t="str">
        <f>MID(TB_CECO[[#This Row],[CECO_T]],1,5)</f>
        <v>4EB11</v>
      </c>
      <c r="B4057" t="str">
        <f>MID(TB_CECO[[#This Row],[TRABAJO]],1,SEARCH(",",TB_CECO[[#This Row],[TRABAJO]],1)-1)</f>
        <v>Hp 012 (Tj 066 NE)</v>
      </c>
      <c r="C40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012 (Tj 066 NE),SOSTENIMIENTO</v>
      </c>
      <c r="D40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57" s="47" t="s">
        <v>8038</v>
      </c>
      <c r="G4057" t="s">
        <v>8039</v>
      </c>
      <c r="H40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58" spans="1:8" ht="15" customHeight="1" x14ac:dyDescent="0.25">
      <c r="A4058" t="str">
        <f>MID(TB_CECO[[#This Row],[CECO_T]],1,5)</f>
        <v>4EB11</v>
      </c>
      <c r="B4058" t="str">
        <f>MID(TB_CECO[[#This Row],[TRABAJO]],1,SEARCH(",",TB_CECO[[#This Row],[TRABAJO]],1)-1)</f>
        <v>Hp 012 (Tj 066 NE)</v>
      </c>
      <c r="C40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012 (Tj 066 NE),SERVICIO</v>
      </c>
      <c r="D40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58" s="47" t="s">
        <v>8040</v>
      </c>
      <c r="G4058" t="s">
        <v>8041</v>
      </c>
      <c r="H40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59" spans="1:8" ht="15" customHeight="1" x14ac:dyDescent="0.25">
      <c r="A4059" t="str">
        <f>MID(TB_CECO[[#This Row],[CECO_T]],1,5)</f>
        <v>4EB11</v>
      </c>
      <c r="B4059" t="str">
        <f>MID(TB_CECO[[#This Row],[TRABAJO]],1,SEARCH(",",TB_CECO[[#This Row],[TRABAJO]],1)-1)</f>
        <v>Hp 012 (Tj 066 NE)</v>
      </c>
      <c r="C40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012 (Tj 066 NE),REHABILITACION</v>
      </c>
      <c r="D40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59" s="47" t="s">
        <v>8042</v>
      </c>
      <c r="G4059" t="s">
        <v>8043</v>
      </c>
      <c r="H40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60" spans="1:8" ht="15" customHeight="1" x14ac:dyDescent="0.25">
      <c r="A4060" t="str">
        <f>MID(TB_CECO[[#This Row],[CECO_T]],1,5)</f>
        <v>4EB12</v>
      </c>
      <c r="B4060" t="str">
        <f>MID(TB_CECO[[#This Row],[TRABAJO]],1,SEARCH(",",TB_CECO[[#This Row],[TRABAJO]],1)-1)</f>
        <v>Hp 013 (Tj 066 SW)</v>
      </c>
      <c r="C40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013 (Tj 066 SW),SUMINISTROS</v>
      </c>
      <c r="D40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60" s="47" t="s">
        <v>8044</v>
      </c>
      <c r="G4060" t="s">
        <v>8045</v>
      </c>
      <c r="H40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61" spans="1:8" ht="15" customHeight="1" x14ac:dyDescent="0.25">
      <c r="A4061" t="str">
        <f>MID(TB_CECO[[#This Row],[CECO_T]],1,5)</f>
        <v>4EB12</v>
      </c>
      <c r="B4061" t="str">
        <f>MID(TB_CECO[[#This Row],[TRABAJO]],1,SEARCH(",",TB_CECO[[#This Row],[TRABAJO]],1)-1)</f>
        <v>Hp 013 (Tj 066 SW)</v>
      </c>
      <c r="C40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013 (Tj 066 SW),SOSTENIMIENTO</v>
      </c>
      <c r="D40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61" s="47" t="s">
        <v>8046</v>
      </c>
      <c r="G4061" t="s">
        <v>8047</v>
      </c>
      <c r="H40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62" spans="1:8" ht="15" customHeight="1" x14ac:dyDescent="0.25">
      <c r="A4062" t="str">
        <f>MID(TB_CECO[[#This Row],[CECO_T]],1,5)</f>
        <v>4EB12</v>
      </c>
      <c r="B4062" t="str">
        <f>MID(TB_CECO[[#This Row],[TRABAJO]],1,SEARCH(",",TB_CECO[[#This Row],[TRABAJO]],1)-1)</f>
        <v>Hp 013 (Tj 066 SW)</v>
      </c>
      <c r="C40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013 (Tj 066 SW),SERVICIO</v>
      </c>
      <c r="D40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62" s="47" t="s">
        <v>8048</v>
      </c>
      <c r="G4062" t="s">
        <v>8049</v>
      </c>
      <c r="H40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63" spans="1:8" ht="15" customHeight="1" x14ac:dyDescent="0.25">
      <c r="A4063" t="str">
        <f>MID(TB_CECO[[#This Row],[CECO_T]],1,5)</f>
        <v>4EB12</v>
      </c>
      <c r="B4063" t="str">
        <f>MID(TB_CECO[[#This Row],[TRABAJO]],1,SEARCH(",",TB_CECO[[#This Row],[TRABAJO]],1)-1)</f>
        <v>Hp 013 (Tj 066 SW)</v>
      </c>
      <c r="C40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013 (Tj 066 SW),REHABILITACION</v>
      </c>
      <c r="D40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63" s="47" t="s">
        <v>8050</v>
      </c>
      <c r="G4063" t="s">
        <v>8051</v>
      </c>
      <c r="H40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64" spans="1:8" ht="15" customHeight="1" x14ac:dyDescent="0.25">
      <c r="A4064" t="str">
        <f>MID(TB_CECO[[#This Row],[CECO_T]],1,5)</f>
        <v>4EB13</v>
      </c>
      <c r="B4064" t="str">
        <f>MID(TB_CECO[[#This Row],[TRABAJO]],1,SEARCH(",",TB_CECO[[#This Row],[TRABAJO]],1)-1)</f>
        <v>Hp 014 (Tj 066 SW)</v>
      </c>
      <c r="C40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014 (Tj 066 SW),SUMINISTROS</v>
      </c>
      <c r="D40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64" s="47" t="s">
        <v>8052</v>
      </c>
      <c r="G4064" t="s">
        <v>8053</v>
      </c>
      <c r="H40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65" spans="1:8" ht="15" customHeight="1" x14ac:dyDescent="0.25">
      <c r="A4065" t="str">
        <f>MID(TB_CECO[[#This Row],[CECO_T]],1,5)</f>
        <v>4EB13</v>
      </c>
      <c r="B4065" t="str">
        <f>MID(TB_CECO[[#This Row],[TRABAJO]],1,SEARCH(",",TB_CECO[[#This Row],[TRABAJO]],1)-1)</f>
        <v>Hp 014 (Tj 066 SW)</v>
      </c>
      <c r="C40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014 (Tj 066 SW),SOSTENIMIENTO</v>
      </c>
      <c r="D40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65" s="47" t="s">
        <v>8054</v>
      </c>
      <c r="G4065" t="s">
        <v>8055</v>
      </c>
      <c r="H40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66" spans="1:8" ht="15" customHeight="1" x14ac:dyDescent="0.25">
      <c r="A4066" t="str">
        <f>MID(TB_CECO[[#This Row],[CECO_T]],1,5)</f>
        <v>4EB13</v>
      </c>
      <c r="B4066" t="str">
        <f>MID(TB_CECO[[#This Row],[TRABAJO]],1,SEARCH(",",TB_CECO[[#This Row],[TRABAJO]],1)-1)</f>
        <v>Hp 014 (Tj 066 SW)</v>
      </c>
      <c r="C40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014 (Tj 066 SW),SERVICIO</v>
      </c>
      <c r="D40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66" s="47" t="s">
        <v>8056</v>
      </c>
      <c r="G4066" t="s">
        <v>8057</v>
      </c>
      <c r="H40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67" spans="1:8" ht="15" customHeight="1" x14ac:dyDescent="0.25">
      <c r="A4067" t="str">
        <f>MID(TB_CECO[[#This Row],[CECO_T]],1,5)</f>
        <v>4EB13</v>
      </c>
      <c r="B4067" t="str">
        <f>MID(TB_CECO[[#This Row],[TRABAJO]],1,SEARCH(",",TB_CECO[[#This Row],[TRABAJO]],1)-1)</f>
        <v>Hp 014 (Tj 066 SW)</v>
      </c>
      <c r="C40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014 (Tj 066 SW),REHABILITACION</v>
      </c>
      <c r="D40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67" s="47" t="s">
        <v>8058</v>
      </c>
      <c r="G4067" t="s">
        <v>8059</v>
      </c>
      <c r="H40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68" spans="1:8" ht="15" customHeight="1" x14ac:dyDescent="0.25">
      <c r="A4068" t="str">
        <f>MID(TB_CECO[[#This Row],[CECO_T]],1,5)</f>
        <v>4EB14</v>
      </c>
      <c r="B4068" t="str">
        <f>MID(TB_CECO[[#This Row],[TRABAJO]],1,SEARCH(",",TB_CECO[[#This Row],[TRABAJO]],1)-1)</f>
        <v>Hp 015 (Tj 066 SW)</v>
      </c>
      <c r="C40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015 (Tj 066 SW),SUMINISTROS</v>
      </c>
      <c r="D40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68" s="47" t="s">
        <v>8060</v>
      </c>
      <c r="G4068" t="s">
        <v>8061</v>
      </c>
      <c r="H40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69" spans="1:8" ht="15" customHeight="1" x14ac:dyDescent="0.25">
      <c r="A4069" t="str">
        <f>MID(TB_CECO[[#This Row],[CECO_T]],1,5)</f>
        <v>4EB14</v>
      </c>
      <c r="B4069" t="str">
        <f>MID(TB_CECO[[#This Row],[TRABAJO]],1,SEARCH(",",TB_CECO[[#This Row],[TRABAJO]],1)-1)</f>
        <v>Hp 015 (Tj 066 SW)</v>
      </c>
      <c r="C40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015 (Tj 066 SW),SOSTENIMIENTO</v>
      </c>
      <c r="D40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69" s="47" t="s">
        <v>8062</v>
      </c>
      <c r="G4069" t="s">
        <v>8063</v>
      </c>
      <c r="H40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70" spans="1:8" ht="15" customHeight="1" x14ac:dyDescent="0.25">
      <c r="A4070" t="str">
        <f>MID(TB_CECO[[#This Row],[CECO_T]],1,5)</f>
        <v>4EB14</v>
      </c>
      <c r="B4070" t="str">
        <f>MID(TB_CECO[[#This Row],[TRABAJO]],1,SEARCH(",",TB_CECO[[#This Row],[TRABAJO]],1)-1)</f>
        <v>Hp 015 (Tj 066 SW)</v>
      </c>
      <c r="C40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015 (Tj 066 SW),SERVICIO</v>
      </c>
      <c r="D40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70" s="47" t="s">
        <v>8064</v>
      </c>
      <c r="G4070" t="s">
        <v>8065</v>
      </c>
      <c r="H40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71" spans="1:8" ht="15" customHeight="1" x14ac:dyDescent="0.25">
      <c r="A4071" t="str">
        <f>MID(TB_CECO[[#This Row],[CECO_T]],1,5)</f>
        <v>4EB14</v>
      </c>
      <c r="B4071" t="str">
        <f>MID(TB_CECO[[#This Row],[TRABAJO]],1,SEARCH(",",TB_CECO[[#This Row],[TRABAJO]],1)-1)</f>
        <v>Hp 015 (Tj 066 SW)</v>
      </c>
      <c r="C40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015 (Tj 066 SW),REHABILITACION</v>
      </c>
      <c r="D40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71" s="47" t="s">
        <v>8066</v>
      </c>
      <c r="G4071" t="s">
        <v>8067</v>
      </c>
      <c r="H40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72" spans="1:8" ht="15" customHeight="1" x14ac:dyDescent="0.25">
      <c r="A4072" t="str">
        <f>MID(TB_CECO[[#This Row],[CECO_T]],1,5)</f>
        <v>4EB15</v>
      </c>
      <c r="B4072" t="str">
        <f>MID(TB_CECO[[#This Row],[TRABAJO]],1,SEARCH(",",TB_CECO[[#This Row],[TRABAJO]],1)-1)</f>
        <v>Hp 016 (Tj 117 NE)</v>
      </c>
      <c r="C40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016 (Tj 117 NE),SUMINISTROS</v>
      </c>
      <c r="D40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72" s="47" t="s">
        <v>8068</v>
      </c>
      <c r="G4072" t="s">
        <v>8069</v>
      </c>
      <c r="H40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73" spans="1:8" ht="15" customHeight="1" x14ac:dyDescent="0.25">
      <c r="A4073" t="str">
        <f>MID(TB_CECO[[#This Row],[CECO_T]],1,5)</f>
        <v>4EB15</v>
      </c>
      <c r="B4073" t="str">
        <f>MID(TB_CECO[[#This Row],[TRABAJO]],1,SEARCH(",",TB_CECO[[#This Row],[TRABAJO]],1)-1)</f>
        <v>Hp 016 (Tj 117 NE)</v>
      </c>
      <c r="C40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016 (Tj 117 NE),SOSTENIMIENTO</v>
      </c>
      <c r="D40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73" s="47" t="s">
        <v>8070</v>
      </c>
      <c r="G4073" t="s">
        <v>8071</v>
      </c>
      <c r="H40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74" spans="1:8" ht="15" customHeight="1" x14ac:dyDescent="0.25">
      <c r="A4074" t="str">
        <f>MID(TB_CECO[[#This Row],[CECO_T]],1,5)</f>
        <v>4EB15</v>
      </c>
      <c r="B4074" t="str">
        <f>MID(TB_CECO[[#This Row],[TRABAJO]],1,SEARCH(",",TB_CECO[[#This Row],[TRABAJO]],1)-1)</f>
        <v>Hp 016 (Tj 117 NE)</v>
      </c>
      <c r="C40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016 (Tj 117 NE),SERVICIO</v>
      </c>
      <c r="D40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74" s="47" t="s">
        <v>8072</v>
      </c>
      <c r="G4074" t="s">
        <v>8073</v>
      </c>
      <c r="H40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75" spans="1:8" ht="15" customHeight="1" x14ac:dyDescent="0.25">
      <c r="A4075" t="str">
        <f>MID(TB_CECO[[#This Row],[CECO_T]],1,5)</f>
        <v>4EB15</v>
      </c>
      <c r="B4075" t="str">
        <f>MID(TB_CECO[[#This Row],[TRABAJO]],1,SEARCH(",",TB_CECO[[#This Row],[TRABAJO]],1)-1)</f>
        <v>Hp 016 (Tj 117 NE)</v>
      </c>
      <c r="C40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016 (Tj 117 NE),REHABILITACION</v>
      </c>
      <c r="D40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75" s="47" t="s">
        <v>8074</v>
      </c>
      <c r="G4075" t="s">
        <v>8075</v>
      </c>
      <c r="H40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76" spans="1:8" ht="15" customHeight="1" x14ac:dyDescent="0.25">
      <c r="A4076" t="str">
        <f>MID(TB_CECO[[#This Row],[CECO_T]],1,5)</f>
        <v>4EB16</v>
      </c>
      <c r="B4076" t="str">
        <f>MID(TB_CECO[[#This Row],[TRABAJO]],1,SEARCH(",",TB_CECO[[#This Row],[TRABAJO]],1)-1)</f>
        <v>Hp 017 (Tj 066 SW)</v>
      </c>
      <c r="C40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017 (Tj 066 SW),SUMINISTROS</v>
      </c>
      <c r="D40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76" s="47" t="s">
        <v>8076</v>
      </c>
      <c r="G4076" t="s">
        <v>8077</v>
      </c>
      <c r="H40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77" spans="1:8" ht="15" customHeight="1" x14ac:dyDescent="0.25">
      <c r="A4077" t="str">
        <f>MID(TB_CECO[[#This Row],[CECO_T]],1,5)</f>
        <v>4EB17</v>
      </c>
      <c r="B4077" t="str">
        <f>MID(TB_CECO[[#This Row],[TRABAJO]],1,SEARCH(",",TB_CECO[[#This Row],[TRABAJO]],1)-1)</f>
        <v>Hp 018 (Tj 066 SW)</v>
      </c>
      <c r="C40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018 (Tj 066 SW),SUMINISTROS</v>
      </c>
      <c r="D40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77" s="47" t="s">
        <v>8078</v>
      </c>
      <c r="G4077" t="s">
        <v>8079</v>
      </c>
      <c r="H40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78" spans="1:8" ht="15" customHeight="1" x14ac:dyDescent="0.25">
      <c r="A4078" t="str">
        <f>MID(TB_CECO[[#This Row],[CECO_T]],1,5)</f>
        <v>4EB17</v>
      </c>
      <c r="B4078" t="str">
        <f>MID(TB_CECO[[#This Row],[TRABAJO]],1,SEARCH(",",TB_CECO[[#This Row],[TRABAJO]],1)-1)</f>
        <v>Hp 018 (Tj 066 SW)</v>
      </c>
      <c r="C40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018 (Tj 066 SW),SOSTENIMIENTO</v>
      </c>
      <c r="D40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78" s="47" t="s">
        <v>8080</v>
      </c>
      <c r="G4078" t="s">
        <v>8081</v>
      </c>
      <c r="H40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79" spans="1:8" ht="15" customHeight="1" x14ac:dyDescent="0.25">
      <c r="A4079" t="str">
        <f>MID(TB_CECO[[#This Row],[CECO_T]],1,5)</f>
        <v>4EB17</v>
      </c>
      <c r="B4079" t="str">
        <f>MID(TB_CECO[[#This Row],[TRABAJO]],1,SEARCH(",",TB_CECO[[#This Row],[TRABAJO]],1)-1)</f>
        <v>Hp 018 (Tj 066 SW)</v>
      </c>
      <c r="C40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018 (Tj 066 SW),SERVICIO</v>
      </c>
      <c r="D40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79" s="47" t="s">
        <v>8082</v>
      </c>
      <c r="G4079" t="s">
        <v>8083</v>
      </c>
      <c r="H40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80" spans="1:8" ht="15" customHeight="1" x14ac:dyDescent="0.25">
      <c r="A4080" t="str">
        <f>MID(TB_CECO[[#This Row],[CECO_T]],1,5)</f>
        <v>4EB17</v>
      </c>
      <c r="B4080" t="str">
        <f>MID(TB_CECO[[#This Row],[TRABAJO]],1,SEARCH(",",TB_CECO[[#This Row],[TRABAJO]],1)-1)</f>
        <v>Hp 018 (Tj 066 SW)</v>
      </c>
      <c r="C40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018 (Tj 066 SW),REHABILITACION</v>
      </c>
      <c r="D40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80" s="47" t="s">
        <v>8084</v>
      </c>
      <c r="G4080" t="s">
        <v>8085</v>
      </c>
      <c r="H40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81" spans="1:8" ht="15" customHeight="1" x14ac:dyDescent="0.25">
      <c r="A4081" t="str">
        <f>MID(TB_CECO[[#This Row],[CECO_T]],1,5)</f>
        <v>4EB18</v>
      </c>
      <c r="B4081" t="str">
        <f>MID(TB_CECO[[#This Row],[TRABAJO]],1,SEARCH(",",TB_CECO[[#This Row],[TRABAJO]],1)-1)</f>
        <v>Hp 019 (Tj 066 SW)</v>
      </c>
      <c r="C40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019 (Tj 066 SW),SUMINISTROS</v>
      </c>
      <c r="D40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81" s="47" t="s">
        <v>8086</v>
      </c>
      <c r="G4081" t="s">
        <v>8087</v>
      </c>
      <c r="H40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82" spans="1:8" ht="15" customHeight="1" x14ac:dyDescent="0.25">
      <c r="A4082" t="str">
        <f>MID(TB_CECO[[#This Row],[CECO_T]],1,5)</f>
        <v>4EB18</v>
      </c>
      <c r="B4082" t="str">
        <f>MID(TB_CECO[[#This Row],[TRABAJO]],1,SEARCH(",",TB_CECO[[#This Row],[TRABAJO]],1)-1)</f>
        <v>Hp 019 (Tj 066 SW)</v>
      </c>
      <c r="C40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019 (Tj 066 SW),SOSTENIMIENTO</v>
      </c>
      <c r="D40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82" s="47" t="s">
        <v>8088</v>
      </c>
      <c r="G4082" t="s">
        <v>8089</v>
      </c>
      <c r="H40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83" spans="1:8" ht="15" customHeight="1" x14ac:dyDescent="0.25">
      <c r="A4083" t="str">
        <f>MID(TB_CECO[[#This Row],[CECO_T]],1,5)</f>
        <v>4EB18</v>
      </c>
      <c r="B4083" t="str">
        <f>MID(TB_CECO[[#This Row],[TRABAJO]],1,SEARCH(",",TB_CECO[[#This Row],[TRABAJO]],1)-1)</f>
        <v>Hp 019 (Tj 066 SW)</v>
      </c>
      <c r="C40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019 (Tj 066 SW),SERVICIO</v>
      </c>
      <c r="D40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83" s="47" t="s">
        <v>8090</v>
      </c>
      <c r="G4083" t="s">
        <v>8091</v>
      </c>
      <c r="H40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84" spans="1:8" ht="15" customHeight="1" x14ac:dyDescent="0.25">
      <c r="A4084" t="str">
        <f>MID(TB_CECO[[#This Row],[CECO_T]],1,5)</f>
        <v>4EB18</v>
      </c>
      <c r="B4084" t="str">
        <f>MID(TB_CECO[[#This Row],[TRABAJO]],1,SEARCH(",",TB_CECO[[#This Row],[TRABAJO]],1)-1)</f>
        <v>Hp 019 (Tj 066 SW)</v>
      </c>
      <c r="C40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019 (Tj 066 SW),REHABILITACION</v>
      </c>
      <c r="D40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84" s="47" t="s">
        <v>8092</v>
      </c>
      <c r="G4084" t="s">
        <v>8093</v>
      </c>
      <c r="H40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85" spans="1:8" ht="15" customHeight="1" x14ac:dyDescent="0.25">
      <c r="A4085" t="str">
        <f>MID(TB_CECO[[#This Row],[CECO_T]],1,5)</f>
        <v>4EB19</v>
      </c>
      <c r="B4085" t="str">
        <f>MID(TB_CECO[[#This Row],[TRABAJO]],1,SEARCH(",",TB_CECO[[#This Row],[TRABAJO]],1)-1)</f>
        <v>Hp 020 (Tj 066 SW)</v>
      </c>
      <c r="C40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020 (Tj 066 SW),SUMINISTROS</v>
      </c>
      <c r="D40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85" s="47" t="s">
        <v>8094</v>
      </c>
      <c r="G4085" t="s">
        <v>8095</v>
      </c>
      <c r="H40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86" spans="1:8" ht="15" customHeight="1" x14ac:dyDescent="0.25">
      <c r="A4086" t="str">
        <f>MID(TB_CECO[[#This Row],[CECO_T]],1,5)</f>
        <v>4EB19</v>
      </c>
      <c r="B4086" t="str">
        <f>MID(TB_CECO[[#This Row],[TRABAJO]],1,SEARCH(",",TB_CECO[[#This Row],[TRABAJO]],1)-1)</f>
        <v>Hp 020 (Tj 066 SW)</v>
      </c>
      <c r="C40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020 (Tj 066 SW),SOSTENIMIENTO</v>
      </c>
      <c r="D40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86" s="47" t="s">
        <v>8096</v>
      </c>
      <c r="G4086" t="s">
        <v>8097</v>
      </c>
      <c r="H40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87" spans="1:8" ht="15" customHeight="1" x14ac:dyDescent="0.25">
      <c r="A4087" t="str">
        <f>MID(TB_CECO[[#This Row],[CECO_T]],1,5)</f>
        <v>4EB19</v>
      </c>
      <c r="B4087" t="str">
        <f>MID(TB_CECO[[#This Row],[TRABAJO]],1,SEARCH(",",TB_CECO[[#This Row],[TRABAJO]],1)-1)</f>
        <v>Hp 020 (Tj 066 SW)</v>
      </c>
      <c r="C40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020 (Tj 066 SW),SERVICIO</v>
      </c>
      <c r="D40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87" s="47" t="s">
        <v>8098</v>
      </c>
      <c r="G4087" t="s">
        <v>8099</v>
      </c>
      <c r="H40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88" spans="1:8" ht="15" customHeight="1" x14ac:dyDescent="0.25">
      <c r="A4088" t="str">
        <f>MID(TB_CECO[[#This Row],[CECO_T]],1,5)</f>
        <v>4EB19</v>
      </c>
      <c r="B4088" t="str">
        <f>MID(TB_CECO[[#This Row],[TRABAJO]],1,SEARCH(",",TB_CECO[[#This Row],[TRABAJO]],1)-1)</f>
        <v>Hp 020 (Tj 066 SW)</v>
      </c>
      <c r="C40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020 (Tj 066 SW),REHABILITACION</v>
      </c>
      <c r="D40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88" s="47" t="s">
        <v>8100</v>
      </c>
      <c r="G4088" t="s">
        <v>8101</v>
      </c>
      <c r="H40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89" spans="1:8" ht="15" customHeight="1" x14ac:dyDescent="0.25">
      <c r="A4089" t="str">
        <f>MID(TB_CECO[[#This Row],[CECO_T]],1,5)</f>
        <v>4EB20</v>
      </c>
      <c r="B4089" t="str">
        <f>MID(TB_CECO[[#This Row],[TRABAJO]],1,SEARCH(",",TB_CECO[[#This Row],[TRABAJO]],1)-1)</f>
        <v>Hp 021 (Tj 066 SW)</v>
      </c>
      <c r="C40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021 (Tj 066 SW),SUMINISTROS</v>
      </c>
      <c r="D40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89" s="47" t="s">
        <v>8102</v>
      </c>
      <c r="G4089" t="s">
        <v>8103</v>
      </c>
      <c r="H40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90" spans="1:8" ht="15" customHeight="1" x14ac:dyDescent="0.25">
      <c r="A4090" t="str">
        <f>MID(TB_CECO[[#This Row],[CECO_T]],1,5)</f>
        <v>4EB20</v>
      </c>
      <c r="B4090" t="str">
        <f>MID(TB_CECO[[#This Row],[TRABAJO]],1,SEARCH(",",TB_CECO[[#This Row],[TRABAJO]],1)-1)</f>
        <v>Hp 021 (Tj 066 SW)</v>
      </c>
      <c r="C40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021 (Tj 066 SW),SOSTENIMIENTO</v>
      </c>
      <c r="D40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90" s="47" t="s">
        <v>8104</v>
      </c>
      <c r="G4090" t="s">
        <v>8105</v>
      </c>
      <c r="H40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91" spans="1:8" ht="15" customHeight="1" x14ac:dyDescent="0.25">
      <c r="A4091" t="str">
        <f>MID(TB_CECO[[#This Row],[CECO_T]],1,5)</f>
        <v>4EB20</v>
      </c>
      <c r="B4091" t="str">
        <f>MID(TB_CECO[[#This Row],[TRABAJO]],1,SEARCH(",",TB_CECO[[#This Row],[TRABAJO]],1)-1)</f>
        <v>Hp 021 (Tj 066 SW)</v>
      </c>
      <c r="C40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021 (Tj 066 SW),SERVICIO</v>
      </c>
      <c r="D40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91" s="47" t="s">
        <v>8106</v>
      </c>
      <c r="G4091" t="s">
        <v>8107</v>
      </c>
      <c r="H40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92" spans="1:8" ht="15" customHeight="1" x14ac:dyDescent="0.25">
      <c r="A4092" t="str">
        <f>MID(TB_CECO[[#This Row],[CECO_T]],1,5)</f>
        <v>4EB20</v>
      </c>
      <c r="B4092" t="str">
        <f>MID(TB_CECO[[#This Row],[TRABAJO]],1,SEARCH(",",TB_CECO[[#This Row],[TRABAJO]],1)-1)</f>
        <v>Hp 021 (Tj 066 SW)</v>
      </c>
      <c r="C40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021 (Tj 066 SW),REHABILITACION</v>
      </c>
      <c r="D40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92" s="47" t="s">
        <v>8108</v>
      </c>
      <c r="G4092" t="s">
        <v>8109</v>
      </c>
      <c r="H40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93" spans="1:8" ht="15" customHeight="1" x14ac:dyDescent="0.25">
      <c r="A4093" t="str">
        <f>MID(TB_CECO[[#This Row],[CECO_T]],1,5)</f>
        <v>4EB21</v>
      </c>
      <c r="B4093" t="str">
        <f>MID(TB_CECO[[#This Row],[TRABAJO]],1,SEARCH(",",TB_CECO[[#This Row],[TRABAJO]],1)-1)</f>
        <v>Hp 022 (Tj 066 SW)</v>
      </c>
      <c r="C40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022 (Tj 066 SW),SUMINISTROS</v>
      </c>
      <c r="D40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93" s="47" t="s">
        <v>8110</v>
      </c>
      <c r="G4093" t="s">
        <v>8111</v>
      </c>
      <c r="H40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94" spans="1:8" ht="15" customHeight="1" x14ac:dyDescent="0.25">
      <c r="A4094" t="str">
        <f>MID(TB_CECO[[#This Row],[CECO_T]],1,5)</f>
        <v>4EB21</v>
      </c>
      <c r="B4094" t="str">
        <f>MID(TB_CECO[[#This Row],[TRABAJO]],1,SEARCH(",",TB_CECO[[#This Row],[TRABAJO]],1)-1)</f>
        <v>Hp 022 (Tj 066 SW)</v>
      </c>
      <c r="C40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022 (Tj 066 SW),SOSTENIMIENTO</v>
      </c>
      <c r="D40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94" s="47" t="s">
        <v>8112</v>
      </c>
      <c r="G4094" t="s">
        <v>8113</v>
      </c>
      <c r="H40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95" spans="1:8" ht="15" customHeight="1" x14ac:dyDescent="0.25">
      <c r="A4095" t="str">
        <f>MID(TB_CECO[[#This Row],[CECO_T]],1,5)</f>
        <v>4EB21</v>
      </c>
      <c r="B4095" t="str">
        <f>MID(TB_CECO[[#This Row],[TRABAJO]],1,SEARCH(",",TB_CECO[[#This Row],[TRABAJO]],1)-1)</f>
        <v>Hp 022 (Tj 066 SW)</v>
      </c>
      <c r="C40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022 (Tj 066 SW),SERVICIO</v>
      </c>
      <c r="D40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95" s="47" t="s">
        <v>8114</v>
      </c>
      <c r="G4095" t="s">
        <v>8115</v>
      </c>
      <c r="H40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96" spans="1:8" ht="15" customHeight="1" x14ac:dyDescent="0.25">
      <c r="A4096" t="str">
        <f>MID(TB_CECO[[#This Row],[CECO_T]],1,5)</f>
        <v>4EB21</v>
      </c>
      <c r="B4096" t="str">
        <f>MID(TB_CECO[[#This Row],[TRABAJO]],1,SEARCH(",",TB_CECO[[#This Row],[TRABAJO]],1)-1)</f>
        <v>Hp 022 (Tj 066 SW)</v>
      </c>
      <c r="C40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022 (Tj 066 SW),REHABILITACION</v>
      </c>
      <c r="D40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96" s="47" t="s">
        <v>8116</v>
      </c>
      <c r="G4096" t="s">
        <v>8117</v>
      </c>
      <c r="H40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97" spans="1:8" ht="15" customHeight="1" x14ac:dyDescent="0.25">
      <c r="A4097" t="str">
        <f>MID(TB_CECO[[#This Row],[CECO_T]],1,5)</f>
        <v>4EB22</v>
      </c>
      <c r="B4097" t="str">
        <f>MID(TB_CECO[[#This Row],[TRABAJO]],1,SEARCH(",",TB_CECO[[#This Row],[TRABAJO]],1)-1)</f>
        <v>Hp 023 (Tj 127 NE)</v>
      </c>
      <c r="C40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023 (Tj 127 NE),SUMINISTROS</v>
      </c>
      <c r="D40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97" s="47" t="s">
        <v>8118</v>
      </c>
      <c r="G4097" t="s">
        <v>8119</v>
      </c>
      <c r="H40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98" spans="1:8" ht="15" customHeight="1" x14ac:dyDescent="0.25">
      <c r="A4098" t="str">
        <f>MID(TB_CECO[[#This Row],[CECO_T]],1,5)</f>
        <v>4EB22</v>
      </c>
      <c r="B4098" t="str">
        <f>MID(TB_CECO[[#This Row],[TRABAJO]],1,SEARCH(",",TB_CECO[[#This Row],[TRABAJO]],1)-1)</f>
        <v>Hp 023 (Tj 127 NE)</v>
      </c>
      <c r="C40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023 (Tj 127 NE),SOSTENIMIENTO</v>
      </c>
      <c r="D40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98" s="47" t="s">
        <v>8120</v>
      </c>
      <c r="G4098" t="s">
        <v>8121</v>
      </c>
      <c r="H40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099" spans="1:8" ht="15" customHeight="1" x14ac:dyDescent="0.25">
      <c r="A4099" t="str">
        <f>MID(TB_CECO[[#This Row],[CECO_T]],1,5)</f>
        <v>4EB22</v>
      </c>
      <c r="B4099" t="str">
        <f>MID(TB_CECO[[#This Row],[TRABAJO]],1,SEARCH(",",TB_CECO[[#This Row],[TRABAJO]],1)-1)</f>
        <v>Hp 023 (Tj 127 NE)</v>
      </c>
      <c r="C40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023 (Tj 127 NE),SERVICIO</v>
      </c>
      <c r="D40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0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099" s="47" t="s">
        <v>8122</v>
      </c>
      <c r="G4099" t="s">
        <v>8123</v>
      </c>
      <c r="H40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00" spans="1:8" ht="15" customHeight="1" x14ac:dyDescent="0.25">
      <c r="A4100" t="str">
        <f>MID(TB_CECO[[#This Row],[CECO_T]],1,5)</f>
        <v>4EB22</v>
      </c>
      <c r="B4100" t="str">
        <f>MID(TB_CECO[[#This Row],[TRABAJO]],1,SEARCH(",",TB_CECO[[#This Row],[TRABAJO]],1)-1)</f>
        <v>Hp 023 (Tj 127 NE)</v>
      </c>
      <c r="C41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023 (Tj 127 NE),REHABILITACION</v>
      </c>
      <c r="D41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00" s="47" t="s">
        <v>8124</v>
      </c>
      <c r="G4100" t="s">
        <v>8125</v>
      </c>
      <c r="H41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01" spans="1:8" ht="15" customHeight="1" x14ac:dyDescent="0.25">
      <c r="A4101" t="str">
        <f>MID(TB_CECO[[#This Row],[CECO_T]],1,5)</f>
        <v>4EB23</v>
      </c>
      <c r="B4101" t="str">
        <f>MID(TB_CECO[[#This Row],[TRABAJO]],1,SEARCH(",",TB_CECO[[#This Row],[TRABAJO]],1)-1)</f>
        <v>Hp 024 (Tj 127 NE)</v>
      </c>
      <c r="C41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024 (Tj 127 NE),SUMINISTROS</v>
      </c>
      <c r="D41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01" s="47" t="s">
        <v>8126</v>
      </c>
      <c r="G4101" t="s">
        <v>8127</v>
      </c>
      <c r="H41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02" spans="1:8" ht="15" customHeight="1" x14ac:dyDescent="0.25">
      <c r="A4102" t="str">
        <f>MID(TB_CECO[[#This Row],[CECO_T]],1,5)</f>
        <v>4EB23</v>
      </c>
      <c r="B4102" t="str">
        <f>MID(TB_CECO[[#This Row],[TRABAJO]],1,SEARCH(",",TB_CECO[[#This Row],[TRABAJO]],1)-1)</f>
        <v>Hp 024 (Tj 127 NE)</v>
      </c>
      <c r="C41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024 (Tj 127 NE),SOSTENIMIENTO</v>
      </c>
      <c r="D41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02" s="47" t="s">
        <v>8128</v>
      </c>
      <c r="G4102" t="s">
        <v>8129</v>
      </c>
      <c r="H41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03" spans="1:8" ht="15" customHeight="1" x14ac:dyDescent="0.25">
      <c r="A4103" t="str">
        <f>MID(TB_CECO[[#This Row],[CECO_T]],1,5)</f>
        <v>4EB23</v>
      </c>
      <c r="B4103" t="str">
        <f>MID(TB_CECO[[#This Row],[TRABAJO]],1,SEARCH(",",TB_CECO[[#This Row],[TRABAJO]],1)-1)</f>
        <v>Hp 024 (Tj 127 NE)</v>
      </c>
      <c r="C41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024 (Tj 127 NE),SERVICIO</v>
      </c>
      <c r="D41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03" s="47" t="s">
        <v>8130</v>
      </c>
      <c r="G4103" t="s">
        <v>8131</v>
      </c>
      <c r="H41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04" spans="1:8" ht="15" customHeight="1" x14ac:dyDescent="0.25">
      <c r="A4104" t="str">
        <f>MID(TB_CECO[[#This Row],[CECO_T]],1,5)</f>
        <v>4EB23</v>
      </c>
      <c r="B4104" t="str">
        <f>MID(TB_CECO[[#This Row],[TRABAJO]],1,SEARCH(",",TB_CECO[[#This Row],[TRABAJO]],1)-1)</f>
        <v>Hp 024 (Tj 127 NE)</v>
      </c>
      <c r="C41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024 (Tj 127 NE),REHABILITACION</v>
      </c>
      <c r="D41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04" s="47" t="s">
        <v>8132</v>
      </c>
      <c r="G4104" t="s">
        <v>8133</v>
      </c>
      <c r="H41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05" spans="1:8" ht="15" customHeight="1" x14ac:dyDescent="0.25">
      <c r="A4105" t="str">
        <f>MID(TB_CECO[[#This Row],[CECO_T]],1,5)</f>
        <v>4EB24</v>
      </c>
      <c r="B4105" t="str">
        <f>MID(TB_CECO[[#This Row],[TRABAJO]],1,SEARCH(",",TB_CECO[[#This Row],[TRABAJO]],1)-1)</f>
        <v>Hp 025 (Tj 087 NE)</v>
      </c>
      <c r="C41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025 (Tj 087 NE),SUMINISTROS</v>
      </c>
      <c r="D41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05" s="47" t="s">
        <v>8134</v>
      </c>
      <c r="G4105" t="s">
        <v>8135</v>
      </c>
      <c r="H41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06" spans="1:8" ht="15" customHeight="1" x14ac:dyDescent="0.25">
      <c r="A4106" t="str">
        <f>MID(TB_CECO[[#This Row],[CECO_T]],1,5)</f>
        <v>4EB24</v>
      </c>
      <c r="B4106" t="str">
        <f>MID(TB_CECO[[#This Row],[TRABAJO]],1,SEARCH(",",TB_CECO[[#This Row],[TRABAJO]],1)-1)</f>
        <v>Hp 025 (Tj 087 NE)</v>
      </c>
      <c r="C41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025 (Tj 087 NE),SOSTENIMIENTO</v>
      </c>
      <c r="D41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06" s="47" t="s">
        <v>8136</v>
      </c>
      <c r="G4106" t="s">
        <v>8137</v>
      </c>
      <c r="H41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07" spans="1:8" ht="15" customHeight="1" x14ac:dyDescent="0.25">
      <c r="A4107" t="str">
        <f>MID(TB_CECO[[#This Row],[CECO_T]],1,5)</f>
        <v>4EB24</v>
      </c>
      <c r="B4107" t="str">
        <f>MID(TB_CECO[[#This Row],[TRABAJO]],1,SEARCH(",",TB_CECO[[#This Row],[TRABAJO]],1)-1)</f>
        <v>Hp 025 (Tj 087 NE)</v>
      </c>
      <c r="C41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025 (Tj 087 NE),SERVICIO</v>
      </c>
      <c r="D41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07" s="47" t="s">
        <v>8138</v>
      </c>
      <c r="G4107" t="s">
        <v>8139</v>
      </c>
      <c r="H41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08" spans="1:8" ht="15" customHeight="1" x14ac:dyDescent="0.25">
      <c r="A4108" t="str">
        <f>MID(TB_CECO[[#This Row],[CECO_T]],1,5)</f>
        <v>4EB24</v>
      </c>
      <c r="B4108" t="str">
        <f>MID(TB_CECO[[#This Row],[TRABAJO]],1,SEARCH(",",TB_CECO[[#This Row],[TRABAJO]],1)-1)</f>
        <v>Hp 025 (Tj 087 NE)</v>
      </c>
      <c r="C41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025 (Tj 087 NE),REHABILITACION</v>
      </c>
      <c r="D41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08" s="47" t="s">
        <v>8140</v>
      </c>
      <c r="G4108" t="s">
        <v>8141</v>
      </c>
      <c r="H41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09" spans="1:8" ht="15" customHeight="1" x14ac:dyDescent="0.25">
      <c r="A4109" t="str">
        <f>MID(TB_CECO[[#This Row],[CECO_T]],1,5)</f>
        <v>4EP01</v>
      </c>
      <c r="B4109" t="str">
        <f>MID(TB_CECO[[#This Row],[TRABAJO]],1,SEARCH(",",TB_CECO[[#This Row],[TRABAJO]],1)-1)</f>
        <v>Pz 076 (Est 076 SW)</v>
      </c>
      <c r="C41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076 (Est 076 SW),SUMINISTROS</v>
      </c>
      <c r="D41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09" s="47" t="s">
        <v>8142</v>
      </c>
      <c r="G4109" t="s">
        <v>8143</v>
      </c>
      <c r="H41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10" spans="1:8" ht="15" customHeight="1" x14ac:dyDescent="0.25">
      <c r="A4110" t="str">
        <f>MID(TB_CECO[[#This Row],[CECO_T]],1,5)</f>
        <v>4EP01</v>
      </c>
      <c r="B4110" t="str">
        <f>MID(TB_CECO[[#This Row],[TRABAJO]],1,SEARCH(",",TB_CECO[[#This Row],[TRABAJO]],1)-1)</f>
        <v>Pz 076 (Est 076 SW)</v>
      </c>
      <c r="C41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076 (Est 076 SW),SOSTENIMIENTO</v>
      </c>
      <c r="D41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10" s="47" t="s">
        <v>8144</v>
      </c>
      <c r="G4110" t="s">
        <v>8145</v>
      </c>
      <c r="H41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11" spans="1:8" ht="15" customHeight="1" x14ac:dyDescent="0.25">
      <c r="A4111" t="str">
        <f>MID(TB_CECO[[#This Row],[CECO_T]],1,5)</f>
        <v>4EP01</v>
      </c>
      <c r="B4111" t="str">
        <f>MID(TB_CECO[[#This Row],[TRABAJO]],1,SEARCH(",",TB_CECO[[#This Row],[TRABAJO]],1)-1)</f>
        <v>Pz 076 (Est 076 SW)</v>
      </c>
      <c r="C41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076 (Est 076 SW),SERVICIO</v>
      </c>
      <c r="D41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11" s="47" t="s">
        <v>8146</v>
      </c>
      <c r="G4111" t="s">
        <v>8147</v>
      </c>
      <c r="H41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12" spans="1:8" ht="15" customHeight="1" x14ac:dyDescent="0.25">
      <c r="A4112" t="str">
        <f>MID(TB_CECO[[#This Row],[CECO_T]],1,5)</f>
        <v>4EP01</v>
      </c>
      <c r="B4112" t="str">
        <f>MID(TB_CECO[[#This Row],[TRABAJO]],1,SEARCH(",",TB_CECO[[#This Row],[TRABAJO]],1)-1)</f>
        <v>Pz 076 (Est 076 SW)</v>
      </c>
      <c r="C41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076 (Est 076 SW),REHABILITACION</v>
      </c>
      <c r="D41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12" s="47" t="s">
        <v>8148</v>
      </c>
      <c r="G4112" t="s">
        <v>8149</v>
      </c>
      <c r="H41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13" spans="1:8" ht="15" customHeight="1" x14ac:dyDescent="0.25">
      <c r="A4113" t="str">
        <f>MID(TB_CECO[[#This Row],[CECO_T]],1,5)</f>
        <v>4G546</v>
      </c>
      <c r="B4113" t="str">
        <f>MID(TB_CECO[[#This Row],[TRABAJO]],1,SEARCH(",",TB_CECO[[#This Row],[TRABAJO]],1)-1)</f>
        <v>Snv 116 SE (Est 108 SE)</v>
      </c>
      <c r="C41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116 SE (Est 108 SE),SUMINISTROS</v>
      </c>
      <c r="D41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13" s="47" t="s">
        <v>8150</v>
      </c>
      <c r="G4113" t="s">
        <v>8151</v>
      </c>
      <c r="H41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14" spans="1:8" ht="15" customHeight="1" x14ac:dyDescent="0.25">
      <c r="A4114" t="str">
        <f>MID(TB_CECO[[#This Row],[CECO_T]],1,5)</f>
        <v>4G546</v>
      </c>
      <c r="B4114" t="str">
        <f>MID(TB_CECO[[#This Row],[TRABAJO]],1,SEARCH(",",TB_CECO[[#This Row],[TRABAJO]],1)-1)</f>
        <v>Snv 116 SE (Est 108 SE)</v>
      </c>
      <c r="C41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116 SE (Est 108 SE),SOSTENIMIENTO</v>
      </c>
      <c r="D41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14" s="47" t="s">
        <v>8152</v>
      </c>
      <c r="G4114" t="s">
        <v>8153</v>
      </c>
      <c r="H41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15" spans="1:8" ht="15" customHeight="1" x14ac:dyDescent="0.25">
      <c r="A4115" t="str">
        <f>MID(TB_CECO[[#This Row],[CECO_T]],1,5)</f>
        <v>4G546</v>
      </c>
      <c r="B4115" t="str">
        <f>MID(TB_CECO[[#This Row],[TRABAJO]],1,SEARCH(",",TB_CECO[[#This Row],[TRABAJO]],1)-1)</f>
        <v>Snv 116 SE (Est 108 SE)</v>
      </c>
      <c r="C41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116 SE (Est 108 SE),SERVICIO</v>
      </c>
      <c r="D41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15" s="47" t="s">
        <v>8154</v>
      </c>
      <c r="G4115" t="s">
        <v>8155</v>
      </c>
      <c r="H41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16" spans="1:8" ht="15" customHeight="1" x14ac:dyDescent="0.25">
      <c r="A4116" t="str">
        <f>MID(TB_CECO[[#This Row],[CECO_T]],1,5)</f>
        <v>4L123</v>
      </c>
      <c r="B4116" t="str">
        <f>MID(TB_CECO[[#This Row],[TRABAJO]],1,SEARCH(",",TB_CECO[[#This Row],[TRABAJO]],1)-1)</f>
        <v>Cx 253 NW (Cx 199 NE)</v>
      </c>
      <c r="C41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253 NW (Cx 199 NE),SUMINISTROS</v>
      </c>
      <c r="D41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16" s="47" t="s">
        <v>8156</v>
      </c>
      <c r="G4116" t="s">
        <v>8157</v>
      </c>
      <c r="H41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17" spans="1:8" ht="15" customHeight="1" x14ac:dyDescent="0.25">
      <c r="A4117" t="str">
        <f>MID(TB_CECO[[#This Row],[CECO_T]],1,5)</f>
        <v>4L123</v>
      </c>
      <c r="B4117" t="str">
        <f>MID(TB_CECO[[#This Row],[TRABAJO]],1,SEARCH(",",TB_CECO[[#This Row],[TRABAJO]],1)-1)</f>
        <v>Cx 253 NW (Cx 199 NE)</v>
      </c>
      <c r="C41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253 NW (Cx 199 NE),SOSTENIMIENTO</v>
      </c>
      <c r="D41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17" s="47" t="s">
        <v>8158</v>
      </c>
      <c r="G4117" t="s">
        <v>8159</v>
      </c>
      <c r="H41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18" spans="1:8" ht="15" customHeight="1" x14ac:dyDescent="0.25">
      <c r="A4118" t="str">
        <f>MID(TB_CECO[[#This Row],[CECO_T]],1,5)</f>
        <v>4L123</v>
      </c>
      <c r="B4118" t="str">
        <f>MID(TB_CECO[[#This Row],[TRABAJO]],1,SEARCH(",",TB_CECO[[#This Row],[TRABAJO]],1)-1)</f>
        <v>Cx 253 NW (Cx 199 NE)</v>
      </c>
      <c r="C41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253 NW (Cx 199 NE),SERVICIO</v>
      </c>
      <c r="D41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18" s="47" t="s">
        <v>8160</v>
      </c>
      <c r="G4118" t="s">
        <v>8161</v>
      </c>
      <c r="H41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19" spans="1:8" ht="15" customHeight="1" x14ac:dyDescent="0.25">
      <c r="A4119" t="str">
        <f>MID(TB_CECO[[#This Row],[CECO_T]],1,5)</f>
        <v>4L123</v>
      </c>
      <c r="B4119" t="str">
        <f>MID(TB_CECO[[#This Row],[TRABAJO]],1,SEARCH(",",TB_CECO[[#This Row],[TRABAJO]],1)-1)</f>
        <v>Cx 253 NW (Cx 199 NE)</v>
      </c>
      <c r="C41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253 NW (Cx 199 NE),REHABILITACION</v>
      </c>
      <c r="D41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19" s="47" t="s">
        <v>8162</v>
      </c>
      <c r="G4119" t="s">
        <v>8163</v>
      </c>
      <c r="H41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20" spans="1:8" ht="15" customHeight="1" x14ac:dyDescent="0.25">
      <c r="A4120" t="str">
        <f>MID(TB_CECO[[#This Row],[CECO_T]],1,5)</f>
        <v>4L125</v>
      </c>
      <c r="B4120" t="str">
        <f>MID(TB_CECO[[#This Row],[TRABAJO]],1,SEARCH(",",TB_CECO[[#This Row],[TRABAJO]],1)-1)</f>
        <v>Cx 248 SE (Cx 236 SE)</v>
      </c>
      <c r="C41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248 SE (Cx 236 SE),SUMINISTROS</v>
      </c>
      <c r="D41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20" s="47" t="s">
        <v>8164</v>
      </c>
      <c r="G4120" t="s">
        <v>8165</v>
      </c>
      <c r="H41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21" spans="1:8" ht="15" customHeight="1" x14ac:dyDescent="0.25">
      <c r="A4121" t="str">
        <f>MID(TB_CECO[[#This Row],[CECO_T]],1,5)</f>
        <v>4L125</v>
      </c>
      <c r="B4121" t="str">
        <f>MID(TB_CECO[[#This Row],[TRABAJO]],1,SEARCH(",",TB_CECO[[#This Row],[TRABAJO]],1)-1)</f>
        <v>Cx 248 SE (Cx 236 SE)</v>
      </c>
      <c r="C41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248 SE (Cx 236 SE),SOSTENIMIENTO</v>
      </c>
      <c r="D41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21" s="47" t="s">
        <v>8166</v>
      </c>
      <c r="G4121" t="s">
        <v>8167</v>
      </c>
      <c r="H41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22" spans="1:8" ht="15" customHeight="1" x14ac:dyDescent="0.25">
      <c r="A4122" t="str">
        <f>MID(TB_CECO[[#This Row],[CECO_T]],1,5)</f>
        <v>4L125</v>
      </c>
      <c r="B4122" t="str">
        <f>MID(TB_CECO[[#This Row],[TRABAJO]],1,SEARCH(",",TB_CECO[[#This Row],[TRABAJO]],1)-1)</f>
        <v>Cx 248 SE (Cx 236 SE)</v>
      </c>
      <c r="C41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248 SE (Cx 236 SE),SERVICIO</v>
      </c>
      <c r="D41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22" s="47" t="s">
        <v>8168</v>
      </c>
      <c r="G4122" t="s">
        <v>8169</v>
      </c>
      <c r="H41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23" spans="1:8" ht="15" customHeight="1" x14ac:dyDescent="0.25">
      <c r="A4123" t="str">
        <f>MID(TB_CECO[[#This Row],[CECO_T]],1,5)</f>
        <v>4L125</v>
      </c>
      <c r="B4123" t="str">
        <f>MID(TB_CECO[[#This Row],[TRABAJO]],1,SEARCH(",",TB_CECO[[#This Row],[TRABAJO]],1)-1)</f>
        <v>Cx 248 SE (Cx 236 SE)</v>
      </c>
      <c r="C41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248 SE (Cx 236 SE),REHABILITACION</v>
      </c>
      <c r="D41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23" s="47" t="s">
        <v>8170</v>
      </c>
      <c r="G4123" t="s">
        <v>8171</v>
      </c>
      <c r="H41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24" spans="1:8" ht="15" customHeight="1" x14ac:dyDescent="0.25">
      <c r="A4124" t="str">
        <f>MID(TB_CECO[[#This Row],[CECO_T]],1,5)</f>
        <v>4L355</v>
      </c>
      <c r="B4124" t="str">
        <f>MID(TB_CECO[[#This Row],[TRABAJO]],1,SEARCH(",",TB_CECO[[#This Row],[TRABAJO]],1)-1)</f>
        <v>Ch 256 (Ven 252 NW)</v>
      </c>
      <c r="C41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256 (Ven 252 NW),SUMINISTROS</v>
      </c>
      <c r="D41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24" s="47" t="s">
        <v>8172</v>
      </c>
      <c r="G4124" t="s">
        <v>8173</v>
      </c>
      <c r="H41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25" spans="1:8" ht="15" customHeight="1" x14ac:dyDescent="0.25">
      <c r="A4125" t="str">
        <f>MID(TB_CECO[[#This Row],[CECO_T]],1,5)</f>
        <v>4L355</v>
      </c>
      <c r="B4125" t="str">
        <f>MID(TB_CECO[[#This Row],[TRABAJO]],1,SEARCH(",",TB_CECO[[#This Row],[TRABAJO]],1)-1)</f>
        <v>Ch 256 (Ven 252 NW)</v>
      </c>
      <c r="C41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256 (Ven 252 NW),SOSTENIMIENTO</v>
      </c>
      <c r="D41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25" s="47" t="s">
        <v>8174</v>
      </c>
      <c r="G4125" t="s">
        <v>8175</v>
      </c>
      <c r="H41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26" spans="1:8" ht="15" customHeight="1" x14ac:dyDescent="0.25">
      <c r="A4126" t="str">
        <f>MID(TB_CECO[[#This Row],[CECO_T]],1,5)</f>
        <v>4L355</v>
      </c>
      <c r="B4126" t="str">
        <f>MID(TB_CECO[[#This Row],[TRABAJO]],1,SEARCH(",",TB_CECO[[#This Row],[TRABAJO]],1)-1)</f>
        <v>Ch 256 (Ven 252 NW)</v>
      </c>
      <c r="C41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256 (Ven 252 NW),SERVICIO</v>
      </c>
      <c r="D41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26" s="47" t="s">
        <v>8176</v>
      </c>
      <c r="G4126" t="s">
        <v>8177</v>
      </c>
      <c r="H41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27" spans="1:8" ht="15" customHeight="1" x14ac:dyDescent="0.25">
      <c r="A4127" t="str">
        <f>MID(TB_CECO[[#This Row],[CECO_T]],1,5)</f>
        <v>4L355</v>
      </c>
      <c r="B4127" t="str">
        <f>MID(TB_CECO[[#This Row],[TRABAJO]],1,SEARCH(",",TB_CECO[[#This Row],[TRABAJO]],1)-1)</f>
        <v>Ch 256 (Ven 252 NW)</v>
      </c>
      <c r="C41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256 (Ven 252 NW),REHABILITACION</v>
      </c>
      <c r="D41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27" s="47" t="s">
        <v>8178</v>
      </c>
      <c r="G4127" t="s">
        <v>8179</v>
      </c>
      <c r="H41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28" spans="1:8" ht="15" customHeight="1" x14ac:dyDescent="0.25">
      <c r="A4128" t="str">
        <f>MID(TB_CECO[[#This Row],[CECO_T]],1,5)</f>
        <v>4L356</v>
      </c>
      <c r="B4128" t="str">
        <f>MID(TB_CECO[[#This Row],[TRABAJO]],1,SEARCH(",",TB_CECO[[#This Row],[TRABAJO]],1)-1)</f>
        <v>Ch 250 (Cx 199 NE)</v>
      </c>
      <c r="C41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250 (Cx 199 NE),SUMINISTROS</v>
      </c>
      <c r="D41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28" s="47" t="s">
        <v>8180</v>
      </c>
      <c r="G4128" t="s">
        <v>8181</v>
      </c>
      <c r="H41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29" spans="1:8" ht="15" customHeight="1" x14ac:dyDescent="0.25">
      <c r="A4129" t="str">
        <f>MID(TB_CECO[[#This Row],[CECO_T]],1,5)</f>
        <v>4L356</v>
      </c>
      <c r="B4129" t="str">
        <f>MID(TB_CECO[[#This Row],[TRABAJO]],1,SEARCH(",",TB_CECO[[#This Row],[TRABAJO]],1)-1)</f>
        <v>Ch 250 (Cx 199 NE)</v>
      </c>
      <c r="C41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250 (Cx 199 NE),SOSTENIMIENTO</v>
      </c>
      <c r="D41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29" s="47" t="s">
        <v>8182</v>
      </c>
      <c r="G4129" t="s">
        <v>8183</v>
      </c>
      <c r="H41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30" spans="1:8" ht="15" customHeight="1" x14ac:dyDescent="0.25">
      <c r="A4130" t="str">
        <f>MID(TB_CECO[[#This Row],[CECO_T]],1,5)</f>
        <v>4L356</v>
      </c>
      <c r="B4130" t="str">
        <f>MID(TB_CECO[[#This Row],[TRABAJO]],1,SEARCH(",",TB_CECO[[#This Row],[TRABAJO]],1)-1)</f>
        <v>Ch 250 (Cx 199 NE)</v>
      </c>
      <c r="C41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250 (Cx 199 NE),SERVICIO</v>
      </c>
      <c r="D41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30" s="47" t="s">
        <v>8184</v>
      </c>
      <c r="G4130" t="s">
        <v>8185</v>
      </c>
      <c r="H41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31" spans="1:8" ht="15" customHeight="1" x14ac:dyDescent="0.25">
      <c r="A4131" t="str">
        <f>MID(TB_CECO[[#This Row],[CECO_T]],1,5)</f>
        <v>4L356</v>
      </c>
      <c r="B4131" t="str">
        <f>MID(TB_CECO[[#This Row],[TRABAJO]],1,SEARCH(",",TB_CECO[[#This Row],[TRABAJO]],1)-1)</f>
        <v>Ch 250 (Cx 199 NE)</v>
      </c>
      <c r="C41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250 (Cx 199 NE),REHABILITACION</v>
      </c>
      <c r="D41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31" s="47" t="s">
        <v>8186</v>
      </c>
      <c r="G4131" t="s">
        <v>8187</v>
      </c>
      <c r="H41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32" spans="1:8" ht="15" customHeight="1" x14ac:dyDescent="0.25">
      <c r="A4132" t="str">
        <f>MID(TB_CECO[[#This Row],[CECO_T]],1,5)</f>
        <v>4L357</v>
      </c>
      <c r="B4132" t="str">
        <f>MID(TB_CECO[[#This Row],[TRABAJO]],1,SEARCH(",",TB_CECO[[#This Row],[TRABAJO]],1)-1)</f>
        <v>Ch 256 (Cx 248 SE)</v>
      </c>
      <c r="C41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256 (Cx 248 SE),SUMINISTROS</v>
      </c>
      <c r="D41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32" s="47" t="s">
        <v>8188</v>
      </c>
      <c r="G4132" t="s">
        <v>8189</v>
      </c>
      <c r="H41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33" spans="1:8" ht="15" customHeight="1" x14ac:dyDescent="0.25">
      <c r="A4133" t="str">
        <f>MID(TB_CECO[[#This Row],[CECO_T]],1,5)</f>
        <v>4L357</v>
      </c>
      <c r="B4133" t="str">
        <f>MID(TB_CECO[[#This Row],[TRABAJO]],1,SEARCH(",",TB_CECO[[#This Row],[TRABAJO]],1)-1)</f>
        <v>Ch 256 (Cx 248 SE)</v>
      </c>
      <c r="C41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256 (Cx 248 SE),SOSTENIMIENTO</v>
      </c>
      <c r="D41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33" s="47" t="s">
        <v>8190</v>
      </c>
      <c r="G4133" t="s">
        <v>8191</v>
      </c>
      <c r="H41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34" spans="1:8" ht="15" customHeight="1" x14ac:dyDescent="0.25">
      <c r="A4134" t="str">
        <f>MID(TB_CECO[[#This Row],[CECO_T]],1,5)</f>
        <v>4L357</v>
      </c>
      <c r="B4134" t="str">
        <f>MID(TB_CECO[[#This Row],[TRABAJO]],1,SEARCH(",",TB_CECO[[#This Row],[TRABAJO]],1)-1)</f>
        <v>Ch 256 (Cx 248 SE)</v>
      </c>
      <c r="C41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256 (Cx 248 SE),SERVICIO</v>
      </c>
      <c r="D41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34" s="47" t="s">
        <v>8192</v>
      </c>
      <c r="G4134" t="s">
        <v>8193</v>
      </c>
      <c r="H41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35" spans="1:8" ht="15" customHeight="1" x14ac:dyDescent="0.25">
      <c r="A4135" t="str">
        <f>MID(TB_CECO[[#This Row],[CECO_T]],1,5)</f>
        <v>4L357</v>
      </c>
      <c r="B4135" t="str">
        <f>MID(TB_CECO[[#This Row],[TRABAJO]],1,SEARCH(",",TB_CECO[[#This Row],[TRABAJO]],1)-1)</f>
        <v>Ch 256 (Cx 248 SE)</v>
      </c>
      <c r="C41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256 (Cx 248 SE),REHABILITACION</v>
      </c>
      <c r="D41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35" s="47" t="s">
        <v>8194</v>
      </c>
      <c r="G4135" t="s">
        <v>8195</v>
      </c>
      <c r="H41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36" spans="1:8" ht="15" customHeight="1" x14ac:dyDescent="0.25">
      <c r="A4136" t="str">
        <f>MID(TB_CECO[[#This Row],[CECO_T]],1,5)</f>
        <v>4L359</v>
      </c>
      <c r="B4136" t="str">
        <f>MID(TB_CECO[[#This Row],[TRABAJO]],1,SEARCH(",",TB_CECO[[#This Row],[TRABAJO]],1)-1)</f>
        <v>Ch 225 (CX 225 SE)</v>
      </c>
      <c r="C41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225 (CX 225 SE),SUMINISTROS</v>
      </c>
      <c r="D41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36" s="47" t="s">
        <v>8196</v>
      </c>
      <c r="G4136" t="s">
        <v>8197</v>
      </c>
      <c r="H41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37" spans="1:8" ht="15" customHeight="1" x14ac:dyDescent="0.25">
      <c r="A4137" t="str">
        <f>MID(TB_CECO[[#This Row],[CECO_T]],1,5)</f>
        <v>4L359</v>
      </c>
      <c r="B4137" t="str">
        <f>MID(TB_CECO[[#This Row],[TRABAJO]],1,SEARCH(",",TB_CECO[[#This Row],[TRABAJO]],1)-1)</f>
        <v>Ch 225 (CX 225 SE)</v>
      </c>
      <c r="C41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225 (CX 225 SE),SOSTENIMIENTO</v>
      </c>
      <c r="D41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37" s="47" t="s">
        <v>8198</v>
      </c>
      <c r="G4137" t="s">
        <v>8199</v>
      </c>
      <c r="H41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38" spans="1:8" ht="15" customHeight="1" x14ac:dyDescent="0.25">
      <c r="A4138" t="str">
        <f>MID(TB_CECO[[#This Row],[CECO_T]],1,5)</f>
        <v>4L359</v>
      </c>
      <c r="B4138" t="str">
        <f>MID(TB_CECO[[#This Row],[TRABAJO]],1,SEARCH(",",TB_CECO[[#This Row],[TRABAJO]],1)-1)</f>
        <v>Ch 225 (CX 225 SE)</v>
      </c>
      <c r="C41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225 (CX 225 SE),SERVICIO</v>
      </c>
      <c r="D41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38" s="47" t="s">
        <v>8200</v>
      </c>
      <c r="G4138" t="s">
        <v>8201</v>
      </c>
      <c r="H41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39" spans="1:8" ht="15" customHeight="1" x14ac:dyDescent="0.25">
      <c r="A4139" t="str">
        <f>MID(TB_CECO[[#This Row],[CECO_T]],1,5)</f>
        <v>4L359</v>
      </c>
      <c r="B4139" t="str">
        <f>MID(TB_CECO[[#This Row],[TRABAJO]],1,SEARCH(",",TB_CECO[[#This Row],[TRABAJO]],1)-1)</f>
        <v>Ch 225 (CX 225 SE)</v>
      </c>
      <c r="C41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225 (CX 225 SE),REHABILITACION</v>
      </c>
      <c r="D41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39" s="47" t="s">
        <v>8202</v>
      </c>
      <c r="G4139" t="s">
        <v>8203</v>
      </c>
      <c r="H41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40" spans="1:8" ht="15" customHeight="1" x14ac:dyDescent="0.25">
      <c r="A4140" t="str">
        <f>MID(TB_CECO[[#This Row],[CECO_T]],1,5)</f>
        <v>4L642</v>
      </c>
      <c r="B4140" t="str">
        <f>MID(TB_CECO[[#This Row],[TRABAJO]],1,SEARCH(",",TB_CECO[[#This Row],[TRABAJO]],1)-1)</f>
        <v>Est 254 NW (Ch 256)</v>
      </c>
      <c r="C41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254 NW (Ch 256),SUMINISTROS</v>
      </c>
      <c r="D41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40" s="47" t="s">
        <v>8204</v>
      </c>
      <c r="G4140" t="s">
        <v>8205</v>
      </c>
      <c r="H41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41" spans="1:8" ht="15" customHeight="1" x14ac:dyDescent="0.25">
      <c r="A4141" t="str">
        <f>MID(TB_CECO[[#This Row],[CECO_T]],1,5)</f>
        <v>4L642</v>
      </c>
      <c r="B4141" t="str">
        <f>MID(TB_CECO[[#This Row],[TRABAJO]],1,SEARCH(",",TB_CECO[[#This Row],[TRABAJO]],1)-1)</f>
        <v>Est 254 NW (Ch 256)</v>
      </c>
      <c r="C41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254 NW (Ch 256),SOSTENIMIENTO</v>
      </c>
      <c r="D41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41" s="47" t="s">
        <v>8206</v>
      </c>
      <c r="G4141" t="s">
        <v>8207</v>
      </c>
      <c r="H41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42" spans="1:8" ht="15" customHeight="1" x14ac:dyDescent="0.25">
      <c r="A4142" t="str">
        <f>MID(TB_CECO[[#This Row],[CECO_T]],1,5)</f>
        <v>4L642</v>
      </c>
      <c r="B4142" t="str">
        <f>MID(TB_CECO[[#This Row],[TRABAJO]],1,SEARCH(",",TB_CECO[[#This Row],[TRABAJO]],1)-1)</f>
        <v>Est 254 NW (Ch 256)</v>
      </c>
      <c r="C41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254 NW (Ch 256),SERVICIO</v>
      </c>
      <c r="D41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42" s="47" t="s">
        <v>8208</v>
      </c>
      <c r="G4142" t="s">
        <v>8209</v>
      </c>
      <c r="H41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43" spans="1:8" ht="15" customHeight="1" x14ac:dyDescent="0.25">
      <c r="A4143" t="str">
        <f>MID(TB_CECO[[#This Row],[CECO_T]],1,5)</f>
        <v>4L642</v>
      </c>
      <c r="B4143" t="str">
        <f>MID(TB_CECO[[#This Row],[TRABAJO]],1,SEARCH(",",TB_CECO[[#This Row],[TRABAJO]],1)-1)</f>
        <v>Est 254 NW (Ch 256)</v>
      </c>
      <c r="C41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254 NW (Ch 256),REHABILITACION</v>
      </c>
      <c r="D41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43" s="47" t="s">
        <v>8210</v>
      </c>
      <c r="G4143" t="s">
        <v>8211</v>
      </c>
      <c r="H41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44" spans="1:8" ht="15" customHeight="1" x14ac:dyDescent="0.25">
      <c r="A4144" t="str">
        <f>MID(TB_CECO[[#This Row],[CECO_T]],1,5)</f>
        <v>4L643</v>
      </c>
      <c r="B4144" t="str">
        <f>MID(TB_CECO[[#This Row],[TRABAJO]],1,SEARCH(",",TB_CECO[[#This Row],[TRABAJO]],1)-1)</f>
        <v>Est 220 SW (Snv 256 SW)</v>
      </c>
      <c r="C41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220 SW (Snv 256 SW),SUMINISTROS</v>
      </c>
      <c r="D41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44" s="47" t="s">
        <v>8212</v>
      </c>
      <c r="G4144" t="s">
        <v>8213</v>
      </c>
      <c r="H41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45" spans="1:8" ht="15" customHeight="1" x14ac:dyDescent="0.25">
      <c r="A4145" t="str">
        <f>MID(TB_CECO[[#This Row],[CECO_T]],1,5)</f>
        <v>4L643</v>
      </c>
      <c r="B4145" t="str">
        <f>MID(TB_CECO[[#This Row],[TRABAJO]],1,SEARCH(",",TB_CECO[[#This Row],[TRABAJO]],1)-1)</f>
        <v>Est 220 SW (Snv 256 SW)</v>
      </c>
      <c r="C41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220 SW (Snv 256 SW),SOSTENIMIENTO</v>
      </c>
      <c r="D41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45" s="47" t="s">
        <v>8214</v>
      </c>
      <c r="G4145" t="s">
        <v>8215</v>
      </c>
      <c r="H41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46" spans="1:8" ht="15" customHeight="1" x14ac:dyDescent="0.25">
      <c r="A4146" t="str">
        <f>MID(TB_CECO[[#This Row],[CECO_T]],1,5)</f>
        <v>4L643</v>
      </c>
      <c r="B4146" t="str">
        <f>MID(TB_CECO[[#This Row],[TRABAJO]],1,SEARCH(",",TB_CECO[[#This Row],[TRABAJO]],1)-1)</f>
        <v>Est 220 SW (Snv 256 SW)</v>
      </c>
      <c r="C41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220 SW (Snv 256 SW),SERVICIO</v>
      </c>
      <c r="D41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46" s="47" t="s">
        <v>8216</v>
      </c>
      <c r="G4146" t="s">
        <v>8217</v>
      </c>
      <c r="H41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47" spans="1:8" ht="15" customHeight="1" x14ac:dyDescent="0.25">
      <c r="A4147" t="str">
        <f>MID(TB_CECO[[#This Row],[CECO_T]],1,5)</f>
        <v>4L643</v>
      </c>
      <c r="B4147" t="str">
        <f>MID(TB_CECO[[#This Row],[TRABAJO]],1,SEARCH(",",TB_CECO[[#This Row],[TRABAJO]],1)-1)</f>
        <v>Est 220 SW (Snv 256 SW)</v>
      </c>
      <c r="C41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220 SW (Snv 256 SW),REHABILITACION</v>
      </c>
      <c r="D41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47" s="47" t="s">
        <v>8218</v>
      </c>
      <c r="G4147" t="s">
        <v>8219</v>
      </c>
      <c r="H41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48" spans="1:8" ht="15" customHeight="1" x14ac:dyDescent="0.25">
      <c r="A4148" t="str">
        <f>MID(TB_CECO[[#This Row],[CECO_T]],1,5)</f>
        <v>4L645</v>
      </c>
      <c r="B4148" t="str">
        <f>MID(TB_CECO[[#This Row],[TRABAJO]],1,SEARCH(",",TB_CECO[[#This Row],[TRABAJO]],1)-1)</f>
        <v>Est 256 SE (Ch 256)</v>
      </c>
      <c r="C41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256 SE (Ch 256),SUMINISTROS</v>
      </c>
      <c r="D41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48" s="47" t="s">
        <v>8220</v>
      </c>
      <c r="G4148" t="s">
        <v>8221</v>
      </c>
      <c r="H41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49" spans="1:8" ht="15" customHeight="1" x14ac:dyDescent="0.25">
      <c r="A4149" t="str">
        <f>MID(TB_CECO[[#This Row],[CECO_T]],1,5)</f>
        <v>4L645</v>
      </c>
      <c r="B4149" t="str">
        <f>MID(TB_CECO[[#This Row],[TRABAJO]],1,SEARCH(",",TB_CECO[[#This Row],[TRABAJO]],1)-1)</f>
        <v>Est 256 SE (Ch 256)</v>
      </c>
      <c r="C41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256 SE (Ch 256),SOSTENIMIENTO</v>
      </c>
      <c r="D41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49" s="47" t="s">
        <v>8222</v>
      </c>
      <c r="G4149" t="s">
        <v>8223</v>
      </c>
      <c r="H41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50" spans="1:8" ht="15" customHeight="1" x14ac:dyDescent="0.25">
      <c r="A4150" t="str">
        <f>MID(TB_CECO[[#This Row],[CECO_T]],1,5)</f>
        <v>4L645</v>
      </c>
      <c r="B4150" t="str">
        <f>MID(TB_CECO[[#This Row],[TRABAJO]],1,SEARCH(",",TB_CECO[[#This Row],[TRABAJO]],1)-1)</f>
        <v>Est 256 SE (Ch 256)</v>
      </c>
      <c r="C41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256 SE (Ch 256),SERVICIO</v>
      </c>
      <c r="D41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50" s="47" t="s">
        <v>8224</v>
      </c>
      <c r="G4150" t="s">
        <v>8225</v>
      </c>
      <c r="H41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51" spans="1:8" ht="15" customHeight="1" x14ac:dyDescent="0.25">
      <c r="A4151" t="str">
        <f>MID(TB_CECO[[#This Row],[CECO_T]],1,5)</f>
        <v>4L645</v>
      </c>
      <c r="B4151" t="str">
        <f>MID(TB_CECO[[#This Row],[TRABAJO]],1,SEARCH(",",TB_CECO[[#This Row],[TRABAJO]],1)-1)</f>
        <v>Est 256 SE (Ch 256)</v>
      </c>
      <c r="C41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256 SE (Ch 256),REHABILITACION</v>
      </c>
      <c r="D41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51" s="47" t="s">
        <v>8226</v>
      </c>
      <c r="G4151" t="s">
        <v>8227</v>
      </c>
      <c r="H41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52" spans="1:8" ht="15" customHeight="1" x14ac:dyDescent="0.25">
      <c r="A4152" t="str">
        <f>MID(TB_CECO[[#This Row],[CECO_T]],1,5)</f>
        <v>4L647</v>
      </c>
      <c r="B4152" t="str">
        <f>MID(TB_CECO[[#This Row],[TRABAJO]],1,SEARCH(",",TB_CECO[[#This Row],[TRABAJO]],1)-1)</f>
        <v>Est 056 NW (Cx 199 NE)</v>
      </c>
      <c r="C41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056 NW (Cx 199 NE),SUMINISTROS</v>
      </c>
      <c r="D41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52" s="47" t="s">
        <v>8228</v>
      </c>
      <c r="G4152" t="s">
        <v>8229</v>
      </c>
      <c r="H41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53" spans="1:8" ht="15" customHeight="1" x14ac:dyDescent="0.25">
      <c r="A4153" t="str">
        <f>MID(TB_CECO[[#This Row],[CECO_T]],1,5)</f>
        <v>4L647</v>
      </c>
      <c r="B4153" t="str">
        <f>MID(TB_CECO[[#This Row],[TRABAJO]],1,SEARCH(",",TB_CECO[[#This Row],[TRABAJO]],1)-1)</f>
        <v>Est 056 NW (Cx 199 NE)</v>
      </c>
      <c r="C41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056 NW (Cx 199 NE),SOSTENIMIENTO</v>
      </c>
      <c r="D41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53" s="47" t="s">
        <v>8230</v>
      </c>
      <c r="G4153" t="s">
        <v>8231</v>
      </c>
      <c r="H41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54" spans="1:8" ht="15" customHeight="1" x14ac:dyDescent="0.25">
      <c r="A4154" t="str">
        <f>MID(TB_CECO[[#This Row],[CECO_T]],1,5)</f>
        <v>4L647</v>
      </c>
      <c r="B4154" t="str">
        <f>MID(TB_CECO[[#This Row],[TRABAJO]],1,SEARCH(",",TB_CECO[[#This Row],[TRABAJO]],1)-1)</f>
        <v>Est 056 NW (Cx 199 NE)</v>
      </c>
      <c r="C41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056 NW (Cx 199 NE),SERVICIO</v>
      </c>
      <c r="D41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54" s="47" t="s">
        <v>8232</v>
      </c>
      <c r="G4154" t="s">
        <v>8233</v>
      </c>
      <c r="H41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55" spans="1:8" ht="15" customHeight="1" x14ac:dyDescent="0.25">
      <c r="A4155" t="str">
        <f>MID(TB_CECO[[#This Row],[CECO_T]],1,5)</f>
        <v>4L647</v>
      </c>
      <c r="B4155" t="str">
        <f>MID(TB_CECO[[#This Row],[TRABAJO]],1,SEARCH(",",TB_CECO[[#This Row],[TRABAJO]],1)-1)</f>
        <v>Est 056 NW (Cx 199 NE)</v>
      </c>
      <c r="C41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056 NW (Cx 199 NE),REHABILITACION</v>
      </c>
      <c r="D41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55" s="47" t="s">
        <v>8234</v>
      </c>
      <c r="G4155" t="s">
        <v>8235</v>
      </c>
      <c r="H41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56" spans="1:8" ht="15" customHeight="1" x14ac:dyDescent="0.25">
      <c r="A4156" t="str">
        <f>MID(TB_CECO[[#This Row],[CECO_T]],1,5)</f>
        <v>4L925</v>
      </c>
      <c r="B4156" t="str">
        <f>MID(TB_CECO[[#This Row],[TRABAJO]],1,SEARCH(",",TB_CECO[[#This Row],[TRABAJO]],1)-1)</f>
        <v>Ven 252 NE (CX 253 NW)</v>
      </c>
      <c r="C41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252 NE (CX 253 NW),SUMINISTROS</v>
      </c>
      <c r="D41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56" s="47" t="s">
        <v>8236</v>
      </c>
      <c r="G4156" t="s">
        <v>8237</v>
      </c>
      <c r="H41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57" spans="1:8" ht="15" customHeight="1" x14ac:dyDescent="0.25">
      <c r="A4157" t="str">
        <f>MID(TB_CECO[[#This Row],[CECO_T]],1,5)</f>
        <v>4L925</v>
      </c>
      <c r="B4157" t="str">
        <f>MID(TB_CECO[[#This Row],[TRABAJO]],1,SEARCH(",",TB_CECO[[#This Row],[TRABAJO]],1)-1)</f>
        <v>Ven 252 NE (CX 253 NW)</v>
      </c>
      <c r="C41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252 NE (CX 253 NW),SOSTENIMIENTO</v>
      </c>
      <c r="D41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57" s="47" t="s">
        <v>8238</v>
      </c>
      <c r="G4157" t="s">
        <v>8239</v>
      </c>
      <c r="H41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58" spans="1:8" ht="15" customHeight="1" x14ac:dyDescent="0.25">
      <c r="A4158" t="str">
        <f>MID(TB_CECO[[#This Row],[CECO_T]],1,5)</f>
        <v>4L925</v>
      </c>
      <c r="B4158" t="str">
        <f>MID(TB_CECO[[#This Row],[TRABAJO]],1,SEARCH(",",TB_CECO[[#This Row],[TRABAJO]],1)-1)</f>
        <v>Ven 252 NE (CX 253 NW)</v>
      </c>
      <c r="C41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252 NE (CX 253 NW),SERVICIO</v>
      </c>
      <c r="D41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58" s="47" t="s">
        <v>8240</v>
      </c>
      <c r="G4158" t="s">
        <v>8241</v>
      </c>
      <c r="H41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59" spans="1:8" ht="15" customHeight="1" x14ac:dyDescent="0.25">
      <c r="A4159" t="str">
        <f>MID(TB_CECO[[#This Row],[CECO_T]],1,5)</f>
        <v>4L925</v>
      </c>
      <c r="B4159" t="str">
        <f>MID(TB_CECO[[#This Row],[TRABAJO]],1,SEARCH(",",TB_CECO[[#This Row],[TRABAJO]],1)-1)</f>
        <v>Ven 252 NE (CX 253 NW)</v>
      </c>
      <c r="C41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Ven 252 NE (CX 253 NW),REHABILITACION</v>
      </c>
      <c r="D41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59" s="47" t="s">
        <v>8242</v>
      </c>
      <c r="G4159" t="s">
        <v>8243</v>
      </c>
      <c r="H41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60" spans="1:8" ht="15" customHeight="1" x14ac:dyDescent="0.25">
      <c r="A4160" t="str">
        <f>MID(TB_CECO[[#This Row],[CECO_T]],1,5)</f>
        <v>53003</v>
      </c>
      <c r="B4160" t="str">
        <f>MID(TB_CECO[[#This Row],[TRABAJO]],1,SEARCH(",",TB_CECO[[#This Row],[TRABAJO]],1)-1)</f>
        <v xml:space="preserve"> GAL 168 SW</v>
      </c>
      <c r="C41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VOLADURA    </v>
      </c>
      <c r="D41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60" s="47" t="s">
        <v>8244</v>
      </c>
      <c r="G4160" t="s">
        <v>8245</v>
      </c>
      <c r="H41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61" spans="1:8" ht="15" customHeight="1" x14ac:dyDescent="0.25">
      <c r="A4161" t="str">
        <f>MID(TB_CECO[[#This Row],[CECO_T]],1,5)</f>
        <v>53003</v>
      </c>
      <c r="B4161" t="str">
        <f>MID(TB_CECO[[#This Row],[TRABAJO]],1,SEARCH(",",TB_CECO[[#This Row],[TRABAJO]],1)-1)</f>
        <v xml:space="preserve"> GAL 168 SW</v>
      </c>
      <c r="C41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CAMINOS     </v>
      </c>
      <c r="D41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61" s="47" t="s">
        <v>8246</v>
      </c>
      <c r="G4161" t="s">
        <v>8247</v>
      </c>
      <c r="H41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62" spans="1:8" ht="15" customHeight="1" x14ac:dyDescent="0.25">
      <c r="A4162" t="str">
        <f>MID(TB_CECO[[#This Row],[CECO_T]],1,5)</f>
        <v>53003</v>
      </c>
      <c r="B4162" t="str">
        <f>MID(TB_CECO[[#This Row],[TRABAJO]],1,SEARCH(",",TB_CECO[[#This Row],[TRABAJO]],1)-1)</f>
        <v xml:space="preserve"> GAL 168 SW</v>
      </c>
      <c r="C41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INST.DE RIEL</v>
      </c>
      <c r="D41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62" s="47" t="s">
        <v>8248</v>
      </c>
      <c r="G4162" t="s">
        <v>8249</v>
      </c>
      <c r="H41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63" spans="1:8" ht="15" customHeight="1" x14ac:dyDescent="0.25">
      <c r="A4163" t="str">
        <f>MID(TB_CECO[[#This Row],[CECO_T]],1,5)</f>
        <v>53003</v>
      </c>
      <c r="B4163" t="str">
        <f>MID(TB_CECO[[#This Row],[TRABAJO]],1,SEARCH(",",TB_CECO[[#This Row],[TRABAJO]],1)-1)</f>
        <v xml:space="preserve"> GAL 168 SW</v>
      </c>
      <c r="C41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REHAB DE LAB</v>
      </c>
      <c r="D41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63" s="47" t="s">
        <v>8250</v>
      </c>
      <c r="G4163" t="s">
        <v>8251</v>
      </c>
      <c r="H41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64" spans="1:8" ht="15" customHeight="1" x14ac:dyDescent="0.25">
      <c r="A4164" t="str">
        <f>MID(TB_CECO[[#This Row],[CECO_T]],1,5)</f>
        <v>53003</v>
      </c>
      <c r="B4164" t="str">
        <f>MID(TB_CECO[[#This Row],[TRABAJO]],1,SEARCH(",",TB_CECO[[#This Row],[TRABAJO]],1)-1)</f>
        <v xml:space="preserve"> GAL 168 SW</v>
      </c>
      <c r="C41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GAL 168 SW, EST. 168, CICLO COMPLE</v>
      </c>
      <c r="D41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4164" s="47" t="s">
        <v>8252</v>
      </c>
      <c r="G4164" t="s">
        <v>8253</v>
      </c>
      <c r="H41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65" spans="1:8" ht="15" customHeight="1" x14ac:dyDescent="0.25">
      <c r="A4165" t="str">
        <f>MID(TB_CECO[[#This Row],[CECO_T]],1,5)</f>
        <v>53218</v>
      </c>
      <c r="B4165" t="str">
        <f>MID(TB_CECO[[#This Row],[TRABAJO]],1,SEARCH(",",TB_CECO[[#This Row],[TRABAJO]],1)-1)</f>
        <v>CH 152</v>
      </c>
      <c r="C41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SW,VOLADURA          </v>
      </c>
      <c r="D41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65" s="47" t="s">
        <v>8254</v>
      </c>
      <c r="G4165" t="s">
        <v>8255</v>
      </c>
      <c r="H41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66" spans="1:8" ht="15" customHeight="1" x14ac:dyDescent="0.25">
      <c r="A4166" t="str">
        <f>MID(TB_CECO[[#This Row],[CECO_T]],1,5)</f>
        <v>53218</v>
      </c>
      <c r="B4166" t="str">
        <f>MID(TB_CECO[[#This Row],[TRABAJO]],1,SEARCH(",",TB_CECO[[#This Row],[TRABAJO]],1)-1)</f>
        <v>CH 152</v>
      </c>
      <c r="C41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SW,CAMINOS           </v>
      </c>
      <c r="D41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66" s="47" t="s">
        <v>8256</v>
      </c>
      <c r="G4166" t="s">
        <v>8257</v>
      </c>
      <c r="H41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67" spans="1:8" ht="15" customHeight="1" x14ac:dyDescent="0.25">
      <c r="A4167" t="str">
        <f>MID(TB_CECO[[#This Row],[CECO_T]],1,5)</f>
        <v>53218</v>
      </c>
      <c r="B4167" t="str">
        <f>MID(TB_CECO[[#This Row],[TRABAJO]],1,SEARCH(",",TB_CECO[[#This Row],[TRABAJO]],1)-1)</f>
        <v>CH 152</v>
      </c>
      <c r="C41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SW,INST.DE RIELES    </v>
      </c>
      <c r="D41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67" s="47" t="s">
        <v>8258</v>
      </c>
      <c r="G4167" t="s">
        <v>8259</v>
      </c>
      <c r="H41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68" spans="1:8" ht="15" customHeight="1" x14ac:dyDescent="0.25">
      <c r="A4168" t="str">
        <f>MID(TB_CECO[[#This Row],[CECO_T]],1,5)</f>
        <v>53218</v>
      </c>
      <c r="B4168" t="str">
        <f>MID(TB_CECO[[#This Row],[TRABAJO]],1,SEARCH(",",TB_CECO[[#This Row],[TRABAJO]],1)-1)</f>
        <v>CH 152</v>
      </c>
      <c r="C41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SW,REHAB DE LABORES  </v>
      </c>
      <c r="D41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68" s="47" t="s">
        <v>8260</v>
      </c>
      <c r="G4168" t="s">
        <v>8261</v>
      </c>
      <c r="H41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69" spans="1:8" ht="15" customHeight="1" x14ac:dyDescent="0.25">
      <c r="A4169" t="str">
        <f>MID(TB_CECO[[#This Row],[CECO_T]],1,5)</f>
        <v>53218</v>
      </c>
      <c r="B4169" t="str">
        <f>MID(TB_CECO[[#This Row],[TRABAJO]],1,SEARCH(",",TB_CECO[[#This Row],[TRABAJO]],1)-1)</f>
        <v>CH 152</v>
      </c>
      <c r="C41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152, GAL 168 SW,CICLO COMPLETO    </v>
      </c>
      <c r="D41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1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69" s="47" t="s">
        <v>8262</v>
      </c>
      <c r="G4169" t="s">
        <v>8263</v>
      </c>
      <c r="H41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170" spans="1:8" ht="15" customHeight="1" x14ac:dyDescent="0.25">
      <c r="A4170" t="str">
        <f>MID(TB_CECO[[#This Row],[CECO_T]],1,5)</f>
        <v>5A725</v>
      </c>
      <c r="B4170" t="str">
        <f>MID(TB_CECO[[#This Row],[TRABAJO]],1,SEARCH(",",TB_CECO[[#This Row],[TRABAJO]],1)-1)</f>
        <v>TJ 070 SW (CH 078)</v>
      </c>
      <c r="C41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070 SW (CH 078),SUMINISTROS    </v>
      </c>
      <c r="D41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70" s="47" t="s">
        <v>8264</v>
      </c>
      <c r="G4170" t="s">
        <v>8265</v>
      </c>
      <c r="H41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71" spans="1:8" ht="15" customHeight="1" x14ac:dyDescent="0.25">
      <c r="A4171" t="str">
        <f>MID(TB_CECO[[#This Row],[CECO_T]],1,5)</f>
        <v>5A725</v>
      </c>
      <c r="B4171" t="str">
        <f>MID(TB_CECO[[#This Row],[TRABAJO]],1,SEARCH(",",TB_CECO[[#This Row],[TRABAJO]],1)-1)</f>
        <v>TJ 070 SW (CH 078)</v>
      </c>
      <c r="C41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070 SW (CH 078),SOSTENIMIENTO  </v>
      </c>
      <c r="D41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71" s="47" t="s">
        <v>8266</v>
      </c>
      <c r="G4171" t="s">
        <v>8267</v>
      </c>
      <c r="H41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72" spans="1:8" ht="15" customHeight="1" x14ac:dyDescent="0.25">
      <c r="A4172" t="str">
        <f>MID(TB_CECO[[#This Row],[CECO_T]],1,5)</f>
        <v>5A725</v>
      </c>
      <c r="B4172" t="str">
        <f>MID(TB_CECO[[#This Row],[TRABAJO]],1,SEARCH(",",TB_CECO[[#This Row],[TRABAJO]],1)-1)</f>
        <v>TJ 070 SW (CH 078)</v>
      </c>
      <c r="C41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070 SW (CH 078),SERVICIO       </v>
      </c>
      <c r="D41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72" s="47" t="s">
        <v>8268</v>
      </c>
      <c r="G4172" t="s">
        <v>8269</v>
      </c>
      <c r="H41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73" spans="1:8" ht="15" customHeight="1" x14ac:dyDescent="0.25">
      <c r="A4173" t="str">
        <f>MID(TB_CECO[[#This Row],[CECO_T]],1,5)</f>
        <v>5A725</v>
      </c>
      <c r="B4173" t="str">
        <f>MID(TB_CECO[[#This Row],[TRABAJO]],1,SEARCH(",",TB_CECO[[#This Row],[TRABAJO]],1)-1)</f>
        <v>TJ 070 SW (CH 078)</v>
      </c>
      <c r="C41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070 SW (CH 078),REHABILITACION </v>
      </c>
      <c r="D41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73" s="47" t="s">
        <v>8270</v>
      </c>
      <c r="G4173" t="s">
        <v>8271</v>
      </c>
      <c r="H41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74" spans="1:8" ht="15" customHeight="1" x14ac:dyDescent="0.25">
      <c r="A4174" t="str">
        <f>MID(TB_CECO[[#This Row],[CECO_T]],1,5)</f>
        <v>5A725</v>
      </c>
      <c r="B4174" t="str">
        <f>MID(TB_CECO[[#This Row],[TRABAJO]],1,SEARCH(",",TB_CECO[[#This Row],[TRABAJO]],1)-1)</f>
        <v>TJ 070 SW (CH 078)</v>
      </c>
      <c r="C41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070 SW (CH 078),REALCE         </v>
      </c>
      <c r="D41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74" s="47" t="s">
        <v>8272</v>
      </c>
      <c r="G4174" t="s">
        <v>8273</v>
      </c>
      <c r="H41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75" spans="1:8" ht="15" customHeight="1" x14ac:dyDescent="0.25">
      <c r="A4175" t="str">
        <f>MID(TB_CECO[[#This Row],[CECO_T]],1,5)</f>
        <v>5A725</v>
      </c>
      <c r="B4175" t="str">
        <f>MID(TB_CECO[[#This Row],[TRABAJO]],1,SEARCH(",",TB_CECO[[#This Row],[TRABAJO]],1)-1)</f>
        <v>TJ 070 SW (CH 078)</v>
      </c>
      <c r="C41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070 SW (CH 078),BREASTING      </v>
      </c>
      <c r="D41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75" s="47" t="s">
        <v>8274</v>
      </c>
      <c r="G4175" t="s">
        <v>8275</v>
      </c>
      <c r="H41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76" spans="1:8" ht="15" customHeight="1" x14ac:dyDescent="0.25">
      <c r="A4176" t="str">
        <f>MID(TB_CECO[[#This Row],[CECO_T]],1,5)</f>
        <v>5A727</v>
      </c>
      <c r="B4176" t="str">
        <f>MID(TB_CECO[[#This Row],[TRABAJO]],1,SEARCH(",",TB_CECO[[#This Row],[TRABAJO]],1)-1)</f>
        <v>TJ 070 SW (CH 078)</v>
      </c>
      <c r="C41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SW (CH 078),SUMINISTROS</v>
      </c>
      <c r="D41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76" s="47" t="s">
        <v>8276</v>
      </c>
      <c r="G4176" t="s">
        <v>8277</v>
      </c>
      <c r="H41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77" spans="1:8" ht="15" customHeight="1" x14ac:dyDescent="0.25">
      <c r="A4177" t="str">
        <f>MID(TB_CECO[[#This Row],[CECO_T]],1,5)</f>
        <v>5A727</v>
      </c>
      <c r="B4177" t="str">
        <f>MID(TB_CECO[[#This Row],[TRABAJO]],1,SEARCH(",",TB_CECO[[#This Row],[TRABAJO]],1)-1)</f>
        <v>TJ 070 SW (CH 078)</v>
      </c>
      <c r="C41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SW (CH 078),SOSTENIMIENTO</v>
      </c>
      <c r="D41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77" s="47" t="s">
        <v>8278</v>
      </c>
      <c r="G4177" t="s">
        <v>8279</v>
      </c>
      <c r="H41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78" spans="1:8" ht="15" customHeight="1" x14ac:dyDescent="0.25">
      <c r="A4178" t="str">
        <f>MID(TB_CECO[[#This Row],[CECO_T]],1,5)</f>
        <v>5A727</v>
      </c>
      <c r="B4178" t="str">
        <f>MID(TB_CECO[[#This Row],[TRABAJO]],1,SEARCH(",",TB_CECO[[#This Row],[TRABAJO]],1)-1)</f>
        <v>TJ 070 SW (CH 078)</v>
      </c>
      <c r="C41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SW (CH 078),SERVICIO</v>
      </c>
      <c r="D41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78" s="47" t="s">
        <v>8280</v>
      </c>
      <c r="G4178" t="s">
        <v>8281</v>
      </c>
      <c r="H41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79" spans="1:8" ht="15" customHeight="1" x14ac:dyDescent="0.25">
      <c r="A4179" t="str">
        <f>MID(TB_CECO[[#This Row],[CECO_T]],1,5)</f>
        <v>5A727</v>
      </c>
      <c r="B4179" t="str">
        <f>MID(TB_CECO[[#This Row],[TRABAJO]],1,SEARCH(",",TB_CECO[[#This Row],[TRABAJO]],1)-1)</f>
        <v>TJ 070 SW (CH 078)</v>
      </c>
      <c r="C41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SW (CH 078),REHABILITACION</v>
      </c>
      <c r="D41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79" s="47" t="s">
        <v>8282</v>
      </c>
      <c r="G4179" t="s">
        <v>8283</v>
      </c>
      <c r="H41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80" spans="1:8" ht="15" customHeight="1" x14ac:dyDescent="0.25">
      <c r="A4180" t="str">
        <f>MID(TB_CECO[[#This Row],[CECO_T]],1,5)</f>
        <v>5A727</v>
      </c>
      <c r="B4180" t="str">
        <f>MID(TB_CECO[[#This Row],[TRABAJO]],1,SEARCH(",",TB_CECO[[#This Row],[TRABAJO]],1)-1)</f>
        <v>TJ 070 SW (CH 078)</v>
      </c>
      <c r="C41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SW (CH 078),REALCE</v>
      </c>
      <c r="D41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80" s="47" t="s">
        <v>8284</v>
      </c>
      <c r="G4180" t="s">
        <v>8285</v>
      </c>
      <c r="H41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81" spans="1:8" ht="15" customHeight="1" x14ac:dyDescent="0.25">
      <c r="A4181" t="str">
        <f>MID(TB_CECO[[#This Row],[CECO_T]],1,5)</f>
        <v>5A727</v>
      </c>
      <c r="B4181" t="str">
        <f>MID(TB_CECO[[#This Row],[TRABAJO]],1,SEARCH(",",TB_CECO[[#This Row],[TRABAJO]],1)-1)</f>
        <v>TJ 070 SW (CH 078)</v>
      </c>
      <c r="C41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SW (CH 078),BREASTING</v>
      </c>
      <c r="D41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81" s="47" t="s">
        <v>8286</v>
      </c>
      <c r="G4181" t="s">
        <v>8287</v>
      </c>
      <c r="H41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82" spans="1:8" ht="15" customHeight="1" x14ac:dyDescent="0.25">
      <c r="A4182" t="str">
        <f>MID(TB_CECO[[#This Row],[CECO_T]],1,5)</f>
        <v>5A728</v>
      </c>
      <c r="B4182" t="str">
        <f>MID(TB_CECO[[#This Row],[TRABAJO]],1,SEARCH(",",TB_CECO[[#This Row],[TRABAJO]],1)-1)</f>
        <v>TJ 070 NE (CH 078)</v>
      </c>
      <c r="C41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NE (CH 078),SUMINISTROS</v>
      </c>
      <c r="D41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82" s="47" t="s">
        <v>8288</v>
      </c>
      <c r="G4182" t="s">
        <v>8289</v>
      </c>
      <c r="H41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83" spans="1:8" ht="15" customHeight="1" x14ac:dyDescent="0.25">
      <c r="A4183" t="str">
        <f>MID(TB_CECO[[#This Row],[CECO_T]],1,5)</f>
        <v>5A728</v>
      </c>
      <c r="B4183" t="str">
        <f>MID(TB_CECO[[#This Row],[TRABAJO]],1,SEARCH(",",TB_CECO[[#This Row],[TRABAJO]],1)-1)</f>
        <v>TJ 070 NE (CH 078)</v>
      </c>
      <c r="C41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NE (CH 078),SOSTENIMIENTO</v>
      </c>
      <c r="D41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83" s="47" t="s">
        <v>8290</v>
      </c>
      <c r="G4183" t="s">
        <v>8291</v>
      </c>
      <c r="H41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84" spans="1:8" ht="15" customHeight="1" x14ac:dyDescent="0.25">
      <c r="A4184" t="str">
        <f>MID(TB_CECO[[#This Row],[CECO_T]],1,5)</f>
        <v>5A728</v>
      </c>
      <c r="B4184" t="str">
        <f>MID(TB_CECO[[#This Row],[TRABAJO]],1,SEARCH(",",TB_CECO[[#This Row],[TRABAJO]],1)-1)</f>
        <v>TJ 070 NE (CH 078)</v>
      </c>
      <c r="C41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NE (CH 078),SERVICIO</v>
      </c>
      <c r="D41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84" s="47" t="s">
        <v>8292</v>
      </c>
      <c r="G4184" t="s">
        <v>8293</v>
      </c>
      <c r="H41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85" spans="1:8" ht="15" customHeight="1" x14ac:dyDescent="0.25">
      <c r="A4185" t="str">
        <f>MID(TB_CECO[[#This Row],[CECO_T]],1,5)</f>
        <v>5A728</v>
      </c>
      <c r="B4185" t="str">
        <f>MID(TB_CECO[[#This Row],[TRABAJO]],1,SEARCH(",",TB_CECO[[#This Row],[TRABAJO]],1)-1)</f>
        <v>TJ 070 NE (CH 078)</v>
      </c>
      <c r="C41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NE (CH 078),REHABILITACION</v>
      </c>
      <c r="D41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85" s="47" t="s">
        <v>8294</v>
      </c>
      <c r="G4185" t="s">
        <v>8295</v>
      </c>
      <c r="H41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86" spans="1:8" ht="15" customHeight="1" x14ac:dyDescent="0.25">
      <c r="A4186" t="str">
        <f>MID(TB_CECO[[#This Row],[CECO_T]],1,5)</f>
        <v>5A728</v>
      </c>
      <c r="B4186" t="str">
        <f>MID(TB_CECO[[#This Row],[TRABAJO]],1,SEARCH(",",TB_CECO[[#This Row],[TRABAJO]],1)-1)</f>
        <v>TJ 070 NE (CH 078)</v>
      </c>
      <c r="C41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NE (CH 078),REALCE</v>
      </c>
      <c r="D41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86" s="47" t="s">
        <v>8296</v>
      </c>
      <c r="G4186" t="s">
        <v>8297</v>
      </c>
      <c r="H41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87" spans="1:8" ht="15" customHeight="1" x14ac:dyDescent="0.25">
      <c r="A4187" t="str">
        <f>MID(TB_CECO[[#This Row],[CECO_T]],1,5)</f>
        <v>5A728</v>
      </c>
      <c r="B4187" t="str">
        <f>MID(TB_CECO[[#This Row],[TRABAJO]],1,SEARCH(",",TB_CECO[[#This Row],[TRABAJO]],1)-1)</f>
        <v>TJ 070 NE (CH 078)</v>
      </c>
      <c r="C41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NE (CH 078),BREASTING</v>
      </c>
      <c r="D41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87" s="47" t="s">
        <v>8298</v>
      </c>
      <c r="G4187" t="s">
        <v>8299</v>
      </c>
      <c r="H41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88" spans="1:8" ht="15" customHeight="1" x14ac:dyDescent="0.25">
      <c r="A4188" t="str">
        <f>MID(TB_CECO[[#This Row],[CECO_T]],1,5)</f>
        <v>5A729</v>
      </c>
      <c r="B4188" t="str">
        <f>MID(TB_CECO[[#This Row],[TRABAJO]],1,SEARCH(",",TB_CECO[[#This Row],[TRABAJO]],1)-1)</f>
        <v>TJ 039 SW (SNV 039)</v>
      </c>
      <c r="C41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039 SW (SNV 039),SUMINISTROS</v>
      </c>
      <c r="D41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88" s="47" t="s">
        <v>8300</v>
      </c>
      <c r="G4188" t="s">
        <v>8301</v>
      </c>
      <c r="H41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89" spans="1:8" ht="15" customHeight="1" x14ac:dyDescent="0.25">
      <c r="A4189" t="str">
        <f>MID(TB_CECO[[#This Row],[CECO_T]],1,5)</f>
        <v>5A729</v>
      </c>
      <c r="B4189" t="str">
        <f>MID(TB_CECO[[#This Row],[TRABAJO]],1,SEARCH(",",TB_CECO[[#This Row],[TRABAJO]],1)-1)</f>
        <v>TJ 039 SW (SNV 039)</v>
      </c>
      <c r="C41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039 SW (SNV 039),SOSTENIMIENTO</v>
      </c>
      <c r="D41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89" s="47" t="s">
        <v>8302</v>
      </c>
      <c r="G4189" t="s">
        <v>8303</v>
      </c>
      <c r="H41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90" spans="1:8" ht="15" customHeight="1" x14ac:dyDescent="0.25">
      <c r="A4190" t="str">
        <f>MID(TB_CECO[[#This Row],[CECO_T]],1,5)</f>
        <v>5A729</v>
      </c>
      <c r="B4190" t="str">
        <f>MID(TB_CECO[[#This Row],[TRABAJO]],1,SEARCH(",",TB_CECO[[#This Row],[TRABAJO]],1)-1)</f>
        <v>TJ 039 SW (SNV 039)</v>
      </c>
      <c r="C41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039 SW (SNV 039),SERVICIO</v>
      </c>
      <c r="D41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90" s="47" t="s">
        <v>8304</v>
      </c>
      <c r="G4190" t="s">
        <v>8305</v>
      </c>
      <c r="H41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91" spans="1:8" ht="15" customHeight="1" x14ac:dyDescent="0.25">
      <c r="A4191" t="str">
        <f>MID(TB_CECO[[#This Row],[CECO_T]],1,5)</f>
        <v>5A729</v>
      </c>
      <c r="B4191" t="str">
        <f>MID(TB_CECO[[#This Row],[TRABAJO]],1,SEARCH(",",TB_CECO[[#This Row],[TRABAJO]],1)-1)</f>
        <v>TJ 039 SW (SNV 039)</v>
      </c>
      <c r="C41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039 SW (SNV 039),REHABILITACION</v>
      </c>
      <c r="D41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91" s="47" t="s">
        <v>8306</v>
      </c>
      <c r="G4191" t="s">
        <v>8307</v>
      </c>
      <c r="H41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92" spans="1:8" ht="15" customHeight="1" x14ac:dyDescent="0.25">
      <c r="A4192" t="str">
        <f>MID(TB_CECO[[#This Row],[CECO_T]],1,5)</f>
        <v>5A729</v>
      </c>
      <c r="B4192" t="str">
        <f>MID(TB_CECO[[#This Row],[TRABAJO]],1,SEARCH(",",TB_CECO[[#This Row],[TRABAJO]],1)-1)</f>
        <v>TJ 039 SW (SNV 039)</v>
      </c>
      <c r="C41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039 SW (SNV 039),REALCE</v>
      </c>
      <c r="D41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92" s="47" t="s">
        <v>8308</v>
      </c>
      <c r="G4192" t="s">
        <v>8309</v>
      </c>
      <c r="H41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93" spans="1:8" ht="15" customHeight="1" x14ac:dyDescent="0.25">
      <c r="A4193" t="str">
        <f>MID(TB_CECO[[#This Row],[CECO_T]],1,5)</f>
        <v>5A729</v>
      </c>
      <c r="B4193" t="str">
        <f>MID(TB_CECO[[#This Row],[TRABAJO]],1,SEARCH(",",TB_CECO[[#This Row],[TRABAJO]],1)-1)</f>
        <v>TJ 039 SW (SNV 039)</v>
      </c>
      <c r="C41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039 SW (SNV 039),BREASTING</v>
      </c>
      <c r="D41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93" s="47" t="s">
        <v>8310</v>
      </c>
      <c r="G4193" t="s">
        <v>8311</v>
      </c>
      <c r="H41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94" spans="1:8" ht="15" customHeight="1" x14ac:dyDescent="0.25">
      <c r="A4194" t="str">
        <f>MID(TB_CECO[[#This Row],[CECO_T]],1,5)</f>
        <v>5A731</v>
      </c>
      <c r="B4194" t="str">
        <f>MID(TB_CECO[[#This Row],[TRABAJO]],1,SEARCH(",",TB_CECO[[#This Row],[TRABAJO]],1)-1)</f>
        <v>TJ 620 (CH 952)</v>
      </c>
      <c r="C41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620 (CH 952),SUMINISTROS</v>
      </c>
      <c r="D41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94" s="47" t="s">
        <v>8312</v>
      </c>
      <c r="G4194" t="s">
        <v>8313</v>
      </c>
      <c r="H41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95" spans="1:8" ht="15" customHeight="1" x14ac:dyDescent="0.25">
      <c r="A4195" t="str">
        <f>MID(TB_CECO[[#This Row],[CECO_T]],1,5)</f>
        <v>5A731</v>
      </c>
      <c r="B4195" t="str">
        <f>MID(TB_CECO[[#This Row],[TRABAJO]],1,SEARCH(",",TB_CECO[[#This Row],[TRABAJO]],1)-1)</f>
        <v>TJ 620 (CH 952)</v>
      </c>
      <c r="C41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620 (CH 952),SOSTENIMIENTO</v>
      </c>
      <c r="D41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95" s="47" t="s">
        <v>8314</v>
      </c>
      <c r="G4195" t="s">
        <v>8315</v>
      </c>
      <c r="H41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96" spans="1:8" ht="15" customHeight="1" x14ac:dyDescent="0.25">
      <c r="A4196" t="str">
        <f>MID(TB_CECO[[#This Row],[CECO_T]],1,5)</f>
        <v>5A731</v>
      </c>
      <c r="B4196" t="str">
        <f>MID(TB_CECO[[#This Row],[TRABAJO]],1,SEARCH(",",TB_CECO[[#This Row],[TRABAJO]],1)-1)</f>
        <v>TJ 620 (CH 952)</v>
      </c>
      <c r="C41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620 (CH 952),SERVICIO</v>
      </c>
      <c r="D41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96" s="47" t="s">
        <v>8316</v>
      </c>
      <c r="G4196" t="s">
        <v>8317</v>
      </c>
      <c r="H41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97" spans="1:8" ht="15" customHeight="1" x14ac:dyDescent="0.25">
      <c r="A4197" t="str">
        <f>MID(TB_CECO[[#This Row],[CECO_T]],1,5)</f>
        <v>5A731</v>
      </c>
      <c r="B4197" t="str">
        <f>MID(TB_CECO[[#This Row],[TRABAJO]],1,SEARCH(",",TB_CECO[[#This Row],[TRABAJO]],1)-1)</f>
        <v>TJ620 (CH 952)</v>
      </c>
      <c r="C41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TJ620 (CH 952),REHABILITACION</v>
      </c>
      <c r="D41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97" s="47" t="s">
        <v>8318</v>
      </c>
      <c r="G4197" t="s">
        <v>8319</v>
      </c>
      <c r="H41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98" spans="1:8" ht="15" customHeight="1" x14ac:dyDescent="0.25">
      <c r="A4198" t="str">
        <f>MID(TB_CECO[[#This Row],[CECO_T]],1,5)</f>
        <v>5B734</v>
      </c>
      <c r="B4198" t="str">
        <f>MID(TB_CECO[[#This Row],[TRABAJO]],1,SEARCH(",",TB_CECO[[#This Row],[TRABAJO]],1)-1)</f>
        <v>TJ 605</v>
      </c>
      <c r="C41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605,SUMINISTROS</v>
      </c>
      <c r="D41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98" s="47" t="s">
        <v>8320</v>
      </c>
      <c r="G4198" t="s">
        <v>8321</v>
      </c>
      <c r="H41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199" spans="1:8" ht="15" customHeight="1" x14ac:dyDescent="0.25">
      <c r="A4199" t="str">
        <f>MID(TB_CECO[[#This Row],[CECO_T]],1,5)</f>
        <v>5B734</v>
      </c>
      <c r="B4199" t="str">
        <f>MID(TB_CECO[[#This Row],[TRABAJO]],1,SEARCH(",",TB_CECO[[#This Row],[TRABAJO]],1)-1)</f>
        <v>TJ 605</v>
      </c>
      <c r="C41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605,SOSTENIMIENTO</v>
      </c>
      <c r="D41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1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199" s="47" t="s">
        <v>8322</v>
      </c>
      <c r="G4199" t="s">
        <v>8323</v>
      </c>
      <c r="H41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00" spans="1:8" ht="15" customHeight="1" x14ac:dyDescent="0.25">
      <c r="A4200" t="str">
        <f>MID(TB_CECO[[#This Row],[CECO_T]],1,5)</f>
        <v>5B734</v>
      </c>
      <c r="B4200" t="str">
        <f>MID(TB_CECO[[#This Row],[TRABAJO]],1,SEARCH(",",TB_CECO[[#This Row],[TRABAJO]],1)-1)</f>
        <v>TJ 605</v>
      </c>
      <c r="C42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605,SERVICIO</v>
      </c>
      <c r="D42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00" s="47" t="s">
        <v>8324</v>
      </c>
      <c r="G4200" t="s">
        <v>8325</v>
      </c>
      <c r="H42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01" spans="1:8" ht="15" customHeight="1" x14ac:dyDescent="0.25">
      <c r="A4201" t="str">
        <f>MID(TB_CECO[[#This Row],[CECO_T]],1,5)</f>
        <v>5B734</v>
      </c>
      <c r="B4201" t="str">
        <f>MID(TB_CECO[[#This Row],[TRABAJO]],1,SEARCH(",",TB_CECO[[#This Row],[TRABAJO]],1)-1)</f>
        <v>TJ 605</v>
      </c>
      <c r="C42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605,REHABILITACION</v>
      </c>
      <c r="D42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01" s="47" t="s">
        <v>8326</v>
      </c>
      <c r="G4201" t="s">
        <v>8327</v>
      </c>
      <c r="H42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02" spans="1:8" ht="15" customHeight="1" x14ac:dyDescent="0.25">
      <c r="A4202" t="str">
        <f>MID(TB_CECO[[#This Row],[CECO_T]],1,5)</f>
        <v>5B734</v>
      </c>
      <c r="B4202" t="str">
        <f>MID(TB_CECO[[#This Row],[TRABAJO]],1,SEARCH(",",TB_CECO[[#This Row],[TRABAJO]],1)-1)</f>
        <v>TJ 605</v>
      </c>
      <c r="C42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605,REALCE</v>
      </c>
      <c r="D42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02" s="47" t="s">
        <v>8328</v>
      </c>
      <c r="G4202" t="s">
        <v>8329</v>
      </c>
      <c r="H42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03" spans="1:8" ht="15" customHeight="1" x14ac:dyDescent="0.25">
      <c r="A4203" t="str">
        <f>MID(TB_CECO[[#This Row],[CECO_T]],1,5)</f>
        <v>5B734</v>
      </c>
      <c r="B4203" t="str">
        <f>MID(TB_CECO[[#This Row],[TRABAJO]],1,SEARCH(",",TB_CECO[[#This Row],[TRABAJO]],1)-1)</f>
        <v>TJ 605</v>
      </c>
      <c r="C42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605,BREASTING</v>
      </c>
      <c r="D42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03" s="47" t="s">
        <v>8330</v>
      </c>
      <c r="G4203" t="s">
        <v>8331</v>
      </c>
      <c r="H42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04" spans="1:8" ht="15" customHeight="1" x14ac:dyDescent="0.25">
      <c r="A4204" t="str">
        <f>MID(TB_CECO[[#This Row],[CECO_T]],1,5)</f>
        <v>5B756</v>
      </c>
      <c r="B4204" t="str">
        <f>MID(TB_CECO[[#This Row],[TRABAJO]],1,SEARCH(",",TB_CECO[[#This Row],[TRABAJO]],1)-1)</f>
        <v>TJ 618  SW (INCL 618 SE)</v>
      </c>
      <c r="C42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618  SW (INCL 618 SE),SUMINISTROS</v>
      </c>
      <c r="D42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04" s="47" t="s">
        <v>8332</v>
      </c>
      <c r="G4204" t="s">
        <v>8333</v>
      </c>
      <c r="H42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05" spans="1:8" ht="15" customHeight="1" x14ac:dyDescent="0.25">
      <c r="A4205" t="str">
        <f>MID(TB_CECO[[#This Row],[CECO_T]],1,5)</f>
        <v>5B756</v>
      </c>
      <c r="B4205" t="str">
        <f>MID(TB_CECO[[#This Row],[TRABAJO]],1,SEARCH(",",TB_CECO[[#This Row],[TRABAJO]],1)-1)</f>
        <v>TJ 618  SW (INCL 618 SE)</v>
      </c>
      <c r="C42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618  SW (INCL 618 SE),SOSTENIMIENTO</v>
      </c>
      <c r="D42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05" s="47" t="s">
        <v>8334</v>
      </c>
      <c r="G4205" t="s">
        <v>8335</v>
      </c>
      <c r="H42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06" spans="1:8" ht="15" customHeight="1" x14ac:dyDescent="0.25">
      <c r="A4206" t="str">
        <f>MID(TB_CECO[[#This Row],[CECO_T]],1,5)</f>
        <v>5B756</v>
      </c>
      <c r="B4206" t="str">
        <f>MID(TB_CECO[[#This Row],[TRABAJO]],1,SEARCH(",",TB_CECO[[#This Row],[TRABAJO]],1)-1)</f>
        <v>TJ 618  SW (INCL 618 SE)</v>
      </c>
      <c r="C42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618  SW (INCL 618 SE),SERVICIO</v>
      </c>
      <c r="D42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06" s="47" t="s">
        <v>8336</v>
      </c>
      <c r="G4206" t="s">
        <v>8337</v>
      </c>
      <c r="H42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07" spans="1:8" ht="15" customHeight="1" x14ac:dyDescent="0.25">
      <c r="A4207" t="str">
        <f>MID(TB_CECO[[#This Row],[CECO_T]],1,5)</f>
        <v>5B756</v>
      </c>
      <c r="B4207" t="str">
        <f>MID(TB_CECO[[#This Row],[TRABAJO]],1,SEARCH(",",TB_CECO[[#This Row],[TRABAJO]],1)-1)</f>
        <v>TJ 618  SW (INCL 618 SE)</v>
      </c>
      <c r="C42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618  SW (INCL 618 SE),REHABILITACION</v>
      </c>
      <c r="D42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07" s="47" t="s">
        <v>8338</v>
      </c>
      <c r="G4207" t="s">
        <v>8339</v>
      </c>
      <c r="H42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08" spans="1:8" ht="15" customHeight="1" x14ac:dyDescent="0.25">
      <c r="A4208" t="str">
        <f>MID(TB_CECO[[#This Row],[CECO_T]],1,5)</f>
        <v>5B757</v>
      </c>
      <c r="B4208" t="str">
        <f>MID(TB_CECO[[#This Row],[TRABAJO]],1,SEARCH(",",TB_CECO[[#This Row],[TRABAJO]],1)-1)</f>
        <v>TJ 618  NE (INCL 618 SE)</v>
      </c>
      <c r="C42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618  NE (INCL 618 SE),SUMINISTROS</v>
      </c>
      <c r="D42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08" s="47" t="s">
        <v>8340</v>
      </c>
      <c r="G4208" t="s">
        <v>8341</v>
      </c>
      <c r="H42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09" spans="1:8" ht="15" customHeight="1" x14ac:dyDescent="0.25">
      <c r="A4209" t="str">
        <f>MID(TB_CECO[[#This Row],[CECO_T]],1,5)</f>
        <v>5B757</v>
      </c>
      <c r="B4209" t="str">
        <f>MID(TB_CECO[[#This Row],[TRABAJO]],1,SEARCH(",",TB_CECO[[#This Row],[TRABAJO]],1)-1)</f>
        <v>TJ 618  NE (INCL 618 SE)</v>
      </c>
      <c r="C42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618  NE (INCL 618 SE),SOSTENIMIENTO</v>
      </c>
      <c r="D42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09" s="47" t="s">
        <v>8342</v>
      </c>
      <c r="G4209" t="s">
        <v>8343</v>
      </c>
      <c r="H42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10" spans="1:8" ht="15" customHeight="1" x14ac:dyDescent="0.25">
      <c r="A4210" t="str">
        <f>MID(TB_CECO[[#This Row],[CECO_T]],1,5)</f>
        <v>5B757</v>
      </c>
      <c r="B4210" t="str">
        <f>MID(TB_CECO[[#This Row],[TRABAJO]],1,SEARCH(",",TB_CECO[[#This Row],[TRABAJO]],1)-1)</f>
        <v>TJ 618  NE (INCL 618 SE)</v>
      </c>
      <c r="C42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618  NE (INCL 618 SE),SERVICIO</v>
      </c>
      <c r="D42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10" s="47" t="s">
        <v>8344</v>
      </c>
      <c r="G4210" t="s">
        <v>8345</v>
      </c>
      <c r="H42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11" spans="1:8" ht="15" customHeight="1" x14ac:dyDescent="0.25">
      <c r="A4211" t="str">
        <f>MID(TB_CECO[[#This Row],[CECO_T]],1,5)</f>
        <v>5B757</v>
      </c>
      <c r="B4211" t="str">
        <f>MID(TB_CECO[[#This Row],[TRABAJO]],1,SEARCH(",",TB_CECO[[#This Row],[TRABAJO]],1)-1)</f>
        <v>TJ 618  NE (INCL 618 SE)</v>
      </c>
      <c r="C42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618  NE (INCL 618 SE),REHABILITACION</v>
      </c>
      <c r="D42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11" s="47" t="s">
        <v>8346</v>
      </c>
      <c r="G4211" t="s">
        <v>8347</v>
      </c>
      <c r="H42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12" spans="1:8" ht="15" customHeight="1" x14ac:dyDescent="0.25">
      <c r="A4212" t="str">
        <f>MID(TB_CECO[[#This Row],[CECO_T]],1,5)</f>
        <v>5B759</v>
      </c>
      <c r="B4212" t="str">
        <f>MID(TB_CECO[[#This Row],[TRABAJO]],1,SEARCH(",",TB_CECO[[#This Row],[TRABAJO]],1)-1)</f>
        <v>TJ 626 NW  (CH 605)</v>
      </c>
      <c r="C42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626 NW  (CH 605),SUMINISTROS</v>
      </c>
      <c r="D42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12" s="47" t="s">
        <v>8348</v>
      </c>
      <c r="G4212" t="s">
        <v>8349</v>
      </c>
      <c r="H42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13" spans="1:8" ht="15" customHeight="1" x14ac:dyDescent="0.25">
      <c r="A4213" t="str">
        <f>MID(TB_CECO[[#This Row],[CECO_T]],1,5)</f>
        <v>5B759</v>
      </c>
      <c r="B4213" t="str">
        <f>MID(TB_CECO[[#This Row],[TRABAJO]],1,SEARCH(",",TB_CECO[[#This Row],[TRABAJO]],1)-1)</f>
        <v>TJ 626 NW  (CH 605)</v>
      </c>
      <c r="C42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626 NW  (CH 605),SOSTENIMIENTO</v>
      </c>
      <c r="D42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13" s="47" t="s">
        <v>8350</v>
      </c>
      <c r="G4213" t="s">
        <v>8351</v>
      </c>
      <c r="H42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14" spans="1:8" ht="15" customHeight="1" x14ac:dyDescent="0.25">
      <c r="A4214" t="str">
        <f>MID(TB_CECO[[#This Row],[CECO_T]],1,5)</f>
        <v>5B759</v>
      </c>
      <c r="B4214" t="str">
        <f>MID(TB_CECO[[#This Row],[TRABAJO]],1,SEARCH(",",TB_CECO[[#This Row],[TRABAJO]],1)-1)</f>
        <v>TJ 626 NW  (CH 605)</v>
      </c>
      <c r="C42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626 NW  (CH 605),SERVICIO</v>
      </c>
      <c r="D42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14" s="47" t="s">
        <v>8352</v>
      </c>
      <c r="G4214" t="s">
        <v>8353</v>
      </c>
      <c r="H42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15" spans="1:8" ht="15" customHeight="1" x14ac:dyDescent="0.25">
      <c r="A4215" t="str">
        <f>MID(TB_CECO[[#This Row],[CECO_T]],1,5)</f>
        <v>5B759</v>
      </c>
      <c r="B4215" t="str">
        <f>MID(TB_CECO[[#This Row],[TRABAJO]],1,SEARCH(",",TB_CECO[[#This Row],[TRABAJO]],1)-1)</f>
        <v>TJ 626 NW  (CH 605)</v>
      </c>
      <c r="C42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626 NW  (CH 605),REHABILITACION</v>
      </c>
      <c r="D42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15" s="47" t="s">
        <v>8354</v>
      </c>
      <c r="G4215" t="s">
        <v>8355</v>
      </c>
      <c r="H42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16" spans="1:8" ht="15" customHeight="1" x14ac:dyDescent="0.25">
      <c r="A4216" t="str">
        <f>MID(TB_CECO[[#This Row],[CECO_T]],1,5)</f>
        <v>5B760</v>
      </c>
      <c r="B4216" t="str">
        <f>MID(TB_CECO[[#This Row],[TRABAJO]],1,SEARCH(",",TB_CECO[[#This Row],[TRABAJO]],1)-1)</f>
        <v>TJ 626 SE  (CH 605)</v>
      </c>
      <c r="C42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626 SE  (CH 605),SUMINISTROS</v>
      </c>
      <c r="D42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16" s="47" t="s">
        <v>8356</v>
      </c>
      <c r="G4216" t="s">
        <v>8357</v>
      </c>
      <c r="H42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17" spans="1:8" ht="15" customHeight="1" x14ac:dyDescent="0.25">
      <c r="A4217" t="str">
        <f>MID(TB_CECO[[#This Row],[CECO_T]],1,5)</f>
        <v>5B760</v>
      </c>
      <c r="B4217" t="str">
        <f>MID(TB_CECO[[#This Row],[TRABAJO]],1,SEARCH(",",TB_CECO[[#This Row],[TRABAJO]],1)-1)</f>
        <v>TJ 626 SE  (CH 605)</v>
      </c>
      <c r="C42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626 SE  (CH 605),SOSTENIMIENTO</v>
      </c>
      <c r="D42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17" s="47" t="s">
        <v>8358</v>
      </c>
      <c r="G4217" t="s">
        <v>8359</v>
      </c>
      <c r="H42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18" spans="1:8" ht="15" customHeight="1" x14ac:dyDescent="0.25">
      <c r="A4218" t="str">
        <f>MID(TB_CECO[[#This Row],[CECO_T]],1,5)</f>
        <v>5B760</v>
      </c>
      <c r="B4218" t="str">
        <f>MID(TB_CECO[[#This Row],[TRABAJO]],1,SEARCH(",",TB_CECO[[#This Row],[TRABAJO]],1)-1)</f>
        <v>TJ 626 SE  (CH 605)</v>
      </c>
      <c r="C42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626 SE  (CH 605),SERVICIO</v>
      </c>
      <c r="D42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18" s="47" t="s">
        <v>8360</v>
      </c>
      <c r="G4218" t="s">
        <v>8361</v>
      </c>
      <c r="H42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19" spans="1:8" ht="15" customHeight="1" x14ac:dyDescent="0.25">
      <c r="A4219" t="str">
        <f>MID(TB_CECO[[#This Row],[CECO_T]],1,5)</f>
        <v>5B760</v>
      </c>
      <c r="B4219" t="str">
        <f>MID(TB_CECO[[#This Row],[TRABAJO]],1,SEARCH(",",TB_CECO[[#This Row],[TRABAJO]],1)-1)</f>
        <v>TJ 626 SE  (CH 605)</v>
      </c>
      <c r="C42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626 SE  (CH 605),REHABILITACION</v>
      </c>
      <c r="D42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19" s="47" t="s">
        <v>8362</v>
      </c>
      <c r="G4219" t="s">
        <v>8363</v>
      </c>
      <c r="H42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20" spans="1:8" ht="15" customHeight="1" x14ac:dyDescent="0.25">
      <c r="A4220" t="str">
        <f>MID(TB_CECO[[#This Row],[CECO_T]],1,5)</f>
        <v>5C740</v>
      </c>
      <c r="B4220" t="str">
        <f>MID(TB_CECO[[#This Row],[TRABAJO]],1,SEARCH(",",TB_CECO[[#This Row],[TRABAJO]],1)-1)</f>
        <v>TJ 862 NE (CH 862)</v>
      </c>
      <c r="C42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 NE (CH 862),SUMINISTROS</v>
      </c>
      <c r="D42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20" s="47" t="s">
        <v>8364</v>
      </c>
      <c r="G4220" t="s">
        <v>8365</v>
      </c>
      <c r="H42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21" spans="1:8" ht="15" customHeight="1" x14ac:dyDescent="0.25">
      <c r="A4221" t="str">
        <f>MID(TB_CECO[[#This Row],[CECO_T]],1,5)</f>
        <v>5C740</v>
      </c>
      <c r="B4221" t="str">
        <f>MID(TB_CECO[[#This Row],[TRABAJO]],1,SEARCH(",",TB_CECO[[#This Row],[TRABAJO]],1)-1)</f>
        <v>TJ 862 NE (CH 862)</v>
      </c>
      <c r="C42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 NE (CH 862),SOSTENIMIENTO</v>
      </c>
      <c r="D42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21" s="47" t="s">
        <v>8366</v>
      </c>
      <c r="G4221" t="s">
        <v>8367</v>
      </c>
      <c r="H42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22" spans="1:8" ht="15" customHeight="1" x14ac:dyDescent="0.25">
      <c r="A4222" t="str">
        <f>MID(TB_CECO[[#This Row],[CECO_T]],1,5)</f>
        <v>5C740</v>
      </c>
      <c r="B4222" t="str">
        <f>MID(TB_CECO[[#This Row],[TRABAJO]],1,SEARCH(",",TB_CECO[[#This Row],[TRABAJO]],1)-1)</f>
        <v>TJ 862 NE (CH 862)</v>
      </c>
      <c r="C42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 NE (CH 862),SERVICIO</v>
      </c>
      <c r="D42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22" s="47" t="s">
        <v>8368</v>
      </c>
      <c r="G4222" t="s">
        <v>8369</v>
      </c>
      <c r="H42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23" spans="1:8" ht="15" customHeight="1" x14ac:dyDescent="0.25">
      <c r="A4223" t="str">
        <f>MID(TB_CECO[[#This Row],[CECO_T]],1,5)</f>
        <v>5C740</v>
      </c>
      <c r="B4223" t="str">
        <f>MID(TB_CECO[[#This Row],[TRABAJO]],1,SEARCH(",",TB_CECO[[#This Row],[TRABAJO]],1)-1)</f>
        <v>TJ 862 NE (CH 862)</v>
      </c>
      <c r="C42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 NE (CH 862),REHABILITACION</v>
      </c>
      <c r="D42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23" s="47" t="s">
        <v>8370</v>
      </c>
      <c r="G4223" t="s">
        <v>8371</v>
      </c>
      <c r="H42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24" spans="1:8" ht="15" customHeight="1" x14ac:dyDescent="0.25">
      <c r="A4224" t="str">
        <f>MID(TB_CECO[[#This Row],[CECO_T]],1,5)</f>
        <v>5C741</v>
      </c>
      <c r="B4224" t="str">
        <f>MID(TB_CECO[[#This Row],[TRABAJO]],1,SEARCH(",",TB_CECO[[#This Row],[TRABAJO]],1)-1)</f>
        <v>TJ 862 SW (CH 862)</v>
      </c>
      <c r="C42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 SW (CH 862),SUMINISTROS</v>
      </c>
      <c r="D42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24" s="47" t="s">
        <v>8372</v>
      </c>
      <c r="G4224" t="s">
        <v>8373</v>
      </c>
      <c r="H42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25" spans="1:8" ht="15" customHeight="1" x14ac:dyDescent="0.25">
      <c r="A4225" t="str">
        <f>MID(TB_CECO[[#This Row],[CECO_T]],1,5)</f>
        <v>5C741</v>
      </c>
      <c r="B4225" t="str">
        <f>MID(TB_CECO[[#This Row],[TRABAJO]],1,SEARCH(",",TB_CECO[[#This Row],[TRABAJO]],1)-1)</f>
        <v>TJ 862 SW (CH 862)</v>
      </c>
      <c r="C42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 SW (CH 862),SOSTENIMIENTO</v>
      </c>
      <c r="D42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25" s="47" t="s">
        <v>8374</v>
      </c>
      <c r="G4225" t="s">
        <v>8375</v>
      </c>
      <c r="H42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26" spans="1:8" ht="15" customHeight="1" x14ac:dyDescent="0.25">
      <c r="A4226" t="str">
        <f>MID(TB_CECO[[#This Row],[CECO_T]],1,5)</f>
        <v>5C741</v>
      </c>
      <c r="B4226" t="str">
        <f>MID(TB_CECO[[#This Row],[TRABAJO]],1,SEARCH(",",TB_CECO[[#This Row],[TRABAJO]],1)-1)</f>
        <v>TJ 862 SW (CH 862)</v>
      </c>
      <c r="C42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 SW (CH 862),SERVICIO</v>
      </c>
      <c r="D42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26" s="47" t="s">
        <v>8376</v>
      </c>
      <c r="G4226" t="s">
        <v>8377</v>
      </c>
      <c r="H42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27" spans="1:8" ht="15" customHeight="1" x14ac:dyDescent="0.25">
      <c r="A4227" t="str">
        <f>MID(TB_CECO[[#This Row],[CECO_T]],1,5)</f>
        <v>5C741</v>
      </c>
      <c r="B4227" t="str">
        <f>MID(TB_CECO[[#This Row],[TRABAJO]],1,SEARCH(",",TB_CECO[[#This Row],[TRABAJO]],1)-1)</f>
        <v>TJ 862 SW (CH 862)</v>
      </c>
      <c r="C42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 SW (CH 862),REHABILITACION</v>
      </c>
      <c r="D42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27" s="47" t="s">
        <v>8378</v>
      </c>
      <c r="G4227" t="s">
        <v>8379</v>
      </c>
      <c r="H42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28" spans="1:8" ht="15" customHeight="1" x14ac:dyDescent="0.25">
      <c r="A4228" t="str">
        <f>MID(TB_CECO[[#This Row],[CECO_T]],1,5)</f>
        <v>5C742</v>
      </c>
      <c r="B4228" t="str">
        <f>MID(TB_CECO[[#This Row],[TRABAJO]],1,SEARCH(",",TB_CECO[[#This Row],[TRABAJO]],1)-1)</f>
        <v>TJ 862-1 NE (CH 862-1)</v>
      </c>
      <c r="C42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862-1 NE (CH 862-1),SUMINISTROS</v>
      </c>
      <c r="D42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28" s="47" t="s">
        <v>8380</v>
      </c>
      <c r="G4228" t="s">
        <v>8381</v>
      </c>
      <c r="H42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29" spans="1:8" ht="15" customHeight="1" x14ac:dyDescent="0.25">
      <c r="A4229" t="str">
        <f>MID(TB_CECO[[#This Row],[CECO_T]],1,5)</f>
        <v>5C742</v>
      </c>
      <c r="B4229" t="str">
        <f>MID(TB_CECO[[#This Row],[TRABAJO]],1,SEARCH(",",TB_CECO[[#This Row],[TRABAJO]],1)-1)</f>
        <v>TJ 862-1 NE (CH 862-1)</v>
      </c>
      <c r="C42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862-1 NE (CH 862-1),SOSTENIMIENTO</v>
      </c>
      <c r="D42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29" s="47" t="s">
        <v>8382</v>
      </c>
      <c r="G4229" t="s">
        <v>8383</v>
      </c>
      <c r="H42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30" spans="1:8" ht="15" customHeight="1" x14ac:dyDescent="0.25">
      <c r="A4230" t="str">
        <f>MID(TB_CECO[[#This Row],[CECO_T]],1,5)</f>
        <v>5C742</v>
      </c>
      <c r="B4230" t="str">
        <f>MID(TB_CECO[[#This Row],[TRABAJO]],1,SEARCH(",",TB_CECO[[#This Row],[TRABAJO]],1)-1)</f>
        <v>TJ 862-1 NE (CH 862-1)</v>
      </c>
      <c r="C42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862-1 NE (CH 862-1),SERVICIO</v>
      </c>
      <c r="D42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30" s="47" t="s">
        <v>8384</v>
      </c>
      <c r="G4230" t="s">
        <v>8385</v>
      </c>
      <c r="H42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31" spans="1:8" ht="15" customHeight="1" x14ac:dyDescent="0.25">
      <c r="A4231" t="str">
        <f>MID(TB_CECO[[#This Row],[CECO_T]],1,5)</f>
        <v>5C742</v>
      </c>
      <c r="B4231" t="str">
        <f>MID(TB_CECO[[#This Row],[TRABAJO]],1,SEARCH(",",TB_CECO[[#This Row],[TRABAJO]],1)-1)</f>
        <v>TJ 862-1 NE (CH 862-1)</v>
      </c>
      <c r="C42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862-1 NE (CH 862-1),REHABILITACION</v>
      </c>
      <c r="D42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31" s="47" t="s">
        <v>8386</v>
      </c>
      <c r="G4231" t="s">
        <v>8387</v>
      </c>
      <c r="H42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32" spans="1:8" ht="15" customHeight="1" x14ac:dyDescent="0.25">
      <c r="A4232" t="str">
        <f>MID(TB_CECO[[#This Row],[CECO_T]],1,5)</f>
        <v>5C742</v>
      </c>
      <c r="B4232" t="str">
        <f>MID(TB_CECO[[#This Row],[TRABAJO]],1,SEARCH(",",TB_CECO[[#This Row],[TRABAJO]],1)-1)</f>
        <v>TJ 862-1 NE (CH 862-1)</v>
      </c>
      <c r="C42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862-1 NE (CH 862-1),REALCE</v>
      </c>
      <c r="D42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32" s="47" t="s">
        <v>8388</v>
      </c>
      <c r="G4232" t="s">
        <v>8389</v>
      </c>
      <c r="H42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33" spans="1:8" ht="15" customHeight="1" x14ac:dyDescent="0.25">
      <c r="A4233" t="str">
        <f>MID(TB_CECO[[#This Row],[CECO_T]],1,5)</f>
        <v>5C742</v>
      </c>
      <c r="B4233" t="str">
        <f>MID(TB_CECO[[#This Row],[TRABAJO]],1,SEARCH(",",TB_CECO[[#This Row],[TRABAJO]],1)-1)</f>
        <v>TJ 862-1 NE (CH 862-1)</v>
      </c>
      <c r="C42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862-1 NE (CH 862-1),BREASTING</v>
      </c>
      <c r="D42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33" s="47" t="s">
        <v>8390</v>
      </c>
      <c r="G4233" t="s">
        <v>8391</v>
      </c>
      <c r="H42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34" spans="1:8" ht="15" customHeight="1" x14ac:dyDescent="0.25">
      <c r="A4234" t="str">
        <f>MID(TB_CECO[[#This Row],[CECO_T]],1,5)</f>
        <v>5C742</v>
      </c>
      <c r="B4234" t="str">
        <f>MID(TB_CECO[[#This Row],[TRABAJO]],1,SEARCH(",",TB_CECO[[#This Row],[TRABAJO]],1)-1)</f>
        <v>TJ 862-1 NE (CH 862-1)</v>
      </c>
      <c r="C42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862-1 NE (CH 862-1),RELLENO</v>
      </c>
      <c r="D42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42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34" s="47" t="s">
        <v>8392</v>
      </c>
      <c r="G4234" t="s">
        <v>8393</v>
      </c>
      <c r="H42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35" spans="1:8" ht="15" customHeight="1" x14ac:dyDescent="0.25">
      <c r="A4235" t="str">
        <f>MID(TB_CECO[[#This Row],[CECO_T]],1,5)</f>
        <v>5C773</v>
      </c>
      <c r="B4235" t="str">
        <f>MID(TB_CECO[[#This Row],[TRABAJO]],1,SEARCH(",",TB_CECO[[#This Row],[TRABAJO]],1)-1)</f>
        <v>Tj 843 SW (Ch 843)</v>
      </c>
      <c r="C42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843 SW (Ch 843),SUMINISTROS</v>
      </c>
      <c r="D42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35" s="47" t="s">
        <v>8394</v>
      </c>
      <c r="G4235" t="s">
        <v>8395</v>
      </c>
      <c r="H42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36" spans="1:8" ht="15" customHeight="1" x14ac:dyDescent="0.25">
      <c r="A4236" t="str">
        <f>MID(TB_CECO[[#This Row],[CECO_T]],1,5)</f>
        <v>5C773</v>
      </c>
      <c r="B4236" t="str">
        <f>MID(TB_CECO[[#This Row],[TRABAJO]],1,SEARCH(",",TB_CECO[[#This Row],[TRABAJO]],1)-1)</f>
        <v>Tj 843 SW (Ch 843)</v>
      </c>
      <c r="C42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843 SW (Ch 843),SOSTENIMIENTO</v>
      </c>
      <c r="D42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36" s="47" t="s">
        <v>8396</v>
      </c>
      <c r="G4236" t="s">
        <v>8397</v>
      </c>
      <c r="H42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37" spans="1:8" ht="15" customHeight="1" x14ac:dyDescent="0.25">
      <c r="A4237" t="str">
        <f>MID(TB_CECO[[#This Row],[CECO_T]],1,5)</f>
        <v>5C773</v>
      </c>
      <c r="B4237" t="str">
        <f>MID(TB_CECO[[#This Row],[TRABAJO]],1,SEARCH(",",TB_CECO[[#This Row],[TRABAJO]],1)-1)</f>
        <v>Tj 843 SW (Ch 843)</v>
      </c>
      <c r="C42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843 SW (Ch 843),SERVICIO</v>
      </c>
      <c r="D42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37" s="47" t="s">
        <v>8398</v>
      </c>
      <c r="G4237" t="s">
        <v>8399</v>
      </c>
      <c r="H42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38" spans="1:8" ht="15" customHeight="1" x14ac:dyDescent="0.25">
      <c r="A4238" t="str">
        <f>MID(TB_CECO[[#This Row],[CECO_T]],1,5)</f>
        <v>5C773</v>
      </c>
      <c r="B4238" t="str">
        <f>MID(TB_CECO[[#This Row],[TRABAJO]],1,SEARCH(",",TB_CECO[[#This Row],[TRABAJO]],1)-1)</f>
        <v>Tj 843 SW (Ch 843)</v>
      </c>
      <c r="C42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843 SW (Ch 843),REHABILITACION</v>
      </c>
      <c r="D42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38" s="47" t="s">
        <v>8400</v>
      </c>
      <c r="G4238" t="s">
        <v>8401</v>
      </c>
      <c r="H42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39" spans="1:8" ht="15" customHeight="1" x14ac:dyDescent="0.25">
      <c r="A4239" t="str">
        <f>MID(TB_CECO[[#This Row],[CECO_T]],1,5)</f>
        <v>5C774</v>
      </c>
      <c r="B4239" t="str">
        <f>MID(TB_CECO[[#This Row],[TRABAJO]],1,SEARCH(",",TB_CECO[[#This Row],[TRABAJO]],1)-1)</f>
        <v>Tj 843 NE (Ch 843)</v>
      </c>
      <c r="C42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843 NE (Ch 843),SUMINISTROS</v>
      </c>
      <c r="D42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39" s="47" t="s">
        <v>8402</v>
      </c>
      <c r="G4239" t="s">
        <v>8403</v>
      </c>
      <c r="H42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40" spans="1:8" ht="15" customHeight="1" x14ac:dyDescent="0.25">
      <c r="A4240" t="str">
        <f>MID(TB_CECO[[#This Row],[CECO_T]],1,5)</f>
        <v>5C774</v>
      </c>
      <c r="B4240" t="str">
        <f>MID(TB_CECO[[#This Row],[TRABAJO]],1,SEARCH(",",TB_CECO[[#This Row],[TRABAJO]],1)-1)</f>
        <v>Tj 843 NE (Ch 843)</v>
      </c>
      <c r="C42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843 NE (Ch 843),SOSTENIMIENTO</v>
      </c>
      <c r="D42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40" s="47" t="s">
        <v>8404</v>
      </c>
      <c r="G4240" t="s">
        <v>8405</v>
      </c>
      <c r="H42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41" spans="1:8" ht="15" customHeight="1" x14ac:dyDescent="0.25">
      <c r="A4241" t="str">
        <f>MID(TB_CECO[[#This Row],[CECO_T]],1,5)</f>
        <v>5C774</v>
      </c>
      <c r="B4241" t="str">
        <f>MID(TB_CECO[[#This Row],[TRABAJO]],1,SEARCH(",",TB_CECO[[#This Row],[TRABAJO]],1)-1)</f>
        <v>Tj 843 NE (Ch 843)</v>
      </c>
      <c r="C42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843 NE (Ch 843),SERVICIO</v>
      </c>
      <c r="D42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41" s="47" t="s">
        <v>8406</v>
      </c>
      <c r="G4241" t="s">
        <v>8407</v>
      </c>
      <c r="H42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42" spans="1:8" ht="15" customHeight="1" x14ac:dyDescent="0.25">
      <c r="A4242" t="str">
        <f>MID(TB_CECO[[#This Row],[CECO_T]],1,5)</f>
        <v>5C774</v>
      </c>
      <c r="B4242" t="str">
        <f>MID(TB_CECO[[#This Row],[TRABAJO]],1,SEARCH(",",TB_CECO[[#This Row],[TRABAJO]],1)-1)</f>
        <v>Tj 843 NE (Ch 843)</v>
      </c>
      <c r="C42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843 NE (Ch 843),REHABILITACION</v>
      </c>
      <c r="D42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42" s="47" t="s">
        <v>8408</v>
      </c>
      <c r="G4242" t="s">
        <v>8409</v>
      </c>
      <c r="H42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43" spans="1:8" ht="15" customHeight="1" x14ac:dyDescent="0.25">
      <c r="A4243" t="str">
        <f>MID(TB_CECO[[#This Row],[CECO_T]],1,5)</f>
        <v>5C784</v>
      </c>
      <c r="B4243" t="str">
        <f>MID(TB_CECO[[#This Row],[TRABAJO]],1,SEARCH(",",TB_CECO[[#This Row],[TRABAJO]],1)-1)</f>
        <v>Tj 862-1 SW (Ch 862-1)</v>
      </c>
      <c r="C42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862-1 SW (Ch 862-1),SUMINISTROS</v>
      </c>
      <c r="D42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43" s="47" t="s">
        <v>8410</v>
      </c>
      <c r="G4243" t="s">
        <v>8411</v>
      </c>
      <c r="H42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44" spans="1:8" ht="15" customHeight="1" x14ac:dyDescent="0.25">
      <c r="A4244" t="str">
        <f>MID(TB_CECO[[#This Row],[CECO_T]],1,5)</f>
        <v>5C784</v>
      </c>
      <c r="B4244" t="str">
        <f>MID(TB_CECO[[#This Row],[TRABAJO]],1,SEARCH(",",TB_CECO[[#This Row],[TRABAJO]],1)-1)</f>
        <v>Tj 862-1 SW (Ch 862-1)</v>
      </c>
      <c r="C42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862-1 SW (Ch 862-1),SOSTENIMIENTO</v>
      </c>
      <c r="D42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44" s="47" t="s">
        <v>8412</v>
      </c>
      <c r="G4244" t="s">
        <v>8413</v>
      </c>
      <c r="H42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45" spans="1:8" ht="15" customHeight="1" x14ac:dyDescent="0.25">
      <c r="A4245" t="str">
        <f>MID(TB_CECO[[#This Row],[CECO_T]],1,5)</f>
        <v>5C784</v>
      </c>
      <c r="B4245" t="str">
        <f>MID(TB_CECO[[#This Row],[TRABAJO]],1,SEARCH(",",TB_CECO[[#This Row],[TRABAJO]],1)-1)</f>
        <v>Tj 862-1 SW (Ch 862-1)</v>
      </c>
      <c r="C42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862-1 SW (Ch 862-1),SERVICIO</v>
      </c>
      <c r="D42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45" s="47" t="s">
        <v>8414</v>
      </c>
      <c r="G4245" t="s">
        <v>8415</v>
      </c>
      <c r="H42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46" spans="1:8" ht="15" customHeight="1" x14ac:dyDescent="0.25">
      <c r="A4246" t="str">
        <f>MID(TB_CECO[[#This Row],[CECO_T]],1,5)</f>
        <v>5C784</v>
      </c>
      <c r="B4246" t="str">
        <f>MID(TB_CECO[[#This Row],[TRABAJO]],1,SEARCH(",",TB_CECO[[#This Row],[TRABAJO]],1)-1)</f>
        <v>Tj 862-1 SW (Ch 862-1)</v>
      </c>
      <c r="C42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862-1 SW (Ch 862-1),REHABILITACION</v>
      </c>
      <c r="D42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46" s="47" t="s">
        <v>8416</v>
      </c>
      <c r="G4246" t="s">
        <v>8417</v>
      </c>
      <c r="H42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47" spans="1:8" ht="15" customHeight="1" x14ac:dyDescent="0.25">
      <c r="A4247" t="str">
        <f>MID(TB_CECO[[#This Row],[CECO_T]],1,5)</f>
        <v>5C790</v>
      </c>
      <c r="B4247" t="str">
        <f>MID(TB_CECO[[#This Row],[TRABAJO]],1,SEARCH(",",TB_CECO[[#This Row],[TRABAJO]],1)-1)</f>
        <v>Tj 653 NE (Ch 653)</v>
      </c>
      <c r="C42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653 NE (Ch 653),LIMPIEZA</v>
      </c>
      <c r="D42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42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47" s="47" t="s">
        <v>8418</v>
      </c>
      <c r="G4247" t="s">
        <v>8419</v>
      </c>
      <c r="H42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48" spans="1:8" ht="15" customHeight="1" x14ac:dyDescent="0.25">
      <c r="A4248" t="str">
        <f>MID(TB_CECO[[#This Row],[CECO_T]],1,5)</f>
        <v>5C790</v>
      </c>
      <c r="B4248" t="str">
        <f>MID(TB_CECO[[#This Row],[TRABAJO]],1,SEARCH(",",TB_CECO[[#This Row],[TRABAJO]],1)-1)</f>
        <v>Tj 653 NE (Ch 653)</v>
      </c>
      <c r="C42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653 NE (Ch 653),SERVICIO</v>
      </c>
      <c r="D42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42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48" s="47" t="s">
        <v>8420</v>
      </c>
      <c r="G4248" t="s">
        <v>8421</v>
      </c>
      <c r="H42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49" spans="1:8" ht="15" customHeight="1" x14ac:dyDescent="0.25">
      <c r="A4249" t="str">
        <f>MID(TB_CECO[[#This Row],[CECO_T]],1,5)</f>
        <v>5C790</v>
      </c>
      <c r="B4249" t="str">
        <f>MID(TB_CECO[[#This Row],[TRABAJO]],1,SEARCH(",",TB_CECO[[#This Row],[TRABAJO]],1)-1)</f>
        <v>Tj 653 NE (Ch 653)</v>
      </c>
      <c r="C42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653 NE (Ch 653),PERFORACION</v>
      </c>
      <c r="D42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42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49" s="47" t="s">
        <v>8422</v>
      </c>
      <c r="G4249" t="s">
        <v>8423</v>
      </c>
      <c r="H42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50" spans="1:8" ht="15" customHeight="1" x14ac:dyDescent="0.25">
      <c r="A4250" t="str">
        <f>MID(TB_CECO[[#This Row],[CECO_T]],1,5)</f>
        <v>5C790</v>
      </c>
      <c r="B4250" t="str">
        <f>MID(TB_CECO[[#This Row],[TRABAJO]],1,SEARCH(",",TB_CECO[[#This Row],[TRABAJO]],1)-1)</f>
        <v>Tj 653 NE (Ch 653)</v>
      </c>
      <c r="C42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653 NE (Ch 653),SOSTENIMIENTO</v>
      </c>
      <c r="D42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42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50" s="47" t="s">
        <v>8424</v>
      </c>
      <c r="G4250" t="s">
        <v>8425</v>
      </c>
      <c r="H42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51" spans="1:8" ht="15" customHeight="1" x14ac:dyDescent="0.25">
      <c r="A4251" t="str">
        <f>MID(TB_CECO[[#This Row],[CECO_T]],1,5)</f>
        <v>5C790</v>
      </c>
      <c r="B4251" t="str">
        <f>MID(TB_CECO[[#This Row],[TRABAJO]],1,SEARCH(",",TB_CECO[[#This Row],[TRABAJO]],1)-1)</f>
        <v>Tj 653 NE (Ch 653)</v>
      </c>
      <c r="C42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653 NE (Ch 653),VOLADURA</v>
      </c>
      <c r="D42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42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51" s="47" t="s">
        <v>8426</v>
      </c>
      <c r="G4251" t="s">
        <v>8427</v>
      </c>
      <c r="H42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52" spans="1:8" ht="15" customHeight="1" x14ac:dyDescent="0.25">
      <c r="A4252" t="str">
        <f>MID(TB_CECO[[#This Row],[CECO_T]],1,5)</f>
        <v>5C791</v>
      </c>
      <c r="B4252" t="str">
        <f>MID(TB_CECO[[#This Row],[TRABAJO]],1,SEARCH(",",TB_CECO[[#This Row],[TRABAJO]],1)-1)</f>
        <v>Tj 653 SW (Ch 653)</v>
      </c>
      <c r="C42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653 SW (Ch 653),LIMPIEZA</v>
      </c>
      <c r="D42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42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52" s="47" t="s">
        <v>8428</v>
      </c>
      <c r="G4252" t="s">
        <v>8429</v>
      </c>
      <c r="H42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53" spans="1:8" ht="15" customHeight="1" x14ac:dyDescent="0.25">
      <c r="A4253" t="str">
        <f>MID(TB_CECO[[#This Row],[CECO_T]],1,5)</f>
        <v>5C791</v>
      </c>
      <c r="B4253" t="str">
        <f>MID(TB_CECO[[#This Row],[TRABAJO]],1,SEARCH(",",TB_CECO[[#This Row],[TRABAJO]],1)-1)</f>
        <v>Tj 653 SW (Ch 653)</v>
      </c>
      <c r="C42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653 SW (Ch 653),SERVICIO</v>
      </c>
      <c r="D42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42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53" s="47" t="s">
        <v>8430</v>
      </c>
      <c r="G4253" t="s">
        <v>8431</v>
      </c>
      <c r="H42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54" spans="1:8" ht="15" customHeight="1" x14ac:dyDescent="0.25">
      <c r="A4254" t="str">
        <f>MID(TB_CECO[[#This Row],[CECO_T]],1,5)</f>
        <v>5C791</v>
      </c>
      <c r="B4254" t="str">
        <f>MID(TB_CECO[[#This Row],[TRABAJO]],1,SEARCH(",",TB_CECO[[#This Row],[TRABAJO]],1)-1)</f>
        <v>Tj 653 SW (Ch 653)</v>
      </c>
      <c r="C42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653 SW (Ch 653),PERFORACION</v>
      </c>
      <c r="D42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42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54" s="47" t="s">
        <v>8432</v>
      </c>
      <c r="G4254" t="s">
        <v>8433</v>
      </c>
      <c r="H42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55" spans="1:8" ht="15" customHeight="1" x14ac:dyDescent="0.25">
      <c r="A4255" t="str">
        <f>MID(TB_CECO[[#This Row],[CECO_T]],1,5)</f>
        <v>5C791</v>
      </c>
      <c r="B4255" t="str">
        <f>MID(TB_CECO[[#This Row],[TRABAJO]],1,SEARCH(",",TB_CECO[[#This Row],[TRABAJO]],1)-1)</f>
        <v>Tj 653 SW (Ch 653)</v>
      </c>
      <c r="C42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653 SW (Ch 653),SOSTENIMIENTO</v>
      </c>
      <c r="D42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42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55" s="47" t="s">
        <v>8434</v>
      </c>
      <c r="G4255" t="s">
        <v>8435</v>
      </c>
      <c r="H42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56" spans="1:8" ht="15" customHeight="1" x14ac:dyDescent="0.25">
      <c r="A4256" t="str">
        <f>MID(TB_CECO[[#This Row],[CECO_T]],1,5)</f>
        <v>5C791</v>
      </c>
      <c r="B4256" t="str">
        <f>MID(TB_CECO[[#This Row],[TRABAJO]],1,SEARCH(",",TB_CECO[[#This Row],[TRABAJO]],1)-1)</f>
        <v>Tj 653 SW (Ch 653)</v>
      </c>
      <c r="C42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653 SW (Ch 653),VOLADURA</v>
      </c>
      <c r="D42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CHAPI</v>
      </c>
      <c r="E42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56" s="47" t="s">
        <v>8436</v>
      </c>
      <c r="G4256" t="s">
        <v>8437</v>
      </c>
      <c r="H42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57" spans="1:8" ht="15" customHeight="1" x14ac:dyDescent="0.25">
      <c r="A4257" t="str">
        <f>MID(TB_CECO[[#This Row],[CECO_T]],1,5)</f>
        <v>5D71T</v>
      </c>
      <c r="B4257" t="str">
        <f>MID(TB_CECO[[#This Row],[TRABAJO]],1,SEARCH(",",TB_CECO[[#This Row],[TRABAJO]],1)-1)</f>
        <v>Tj 051 NE (Snv 069 NE)</v>
      </c>
      <c r="C42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NE (Snv 069 NE),LIMPIEZA</v>
      </c>
      <c r="D42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57" s="47" t="s">
        <v>8438</v>
      </c>
      <c r="G4257" t="s">
        <v>8439</v>
      </c>
      <c r="H42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58" spans="1:8" ht="15" customHeight="1" x14ac:dyDescent="0.25">
      <c r="A4258" t="str">
        <f>MID(TB_CECO[[#This Row],[CECO_T]],1,5)</f>
        <v>5D71T</v>
      </c>
      <c r="B4258" t="str">
        <f>MID(TB_CECO[[#This Row],[TRABAJO]],1,SEARCH(",",TB_CECO[[#This Row],[TRABAJO]],1)-1)</f>
        <v>Tj 051 NE (Snv 069 NE)</v>
      </c>
      <c r="C42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NE (Snv 069 NE),SERVICIO</v>
      </c>
      <c r="D42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58" s="47" t="s">
        <v>8440</v>
      </c>
      <c r="G4258" t="s">
        <v>8441</v>
      </c>
      <c r="H42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59" spans="1:8" ht="15" customHeight="1" x14ac:dyDescent="0.25">
      <c r="A4259" t="str">
        <f>MID(TB_CECO[[#This Row],[CECO_T]],1,5)</f>
        <v>5D71T</v>
      </c>
      <c r="B4259" t="str">
        <f>MID(TB_CECO[[#This Row],[TRABAJO]],1,SEARCH(",",TB_CECO[[#This Row],[TRABAJO]],1)-1)</f>
        <v>Tj 051 NE (Snv 069 NE)</v>
      </c>
      <c r="C42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NE (Snv 069 NE),PERFORACION</v>
      </c>
      <c r="D42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59" s="47" t="s">
        <v>8442</v>
      </c>
      <c r="G4259" t="s">
        <v>8443</v>
      </c>
      <c r="H42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60" spans="1:8" ht="15" customHeight="1" x14ac:dyDescent="0.25">
      <c r="A4260" t="str">
        <f>MID(TB_CECO[[#This Row],[CECO_T]],1,5)</f>
        <v>5D71T</v>
      </c>
      <c r="B4260" t="str">
        <f>MID(TB_CECO[[#This Row],[TRABAJO]],1,SEARCH(",",TB_CECO[[#This Row],[TRABAJO]],1)-1)</f>
        <v>Tj 051 NE (Snv 069 NE)</v>
      </c>
      <c r="C42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NE (Snv 069 NE),RELLENO</v>
      </c>
      <c r="D42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60" s="47" t="s">
        <v>8444</v>
      </c>
      <c r="G4260" t="s">
        <v>8445</v>
      </c>
      <c r="H42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61" spans="1:8" ht="15" customHeight="1" x14ac:dyDescent="0.25">
      <c r="A4261" t="str">
        <f>MID(TB_CECO[[#This Row],[CECO_T]],1,5)</f>
        <v>5D71T</v>
      </c>
      <c r="B4261" t="str">
        <f>MID(TB_CECO[[#This Row],[TRABAJO]],1,SEARCH(",",TB_CECO[[#This Row],[TRABAJO]],1)-1)</f>
        <v>Tj 051 NE (Snv 069 NE)</v>
      </c>
      <c r="C42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NE (Snv 069 NE),SOSTENIMIENTO</v>
      </c>
      <c r="D42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61" s="47" t="s">
        <v>8446</v>
      </c>
      <c r="G4261" t="s">
        <v>8447</v>
      </c>
      <c r="H42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62" spans="1:8" ht="15" customHeight="1" x14ac:dyDescent="0.25">
      <c r="A4262" t="str">
        <f>MID(TB_CECO[[#This Row],[CECO_T]],1,5)</f>
        <v>5D71T</v>
      </c>
      <c r="B4262" t="str">
        <f>MID(TB_CECO[[#This Row],[TRABAJO]],1,SEARCH(",",TB_CECO[[#This Row],[TRABAJO]],1)-1)</f>
        <v>Tj 051 NE (Snv 069 NE)</v>
      </c>
      <c r="C42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NE (Snv 069 NE),VOLADURA</v>
      </c>
      <c r="D42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62" s="47" t="s">
        <v>8448</v>
      </c>
      <c r="G4262" t="s">
        <v>8449</v>
      </c>
      <c r="H42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63" spans="1:8" ht="15" customHeight="1" x14ac:dyDescent="0.25">
      <c r="A4263" t="str">
        <f>MID(TB_CECO[[#This Row],[CECO_T]],1,5)</f>
        <v>5D71U</v>
      </c>
      <c r="B4263" t="str">
        <f>MID(TB_CECO[[#This Row],[TRABAJO]],1,SEARCH(",",TB_CECO[[#This Row],[TRABAJO]],1)-1)</f>
        <v>Tj 051 SW (Snv 069 SW)</v>
      </c>
      <c r="C42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SW (Snv 069 SW),LIMPIEZA</v>
      </c>
      <c r="D42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63" s="47" t="s">
        <v>8450</v>
      </c>
      <c r="G4263" t="s">
        <v>8451</v>
      </c>
      <c r="H42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64" spans="1:8" ht="15" customHeight="1" x14ac:dyDescent="0.25">
      <c r="A4264" t="str">
        <f>MID(TB_CECO[[#This Row],[CECO_T]],1,5)</f>
        <v>5D71U</v>
      </c>
      <c r="B4264" t="str">
        <f>MID(TB_CECO[[#This Row],[TRABAJO]],1,SEARCH(",",TB_CECO[[#This Row],[TRABAJO]],1)-1)</f>
        <v>Tj 051 SW (Snv 069 SW)</v>
      </c>
      <c r="C42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SW (Snv 069 SW),SERVICIO</v>
      </c>
      <c r="D42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64" s="47" t="s">
        <v>8452</v>
      </c>
      <c r="G4264" t="s">
        <v>8453</v>
      </c>
      <c r="H42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65" spans="1:8" ht="15" customHeight="1" x14ac:dyDescent="0.25">
      <c r="A4265" t="str">
        <f>MID(TB_CECO[[#This Row],[CECO_T]],1,5)</f>
        <v>5D71U</v>
      </c>
      <c r="B4265" t="str">
        <f>MID(TB_CECO[[#This Row],[TRABAJO]],1,SEARCH(",",TB_CECO[[#This Row],[TRABAJO]],1)-1)</f>
        <v>Tj 051 SW (Snv 069 SW)</v>
      </c>
      <c r="C42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SW (Snv 069 SW),PERFORACION</v>
      </c>
      <c r="D42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65" s="47" t="s">
        <v>8454</v>
      </c>
      <c r="G4265" t="s">
        <v>8455</v>
      </c>
      <c r="H42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66" spans="1:8" ht="15" customHeight="1" x14ac:dyDescent="0.25">
      <c r="A4266" t="str">
        <f>MID(TB_CECO[[#This Row],[CECO_T]],1,5)</f>
        <v>5D71U</v>
      </c>
      <c r="B4266" t="str">
        <f>MID(TB_CECO[[#This Row],[TRABAJO]],1,SEARCH(",",TB_CECO[[#This Row],[TRABAJO]],1)-1)</f>
        <v>Tj 051 SW (Snv 069 SW)</v>
      </c>
      <c r="C42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SW (Snv 069 SW),RELLENO</v>
      </c>
      <c r="D42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66" s="47" t="s">
        <v>8456</v>
      </c>
      <c r="G4266" t="s">
        <v>8457</v>
      </c>
      <c r="H42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67" spans="1:8" ht="15" customHeight="1" x14ac:dyDescent="0.25">
      <c r="A4267" t="str">
        <f>MID(TB_CECO[[#This Row],[CECO_T]],1,5)</f>
        <v>5D71U</v>
      </c>
      <c r="B4267" t="str">
        <f>MID(TB_CECO[[#This Row],[TRABAJO]],1,SEARCH(",",TB_CECO[[#This Row],[TRABAJO]],1)-1)</f>
        <v>Tj 051 SW (Snv 069 SW)</v>
      </c>
      <c r="C42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SW (Snv 069 SW),SOSTENIMIENTO</v>
      </c>
      <c r="D42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67" s="47" t="s">
        <v>8458</v>
      </c>
      <c r="G4267" t="s">
        <v>8459</v>
      </c>
      <c r="H42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68" spans="1:8" ht="15" customHeight="1" x14ac:dyDescent="0.25">
      <c r="A4268" t="str">
        <f>MID(TB_CECO[[#This Row],[CECO_T]],1,5)</f>
        <v>5D71U</v>
      </c>
      <c r="B4268" t="str">
        <f>MID(TB_CECO[[#This Row],[TRABAJO]],1,SEARCH(",",TB_CECO[[#This Row],[TRABAJO]],1)-1)</f>
        <v>Tj 051 SW (Snv 069 SW)</v>
      </c>
      <c r="C42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051 SW (Snv 069 SW),VOLADURA</v>
      </c>
      <c r="D42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68" s="47" t="s">
        <v>8460</v>
      </c>
      <c r="G4268" t="s">
        <v>8461</v>
      </c>
      <c r="H42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69" spans="1:8" ht="15" customHeight="1" x14ac:dyDescent="0.25">
      <c r="A4269" t="str">
        <f>MID(TB_CECO[[#This Row],[CECO_T]],1,5)</f>
        <v>5D71V</v>
      </c>
      <c r="B4269" t="str">
        <f>MID(TB_CECO[[#This Row],[TRABAJO]],1,SEARCH(",",TB_CECO[[#This Row],[TRABAJO]],1)-1)</f>
        <v>Tj 050 SW (Snv 069 NE)</v>
      </c>
      <c r="C42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(Snv 069 NE),LIMPIEZA</v>
      </c>
      <c r="D42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69" s="47" t="s">
        <v>8462</v>
      </c>
      <c r="G4269" t="s">
        <v>8463</v>
      </c>
      <c r="H42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70" spans="1:8" ht="15" customHeight="1" x14ac:dyDescent="0.25">
      <c r="A4270" t="str">
        <f>MID(TB_CECO[[#This Row],[CECO_T]],1,5)</f>
        <v>5D71V</v>
      </c>
      <c r="B4270" t="str">
        <f>MID(TB_CECO[[#This Row],[TRABAJO]],1,SEARCH(",",TB_CECO[[#This Row],[TRABAJO]],1)-1)</f>
        <v>Tj 050 SW (Snv 069 NE)</v>
      </c>
      <c r="C42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(Snv 069 NE),SERVICIO</v>
      </c>
      <c r="D42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70" s="47" t="s">
        <v>8464</v>
      </c>
      <c r="G4270" t="s">
        <v>8465</v>
      </c>
      <c r="H42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71" spans="1:8" ht="15" customHeight="1" x14ac:dyDescent="0.25">
      <c r="A4271" t="str">
        <f>MID(TB_CECO[[#This Row],[CECO_T]],1,5)</f>
        <v>5D71V</v>
      </c>
      <c r="B4271" t="str">
        <f>MID(TB_CECO[[#This Row],[TRABAJO]],1,SEARCH(",",TB_CECO[[#This Row],[TRABAJO]],1)-1)</f>
        <v>Tj 050 SW (Snv 069 NE)</v>
      </c>
      <c r="C42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(Snv 069 NE),PERFORACION</v>
      </c>
      <c r="D42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71" s="47" t="s">
        <v>8466</v>
      </c>
      <c r="G4271" t="s">
        <v>8467</v>
      </c>
      <c r="H42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72" spans="1:8" ht="15" customHeight="1" x14ac:dyDescent="0.25">
      <c r="A4272" t="str">
        <f>MID(TB_CECO[[#This Row],[CECO_T]],1,5)</f>
        <v>5D71V</v>
      </c>
      <c r="B4272" t="str">
        <f>MID(TB_CECO[[#This Row],[TRABAJO]],1,SEARCH(",",TB_CECO[[#This Row],[TRABAJO]],1)-1)</f>
        <v>Tj 050 SW (Snv 069 NE)</v>
      </c>
      <c r="C42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(Snv 069 NE),RELLENO</v>
      </c>
      <c r="D42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72" s="47" t="s">
        <v>8468</v>
      </c>
      <c r="G4272" t="s">
        <v>8469</v>
      </c>
      <c r="H42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73" spans="1:8" ht="15" customHeight="1" x14ac:dyDescent="0.25">
      <c r="A4273" t="str">
        <f>MID(TB_CECO[[#This Row],[CECO_T]],1,5)</f>
        <v>5D71V</v>
      </c>
      <c r="B4273" t="str">
        <f>MID(TB_CECO[[#This Row],[TRABAJO]],1,SEARCH(",",TB_CECO[[#This Row],[TRABAJO]],1)-1)</f>
        <v>Tj 050 SW (Snv 069 NE)</v>
      </c>
      <c r="C42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(Snv 069 NE),SOSTENIMIENTO</v>
      </c>
      <c r="D42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73" s="47" t="s">
        <v>8470</v>
      </c>
      <c r="G4273" t="s">
        <v>8471</v>
      </c>
      <c r="H42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74" spans="1:8" ht="15" customHeight="1" x14ac:dyDescent="0.25">
      <c r="A4274" t="str">
        <f>MID(TB_CECO[[#This Row],[CECO_T]],1,5)</f>
        <v>5D71V</v>
      </c>
      <c r="B4274" t="str">
        <f>MID(TB_CECO[[#This Row],[TRABAJO]],1,SEARCH(",",TB_CECO[[#This Row],[TRABAJO]],1)-1)</f>
        <v>Tj 050 SW (Snv 069 NE)</v>
      </c>
      <c r="C42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(Snv 069 NE),VOLADURA</v>
      </c>
      <c r="D42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74" s="47" t="s">
        <v>8472</v>
      </c>
      <c r="G4274" t="s">
        <v>8473</v>
      </c>
      <c r="H42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75" spans="1:8" ht="15" customHeight="1" x14ac:dyDescent="0.25">
      <c r="A4275" t="str">
        <f>MID(TB_CECO[[#This Row],[CECO_T]],1,5)</f>
        <v>5D71Y</v>
      </c>
      <c r="B4275" t="str">
        <f>MID(TB_CECO[[#This Row],[TRABAJO]],1,SEARCH(",",TB_CECO[[#This Row],[TRABAJO]],1)-1)</f>
        <v>Tj 056 (Ch 056)</v>
      </c>
      <c r="C42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(Ch 056),LIMPIEZA</v>
      </c>
      <c r="D42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75" s="47" t="s">
        <v>8474</v>
      </c>
      <c r="G4275" t="s">
        <v>8475</v>
      </c>
      <c r="H42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76" spans="1:8" ht="15" customHeight="1" x14ac:dyDescent="0.25">
      <c r="A4276" t="str">
        <f>MID(TB_CECO[[#This Row],[CECO_T]],1,5)</f>
        <v>5D71Y</v>
      </c>
      <c r="B4276" t="str">
        <f>MID(TB_CECO[[#This Row],[TRABAJO]],1,SEARCH(",",TB_CECO[[#This Row],[TRABAJO]],1)-1)</f>
        <v>Tj 056 (Ch 056)</v>
      </c>
      <c r="C42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(Ch 056),SERVICIO</v>
      </c>
      <c r="D42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76" s="47" t="s">
        <v>8476</v>
      </c>
      <c r="G4276" t="s">
        <v>8477</v>
      </c>
      <c r="H42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77" spans="1:8" ht="15" customHeight="1" x14ac:dyDescent="0.25">
      <c r="A4277" t="str">
        <f>MID(TB_CECO[[#This Row],[CECO_T]],1,5)</f>
        <v>5D71Y</v>
      </c>
      <c r="B4277" t="str">
        <f>MID(TB_CECO[[#This Row],[TRABAJO]],1,SEARCH(",",TB_CECO[[#This Row],[TRABAJO]],1)-1)</f>
        <v>Tj 056 (Ch 056)</v>
      </c>
      <c r="C42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(Ch 056),PERFORACION</v>
      </c>
      <c r="D42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77" s="47" t="s">
        <v>8478</v>
      </c>
      <c r="G4277" t="s">
        <v>8479</v>
      </c>
      <c r="H42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78" spans="1:8" ht="15" customHeight="1" x14ac:dyDescent="0.25">
      <c r="A4278" t="str">
        <f>MID(TB_CECO[[#This Row],[CECO_T]],1,5)</f>
        <v>5D71Y</v>
      </c>
      <c r="B4278" t="str">
        <f>MID(TB_CECO[[#This Row],[TRABAJO]],1,SEARCH(",",TB_CECO[[#This Row],[TRABAJO]],1)-1)</f>
        <v>Tj 056 (Ch 056)</v>
      </c>
      <c r="C42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(Ch 056),RELLENO</v>
      </c>
      <c r="D42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78" s="47" t="s">
        <v>8480</v>
      </c>
      <c r="G4278" t="s">
        <v>8481</v>
      </c>
      <c r="H42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79" spans="1:8" ht="15" customHeight="1" x14ac:dyDescent="0.25">
      <c r="A4279" t="str">
        <f>MID(TB_CECO[[#This Row],[CECO_T]],1,5)</f>
        <v>5D71Y</v>
      </c>
      <c r="B4279" t="str">
        <f>MID(TB_CECO[[#This Row],[TRABAJO]],1,SEARCH(",",TB_CECO[[#This Row],[TRABAJO]],1)-1)</f>
        <v>Tj 056 (Ch 056)</v>
      </c>
      <c r="C42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(Ch 056),SOSTENIMIENTO</v>
      </c>
      <c r="D42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79" s="47" t="s">
        <v>8482</v>
      </c>
      <c r="G4279" t="s">
        <v>8483</v>
      </c>
      <c r="H42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80" spans="1:8" ht="15" customHeight="1" x14ac:dyDescent="0.25">
      <c r="A4280" t="str">
        <f>MID(TB_CECO[[#This Row],[CECO_T]],1,5)</f>
        <v>5D71Y</v>
      </c>
      <c r="B4280" t="str">
        <f>MID(TB_CECO[[#This Row],[TRABAJO]],1,SEARCH(",",TB_CECO[[#This Row],[TRABAJO]],1)-1)</f>
        <v>Tj 056 (Ch 056)</v>
      </c>
      <c r="C42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(Ch 056),VOLADURA</v>
      </c>
      <c r="D42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80" s="47" t="s">
        <v>8484</v>
      </c>
      <c r="G4280" t="s">
        <v>8485</v>
      </c>
      <c r="H42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81" spans="1:8" ht="15" customHeight="1" x14ac:dyDescent="0.25">
      <c r="A4281" t="str">
        <f>MID(TB_CECO[[#This Row],[CECO_T]],1,5)</f>
        <v>5D71Z</v>
      </c>
      <c r="B4281" t="str">
        <f>MID(TB_CECO[[#This Row],[TRABAJO]],1,SEARCH(",",TB_CECO[[#This Row],[TRABAJO]],1)-1)</f>
        <v>Tj 050 NE (Snv 915 NE)</v>
      </c>
      <c r="C42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(Snv 915 NE),LIMPIEZA</v>
      </c>
      <c r="D42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81" s="47" t="s">
        <v>8486</v>
      </c>
      <c r="G4281" t="s">
        <v>8487</v>
      </c>
      <c r="H42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82" spans="1:8" ht="15" customHeight="1" x14ac:dyDescent="0.25">
      <c r="A4282" t="str">
        <f>MID(TB_CECO[[#This Row],[CECO_T]],1,5)</f>
        <v>5D71Z</v>
      </c>
      <c r="B4282" t="str">
        <f>MID(TB_CECO[[#This Row],[TRABAJO]],1,SEARCH(",",TB_CECO[[#This Row],[TRABAJO]],1)-1)</f>
        <v>Tj 050 NE (Snv 915 NE)</v>
      </c>
      <c r="C42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(Snv 915 NE),SERVICIO</v>
      </c>
      <c r="D42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82" s="47" t="s">
        <v>8488</v>
      </c>
      <c r="G4282" t="s">
        <v>8489</v>
      </c>
      <c r="H42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83" spans="1:8" ht="15" customHeight="1" x14ac:dyDescent="0.25">
      <c r="A4283" t="str">
        <f>MID(TB_CECO[[#This Row],[CECO_T]],1,5)</f>
        <v>5D71Z</v>
      </c>
      <c r="B4283" t="str">
        <f>MID(TB_CECO[[#This Row],[TRABAJO]],1,SEARCH(",",TB_CECO[[#This Row],[TRABAJO]],1)-1)</f>
        <v>Tj 050 NE (Snv 915 NE)</v>
      </c>
      <c r="C42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(Snv 915 NE),PERFORACION</v>
      </c>
      <c r="D42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83" s="47" t="s">
        <v>8490</v>
      </c>
      <c r="G4283" t="s">
        <v>8491</v>
      </c>
      <c r="H42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84" spans="1:8" ht="15" customHeight="1" x14ac:dyDescent="0.25">
      <c r="A4284" t="str">
        <f>MID(TB_CECO[[#This Row],[CECO_T]],1,5)</f>
        <v>5D71Z</v>
      </c>
      <c r="B4284" t="str">
        <f>MID(TB_CECO[[#This Row],[TRABAJO]],1,SEARCH(",",TB_CECO[[#This Row],[TRABAJO]],1)-1)</f>
        <v>Tj 050 NE (Snv 915 NE)</v>
      </c>
      <c r="C42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(Snv 915 NE),RELLENO</v>
      </c>
      <c r="D42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84" s="47" t="s">
        <v>8492</v>
      </c>
      <c r="G4284" t="s">
        <v>8493</v>
      </c>
      <c r="H42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85" spans="1:8" ht="15" customHeight="1" x14ac:dyDescent="0.25">
      <c r="A4285" t="str">
        <f>MID(TB_CECO[[#This Row],[CECO_T]],1,5)</f>
        <v>5D71Z</v>
      </c>
      <c r="B4285" t="str">
        <f>MID(TB_CECO[[#This Row],[TRABAJO]],1,SEARCH(",",TB_CECO[[#This Row],[TRABAJO]],1)-1)</f>
        <v>Tj 050 NE (Snv 915 NE)</v>
      </c>
      <c r="C42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(Snv 915 NE),SOSTENIMIENTO</v>
      </c>
      <c r="D42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85" s="47" t="s">
        <v>8494</v>
      </c>
      <c r="G4285" t="s">
        <v>8495</v>
      </c>
      <c r="H42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86" spans="1:8" ht="15" customHeight="1" x14ac:dyDescent="0.25">
      <c r="A4286" t="str">
        <f>MID(TB_CECO[[#This Row],[CECO_T]],1,5)</f>
        <v>5D71Z</v>
      </c>
      <c r="B4286" t="str">
        <f>MID(TB_CECO[[#This Row],[TRABAJO]],1,SEARCH(",",TB_CECO[[#This Row],[TRABAJO]],1)-1)</f>
        <v>Tj 050 NE (Snv 915 NE)</v>
      </c>
      <c r="C42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(Snv 915 NE),VOLADURA</v>
      </c>
      <c r="D42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86" s="47" t="s">
        <v>8496</v>
      </c>
      <c r="G4286" t="s">
        <v>8497</v>
      </c>
      <c r="H42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87" spans="1:8" ht="15" customHeight="1" x14ac:dyDescent="0.25">
      <c r="A4287" t="str">
        <f>MID(TB_CECO[[#This Row],[CECO_T]],1,5)</f>
        <v>5D726</v>
      </c>
      <c r="B4287" t="str">
        <f>MID(TB_CECO[[#This Row],[TRABAJO]],1,SEARCH(",",TB_CECO[[#This Row],[TRABAJO]],1)-1)</f>
        <v>TJ 056 (CH 050)</v>
      </c>
      <c r="C42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(CH 050),SUMINISTROS</v>
      </c>
      <c r="D42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87" s="47" t="s">
        <v>8498</v>
      </c>
      <c r="G4287" t="s">
        <v>8499</v>
      </c>
      <c r="H42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88" spans="1:8" ht="15" customHeight="1" x14ac:dyDescent="0.25">
      <c r="A4288" t="str">
        <f>MID(TB_CECO[[#This Row],[CECO_T]],1,5)</f>
        <v>5D726</v>
      </c>
      <c r="B4288" t="str">
        <f>MID(TB_CECO[[#This Row],[TRABAJO]],1,SEARCH(",",TB_CECO[[#This Row],[TRABAJO]],1)-1)</f>
        <v>TJ 056 (CH 050)</v>
      </c>
      <c r="C42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(CH 050),SOSTENIMIENTO</v>
      </c>
      <c r="D42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88" s="47" t="s">
        <v>8500</v>
      </c>
      <c r="G4288" t="s">
        <v>8501</v>
      </c>
      <c r="H42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89" spans="1:8" ht="15" customHeight="1" x14ac:dyDescent="0.25">
      <c r="A4289" t="str">
        <f>MID(TB_CECO[[#This Row],[CECO_T]],1,5)</f>
        <v>5D726</v>
      </c>
      <c r="B4289" t="str">
        <f>MID(TB_CECO[[#This Row],[TRABAJO]],1,SEARCH(",",TB_CECO[[#This Row],[TRABAJO]],1)-1)</f>
        <v>TJ 056 (CH 050)</v>
      </c>
      <c r="C42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(CH 050),SERVICIO</v>
      </c>
      <c r="D42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89" s="47" t="s">
        <v>8502</v>
      </c>
      <c r="G4289" t="s">
        <v>8503</v>
      </c>
      <c r="H42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90" spans="1:8" ht="15" customHeight="1" x14ac:dyDescent="0.25">
      <c r="A4290" t="str">
        <f>MID(TB_CECO[[#This Row],[CECO_T]],1,5)</f>
        <v>5D726</v>
      </c>
      <c r="B4290" t="str">
        <f>MID(TB_CECO[[#This Row],[TRABAJO]],1,SEARCH(",",TB_CECO[[#This Row],[TRABAJO]],1)-1)</f>
        <v>TJ 056 (CH 050)</v>
      </c>
      <c r="C42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(CH 050),REHABILITACION</v>
      </c>
      <c r="D42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90" s="47" t="s">
        <v>8504</v>
      </c>
      <c r="G4290" t="s">
        <v>8505</v>
      </c>
      <c r="H42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91" spans="1:8" ht="15" customHeight="1" x14ac:dyDescent="0.25">
      <c r="A4291" t="str">
        <f>MID(TB_CECO[[#This Row],[CECO_T]],1,5)</f>
        <v>5D726</v>
      </c>
      <c r="B4291" t="str">
        <f>MID(TB_CECO[[#This Row],[TRABAJO]],1,SEARCH(",",TB_CECO[[#This Row],[TRABAJO]],1)-1)</f>
        <v>TJ 056 (CH 050)</v>
      </c>
      <c r="C42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056 (CH 050),REALCE            </v>
      </c>
      <c r="D42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91" s="47" t="s">
        <v>8506</v>
      </c>
      <c r="G4291" t="s">
        <v>8507</v>
      </c>
      <c r="H42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92" spans="1:8" ht="15" customHeight="1" x14ac:dyDescent="0.25">
      <c r="A4292" t="str">
        <f>MID(TB_CECO[[#This Row],[CECO_T]],1,5)</f>
        <v>5D726</v>
      </c>
      <c r="B4292" t="str">
        <f>MID(TB_CECO[[#This Row],[TRABAJO]],1,SEARCH(",",TB_CECO[[#This Row],[TRABAJO]],1)-1)</f>
        <v>TJ 056 (CH 050)</v>
      </c>
      <c r="C42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(CH 050),BREASTING</v>
      </c>
      <c r="D42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2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92" s="47" t="s">
        <v>8508</v>
      </c>
      <c r="G4292" t="s">
        <v>8509</v>
      </c>
      <c r="H42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93" spans="1:8" ht="15" customHeight="1" x14ac:dyDescent="0.25">
      <c r="A4293" t="str">
        <f>MID(TB_CECO[[#This Row],[CECO_T]],1,5)</f>
        <v>5D72A</v>
      </c>
      <c r="B4293" t="str">
        <f>MID(TB_CECO[[#This Row],[TRABAJO]],1,SEARCH(",",TB_CECO[[#This Row],[TRABAJO]],1)-1)</f>
        <v>Tj 050 NE (Ch 936)</v>
      </c>
      <c r="C42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(Ch 936),LIMPIEZA</v>
      </c>
      <c r="D42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93" s="47" t="s">
        <v>8510</v>
      </c>
      <c r="G4293" t="s">
        <v>8511</v>
      </c>
      <c r="H42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94" spans="1:8" ht="15" customHeight="1" x14ac:dyDescent="0.25">
      <c r="A4294" t="str">
        <f>MID(TB_CECO[[#This Row],[CECO_T]],1,5)</f>
        <v>5D72A</v>
      </c>
      <c r="B4294" t="str">
        <f>MID(TB_CECO[[#This Row],[TRABAJO]],1,SEARCH(",",TB_CECO[[#This Row],[TRABAJO]],1)-1)</f>
        <v>Tj 050 NE (Ch 936)</v>
      </c>
      <c r="C42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(Ch 936),SERVICIO</v>
      </c>
      <c r="D42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94" s="47" t="s">
        <v>8512</v>
      </c>
      <c r="G4294" t="s">
        <v>8513</v>
      </c>
      <c r="H42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95" spans="1:8" ht="15" customHeight="1" x14ac:dyDescent="0.25">
      <c r="A4295" t="str">
        <f>MID(TB_CECO[[#This Row],[CECO_T]],1,5)</f>
        <v>5D72A</v>
      </c>
      <c r="B4295" t="str">
        <f>MID(TB_CECO[[#This Row],[TRABAJO]],1,SEARCH(",",TB_CECO[[#This Row],[TRABAJO]],1)-1)</f>
        <v>Tj 050 NE (Ch 936)</v>
      </c>
      <c r="C42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(Ch 936),PERFORACION</v>
      </c>
      <c r="D42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95" s="47" t="s">
        <v>8514</v>
      </c>
      <c r="G4295" t="s">
        <v>8515</v>
      </c>
      <c r="H42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96" spans="1:8" ht="15" customHeight="1" x14ac:dyDescent="0.25">
      <c r="A4296" t="str">
        <f>MID(TB_CECO[[#This Row],[CECO_T]],1,5)</f>
        <v>5D72A</v>
      </c>
      <c r="B4296" t="str">
        <f>MID(TB_CECO[[#This Row],[TRABAJO]],1,SEARCH(",",TB_CECO[[#This Row],[TRABAJO]],1)-1)</f>
        <v>Tj 050 NE (Ch 936)</v>
      </c>
      <c r="C42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(Ch 936),RELLENO</v>
      </c>
      <c r="D42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96" s="47" t="s">
        <v>8516</v>
      </c>
      <c r="G4296" t="s">
        <v>8517</v>
      </c>
      <c r="H42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97" spans="1:8" ht="15" customHeight="1" x14ac:dyDescent="0.25">
      <c r="A4297" t="str">
        <f>MID(TB_CECO[[#This Row],[CECO_T]],1,5)</f>
        <v>5D72A</v>
      </c>
      <c r="B4297" t="str">
        <f>MID(TB_CECO[[#This Row],[TRABAJO]],1,SEARCH(",",TB_CECO[[#This Row],[TRABAJO]],1)-1)</f>
        <v>Tj 050 NE (Ch 936)</v>
      </c>
      <c r="C42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(Ch 936),SOSTENIMIENTO</v>
      </c>
      <c r="D42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97" s="47" t="s">
        <v>8518</v>
      </c>
      <c r="G4297" t="s">
        <v>8519</v>
      </c>
      <c r="H42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98" spans="1:8" ht="15" customHeight="1" x14ac:dyDescent="0.25">
      <c r="A4298" t="str">
        <f>MID(TB_CECO[[#This Row],[CECO_T]],1,5)</f>
        <v>5D72A</v>
      </c>
      <c r="B4298" t="str">
        <f>MID(TB_CECO[[#This Row],[TRABAJO]],1,SEARCH(",",TB_CECO[[#This Row],[TRABAJO]],1)-1)</f>
        <v>Tj 050 NE (Ch 936)</v>
      </c>
      <c r="C42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NE (Ch 936),VOLADURA</v>
      </c>
      <c r="D42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98" s="47" t="s">
        <v>8520</v>
      </c>
      <c r="G4298" t="s">
        <v>8521</v>
      </c>
      <c r="H42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299" spans="1:8" ht="15" customHeight="1" x14ac:dyDescent="0.25">
      <c r="A4299" t="str">
        <f>MID(TB_CECO[[#This Row],[CECO_T]],1,5)</f>
        <v>5D72B</v>
      </c>
      <c r="B4299" t="str">
        <f>MID(TB_CECO[[#This Row],[TRABAJO]],1,SEARCH(",",TB_CECO[[#This Row],[TRABAJO]],1)-1)</f>
        <v>Tj 050 SW (Ch 936)</v>
      </c>
      <c r="C42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(Ch 936),LIMPIEZA</v>
      </c>
      <c r="D42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2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299" s="47" t="s">
        <v>8522</v>
      </c>
      <c r="G4299" t="s">
        <v>8523</v>
      </c>
      <c r="H42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00" spans="1:8" ht="15" customHeight="1" x14ac:dyDescent="0.25">
      <c r="A4300" t="str">
        <f>MID(TB_CECO[[#This Row],[CECO_T]],1,5)</f>
        <v>5D72B</v>
      </c>
      <c r="B4300" t="str">
        <f>MID(TB_CECO[[#This Row],[TRABAJO]],1,SEARCH(",",TB_CECO[[#This Row],[TRABAJO]],1)-1)</f>
        <v>Tj 050 SW (Ch 936)</v>
      </c>
      <c r="C43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(Ch 936),SERVICIO</v>
      </c>
      <c r="D43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00" s="47" t="s">
        <v>8524</v>
      </c>
      <c r="G4300" t="s">
        <v>8525</v>
      </c>
      <c r="H43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01" spans="1:8" ht="15" customHeight="1" x14ac:dyDescent="0.25">
      <c r="A4301" t="str">
        <f>MID(TB_CECO[[#This Row],[CECO_T]],1,5)</f>
        <v>5D72B</v>
      </c>
      <c r="B4301" t="str">
        <f>MID(TB_CECO[[#This Row],[TRABAJO]],1,SEARCH(",",TB_CECO[[#This Row],[TRABAJO]],1)-1)</f>
        <v>Tj 050 SW (Ch 936)</v>
      </c>
      <c r="C43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(Ch 936),PERFORACION</v>
      </c>
      <c r="D43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01" s="47" t="s">
        <v>8526</v>
      </c>
      <c r="G4301" t="s">
        <v>8527</v>
      </c>
      <c r="H43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02" spans="1:8" ht="15" customHeight="1" x14ac:dyDescent="0.25">
      <c r="A4302" t="str">
        <f>MID(TB_CECO[[#This Row],[CECO_T]],1,5)</f>
        <v>5D72B</v>
      </c>
      <c r="B4302" t="str">
        <f>MID(TB_CECO[[#This Row],[TRABAJO]],1,SEARCH(",",TB_CECO[[#This Row],[TRABAJO]],1)-1)</f>
        <v>Tj 050 SW (Ch 936)</v>
      </c>
      <c r="C43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(Ch 936),RELLENO</v>
      </c>
      <c r="D43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02" s="47" t="s">
        <v>8528</v>
      </c>
      <c r="G4302" t="s">
        <v>8529</v>
      </c>
      <c r="H43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03" spans="1:8" ht="15" customHeight="1" x14ac:dyDescent="0.25">
      <c r="A4303" t="str">
        <f>MID(TB_CECO[[#This Row],[CECO_T]],1,5)</f>
        <v>5D72B</v>
      </c>
      <c r="B4303" t="str">
        <f>MID(TB_CECO[[#This Row],[TRABAJO]],1,SEARCH(",",TB_CECO[[#This Row],[TRABAJO]],1)-1)</f>
        <v>Tj 050 SW (Ch 936)</v>
      </c>
      <c r="C43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(Ch 936),SOSTENIMIENTO</v>
      </c>
      <c r="D43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03" s="47" t="s">
        <v>8530</v>
      </c>
      <c r="G4303" t="s">
        <v>8531</v>
      </c>
      <c r="H43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04" spans="1:8" ht="15" customHeight="1" x14ac:dyDescent="0.25">
      <c r="A4304" t="str">
        <f>MID(TB_CECO[[#This Row],[CECO_T]],1,5)</f>
        <v>5D72B</v>
      </c>
      <c r="B4304" t="str">
        <f>MID(TB_CECO[[#This Row],[TRABAJO]],1,SEARCH(",",TB_CECO[[#This Row],[TRABAJO]],1)-1)</f>
        <v>Tj 050 SW (Ch 936)</v>
      </c>
      <c r="C43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050 SW (Ch 936),VOLADURA</v>
      </c>
      <c r="D43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04" s="47" t="s">
        <v>8532</v>
      </c>
      <c r="G4304" t="s">
        <v>8533</v>
      </c>
      <c r="H43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05" spans="1:8" ht="15" customHeight="1" x14ac:dyDescent="0.25">
      <c r="A4305" t="str">
        <f>MID(TB_CECO[[#This Row],[CECO_T]],1,5)</f>
        <v>5D72N</v>
      </c>
      <c r="B4305" t="str">
        <f>MID(TB_CECO[[#This Row],[TRABAJO]],1,SEARCH(",",TB_CECO[[#This Row],[TRABAJO]],1)-1)</f>
        <v>Tj 100 (Ch 100)</v>
      </c>
      <c r="C43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100 (Ch 100),LIMPIEZA</v>
      </c>
      <c r="D43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05" s="47" t="s">
        <v>8534</v>
      </c>
      <c r="G4305" t="s">
        <v>8535</v>
      </c>
      <c r="H43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06" spans="1:8" ht="15" customHeight="1" x14ac:dyDescent="0.25">
      <c r="A4306" t="str">
        <f>MID(TB_CECO[[#This Row],[CECO_T]],1,5)</f>
        <v>5D72N</v>
      </c>
      <c r="B4306" t="str">
        <f>MID(TB_CECO[[#This Row],[TRABAJO]],1,SEARCH(",",TB_CECO[[#This Row],[TRABAJO]],1)-1)</f>
        <v>Tj 100 (Ch 100)</v>
      </c>
      <c r="C43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100 (Ch 100),SERVICIO</v>
      </c>
      <c r="D43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06" s="47" t="s">
        <v>8536</v>
      </c>
      <c r="G4306" t="s">
        <v>8537</v>
      </c>
      <c r="H43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07" spans="1:8" ht="15" customHeight="1" x14ac:dyDescent="0.25">
      <c r="A4307" t="str">
        <f>MID(TB_CECO[[#This Row],[CECO_T]],1,5)</f>
        <v>5D72N</v>
      </c>
      <c r="B4307" t="str">
        <f>MID(TB_CECO[[#This Row],[TRABAJO]],1,SEARCH(",",TB_CECO[[#This Row],[TRABAJO]],1)-1)</f>
        <v>Tj 100 (Ch 100)</v>
      </c>
      <c r="C43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100 (Ch 100),PERFORACION</v>
      </c>
      <c r="D43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07" s="47" t="s">
        <v>8538</v>
      </c>
      <c r="G4307" t="s">
        <v>8539</v>
      </c>
      <c r="H43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08" spans="1:8" ht="15" customHeight="1" x14ac:dyDescent="0.25">
      <c r="A4308" t="str">
        <f>MID(TB_CECO[[#This Row],[CECO_T]],1,5)</f>
        <v>5D72N</v>
      </c>
      <c r="B4308" t="str">
        <f>MID(TB_CECO[[#This Row],[TRABAJO]],1,SEARCH(",",TB_CECO[[#This Row],[TRABAJO]],1)-1)</f>
        <v>Tj 100 (Ch 100)</v>
      </c>
      <c r="C43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100 (Ch 100),RELLENO</v>
      </c>
      <c r="D43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08" s="47" t="s">
        <v>8540</v>
      </c>
      <c r="G4308" t="s">
        <v>8541</v>
      </c>
      <c r="H43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09" spans="1:8" ht="15" customHeight="1" x14ac:dyDescent="0.25">
      <c r="A4309" t="str">
        <f>MID(TB_CECO[[#This Row],[CECO_T]],1,5)</f>
        <v>5D72N</v>
      </c>
      <c r="B4309" t="str">
        <f>MID(TB_CECO[[#This Row],[TRABAJO]],1,SEARCH(",",TB_CECO[[#This Row],[TRABAJO]],1)-1)</f>
        <v>Tj 100 (Ch 100)</v>
      </c>
      <c r="C43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100 (Ch 100),SOSTENIMIENTO</v>
      </c>
      <c r="D43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09" s="47" t="s">
        <v>8542</v>
      </c>
      <c r="G4309" t="s">
        <v>8543</v>
      </c>
      <c r="H43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10" spans="1:8" ht="15" customHeight="1" x14ac:dyDescent="0.25">
      <c r="A4310" t="str">
        <f>MID(TB_CECO[[#This Row],[CECO_T]],1,5)</f>
        <v>5D72N</v>
      </c>
      <c r="B4310" t="str">
        <f>MID(TB_CECO[[#This Row],[TRABAJO]],1,SEARCH(",",TB_CECO[[#This Row],[TRABAJO]],1)-1)</f>
        <v>Tj 100 (Ch 100)</v>
      </c>
      <c r="C43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100 (Ch 100),VOLADURA</v>
      </c>
      <c r="D43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10" s="47" t="s">
        <v>8544</v>
      </c>
      <c r="G4310" t="s">
        <v>8545</v>
      </c>
      <c r="H43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11" spans="1:8" ht="15" customHeight="1" x14ac:dyDescent="0.25">
      <c r="A4311" t="str">
        <f>MID(TB_CECO[[#This Row],[CECO_T]],1,5)</f>
        <v>5D72U</v>
      </c>
      <c r="B4311" t="str">
        <f>MID(TB_CECO[[#This Row],[TRABAJO]],1,SEARCH(",",TB_CECO[[#This Row],[TRABAJO]],1)-1)</f>
        <v>Tj 042 SW (Ch 835)</v>
      </c>
      <c r="C43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042 SW (Ch 835),RELLENO</v>
      </c>
      <c r="D43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11" s="47" t="s">
        <v>8546</v>
      </c>
      <c r="G4311" t="s">
        <v>8547</v>
      </c>
      <c r="H43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12" spans="1:8" ht="15" customHeight="1" x14ac:dyDescent="0.25">
      <c r="A4312" t="str">
        <f>MID(TB_CECO[[#This Row],[CECO_T]],1,5)</f>
        <v>5D72X</v>
      </c>
      <c r="B4312" t="str">
        <f>MID(TB_CECO[[#This Row],[TRABAJO]],1,SEARCH(",",TB_CECO[[#This Row],[TRABAJO]],1)-1)</f>
        <v>Tj 903 NE (Inc 822 NE)</v>
      </c>
      <c r="C43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903 NE (Inc 822 NE),LIMPIEZA</v>
      </c>
      <c r="D43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12" s="47" t="s">
        <v>8548</v>
      </c>
      <c r="G4312" t="s">
        <v>8549</v>
      </c>
      <c r="H43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13" spans="1:8" ht="15" customHeight="1" x14ac:dyDescent="0.25">
      <c r="A4313" t="str">
        <f>MID(TB_CECO[[#This Row],[CECO_T]],1,5)</f>
        <v>5D72X</v>
      </c>
      <c r="B4313" t="str">
        <f>MID(TB_CECO[[#This Row],[TRABAJO]],1,SEARCH(",",TB_CECO[[#This Row],[TRABAJO]],1)-1)</f>
        <v>Tj 903 NE (Inc 822 NE)</v>
      </c>
      <c r="C43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903 NE (Inc 822 NE),SERVICIO</v>
      </c>
      <c r="D43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13" s="47" t="s">
        <v>8550</v>
      </c>
      <c r="G4313" t="s">
        <v>8551</v>
      </c>
      <c r="H43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14" spans="1:8" ht="15" customHeight="1" x14ac:dyDescent="0.25">
      <c r="A4314" t="str">
        <f>MID(TB_CECO[[#This Row],[CECO_T]],1,5)</f>
        <v>5D72X</v>
      </c>
      <c r="B4314" t="str">
        <f>MID(TB_CECO[[#This Row],[TRABAJO]],1,SEARCH(",",TB_CECO[[#This Row],[TRABAJO]],1)-1)</f>
        <v>Tj 903 NE (Inc 822 NE)</v>
      </c>
      <c r="C43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903 NE (Inc 822 NE),PERFORACION</v>
      </c>
      <c r="D43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14" s="47" t="s">
        <v>8552</v>
      </c>
      <c r="G4314" t="s">
        <v>8553</v>
      </c>
      <c r="H43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15" spans="1:8" ht="15" customHeight="1" x14ac:dyDescent="0.25">
      <c r="A4315" t="str">
        <f>MID(TB_CECO[[#This Row],[CECO_T]],1,5)</f>
        <v>5D72X</v>
      </c>
      <c r="B4315" t="str">
        <f>MID(TB_CECO[[#This Row],[TRABAJO]],1,SEARCH(",",TB_CECO[[#This Row],[TRABAJO]],1)-1)</f>
        <v>Tj 903 NE (Inc 822 NE)</v>
      </c>
      <c r="C43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903 NE (Inc 822 NE),RELLENO</v>
      </c>
      <c r="D43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15" s="47" t="s">
        <v>8554</v>
      </c>
      <c r="G4315" t="s">
        <v>8555</v>
      </c>
      <c r="H43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16" spans="1:8" ht="15" customHeight="1" x14ac:dyDescent="0.25">
      <c r="A4316" t="str">
        <f>MID(TB_CECO[[#This Row],[CECO_T]],1,5)</f>
        <v>5D72X</v>
      </c>
      <c r="B4316" t="str">
        <f>MID(TB_CECO[[#This Row],[TRABAJO]],1,SEARCH(",",TB_CECO[[#This Row],[TRABAJO]],1)-1)</f>
        <v>Tj 903 NE (Inc 822 NE)</v>
      </c>
      <c r="C43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903 NE (Inc 822 NE),SOSTENIMIENTO</v>
      </c>
      <c r="D43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16" s="47" t="s">
        <v>8556</v>
      </c>
      <c r="G4316" t="s">
        <v>8557</v>
      </c>
      <c r="H43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17" spans="1:8" ht="15" customHeight="1" x14ac:dyDescent="0.25">
      <c r="A4317" t="str">
        <f>MID(TB_CECO[[#This Row],[CECO_T]],1,5)</f>
        <v>5D72X</v>
      </c>
      <c r="B4317" t="str">
        <f>MID(TB_CECO[[#This Row],[TRABAJO]],1,SEARCH(",",TB_CECO[[#This Row],[TRABAJO]],1)-1)</f>
        <v>Tj 903 NE (Inc 822 NE)</v>
      </c>
      <c r="C43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903 NE (Inc 822 NE),VOLADURA</v>
      </c>
      <c r="D43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17" s="47" t="s">
        <v>8558</v>
      </c>
      <c r="G4317" t="s">
        <v>8559</v>
      </c>
      <c r="H43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18" spans="1:8" ht="15" customHeight="1" x14ac:dyDescent="0.25">
      <c r="A4318" t="str">
        <f>MID(TB_CECO[[#This Row],[CECO_T]],1,5)</f>
        <v>5D72Y</v>
      </c>
      <c r="B4318" t="str">
        <f>MID(TB_CECO[[#This Row],[TRABAJO]],1,SEARCH(",",TB_CECO[[#This Row],[TRABAJO]],1)-1)</f>
        <v>Tj 903 SW (Inc 822 NE)</v>
      </c>
      <c r="C43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903 SW (Inc 822 NE),LIMPIEZA</v>
      </c>
      <c r="D43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18" s="47" t="s">
        <v>8560</v>
      </c>
      <c r="G4318" t="s">
        <v>8561</v>
      </c>
      <c r="H43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19" spans="1:8" ht="15" customHeight="1" x14ac:dyDescent="0.25">
      <c r="A4319" t="str">
        <f>MID(TB_CECO[[#This Row],[CECO_T]],1,5)</f>
        <v>5D72Y</v>
      </c>
      <c r="B4319" t="str">
        <f>MID(TB_CECO[[#This Row],[TRABAJO]],1,SEARCH(",",TB_CECO[[#This Row],[TRABAJO]],1)-1)</f>
        <v>Tj 903 SW (Inc 822 NE)</v>
      </c>
      <c r="C43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903 SW (Inc 822 NE),SERVICIO</v>
      </c>
      <c r="D43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19" s="47" t="s">
        <v>8562</v>
      </c>
      <c r="G4319" t="s">
        <v>8563</v>
      </c>
      <c r="H43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20" spans="1:8" ht="15" customHeight="1" x14ac:dyDescent="0.25">
      <c r="A4320" t="str">
        <f>MID(TB_CECO[[#This Row],[CECO_T]],1,5)</f>
        <v>5D72Y</v>
      </c>
      <c r="B4320" t="str">
        <f>MID(TB_CECO[[#This Row],[TRABAJO]],1,SEARCH(",",TB_CECO[[#This Row],[TRABAJO]],1)-1)</f>
        <v>Tj 903 SW (Inc 822 NE)</v>
      </c>
      <c r="C43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903 SW (Inc 822 NE),PERFORACION</v>
      </c>
      <c r="D43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20" s="47" t="s">
        <v>8564</v>
      </c>
      <c r="G4320" t="s">
        <v>8565</v>
      </c>
      <c r="H43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21" spans="1:8" ht="15" customHeight="1" x14ac:dyDescent="0.25">
      <c r="A4321" t="str">
        <f>MID(TB_CECO[[#This Row],[CECO_T]],1,5)</f>
        <v>5D72Y</v>
      </c>
      <c r="B4321" t="str">
        <f>MID(TB_CECO[[#This Row],[TRABAJO]],1,SEARCH(",",TB_CECO[[#This Row],[TRABAJO]],1)-1)</f>
        <v>Tj 903 SW (Inc 822 NE)</v>
      </c>
      <c r="C43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903 SW (Inc 822 NE),SOSTENIMIENTO</v>
      </c>
      <c r="D43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21" s="47" t="s">
        <v>8566</v>
      </c>
      <c r="G4321" t="s">
        <v>8567</v>
      </c>
      <c r="H43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22" spans="1:8" ht="15" customHeight="1" x14ac:dyDescent="0.25">
      <c r="A4322" t="str">
        <f>MID(TB_CECO[[#This Row],[CECO_T]],1,5)</f>
        <v>5D72Y</v>
      </c>
      <c r="B4322" t="str">
        <f>MID(TB_CECO[[#This Row],[TRABAJO]],1,SEARCH(",",TB_CECO[[#This Row],[TRABAJO]],1)-1)</f>
        <v>Tj 903 SW (Inc 822 NE)</v>
      </c>
      <c r="C43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903 SW (Inc 822 NE),VOLADURA</v>
      </c>
      <c r="D43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22" s="47" t="s">
        <v>8568</v>
      </c>
      <c r="G4322" t="s">
        <v>8569</v>
      </c>
      <c r="H43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23" spans="1:8" ht="15" customHeight="1" x14ac:dyDescent="0.25">
      <c r="A4323" t="str">
        <f>MID(TB_CECO[[#This Row],[CECO_T]],1,5)</f>
        <v>5D730</v>
      </c>
      <c r="B4323" t="str">
        <f>MID(TB_CECO[[#This Row],[TRABAJO]],1,SEARCH(",",TB_CECO[[#This Row],[TRABAJO]],1)-1)</f>
        <v>TJ 056 SW (CH 050)</v>
      </c>
      <c r="C43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SW (CH 050),SUMINISTROS</v>
      </c>
      <c r="D43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23" s="47" t="s">
        <v>8570</v>
      </c>
      <c r="G4323" t="s">
        <v>8571</v>
      </c>
      <c r="H43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24" spans="1:8" ht="15" customHeight="1" x14ac:dyDescent="0.25">
      <c r="A4324" t="str">
        <f>MID(TB_CECO[[#This Row],[CECO_T]],1,5)</f>
        <v>5D730</v>
      </c>
      <c r="B4324" t="str">
        <f>MID(TB_CECO[[#This Row],[TRABAJO]],1,SEARCH(",",TB_CECO[[#This Row],[TRABAJO]],1)-1)</f>
        <v>TJ 056 SW (CH 050)</v>
      </c>
      <c r="C43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SW (CH 050),SOSTENIMIENTO</v>
      </c>
      <c r="D43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24" s="47" t="s">
        <v>8572</v>
      </c>
      <c r="G4324" t="s">
        <v>8573</v>
      </c>
      <c r="H43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25" spans="1:8" ht="15" customHeight="1" x14ac:dyDescent="0.25">
      <c r="A4325" t="str">
        <f>MID(TB_CECO[[#This Row],[CECO_T]],1,5)</f>
        <v>5D730</v>
      </c>
      <c r="B4325" t="str">
        <f>MID(TB_CECO[[#This Row],[TRABAJO]],1,SEARCH(",",TB_CECO[[#This Row],[TRABAJO]],1)-1)</f>
        <v>TJ 056 SW (CH 050)</v>
      </c>
      <c r="C43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SW (CH 050),SERVICIO</v>
      </c>
      <c r="D43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25" s="47" t="s">
        <v>8574</v>
      </c>
      <c r="G4325" t="s">
        <v>8575</v>
      </c>
      <c r="H43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26" spans="1:8" ht="15" customHeight="1" x14ac:dyDescent="0.25">
      <c r="A4326" t="str">
        <f>MID(TB_CECO[[#This Row],[CECO_T]],1,5)</f>
        <v>5D730</v>
      </c>
      <c r="B4326" t="str">
        <f>MID(TB_CECO[[#This Row],[TRABAJO]],1,SEARCH(",",TB_CECO[[#This Row],[TRABAJO]],1)-1)</f>
        <v>TJ 056 SW (CH 050)</v>
      </c>
      <c r="C43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SW (CH 050),REHABILITACION</v>
      </c>
      <c r="D43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26" s="47" t="s">
        <v>8576</v>
      </c>
      <c r="G4326" t="s">
        <v>8577</v>
      </c>
      <c r="H43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27" spans="1:8" ht="15" customHeight="1" x14ac:dyDescent="0.25">
      <c r="A4327" t="str">
        <f>MID(TB_CECO[[#This Row],[CECO_T]],1,5)</f>
        <v>5D730</v>
      </c>
      <c r="B4327" t="str">
        <f>MID(TB_CECO[[#This Row],[TRABAJO]],1,SEARCH(",",TB_CECO[[#This Row],[TRABAJO]],1)-1)</f>
        <v>TJ 056 SW (CH 050)</v>
      </c>
      <c r="C43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SW (CH 050),REALCE</v>
      </c>
      <c r="D43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27" s="47" t="s">
        <v>8578</v>
      </c>
      <c r="G4327" t="s">
        <v>8579</v>
      </c>
      <c r="H43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28" spans="1:8" ht="15" customHeight="1" x14ac:dyDescent="0.25">
      <c r="A4328" t="str">
        <f>MID(TB_CECO[[#This Row],[CECO_T]],1,5)</f>
        <v>5D730</v>
      </c>
      <c r="B4328" t="str">
        <f>MID(TB_CECO[[#This Row],[TRABAJO]],1,SEARCH(",",TB_CECO[[#This Row],[TRABAJO]],1)-1)</f>
        <v>TJ 056 SW (CH 050)</v>
      </c>
      <c r="C43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056 SW (CH 050),BREASTING</v>
      </c>
      <c r="D43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28" s="47" t="s">
        <v>8580</v>
      </c>
      <c r="G4328" t="s">
        <v>8581</v>
      </c>
      <c r="H43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29" spans="1:8" ht="15" customHeight="1" x14ac:dyDescent="0.25">
      <c r="A4329" t="str">
        <f>MID(TB_CECO[[#This Row],[CECO_T]],1,5)</f>
        <v>5D743</v>
      </c>
      <c r="B4329" t="str">
        <f>MID(TB_CECO[[#This Row],[TRABAJO]],1,SEARCH(",",TB_CECO[[#This Row],[TRABAJO]],1)-1)</f>
        <v>TJ 120 (CH 120)</v>
      </c>
      <c r="C43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120 (CH 120),SUMINISTROS</v>
      </c>
      <c r="D43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29" s="47" t="s">
        <v>8582</v>
      </c>
      <c r="G4329" t="s">
        <v>8583</v>
      </c>
      <c r="H43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30" spans="1:8" ht="15" customHeight="1" x14ac:dyDescent="0.25">
      <c r="A4330" t="str">
        <f>MID(TB_CECO[[#This Row],[CECO_T]],1,5)</f>
        <v>5D743</v>
      </c>
      <c r="B4330" t="str">
        <f>MID(TB_CECO[[#This Row],[TRABAJO]],1,SEARCH(",",TB_CECO[[#This Row],[TRABAJO]],1)-1)</f>
        <v>TJ 120 (CH 120)</v>
      </c>
      <c r="C43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120 (CH 120),SOSTENIMIENTO</v>
      </c>
      <c r="D43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30" s="47" t="s">
        <v>8584</v>
      </c>
      <c r="G4330" t="s">
        <v>8585</v>
      </c>
      <c r="H43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31" spans="1:8" ht="15" customHeight="1" x14ac:dyDescent="0.25">
      <c r="A4331" t="str">
        <f>MID(TB_CECO[[#This Row],[CECO_T]],1,5)</f>
        <v>5D743</v>
      </c>
      <c r="B4331" t="str">
        <f>MID(TB_CECO[[#This Row],[TRABAJO]],1,SEARCH(",",TB_CECO[[#This Row],[TRABAJO]],1)-1)</f>
        <v>TJ 120 (CH 120)</v>
      </c>
      <c r="C43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120 (CH 120),SERVICIO</v>
      </c>
      <c r="D43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31" s="47" t="s">
        <v>8586</v>
      </c>
      <c r="G4331" t="s">
        <v>8587</v>
      </c>
      <c r="H43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32" spans="1:8" ht="15" customHeight="1" x14ac:dyDescent="0.25">
      <c r="A4332" t="str">
        <f>MID(TB_CECO[[#This Row],[CECO_T]],1,5)</f>
        <v>5D743</v>
      </c>
      <c r="B4332" t="str">
        <f>MID(TB_CECO[[#This Row],[TRABAJO]],1,SEARCH(",",TB_CECO[[#This Row],[TRABAJO]],1)-1)</f>
        <v>TJ 120 (CH 120)</v>
      </c>
      <c r="C43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120 (CH 120),REHABILITACION</v>
      </c>
      <c r="D43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32" s="47" t="s">
        <v>8588</v>
      </c>
      <c r="G4332" t="s">
        <v>8589</v>
      </c>
      <c r="H43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33" spans="1:8" ht="15" customHeight="1" x14ac:dyDescent="0.25">
      <c r="A4333" t="str">
        <f>MID(TB_CECO[[#This Row],[CECO_T]],1,5)</f>
        <v>5D743</v>
      </c>
      <c r="B4333" t="str">
        <f>MID(TB_CECO[[#This Row],[TRABAJO]],1,SEARCH(",",TB_CECO[[#This Row],[TRABAJO]],1)-1)</f>
        <v>TJ 120 (CH 120)</v>
      </c>
      <c r="C43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120 (CH 120),REALCE</v>
      </c>
      <c r="D43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33" s="47" t="s">
        <v>8590</v>
      </c>
      <c r="G4333" t="s">
        <v>8591</v>
      </c>
      <c r="H43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34" spans="1:8" ht="15" customHeight="1" x14ac:dyDescent="0.25">
      <c r="A4334" t="str">
        <f>MID(TB_CECO[[#This Row],[CECO_T]],1,5)</f>
        <v>5D743</v>
      </c>
      <c r="B4334" t="str">
        <f>MID(TB_CECO[[#This Row],[TRABAJO]],1,SEARCH(",",TB_CECO[[#This Row],[TRABAJO]],1)-1)</f>
        <v>TJ 120 (CH 120)</v>
      </c>
      <c r="C43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120 (CH 120),BREASTING</v>
      </c>
      <c r="D43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34" s="47" t="s">
        <v>8592</v>
      </c>
      <c r="G4334" t="s">
        <v>8593</v>
      </c>
      <c r="H43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35" spans="1:8" ht="15" customHeight="1" x14ac:dyDescent="0.25">
      <c r="A4335" t="str">
        <f>MID(TB_CECO[[#This Row],[CECO_T]],1,5)</f>
        <v>5D785</v>
      </c>
      <c r="B4335" t="str">
        <f>MID(TB_CECO[[#This Row],[TRABAJO]],1,SEARCH(",",TB_CECO[[#This Row],[TRABAJO]],1)-1)</f>
        <v>Tj 080 SW (Ch 122)</v>
      </c>
      <c r="C43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080 SW (Ch 122),SUMINISTROS</v>
      </c>
      <c r="D43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35" s="47" t="s">
        <v>8594</v>
      </c>
      <c r="G4335" t="s">
        <v>8595</v>
      </c>
      <c r="H43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36" spans="1:8" ht="15" customHeight="1" x14ac:dyDescent="0.25">
      <c r="A4336" t="str">
        <f>MID(TB_CECO[[#This Row],[CECO_T]],1,5)</f>
        <v>5D785</v>
      </c>
      <c r="B4336" t="str">
        <f>MID(TB_CECO[[#This Row],[TRABAJO]],1,SEARCH(",",TB_CECO[[#This Row],[TRABAJO]],1)-1)</f>
        <v>Tj 080 SW (Ch 122)</v>
      </c>
      <c r="C43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080 SW (Ch 122),SOSTENIMIENTO</v>
      </c>
      <c r="D43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36" s="47" t="s">
        <v>8596</v>
      </c>
      <c r="G4336" t="s">
        <v>8597</v>
      </c>
      <c r="H43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37" spans="1:8" ht="15" customHeight="1" x14ac:dyDescent="0.25">
      <c r="A4337" t="str">
        <f>MID(TB_CECO[[#This Row],[CECO_T]],1,5)</f>
        <v>5D785</v>
      </c>
      <c r="B4337" t="str">
        <f>MID(TB_CECO[[#This Row],[TRABAJO]],1,SEARCH(",",TB_CECO[[#This Row],[TRABAJO]],1)-1)</f>
        <v>Tj 080 SW (Ch 122)</v>
      </c>
      <c r="C43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080 SW (Ch 122),SERVICIO</v>
      </c>
      <c r="D43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37" s="47" t="s">
        <v>8598</v>
      </c>
      <c r="G4337" t="s">
        <v>8599</v>
      </c>
      <c r="H43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38" spans="1:8" ht="15" customHeight="1" x14ac:dyDescent="0.25">
      <c r="A4338" t="str">
        <f>MID(TB_CECO[[#This Row],[CECO_T]],1,5)</f>
        <v>5D785</v>
      </c>
      <c r="B4338" t="str">
        <f>MID(TB_CECO[[#This Row],[TRABAJO]],1,SEARCH(",",TB_CECO[[#This Row],[TRABAJO]],1)-1)</f>
        <v>Tj 080 SW (Ch 122)</v>
      </c>
      <c r="C43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080 SW (Ch 122),REHABILITACION</v>
      </c>
      <c r="D43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38" s="47" t="s">
        <v>8600</v>
      </c>
      <c r="G4338" t="s">
        <v>8601</v>
      </c>
      <c r="H43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39" spans="1:8" ht="15" customHeight="1" x14ac:dyDescent="0.25">
      <c r="A4339" t="str">
        <f>MID(TB_CECO[[#This Row],[CECO_T]],1,5)</f>
        <v>5D787</v>
      </c>
      <c r="B4339" t="str">
        <f>MID(TB_CECO[[#This Row],[TRABAJO]],1,SEARCH(",",TB_CECO[[#This Row],[TRABAJO]],1)-1)</f>
        <v>Tj 070 NE (Ch 072)</v>
      </c>
      <c r="C43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NE (Ch 072),LIMPIEZA</v>
      </c>
      <c r="D43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39" s="47" t="s">
        <v>8602</v>
      </c>
      <c r="G4339" t="s">
        <v>8603</v>
      </c>
      <c r="H43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40" spans="1:8" ht="15" customHeight="1" x14ac:dyDescent="0.25">
      <c r="A4340" t="str">
        <f>MID(TB_CECO[[#This Row],[CECO_T]],1,5)</f>
        <v>5D787</v>
      </c>
      <c r="B4340" t="str">
        <f>MID(TB_CECO[[#This Row],[TRABAJO]],1,SEARCH(",",TB_CECO[[#This Row],[TRABAJO]],1)-1)</f>
        <v>Tj 070 NE (Ch 072)</v>
      </c>
      <c r="C43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NE (Ch 072),SERVICIO</v>
      </c>
      <c r="D43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40" s="47" t="s">
        <v>8604</v>
      </c>
      <c r="G4340" t="s">
        <v>8605</v>
      </c>
      <c r="H43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41" spans="1:8" ht="15" customHeight="1" x14ac:dyDescent="0.25">
      <c r="A4341" t="str">
        <f>MID(TB_CECO[[#This Row],[CECO_T]],1,5)</f>
        <v>5D787</v>
      </c>
      <c r="B4341" t="str">
        <f>MID(TB_CECO[[#This Row],[TRABAJO]],1,SEARCH(",",TB_CECO[[#This Row],[TRABAJO]],1)-1)</f>
        <v>Tj 070 NE (Ch 072)</v>
      </c>
      <c r="C43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NE (Ch 072),PERFORACION</v>
      </c>
      <c r="D43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41" s="47" t="s">
        <v>8606</v>
      </c>
      <c r="G4341" t="s">
        <v>8607</v>
      </c>
      <c r="H43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42" spans="1:8" ht="15" customHeight="1" x14ac:dyDescent="0.25">
      <c r="A4342" t="str">
        <f>MID(TB_CECO[[#This Row],[CECO_T]],1,5)</f>
        <v>5D787</v>
      </c>
      <c r="B4342" t="str">
        <f>MID(TB_CECO[[#This Row],[TRABAJO]],1,SEARCH(",",TB_CECO[[#This Row],[TRABAJO]],1)-1)</f>
        <v>Tj 070 NE (Ch 072)</v>
      </c>
      <c r="C43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NE (Ch 072),SOSTENIMIENTO</v>
      </c>
      <c r="D43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42" s="47" t="s">
        <v>8608</v>
      </c>
      <c r="G4342" t="s">
        <v>8609</v>
      </c>
      <c r="H43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43" spans="1:8" ht="15" customHeight="1" x14ac:dyDescent="0.25">
      <c r="A4343" t="str">
        <f>MID(TB_CECO[[#This Row],[CECO_T]],1,5)</f>
        <v>5D787</v>
      </c>
      <c r="B4343" t="str">
        <f>MID(TB_CECO[[#This Row],[TRABAJO]],1,SEARCH(",",TB_CECO[[#This Row],[TRABAJO]],1)-1)</f>
        <v>Tj 070 NE (Ch 072)</v>
      </c>
      <c r="C43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NE (Ch 072),VOLADURA</v>
      </c>
      <c r="D43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43" s="47" t="s">
        <v>8610</v>
      </c>
      <c r="G4343" t="s">
        <v>8611</v>
      </c>
      <c r="H43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44" spans="1:8" ht="15" customHeight="1" x14ac:dyDescent="0.25">
      <c r="A4344" t="str">
        <f>MID(TB_CECO[[#This Row],[CECO_T]],1,5)</f>
        <v>5D788</v>
      </c>
      <c r="B4344" t="str">
        <f>MID(TB_CECO[[#This Row],[TRABAJO]],1,SEARCH(",",TB_CECO[[#This Row],[TRABAJO]],1)-1)</f>
        <v>Tj 070 SW (Ch 072)</v>
      </c>
      <c r="C43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SW (Ch 072),LIMPIEZA</v>
      </c>
      <c r="D43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44" s="47" t="s">
        <v>8612</v>
      </c>
      <c r="G4344" t="s">
        <v>8613</v>
      </c>
      <c r="H43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45" spans="1:8" ht="15" customHeight="1" x14ac:dyDescent="0.25">
      <c r="A4345" t="str">
        <f>MID(TB_CECO[[#This Row],[CECO_T]],1,5)</f>
        <v>5D788</v>
      </c>
      <c r="B4345" t="str">
        <f>MID(TB_CECO[[#This Row],[TRABAJO]],1,SEARCH(",",TB_CECO[[#This Row],[TRABAJO]],1)-1)</f>
        <v>Tj 070 SW (Ch 072)</v>
      </c>
      <c r="C43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SW (Ch 072),SERVICIO</v>
      </c>
      <c r="D43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45" s="47" t="s">
        <v>8614</v>
      </c>
      <c r="G4345" t="s">
        <v>8615</v>
      </c>
      <c r="H43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46" spans="1:8" ht="15" customHeight="1" x14ac:dyDescent="0.25">
      <c r="A4346" t="str">
        <f>MID(TB_CECO[[#This Row],[CECO_T]],1,5)</f>
        <v>5D788</v>
      </c>
      <c r="B4346" t="str">
        <f>MID(TB_CECO[[#This Row],[TRABAJO]],1,SEARCH(",",TB_CECO[[#This Row],[TRABAJO]],1)-1)</f>
        <v>Tj 070 SW (Ch 072)</v>
      </c>
      <c r="C43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SW (Ch 072),PERFORACION</v>
      </c>
      <c r="D43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46" s="47" t="s">
        <v>8616</v>
      </c>
      <c r="G4346" t="s">
        <v>8617</v>
      </c>
      <c r="H43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47" spans="1:8" ht="15" customHeight="1" x14ac:dyDescent="0.25">
      <c r="A4347" t="str">
        <f>MID(TB_CECO[[#This Row],[CECO_T]],1,5)</f>
        <v>5D788</v>
      </c>
      <c r="B4347" t="str">
        <f>MID(TB_CECO[[#This Row],[TRABAJO]],1,SEARCH(",",TB_CECO[[#This Row],[TRABAJO]],1)-1)</f>
        <v>Tj 070 SW (Ch 072)</v>
      </c>
      <c r="C43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SW (Ch 072),SOSTENIMIENTO</v>
      </c>
      <c r="D43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47" s="47" t="s">
        <v>8618</v>
      </c>
      <c r="G4347" t="s">
        <v>8619</v>
      </c>
      <c r="H43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48" spans="1:8" ht="15" customHeight="1" x14ac:dyDescent="0.25">
      <c r="A4348" t="str">
        <f>MID(TB_CECO[[#This Row],[CECO_T]],1,5)</f>
        <v>5D788</v>
      </c>
      <c r="B4348" t="str">
        <f>MID(TB_CECO[[#This Row],[TRABAJO]],1,SEARCH(",",TB_CECO[[#This Row],[TRABAJO]],1)-1)</f>
        <v>Tj 070 SW (Ch 072)</v>
      </c>
      <c r="C43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070 SW (Ch 072),VOLADURA</v>
      </c>
      <c r="D43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48" s="47" t="s">
        <v>8620</v>
      </c>
      <c r="G4348" t="s">
        <v>8621</v>
      </c>
      <c r="H43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49" spans="1:8" ht="15" customHeight="1" x14ac:dyDescent="0.25">
      <c r="A4349" t="str">
        <f>MID(TB_CECO[[#This Row],[CECO_T]],1,5)</f>
        <v>5D798</v>
      </c>
      <c r="B4349" t="str">
        <f>MID(TB_CECO[[#This Row],[TRABAJO]],1,SEARCH(",",TB_CECO[[#This Row],[TRABAJO]],1)-1)</f>
        <v>Tj 026 NE (Ch 056)</v>
      </c>
      <c r="C43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026 NE (Ch 056),LIMPIEZA</v>
      </c>
      <c r="D43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49" s="47" t="s">
        <v>8622</v>
      </c>
      <c r="G4349" t="s">
        <v>8623</v>
      </c>
      <c r="H43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50" spans="1:8" ht="15" customHeight="1" x14ac:dyDescent="0.25">
      <c r="A4350" t="str">
        <f>MID(TB_CECO[[#This Row],[CECO_T]],1,5)</f>
        <v>5D798</v>
      </c>
      <c r="B4350" t="str">
        <f>MID(TB_CECO[[#This Row],[TRABAJO]],1,SEARCH(",",TB_CECO[[#This Row],[TRABAJO]],1)-1)</f>
        <v>Tj 026 NE (Ch 056)</v>
      </c>
      <c r="C43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026 NE (Ch 056),SERVICIO</v>
      </c>
      <c r="D43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50" s="47" t="s">
        <v>8624</v>
      </c>
      <c r="G4350" t="s">
        <v>8625</v>
      </c>
      <c r="H43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51" spans="1:8" ht="15" customHeight="1" x14ac:dyDescent="0.25">
      <c r="A4351" t="str">
        <f>MID(TB_CECO[[#This Row],[CECO_T]],1,5)</f>
        <v>5D798</v>
      </c>
      <c r="B4351" t="str">
        <f>MID(TB_CECO[[#This Row],[TRABAJO]],1,SEARCH(",",TB_CECO[[#This Row],[TRABAJO]],1)-1)</f>
        <v>Tj 026 NE (Ch 056)</v>
      </c>
      <c r="C43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026 NE (Ch 056),PERFORACION</v>
      </c>
      <c r="D43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51" s="47" t="s">
        <v>8626</v>
      </c>
      <c r="G4351" t="s">
        <v>8627</v>
      </c>
      <c r="H43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52" spans="1:8" ht="15" customHeight="1" x14ac:dyDescent="0.25">
      <c r="A4352" t="str">
        <f>MID(TB_CECO[[#This Row],[CECO_T]],1,5)</f>
        <v>5D798</v>
      </c>
      <c r="B4352" t="str">
        <f>MID(TB_CECO[[#This Row],[TRABAJO]],1,SEARCH(",",TB_CECO[[#This Row],[TRABAJO]],1)-1)</f>
        <v>Tj 026 NE (Ch 056)</v>
      </c>
      <c r="C43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026 NE (Ch 056),SOSTENIMIENTO</v>
      </c>
      <c r="D43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52" s="47" t="s">
        <v>8628</v>
      </c>
      <c r="G4352" t="s">
        <v>8629</v>
      </c>
      <c r="H43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53" spans="1:8" ht="15" customHeight="1" x14ac:dyDescent="0.25">
      <c r="A4353" t="str">
        <f>MID(TB_CECO[[#This Row],[CECO_T]],1,5)</f>
        <v>5D798</v>
      </c>
      <c r="B4353" t="str">
        <f>MID(TB_CECO[[#This Row],[TRABAJO]],1,SEARCH(",",TB_CECO[[#This Row],[TRABAJO]],1)-1)</f>
        <v>Tj 026 NE (Ch 056)</v>
      </c>
      <c r="C43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026 NE (Ch 056),VOLADURA</v>
      </c>
      <c r="D43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43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53" s="47" t="s">
        <v>8630</v>
      </c>
      <c r="G4353" t="s">
        <v>8631</v>
      </c>
      <c r="H43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54" spans="1:8" ht="15" customHeight="1" x14ac:dyDescent="0.25">
      <c r="A4354" t="str">
        <f>MID(TB_CECO[[#This Row],[CECO_T]],1,5)</f>
        <v>5D809</v>
      </c>
      <c r="B4354" t="str">
        <f>MID(TB_CECO[[#This Row],[TRABAJO]],1,SEARCH(",",TB_CECO[[#This Row],[TRABAJO]],1)-1)</f>
        <v>CAM 074 SE (EST 074 SE)</v>
      </c>
      <c r="C43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074 SE (EST 074 SE),SUMINISTROS</v>
      </c>
      <c r="D43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54" s="47" t="s">
        <v>8632</v>
      </c>
      <c r="G4354" t="s">
        <v>8633</v>
      </c>
      <c r="H43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55" spans="1:8" ht="15" customHeight="1" x14ac:dyDescent="0.25">
      <c r="A4355" t="str">
        <f>MID(TB_CECO[[#This Row],[CECO_T]],1,5)</f>
        <v>5D809</v>
      </c>
      <c r="B4355" t="str">
        <f>MID(TB_CECO[[#This Row],[TRABAJO]],1,SEARCH(",",TB_CECO[[#This Row],[TRABAJO]],1)-1)</f>
        <v>CAM 074 SE (EST 074 SE)</v>
      </c>
      <c r="C43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074 SE (EST 074 SE),SOSTENIMIENTO</v>
      </c>
      <c r="D43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55" s="47" t="s">
        <v>8634</v>
      </c>
      <c r="G4355" t="s">
        <v>8635</v>
      </c>
      <c r="H43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56" spans="1:8" ht="15" customHeight="1" x14ac:dyDescent="0.25">
      <c r="A4356" t="str">
        <f>MID(TB_CECO[[#This Row],[CECO_T]],1,5)</f>
        <v>5D809</v>
      </c>
      <c r="B4356" t="str">
        <f>MID(TB_CECO[[#This Row],[TRABAJO]],1,SEARCH(",",TB_CECO[[#This Row],[TRABAJO]],1)-1)</f>
        <v>CAM 074 SE (EST 074 SE)</v>
      </c>
      <c r="C43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074 SE (EST 074 SE),SERVICIO</v>
      </c>
      <c r="D43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56" s="47" t="s">
        <v>8636</v>
      </c>
      <c r="G4356" t="s">
        <v>8637</v>
      </c>
      <c r="H43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57" spans="1:8" ht="15" customHeight="1" x14ac:dyDescent="0.25">
      <c r="A4357" t="str">
        <f>MID(TB_CECO[[#This Row],[CECO_T]],1,5)</f>
        <v>5D809</v>
      </c>
      <c r="B4357" t="str">
        <f>MID(TB_CECO[[#This Row],[TRABAJO]],1,SEARCH(",",TB_CECO[[#This Row],[TRABAJO]],1)-1)</f>
        <v>CAM 074 SE (EST 074 SE)</v>
      </c>
      <c r="C43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074 SE (EST 074 SE),REHABILITACION</v>
      </c>
      <c r="D43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3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57" s="47" t="s">
        <v>8638</v>
      </c>
      <c r="G4357" t="s">
        <v>8639</v>
      </c>
      <c r="H43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58" spans="1:8" ht="15" customHeight="1" x14ac:dyDescent="0.25">
      <c r="A4358" t="str">
        <f>MID(TB_CECO[[#This Row],[CECO_T]],1,5)</f>
        <v>5E554</v>
      </c>
      <c r="B4358" t="str">
        <f>MID(TB_CECO[[#This Row],[TRABAJO]],1,SEARCH(",",TB_CECO[[#This Row],[TRABAJO]],1)-1)</f>
        <v>Snv 130 SW (Tj 101 SW)</v>
      </c>
      <c r="C43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130 SW (Tj 101 SW),SUMINISTROS</v>
      </c>
      <c r="D43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3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58" s="47" t="s">
        <v>8640</v>
      </c>
      <c r="G4358" t="s">
        <v>8641</v>
      </c>
      <c r="H43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59" spans="1:8" ht="15" customHeight="1" x14ac:dyDescent="0.25">
      <c r="A4359" t="str">
        <f>MID(TB_CECO[[#This Row],[CECO_T]],1,5)</f>
        <v>5E554</v>
      </c>
      <c r="B4359" t="str">
        <f>MID(TB_CECO[[#This Row],[TRABAJO]],1,SEARCH(",",TB_CECO[[#This Row],[TRABAJO]],1)-1)</f>
        <v>Snv 130 SW (Tj 101 SW)</v>
      </c>
      <c r="C43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130 SW (Tj 101 SW),SOSTENIMIENTO</v>
      </c>
      <c r="D43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3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59" s="47" t="s">
        <v>8642</v>
      </c>
      <c r="G4359" t="s">
        <v>8643</v>
      </c>
      <c r="H43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60" spans="1:8" ht="15" customHeight="1" x14ac:dyDescent="0.25">
      <c r="A4360" t="str">
        <f>MID(TB_CECO[[#This Row],[CECO_T]],1,5)</f>
        <v>5E554</v>
      </c>
      <c r="B4360" t="str">
        <f>MID(TB_CECO[[#This Row],[TRABAJO]],1,SEARCH(",",TB_CECO[[#This Row],[TRABAJO]],1)-1)</f>
        <v>Snv 130 SW (Tj 101 SW)</v>
      </c>
      <c r="C43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130 SW (Tj 101 SW),SERVICIO</v>
      </c>
      <c r="D43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3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60" s="47" t="s">
        <v>8644</v>
      </c>
      <c r="G4360" t="s">
        <v>8645</v>
      </c>
      <c r="H43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61" spans="1:8" ht="15" customHeight="1" x14ac:dyDescent="0.25">
      <c r="A4361" t="str">
        <f>MID(TB_CECO[[#This Row],[CECO_T]],1,5)</f>
        <v>5E554</v>
      </c>
      <c r="B4361" t="str">
        <f>MID(TB_CECO[[#This Row],[TRABAJO]],1,SEARCH(",",TB_CECO[[#This Row],[TRABAJO]],1)-1)</f>
        <v>Snv 130 SW (Tj 101 SW)</v>
      </c>
      <c r="C43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130 SW (Tj 101 SW),REHABILITACION</v>
      </c>
      <c r="D43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3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61" s="47" t="s">
        <v>8646</v>
      </c>
      <c r="G4361" t="s">
        <v>8647</v>
      </c>
      <c r="H43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62" spans="1:8" ht="15" customHeight="1" x14ac:dyDescent="0.25">
      <c r="A4362" t="str">
        <f>MID(TB_CECO[[#This Row],[CECO_T]],1,5)</f>
        <v>5E660</v>
      </c>
      <c r="B4362" t="str">
        <f>MID(TB_CECO[[#This Row],[TRABAJO]],1,SEARCH(",",TB_CECO[[#This Row],[TRABAJO]],1)-1)</f>
        <v>Est 868 SE (Ch 091)</v>
      </c>
      <c r="C43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868 SE (Ch 091),LIMPIEZA</v>
      </c>
      <c r="D43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62" s="47" t="s">
        <v>8648</v>
      </c>
      <c r="G4362" t="s">
        <v>8649</v>
      </c>
      <c r="H43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63" spans="1:8" ht="15" customHeight="1" x14ac:dyDescent="0.25">
      <c r="A4363" t="str">
        <f>MID(TB_CECO[[#This Row],[CECO_T]],1,5)</f>
        <v>5E660</v>
      </c>
      <c r="B4363" t="str">
        <f>MID(TB_CECO[[#This Row],[TRABAJO]],1,SEARCH(",",TB_CECO[[#This Row],[TRABAJO]],1)-1)</f>
        <v>Est 868 SE (Ch 091)</v>
      </c>
      <c r="C43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868 SE (Ch 091),SERVICIO</v>
      </c>
      <c r="D43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63" s="47" t="s">
        <v>8650</v>
      </c>
      <c r="G4363" t="s">
        <v>8651</v>
      </c>
      <c r="H43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64" spans="1:8" ht="15" customHeight="1" x14ac:dyDescent="0.25">
      <c r="A4364" t="str">
        <f>MID(TB_CECO[[#This Row],[CECO_T]],1,5)</f>
        <v>5E660</v>
      </c>
      <c r="B4364" t="str">
        <f>MID(TB_CECO[[#This Row],[TRABAJO]],1,SEARCH(",",TB_CECO[[#This Row],[TRABAJO]],1)-1)</f>
        <v>Est 868 SE (Ch 091)</v>
      </c>
      <c r="C43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868 SE (Ch 091),PERFORACION</v>
      </c>
      <c r="D43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64" s="47" t="s">
        <v>8652</v>
      </c>
      <c r="G4364" t="s">
        <v>8653</v>
      </c>
      <c r="H43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65" spans="1:8" ht="15" customHeight="1" x14ac:dyDescent="0.25">
      <c r="A4365" t="str">
        <f>MID(TB_CECO[[#This Row],[CECO_T]],1,5)</f>
        <v>5E660</v>
      </c>
      <c r="B4365" t="str">
        <f>MID(TB_CECO[[#This Row],[TRABAJO]],1,SEARCH(",",TB_CECO[[#This Row],[TRABAJO]],1)-1)</f>
        <v>Est 868 SE (Ch 091)</v>
      </c>
      <c r="C43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868 SE (Ch 091),SOSTENIMIENTO</v>
      </c>
      <c r="D43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65" s="47" t="s">
        <v>8654</v>
      </c>
      <c r="G4365" t="s">
        <v>8655</v>
      </c>
      <c r="H43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66" spans="1:8" ht="15" customHeight="1" x14ac:dyDescent="0.25">
      <c r="A4366" t="str">
        <f>MID(TB_CECO[[#This Row],[CECO_T]],1,5)</f>
        <v>5E660</v>
      </c>
      <c r="B4366" t="str">
        <f>MID(TB_CECO[[#This Row],[TRABAJO]],1,SEARCH(",",TB_CECO[[#This Row],[TRABAJO]],1)-1)</f>
        <v>Est 868 SE (Ch 091)</v>
      </c>
      <c r="C43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868 SE (Ch 091),VOLADURA</v>
      </c>
      <c r="D43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66" s="47" t="s">
        <v>8656</v>
      </c>
      <c r="G4366" t="s">
        <v>8657</v>
      </c>
      <c r="H43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367" spans="1:8" ht="15" customHeight="1" x14ac:dyDescent="0.25">
      <c r="A4367" t="str">
        <f>MID(TB_CECO[[#This Row],[CECO_T]],1,5)</f>
        <v>5E71I</v>
      </c>
      <c r="B4367" t="str">
        <f>MID(TB_CECO[[#This Row],[TRABAJO]],1,SEARCH(",",TB_CECO[[#This Row],[TRABAJO]],1)-1)</f>
        <v>Tj 063 SW (Snv 868 SW)</v>
      </c>
      <c r="C43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SW (Snv 868 SW),LIMPIEZA</v>
      </c>
      <c r="D43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67" s="47" t="s">
        <v>8658</v>
      </c>
      <c r="G4367" t="s">
        <v>8659</v>
      </c>
      <c r="H43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68" spans="1:8" ht="15" customHeight="1" x14ac:dyDescent="0.25">
      <c r="A4368" t="str">
        <f>MID(TB_CECO[[#This Row],[CECO_T]],1,5)</f>
        <v>5E71I</v>
      </c>
      <c r="B4368" t="str">
        <f>MID(TB_CECO[[#This Row],[TRABAJO]],1,SEARCH(",",TB_CECO[[#This Row],[TRABAJO]],1)-1)</f>
        <v>Tj 063 SW (Snv 868 SW)</v>
      </c>
      <c r="C43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SW (Snv 868 SW),SERVICIO</v>
      </c>
      <c r="D43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68" s="47" t="s">
        <v>8660</v>
      </c>
      <c r="G4368" t="s">
        <v>8661</v>
      </c>
      <c r="H43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69" spans="1:8" ht="15" customHeight="1" x14ac:dyDescent="0.25">
      <c r="A4369" t="str">
        <f>MID(TB_CECO[[#This Row],[CECO_T]],1,5)</f>
        <v>5E71I</v>
      </c>
      <c r="B4369" t="str">
        <f>MID(TB_CECO[[#This Row],[TRABAJO]],1,SEARCH(",",TB_CECO[[#This Row],[TRABAJO]],1)-1)</f>
        <v>Tj 063 SW (Snv 868 SW)</v>
      </c>
      <c r="C43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SW (Snv 868 SW),PERFORACION</v>
      </c>
      <c r="D43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69" s="47" t="s">
        <v>8662</v>
      </c>
      <c r="G4369" t="s">
        <v>8663</v>
      </c>
      <c r="H43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70" spans="1:8" ht="15" customHeight="1" x14ac:dyDescent="0.25">
      <c r="A4370" t="str">
        <f>MID(TB_CECO[[#This Row],[CECO_T]],1,5)</f>
        <v>5E71I</v>
      </c>
      <c r="B4370" t="str">
        <f>MID(TB_CECO[[#This Row],[TRABAJO]],1,SEARCH(",",TB_CECO[[#This Row],[TRABAJO]],1)-1)</f>
        <v>Tj 063 SW (Snv 868 SW)</v>
      </c>
      <c r="C43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SW (Snv 868 SW),SOSTENIMIENTO</v>
      </c>
      <c r="D43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70" s="47" t="s">
        <v>8664</v>
      </c>
      <c r="G4370" t="s">
        <v>8665</v>
      </c>
      <c r="H43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71" spans="1:8" ht="15" customHeight="1" x14ac:dyDescent="0.25">
      <c r="A4371" t="str">
        <f>MID(TB_CECO[[#This Row],[CECO_T]],1,5)</f>
        <v>5E71I</v>
      </c>
      <c r="B4371" t="str">
        <f>MID(TB_CECO[[#This Row],[TRABAJO]],1,SEARCH(",",TB_CECO[[#This Row],[TRABAJO]],1)-1)</f>
        <v>Tj 063 SW (Snv 868 SW)</v>
      </c>
      <c r="C43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SW (Snv 868 SW),VOLADURA</v>
      </c>
      <c r="D43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71" s="47" t="s">
        <v>8666</v>
      </c>
      <c r="G4371" t="s">
        <v>8667</v>
      </c>
      <c r="H43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72" spans="1:8" ht="15" customHeight="1" x14ac:dyDescent="0.25">
      <c r="A4372" t="str">
        <f>MID(TB_CECO[[#This Row],[CECO_T]],1,5)</f>
        <v>5E71J</v>
      </c>
      <c r="B4372" t="str">
        <f>MID(TB_CECO[[#This Row],[TRABAJO]],1,SEARCH(",",TB_CECO[[#This Row],[TRABAJO]],1)-1)</f>
        <v>Tj 063 SW (Ch 066)</v>
      </c>
      <c r="C43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SW (Ch 066),LIMPIEZA</v>
      </c>
      <c r="D43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72" s="47" t="s">
        <v>8668</v>
      </c>
      <c r="G4372" t="s">
        <v>8669</v>
      </c>
      <c r="H43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73" spans="1:8" ht="15" customHeight="1" x14ac:dyDescent="0.25">
      <c r="A4373" t="str">
        <f>MID(TB_CECO[[#This Row],[CECO_T]],1,5)</f>
        <v>5E71J</v>
      </c>
      <c r="B4373" t="str">
        <f>MID(TB_CECO[[#This Row],[TRABAJO]],1,SEARCH(",",TB_CECO[[#This Row],[TRABAJO]],1)-1)</f>
        <v>Tj 063 SW (Ch 066)</v>
      </c>
      <c r="C43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SW (Ch 066),SERVICIO</v>
      </c>
      <c r="D43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73" s="47" t="s">
        <v>8670</v>
      </c>
      <c r="G4373" t="s">
        <v>8671</v>
      </c>
      <c r="H43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74" spans="1:8" ht="15" customHeight="1" x14ac:dyDescent="0.25">
      <c r="A4374" t="str">
        <f>MID(TB_CECO[[#This Row],[CECO_T]],1,5)</f>
        <v>5E71J</v>
      </c>
      <c r="B4374" t="str">
        <f>MID(TB_CECO[[#This Row],[TRABAJO]],1,SEARCH(",",TB_CECO[[#This Row],[TRABAJO]],1)-1)</f>
        <v>Tj 063 SW (Ch 066)</v>
      </c>
      <c r="C43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SW (Ch 066),PERFORACION</v>
      </c>
      <c r="D43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74" s="47" t="s">
        <v>8672</v>
      </c>
      <c r="G4374" t="s">
        <v>8673</v>
      </c>
      <c r="H43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75" spans="1:8" ht="15" customHeight="1" x14ac:dyDescent="0.25">
      <c r="A4375" t="str">
        <f>MID(TB_CECO[[#This Row],[CECO_T]],1,5)</f>
        <v>5E71J</v>
      </c>
      <c r="B4375" t="str">
        <f>MID(TB_CECO[[#This Row],[TRABAJO]],1,SEARCH(",",TB_CECO[[#This Row],[TRABAJO]],1)-1)</f>
        <v>Tj 063 SW (Ch 066)</v>
      </c>
      <c r="C43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SW (Ch 066),RELLENO</v>
      </c>
      <c r="D43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75" s="47" t="s">
        <v>8674</v>
      </c>
      <c r="G4375" t="s">
        <v>8675</v>
      </c>
      <c r="H43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76" spans="1:8" ht="15" customHeight="1" x14ac:dyDescent="0.25">
      <c r="A4376" t="str">
        <f>MID(TB_CECO[[#This Row],[CECO_T]],1,5)</f>
        <v>5E71J</v>
      </c>
      <c r="B4376" t="str">
        <f>MID(TB_CECO[[#This Row],[TRABAJO]],1,SEARCH(",",TB_CECO[[#This Row],[TRABAJO]],1)-1)</f>
        <v>Tj 063 SW (Ch 066)</v>
      </c>
      <c r="C43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SW (Ch 066),SOSTENIMIENTO</v>
      </c>
      <c r="D43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76" s="47" t="s">
        <v>8676</v>
      </c>
      <c r="G4376" t="s">
        <v>8677</v>
      </c>
      <c r="H43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77" spans="1:8" ht="15" customHeight="1" x14ac:dyDescent="0.25">
      <c r="A4377" t="str">
        <f>MID(TB_CECO[[#This Row],[CECO_T]],1,5)</f>
        <v>5E71J</v>
      </c>
      <c r="B4377" t="str">
        <f>MID(TB_CECO[[#This Row],[TRABAJO]],1,SEARCH(",",TB_CECO[[#This Row],[TRABAJO]],1)-1)</f>
        <v>Tj 063 SW (Ch 066)</v>
      </c>
      <c r="C43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SW (Ch 066),VOLADURA</v>
      </c>
      <c r="D43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77" s="47" t="s">
        <v>8678</v>
      </c>
      <c r="G4377" t="s">
        <v>8679</v>
      </c>
      <c r="H43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78" spans="1:8" ht="15" customHeight="1" x14ac:dyDescent="0.25">
      <c r="A4378" t="str">
        <f>MID(TB_CECO[[#This Row],[CECO_T]],1,5)</f>
        <v>5E71K</v>
      </c>
      <c r="B4378" t="str">
        <f>MID(TB_CECO[[#This Row],[TRABAJO]],1,SEARCH(",",TB_CECO[[#This Row],[TRABAJO]],1)-1)</f>
        <v>Tj 063 NE (Ch 066)</v>
      </c>
      <c r="C43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NE (Ch 066),LIMPIEZA</v>
      </c>
      <c r="D43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78" s="47" t="s">
        <v>8680</v>
      </c>
      <c r="G4378" t="s">
        <v>8681</v>
      </c>
      <c r="H43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79" spans="1:8" ht="15" customHeight="1" x14ac:dyDescent="0.25">
      <c r="A4379" t="str">
        <f>MID(TB_CECO[[#This Row],[CECO_T]],1,5)</f>
        <v>5E71K</v>
      </c>
      <c r="B4379" t="str">
        <f>MID(TB_CECO[[#This Row],[TRABAJO]],1,SEARCH(",",TB_CECO[[#This Row],[TRABAJO]],1)-1)</f>
        <v>Tj 063 NE (Ch 066)</v>
      </c>
      <c r="C43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NE (Ch 066),SERVICIO</v>
      </c>
      <c r="D43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79" s="47" t="s">
        <v>8682</v>
      </c>
      <c r="G4379" t="s">
        <v>8683</v>
      </c>
      <c r="H43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80" spans="1:8" ht="15" customHeight="1" x14ac:dyDescent="0.25">
      <c r="A4380" t="str">
        <f>MID(TB_CECO[[#This Row],[CECO_T]],1,5)</f>
        <v>5E71K</v>
      </c>
      <c r="B4380" t="str">
        <f>MID(TB_CECO[[#This Row],[TRABAJO]],1,SEARCH(",",TB_CECO[[#This Row],[TRABAJO]],1)-1)</f>
        <v>Tj 063 NE (Ch 066)</v>
      </c>
      <c r="C43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NE (Ch 066),PERFORACION</v>
      </c>
      <c r="D43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80" s="47" t="s">
        <v>8684</v>
      </c>
      <c r="G4380" t="s">
        <v>8685</v>
      </c>
      <c r="H43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81" spans="1:8" ht="15" customHeight="1" x14ac:dyDescent="0.25">
      <c r="A4381" t="str">
        <f>MID(TB_CECO[[#This Row],[CECO_T]],1,5)</f>
        <v>5E71K</v>
      </c>
      <c r="B4381" t="str">
        <f>MID(TB_CECO[[#This Row],[TRABAJO]],1,SEARCH(",",TB_CECO[[#This Row],[TRABAJO]],1)-1)</f>
        <v>Tj 063 NE (Ch 066)</v>
      </c>
      <c r="C43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NE (Ch 066),RELLENO</v>
      </c>
      <c r="D43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81" s="47" t="s">
        <v>8686</v>
      </c>
      <c r="G4381" t="s">
        <v>8687</v>
      </c>
      <c r="H43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82" spans="1:8" ht="15" customHeight="1" x14ac:dyDescent="0.25">
      <c r="A4382" t="str">
        <f>MID(TB_CECO[[#This Row],[CECO_T]],1,5)</f>
        <v>5E71K</v>
      </c>
      <c r="B4382" t="str">
        <f>MID(TB_CECO[[#This Row],[TRABAJO]],1,SEARCH(",",TB_CECO[[#This Row],[TRABAJO]],1)-1)</f>
        <v>Tj 063 NE (Ch 066)</v>
      </c>
      <c r="C43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NE (Ch 066),SOSTENIMIENTO</v>
      </c>
      <c r="D43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82" s="47" t="s">
        <v>8688</v>
      </c>
      <c r="G4382" t="s">
        <v>8689</v>
      </c>
      <c r="H43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83" spans="1:8" ht="15" customHeight="1" x14ac:dyDescent="0.25">
      <c r="A4383" t="str">
        <f>MID(TB_CECO[[#This Row],[CECO_T]],1,5)</f>
        <v>5E71K</v>
      </c>
      <c r="B4383" t="str">
        <f>MID(TB_CECO[[#This Row],[TRABAJO]],1,SEARCH(",",TB_CECO[[#This Row],[TRABAJO]],1)-1)</f>
        <v>Tj 063 NE (Ch 066)</v>
      </c>
      <c r="C43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NE (Ch 066),VOLADURA</v>
      </c>
      <c r="D43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83" s="47" t="s">
        <v>8690</v>
      </c>
      <c r="G4383" t="s">
        <v>8691</v>
      </c>
      <c r="H43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84" spans="1:8" ht="15" customHeight="1" x14ac:dyDescent="0.25">
      <c r="A4384" t="str">
        <f>MID(TB_CECO[[#This Row],[CECO_T]],1,5)</f>
        <v>5E71P</v>
      </c>
      <c r="B4384" t="str">
        <f>MID(TB_CECO[[#This Row],[TRABAJO]],1,SEARCH(",",TB_CECO[[#This Row],[TRABAJO]],1)-1)</f>
        <v>Tj 037 SW (Ch 091)</v>
      </c>
      <c r="C43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091),LIMPIEZA</v>
      </c>
      <c r="D43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84" s="47" t="s">
        <v>8692</v>
      </c>
      <c r="G4384" t="s">
        <v>8693</v>
      </c>
      <c r="H43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85" spans="1:8" ht="15" customHeight="1" x14ac:dyDescent="0.25">
      <c r="A4385" t="str">
        <f>MID(TB_CECO[[#This Row],[CECO_T]],1,5)</f>
        <v>5E71P</v>
      </c>
      <c r="B4385" t="str">
        <f>MID(TB_CECO[[#This Row],[TRABAJO]],1,SEARCH(",",TB_CECO[[#This Row],[TRABAJO]],1)-1)</f>
        <v>Tj 037 SW (Ch 091)</v>
      </c>
      <c r="C43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091),SERVICIO</v>
      </c>
      <c r="D43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85" s="47" t="s">
        <v>8694</v>
      </c>
      <c r="G4385" t="s">
        <v>8695</v>
      </c>
      <c r="H43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86" spans="1:8" ht="15" customHeight="1" x14ac:dyDescent="0.25">
      <c r="A4386" t="str">
        <f>MID(TB_CECO[[#This Row],[CECO_T]],1,5)</f>
        <v>5E71P</v>
      </c>
      <c r="B4386" t="str">
        <f>MID(TB_CECO[[#This Row],[TRABAJO]],1,SEARCH(",",TB_CECO[[#This Row],[TRABAJO]],1)-1)</f>
        <v>Tj 037 SW (Ch 091)</v>
      </c>
      <c r="C43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091),PERFORACION</v>
      </c>
      <c r="D43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86" s="47" t="s">
        <v>8696</v>
      </c>
      <c r="G4386" t="s">
        <v>8697</v>
      </c>
      <c r="H43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87" spans="1:8" ht="15" customHeight="1" x14ac:dyDescent="0.25">
      <c r="A4387" t="str">
        <f>MID(TB_CECO[[#This Row],[CECO_T]],1,5)</f>
        <v>5E71P</v>
      </c>
      <c r="B4387" t="str">
        <f>MID(TB_CECO[[#This Row],[TRABAJO]],1,SEARCH(",",TB_CECO[[#This Row],[TRABAJO]],1)-1)</f>
        <v>Tj 037 SW (Ch 091)</v>
      </c>
      <c r="C43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091),RELLENO</v>
      </c>
      <c r="D43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87" s="47" t="s">
        <v>8698</v>
      </c>
      <c r="G4387" t="s">
        <v>8699</v>
      </c>
      <c r="H43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88" spans="1:8" ht="15" customHeight="1" x14ac:dyDescent="0.25">
      <c r="A4388" t="str">
        <f>MID(TB_CECO[[#This Row],[CECO_T]],1,5)</f>
        <v>5E71P</v>
      </c>
      <c r="B4388" t="str">
        <f>MID(TB_CECO[[#This Row],[TRABAJO]],1,SEARCH(",",TB_CECO[[#This Row],[TRABAJO]],1)-1)</f>
        <v>Tj 037 SW (Ch 091)</v>
      </c>
      <c r="C43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091),SOSTENIMIENTO</v>
      </c>
      <c r="D43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88" s="47" t="s">
        <v>8700</v>
      </c>
      <c r="G4388" t="s">
        <v>8701</v>
      </c>
      <c r="H43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89" spans="1:8" ht="15" customHeight="1" x14ac:dyDescent="0.25">
      <c r="A4389" t="str">
        <f>MID(TB_CECO[[#This Row],[CECO_T]],1,5)</f>
        <v>5E71P</v>
      </c>
      <c r="B4389" t="str">
        <f>MID(TB_CECO[[#This Row],[TRABAJO]],1,SEARCH(",",TB_CECO[[#This Row],[TRABAJO]],1)-1)</f>
        <v>Tj 037 SW (Ch 091)</v>
      </c>
      <c r="C43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091),VOLADURA</v>
      </c>
      <c r="D43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89" s="47" t="s">
        <v>8702</v>
      </c>
      <c r="G4389" t="s">
        <v>8703</v>
      </c>
      <c r="H43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90" spans="1:8" ht="15" customHeight="1" x14ac:dyDescent="0.25">
      <c r="A4390" t="str">
        <f>MID(TB_CECO[[#This Row],[CECO_T]],1,5)</f>
        <v>5E71Q</v>
      </c>
      <c r="B4390" t="str">
        <f>MID(TB_CECO[[#This Row],[TRABAJO]],1,SEARCH(",",TB_CECO[[#This Row],[TRABAJO]],1)-1)</f>
        <v>Tj 037 NE (Ch 091)</v>
      </c>
      <c r="C43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091),LIMPIEZA</v>
      </c>
      <c r="D43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90" s="47" t="s">
        <v>8704</v>
      </c>
      <c r="G4390" t="s">
        <v>8705</v>
      </c>
      <c r="H43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91" spans="1:8" ht="15" customHeight="1" x14ac:dyDescent="0.25">
      <c r="A4391" t="str">
        <f>MID(TB_CECO[[#This Row],[CECO_T]],1,5)</f>
        <v>5E71Q</v>
      </c>
      <c r="B4391" t="str">
        <f>MID(TB_CECO[[#This Row],[TRABAJO]],1,SEARCH(",",TB_CECO[[#This Row],[TRABAJO]],1)-1)</f>
        <v>Tj 037 NE (Ch 091)</v>
      </c>
      <c r="C43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091),SERVICIO</v>
      </c>
      <c r="D43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91" s="47" t="s">
        <v>8706</v>
      </c>
      <c r="G4391" t="s">
        <v>8707</v>
      </c>
      <c r="H43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92" spans="1:8" ht="15" customHeight="1" x14ac:dyDescent="0.25">
      <c r="A4392" t="str">
        <f>MID(TB_CECO[[#This Row],[CECO_T]],1,5)</f>
        <v>5E71Q</v>
      </c>
      <c r="B4392" t="str">
        <f>MID(TB_CECO[[#This Row],[TRABAJO]],1,SEARCH(",",TB_CECO[[#This Row],[TRABAJO]],1)-1)</f>
        <v>Tj 037 NE (Ch 091)</v>
      </c>
      <c r="C43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091),PERFORACION</v>
      </c>
      <c r="D43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92" s="47" t="s">
        <v>8708</v>
      </c>
      <c r="G4392" t="s">
        <v>8709</v>
      </c>
      <c r="H43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93" spans="1:8" ht="15" customHeight="1" x14ac:dyDescent="0.25">
      <c r="A4393" t="str">
        <f>MID(TB_CECO[[#This Row],[CECO_T]],1,5)</f>
        <v>5E71Q</v>
      </c>
      <c r="B4393" t="str">
        <f>MID(TB_CECO[[#This Row],[TRABAJO]],1,SEARCH(",",TB_CECO[[#This Row],[TRABAJO]],1)-1)</f>
        <v>Tj 037 NE (Ch 091)</v>
      </c>
      <c r="C43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091),RELLENO</v>
      </c>
      <c r="D43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93" s="47" t="s">
        <v>8710</v>
      </c>
      <c r="G4393" t="s">
        <v>8711</v>
      </c>
      <c r="H43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94" spans="1:8" ht="15" customHeight="1" x14ac:dyDescent="0.25">
      <c r="A4394" t="str">
        <f>MID(TB_CECO[[#This Row],[CECO_T]],1,5)</f>
        <v>5E71Q</v>
      </c>
      <c r="B4394" t="str">
        <f>MID(TB_CECO[[#This Row],[TRABAJO]],1,SEARCH(",",TB_CECO[[#This Row],[TRABAJO]],1)-1)</f>
        <v>Tj 037 NE (Ch 091)</v>
      </c>
      <c r="C43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091),SOSTENIMIENTO</v>
      </c>
      <c r="D43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94" s="47" t="s">
        <v>8712</v>
      </c>
      <c r="G4394" t="s">
        <v>8713</v>
      </c>
      <c r="H43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95" spans="1:8" ht="15" customHeight="1" x14ac:dyDescent="0.25">
      <c r="A4395" t="str">
        <f>MID(TB_CECO[[#This Row],[CECO_T]],1,5)</f>
        <v>5E71Q</v>
      </c>
      <c r="B4395" t="str">
        <f>MID(TB_CECO[[#This Row],[TRABAJO]],1,SEARCH(",",TB_CECO[[#This Row],[TRABAJO]],1)-1)</f>
        <v>Tj 037 NE (Ch 091)</v>
      </c>
      <c r="C43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091),VOLADURA</v>
      </c>
      <c r="D43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95" s="47" t="s">
        <v>8714</v>
      </c>
      <c r="G4395" t="s">
        <v>8715</v>
      </c>
      <c r="H43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96" spans="1:8" ht="15" customHeight="1" x14ac:dyDescent="0.25">
      <c r="A4396" t="str">
        <f>MID(TB_CECO[[#This Row],[CECO_T]],1,5)</f>
        <v>5E72N</v>
      </c>
      <c r="B4396" t="str">
        <f>MID(TB_CECO[[#This Row],[TRABAJO]],1,SEARCH(",",TB_CECO[[#This Row],[TRABAJO]],1)-1)</f>
        <v>Tj 010 NE (Inc 870 SW)</v>
      </c>
      <c r="C43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NE (Inc 870 SW),LIMPIEZA</v>
      </c>
      <c r="D43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96" s="47" t="s">
        <v>8716</v>
      </c>
      <c r="G4396" t="s">
        <v>8717</v>
      </c>
      <c r="H43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97" spans="1:8" ht="15" customHeight="1" x14ac:dyDescent="0.25">
      <c r="A4397" t="str">
        <f>MID(TB_CECO[[#This Row],[CECO_T]],1,5)</f>
        <v>5E72N</v>
      </c>
      <c r="B4397" t="str">
        <f>MID(TB_CECO[[#This Row],[TRABAJO]],1,SEARCH(",",TB_CECO[[#This Row],[TRABAJO]],1)-1)</f>
        <v>Tj 010 NE (Inc 870 SW)</v>
      </c>
      <c r="C43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NE (Inc 870 SW),SERVICIO</v>
      </c>
      <c r="D43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97" s="47" t="s">
        <v>8718</v>
      </c>
      <c r="G4397" t="s">
        <v>8719</v>
      </c>
      <c r="H43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98" spans="1:8" ht="15" customHeight="1" x14ac:dyDescent="0.25">
      <c r="A4398" t="str">
        <f>MID(TB_CECO[[#This Row],[CECO_T]],1,5)</f>
        <v>5E72N</v>
      </c>
      <c r="B4398" t="str">
        <f>MID(TB_CECO[[#This Row],[TRABAJO]],1,SEARCH(",",TB_CECO[[#This Row],[TRABAJO]],1)-1)</f>
        <v>Tj 010 NE (Inc 870 SW)</v>
      </c>
      <c r="C43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NE (Inc 870 SW),PERFORACION</v>
      </c>
      <c r="D43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98" s="47" t="s">
        <v>8720</v>
      </c>
      <c r="G4398" t="s">
        <v>8721</v>
      </c>
      <c r="H43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399" spans="1:8" ht="15" customHeight="1" x14ac:dyDescent="0.25">
      <c r="A4399" t="str">
        <f>MID(TB_CECO[[#This Row],[CECO_T]],1,5)</f>
        <v>5E72N</v>
      </c>
      <c r="B4399" t="str">
        <f>MID(TB_CECO[[#This Row],[TRABAJO]],1,SEARCH(",",TB_CECO[[#This Row],[TRABAJO]],1)-1)</f>
        <v>Tj 010 NE (Inc 870 SW)</v>
      </c>
      <c r="C43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NE (Inc 870 SW),RELLENO</v>
      </c>
      <c r="D43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3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399" s="47" t="s">
        <v>8722</v>
      </c>
      <c r="G4399" t="s">
        <v>8723</v>
      </c>
      <c r="H43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00" spans="1:8" ht="15" customHeight="1" x14ac:dyDescent="0.25">
      <c r="A4400" t="str">
        <f>MID(TB_CECO[[#This Row],[CECO_T]],1,5)</f>
        <v>5E72N</v>
      </c>
      <c r="B4400" t="str">
        <f>MID(TB_CECO[[#This Row],[TRABAJO]],1,SEARCH(",",TB_CECO[[#This Row],[TRABAJO]],1)-1)</f>
        <v>Tj 010 NE (Inc 870 SW)</v>
      </c>
      <c r="C44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NE (Inc 870 SW),SOSTENIMIENTO</v>
      </c>
      <c r="D44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00" s="47" t="s">
        <v>8724</v>
      </c>
      <c r="G4400" t="s">
        <v>8725</v>
      </c>
      <c r="H44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01" spans="1:8" ht="15" customHeight="1" x14ac:dyDescent="0.25">
      <c r="A4401" t="str">
        <f>MID(TB_CECO[[#This Row],[CECO_T]],1,5)</f>
        <v>5E72N</v>
      </c>
      <c r="B4401" t="str">
        <f>MID(TB_CECO[[#This Row],[TRABAJO]],1,SEARCH(",",TB_CECO[[#This Row],[TRABAJO]],1)-1)</f>
        <v>Tj 010 NE (Inc 870 SW)</v>
      </c>
      <c r="C44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NE (Inc 870 SW),VOLADURA</v>
      </c>
      <c r="D44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01" s="47" t="s">
        <v>8726</v>
      </c>
      <c r="G4401" t="s">
        <v>8727</v>
      </c>
      <c r="H44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02" spans="1:8" ht="15" customHeight="1" x14ac:dyDescent="0.25">
      <c r="A4402" t="str">
        <f>MID(TB_CECO[[#This Row],[CECO_T]],1,5)</f>
        <v>5E72O</v>
      </c>
      <c r="B4402" t="str">
        <f>MID(TB_CECO[[#This Row],[TRABAJO]],1,SEARCH(",",TB_CECO[[#This Row],[TRABAJO]],1)-1)</f>
        <v>Tj 010 SW (Inc 870 SW)</v>
      </c>
      <c r="C44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SW (Inc 870 SW),LIMPIEZA</v>
      </c>
      <c r="D44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02" s="47" t="s">
        <v>8728</v>
      </c>
      <c r="G4402" t="s">
        <v>8729</v>
      </c>
      <c r="H44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03" spans="1:8" ht="15" customHeight="1" x14ac:dyDescent="0.25">
      <c r="A4403" t="str">
        <f>MID(TB_CECO[[#This Row],[CECO_T]],1,5)</f>
        <v>5E72O</v>
      </c>
      <c r="B4403" t="str">
        <f>MID(TB_CECO[[#This Row],[TRABAJO]],1,SEARCH(",",TB_CECO[[#This Row],[TRABAJO]],1)-1)</f>
        <v>Tj 010 SW (Inc 870 SW)</v>
      </c>
      <c r="C44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SW (Inc 870 SW),SERVICIO</v>
      </c>
      <c r="D44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03" s="47" t="s">
        <v>8730</v>
      </c>
      <c r="G4403" t="s">
        <v>8731</v>
      </c>
      <c r="H44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04" spans="1:8" ht="15" customHeight="1" x14ac:dyDescent="0.25">
      <c r="A4404" t="str">
        <f>MID(TB_CECO[[#This Row],[CECO_T]],1,5)</f>
        <v>5E72O</v>
      </c>
      <c r="B4404" t="str">
        <f>MID(TB_CECO[[#This Row],[TRABAJO]],1,SEARCH(",",TB_CECO[[#This Row],[TRABAJO]],1)-1)</f>
        <v>Tj 010 SW (Inc 870 SW)</v>
      </c>
      <c r="C44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SW (Inc 870 SW),PERFORACION</v>
      </c>
      <c r="D44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04" s="47" t="s">
        <v>8732</v>
      </c>
      <c r="G4404" t="s">
        <v>8733</v>
      </c>
      <c r="H44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05" spans="1:8" ht="15" customHeight="1" x14ac:dyDescent="0.25">
      <c r="A4405" t="str">
        <f>MID(TB_CECO[[#This Row],[CECO_T]],1,5)</f>
        <v>5E72O</v>
      </c>
      <c r="B4405" t="str">
        <f>MID(TB_CECO[[#This Row],[TRABAJO]],1,SEARCH(",",TB_CECO[[#This Row],[TRABAJO]],1)-1)</f>
        <v>Tj 010 SW (Inc 870 SW)</v>
      </c>
      <c r="C44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SW (Inc 870 SW),RELLENO</v>
      </c>
      <c r="D44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05" s="47" t="s">
        <v>8734</v>
      </c>
      <c r="G4405" t="s">
        <v>8735</v>
      </c>
      <c r="H44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06" spans="1:8" ht="15" customHeight="1" x14ac:dyDescent="0.25">
      <c r="A4406" t="str">
        <f>MID(TB_CECO[[#This Row],[CECO_T]],1,5)</f>
        <v>5E72O</v>
      </c>
      <c r="B4406" t="str">
        <f>MID(TB_CECO[[#This Row],[TRABAJO]],1,SEARCH(",",TB_CECO[[#This Row],[TRABAJO]],1)-1)</f>
        <v>Tj 010 SW (Inc 870 SW)</v>
      </c>
      <c r="C44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SW (Inc 870 SW),SOSTENIMIENTO</v>
      </c>
      <c r="D44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06" s="47" t="s">
        <v>8736</v>
      </c>
      <c r="G4406" t="s">
        <v>8737</v>
      </c>
      <c r="H44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07" spans="1:8" ht="15" customHeight="1" x14ac:dyDescent="0.25">
      <c r="A4407" t="str">
        <f>MID(TB_CECO[[#This Row],[CECO_T]],1,5)</f>
        <v>5E72O</v>
      </c>
      <c r="B4407" t="str">
        <f>MID(TB_CECO[[#This Row],[TRABAJO]],1,SEARCH(",",TB_CECO[[#This Row],[TRABAJO]],1)-1)</f>
        <v>Tj 010 SW (Inc 870 SW)</v>
      </c>
      <c r="C44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010 SW (Inc 870 SW),VOLADURA</v>
      </c>
      <c r="D44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07" s="47" t="s">
        <v>8738</v>
      </c>
      <c r="G4407" t="s">
        <v>8739</v>
      </c>
      <c r="H44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08" spans="1:8" ht="15" customHeight="1" x14ac:dyDescent="0.25">
      <c r="A4408" t="str">
        <f>MID(TB_CECO[[#This Row],[CECO_T]],1,5)</f>
        <v>5E72R</v>
      </c>
      <c r="B4408" t="str">
        <f>MID(TB_CECO[[#This Row],[TRABAJO]],1,SEARCH(",",TB_CECO[[#This Row],[TRABAJO]],1)-1)</f>
        <v>Tj 030 SW (Ch 835)</v>
      </c>
      <c r="C44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030 SW (Ch 835),LIMPIEZA</v>
      </c>
      <c r="D44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08" s="47" t="s">
        <v>8740</v>
      </c>
      <c r="G4408" t="s">
        <v>8741</v>
      </c>
      <c r="H44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09" spans="1:8" ht="15" customHeight="1" x14ac:dyDescent="0.25">
      <c r="A4409" t="str">
        <f>MID(TB_CECO[[#This Row],[CECO_T]],1,5)</f>
        <v>5E72R</v>
      </c>
      <c r="B4409" t="str">
        <f>MID(TB_CECO[[#This Row],[TRABAJO]],1,SEARCH(",",TB_CECO[[#This Row],[TRABAJO]],1)-1)</f>
        <v>Tj 030 SW (Ch 835)</v>
      </c>
      <c r="C44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030 SW (Ch 835),SERVICIO</v>
      </c>
      <c r="D44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09" s="47" t="s">
        <v>8742</v>
      </c>
      <c r="G4409" t="s">
        <v>8743</v>
      </c>
      <c r="H44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10" spans="1:8" ht="15" customHeight="1" x14ac:dyDescent="0.25">
      <c r="A4410" t="str">
        <f>MID(TB_CECO[[#This Row],[CECO_T]],1,5)</f>
        <v>5E72R</v>
      </c>
      <c r="B4410" t="str">
        <f>MID(TB_CECO[[#This Row],[TRABAJO]],1,SEARCH(",",TB_CECO[[#This Row],[TRABAJO]],1)-1)</f>
        <v>Tj 030 SW (Ch 835)</v>
      </c>
      <c r="C44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030 SW (Ch 835),PERFORACION</v>
      </c>
      <c r="D44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10" s="47" t="s">
        <v>8744</v>
      </c>
      <c r="G4410" t="s">
        <v>8745</v>
      </c>
      <c r="H44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11" spans="1:8" ht="15" customHeight="1" x14ac:dyDescent="0.25">
      <c r="A4411" t="str">
        <f>MID(TB_CECO[[#This Row],[CECO_T]],1,5)</f>
        <v>5E72R</v>
      </c>
      <c r="B4411" t="str">
        <f>MID(TB_CECO[[#This Row],[TRABAJO]],1,SEARCH(",",TB_CECO[[#This Row],[TRABAJO]],1)-1)</f>
        <v>Tj 030 SW (Ch 835)</v>
      </c>
      <c r="C44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030 SW (Ch 835),RELLENO</v>
      </c>
      <c r="D44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11" s="47" t="s">
        <v>8746</v>
      </c>
      <c r="G4411" t="s">
        <v>8747</v>
      </c>
      <c r="H44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12" spans="1:8" ht="15" customHeight="1" x14ac:dyDescent="0.25">
      <c r="A4412" t="str">
        <f>MID(TB_CECO[[#This Row],[CECO_T]],1,5)</f>
        <v>5E72R</v>
      </c>
      <c r="B4412" t="str">
        <f>MID(TB_CECO[[#This Row],[TRABAJO]],1,SEARCH(",",TB_CECO[[#This Row],[TRABAJO]],1)-1)</f>
        <v>Tj 030 SW (Ch 835)</v>
      </c>
      <c r="C44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030 SW (Ch 835),SOSTENIMIENTO</v>
      </c>
      <c r="D44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12" s="47" t="s">
        <v>8748</v>
      </c>
      <c r="G4412" t="s">
        <v>8749</v>
      </c>
      <c r="H44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13" spans="1:8" ht="15" customHeight="1" x14ac:dyDescent="0.25">
      <c r="A4413" t="str">
        <f>MID(TB_CECO[[#This Row],[CECO_T]],1,5)</f>
        <v>5E72R</v>
      </c>
      <c r="B4413" t="str">
        <f>MID(TB_CECO[[#This Row],[TRABAJO]],1,SEARCH(",",TB_CECO[[#This Row],[TRABAJO]],1)-1)</f>
        <v>Tj 030 SW (Ch 835)</v>
      </c>
      <c r="C44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030 SW (Ch 835),VOLADURA</v>
      </c>
      <c r="D44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13" s="47" t="s">
        <v>8750</v>
      </c>
      <c r="G4413" t="s">
        <v>8751</v>
      </c>
      <c r="H44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14" spans="1:8" ht="15" customHeight="1" x14ac:dyDescent="0.25">
      <c r="A4414" t="str">
        <f>MID(TB_CECO[[#This Row],[CECO_T]],1,5)</f>
        <v>5E72S</v>
      </c>
      <c r="B4414" t="str">
        <f>MID(TB_CECO[[#This Row],[TRABAJO]],1,SEARCH(",",TB_CECO[[#This Row],[TRABAJO]],1)-1)</f>
        <v>Tj 020 NE (Inc 870 SW)</v>
      </c>
      <c r="C44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NE (Inc 870 SW),LIMPIEZA</v>
      </c>
      <c r="D44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14" s="47" t="s">
        <v>8752</v>
      </c>
      <c r="G4414" t="s">
        <v>8753</v>
      </c>
      <c r="H44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15" spans="1:8" ht="15" customHeight="1" x14ac:dyDescent="0.25">
      <c r="A4415" t="str">
        <f>MID(TB_CECO[[#This Row],[CECO_T]],1,5)</f>
        <v>5E72S</v>
      </c>
      <c r="B4415" t="str">
        <f>MID(TB_CECO[[#This Row],[TRABAJO]],1,SEARCH(",",TB_CECO[[#This Row],[TRABAJO]],1)-1)</f>
        <v>Tj 020 NE (Inc 870 SW)</v>
      </c>
      <c r="C44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NE (Inc 870 SW),SERVICIO</v>
      </c>
      <c r="D44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15" s="47" t="s">
        <v>8754</v>
      </c>
      <c r="G4415" t="s">
        <v>8755</v>
      </c>
      <c r="H44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16" spans="1:8" ht="15" customHeight="1" x14ac:dyDescent="0.25">
      <c r="A4416" t="str">
        <f>MID(TB_CECO[[#This Row],[CECO_T]],1,5)</f>
        <v>5E72S</v>
      </c>
      <c r="B4416" t="str">
        <f>MID(TB_CECO[[#This Row],[TRABAJO]],1,SEARCH(",",TB_CECO[[#This Row],[TRABAJO]],1)-1)</f>
        <v>Tj 020 NE (Inc 870 SW)</v>
      </c>
      <c r="C44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NE (Inc 870 SW),PERFORACION</v>
      </c>
      <c r="D44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16" s="47" t="s">
        <v>8756</v>
      </c>
      <c r="G4416" t="s">
        <v>8757</v>
      </c>
      <c r="H44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17" spans="1:8" ht="15" customHeight="1" x14ac:dyDescent="0.25">
      <c r="A4417" t="str">
        <f>MID(TB_CECO[[#This Row],[CECO_T]],1,5)</f>
        <v>5E72S</v>
      </c>
      <c r="B4417" t="str">
        <f>MID(TB_CECO[[#This Row],[TRABAJO]],1,SEARCH(",",TB_CECO[[#This Row],[TRABAJO]],1)-1)</f>
        <v>Tj 020 NE (Inc 870 SW)</v>
      </c>
      <c r="C44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NE (Inc 870 SW),RELLENO</v>
      </c>
      <c r="D44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17" s="47" t="s">
        <v>8758</v>
      </c>
      <c r="G4417" t="s">
        <v>8759</v>
      </c>
      <c r="H44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18" spans="1:8" ht="15" customHeight="1" x14ac:dyDescent="0.25">
      <c r="A4418" t="str">
        <f>MID(TB_CECO[[#This Row],[CECO_T]],1,5)</f>
        <v>5E72S</v>
      </c>
      <c r="B4418" t="str">
        <f>MID(TB_CECO[[#This Row],[TRABAJO]],1,SEARCH(",",TB_CECO[[#This Row],[TRABAJO]],1)-1)</f>
        <v>Tj 020 NE (Inc 870 SW)</v>
      </c>
      <c r="C44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NE (Inc 870 SW),SOSTENIMIENTO</v>
      </c>
      <c r="D44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18" s="47" t="s">
        <v>8760</v>
      </c>
      <c r="G4418" t="s">
        <v>8761</v>
      </c>
      <c r="H44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19" spans="1:8" ht="15" customHeight="1" x14ac:dyDescent="0.25">
      <c r="A4419" t="str">
        <f>MID(TB_CECO[[#This Row],[CECO_T]],1,5)</f>
        <v>5E72S</v>
      </c>
      <c r="B4419" t="str">
        <f>MID(TB_CECO[[#This Row],[TRABAJO]],1,SEARCH(",",TB_CECO[[#This Row],[TRABAJO]],1)-1)</f>
        <v>Tj 020 NE (Inc 870 SW)</v>
      </c>
      <c r="C44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NE (Inc 870 SW),VOLADURA</v>
      </c>
      <c r="D44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19" s="47" t="s">
        <v>8762</v>
      </c>
      <c r="G4419" t="s">
        <v>8763</v>
      </c>
      <c r="H44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20" spans="1:8" ht="15" customHeight="1" x14ac:dyDescent="0.25">
      <c r="A4420" t="str">
        <f>MID(TB_CECO[[#This Row],[CECO_T]],1,5)</f>
        <v>5E72T</v>
      </c>
      <c r="B4420" t="str">
        <f>MID(TB_CECO[[#This Row],[TRABAJO]],1,SEARCH(",",TB_CECO[[#This Row],[TRABAJO]],1)-1)</f>
        <v>Tj 020 SW (Inc 870 SW)</v>
      </c>
      <c r="C44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SW (Inc 870 SW),LIMPIEZA</v>
      </c>
      <c r="D44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20" s="47" t="s">
        <v>8764</v>
      </c>
      <c r="G4420" t="s">
        <v>8765</v>
      </c>
      <c r="H44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21" spans="1:8" ht="15" customHeight="1" x14ac:dyDescent="0.25">
      <c r="A4421" t="str">
        <f>MID(TB_CECO[[#This Row],[CECO_T]],1,5)</f>
        <v>5E72T</v>
      </c>
      <c r="B4421" t="str">
        <f>MID(TB_CECO[[#This Row],[TRABAJO]],1,SEARCH(",",TB_CECO[[#This Row],[TRABAJO]],1)-1)</f>
        <v>Tj 020 SW (Inc 870 SW)</v>
      </c>
      <c r="C44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SW (Inc 870 SW),SERVICIO</v>
      </c>
      <c r="D44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21" s="47" t="s">
        <v>8766</v>
      </c>
      <c r="G4421" t="s">
        <v>8767</v>
      </c>
      <c r="H44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22" spans="1:8" ht="15" customHeight="1" x14ac:dyDescent="0.25">
      <c r="A4422" t="str">
        <f>MID(TB_CECO[[#This Row],[CECO_T]],1,5)</f>
        <v>5E72T</v>
      </c>
      <c r="B4422" t="str">
        <f>MID(TB_CECO[[#This Row],[TRABAJO]],1,SEARCH(",",TB_CECO[[#This Row],[TRABAJO]],1)-1)</f>
        <v>Tj 020 SW (Inc 870 SW)</v>
      </c>
      <c r="C44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SW (Inc 870 SW),PERFORACION</v>
      </c>
      <c r="D44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22" s="47" t="s">
        <v>8768</v>
      </c>
      <c r="G4422" t="s">
        <v>8769</v>
      </c>
      <c r="H44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23" spans="1:8" ht="15" customHeight="1" x14ac:dyDescent="0.25">
      <c r="A4423" t="str">
        <f>MID(TB_CECO[[#This Row],[CECO_T]],1,5)</f>
        <v>5E72T</v>
      </c>
      <c r="B4423" t="str">
        <f>MID(TB_CECO[[#This Row],[TRABAJO]],1,SEARCH(",",TB_CECO[[#This Row],[TRABAJO]],1)-1)</f>
        <v>Tj 020 SW (Inc 870 SW)</v>
      </c>
      <c r="C44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SW (Inc 870 SW),RELLENO</v>
      </c>
      <c r="D44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23" s="47" t="s">
        <v>8770</v>
      </c>
      <c r="G4423" t="s">
        <v>8771</v>
      </c>
      <c r="H44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24" spans="1:8" ht="15" customHeight="1" x14ac:dyDescent="0.25">
      <c r="A4424" t="str">
        <f>MID(TB_CECO[[#This Row],[CECO_T]],1,5)</f>
        <v>5E72T</v>
      </c>
      <c r="B4424" t="str">
        <f>MID(TB_CECO[[#This Row],[TRABAJO]],1,SEARCH(",",TB_CECO[[#This Row],[TRABAJO]],1)-1)</f>
        <v>Tj 020 SW (Inc 870 SW)</v>
      </c>
      <c r="C44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SW (Inc 870 SW),SOSTENIMIENTO</v>
      </c>
      <c r="D44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24" s="47" t="s">
        <v>8772</v>
      </c>
      <c r="G4424" t="s">
        <v>8773</v>
      </c>
      <c r="H44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25" spans="1:8" ht="15" customHeight="1" x14ac:dyDescent="0.25">
      <c r="A4425" t="str">
        <f>MID(TB_CECO[[#This Row],[CECO_T]],1,5)</f>
        <v>5E72T</v>
      </c>
      <c r="B4425" t="str">
        <f>MID(TB_CECO[[#This Row],[TRABAJO]],1,SEARCH(",",TB_CECO[[#This Row],[TRABAJO]],1)-1)</f>
        <v>Tj 020 SW (Inc 870 SW)</v>
      </c>
      <c r="C44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020 SW (Inc 870 SW),VOLADURA</v>
      </c>
      <c r="D44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25" s="47" t="s">
        <v>8774</v>
      </c>
      <c r="G4425" t="s">
        <v>8775</v>
      </c>
      <c r="H44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26" spans="1:8" ht="15" customHeight="1" x14ac:dyDescent="0.25">
      <c r="A4426" t="str">
        <f>MID(TB_CECO[[#This Row],[CECO_T]],1,5)</f>
        <v>5E72U</v>
      </c>
      <c r="B4426" t="str">
        <f>MID(TB_CECO[[#This Row],[TRABAJO]],1,SEARCH(",",TB_CECO[[#This Row],[TRABAJO]],1)-1)</f>
        <v>Tj 042 SW (Ch 835)</v>
      </c>
      <c r="C44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042 SW (Ch 835),LIMPIEZA</v>
      </c>
      <c r="D44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26" s="47" t="s">
        <v>8776</v>
      </c>
      <c r="G4426" t="s">
        <v>8777</v>
      </c>
      <c r="H44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27" spans="1:8" ht="15" customHeight="1" x14ac:dyDescent="0.25">
      <c r="A4427" t="str">
        <f>MID(TB_CECO[[#This Row],[CECO_T]],1,5)</f>
        <v>5E72U</v>
      </c>
      <c r="B4427" t="str">
        <f>MID(TB_CECO[[#This Row],[TRABAJO]],1,SEARCH(",",TB_CECO[[#This Row],[TRABAJO]],1)-1)</f>
        <v>Tj 042 SW (Ch 835)</v>
      </c>
      <c r="C44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042 SW (Ch 835),SERVICIO</v>
      </c>
      <c r="D44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27" s="47" t="s">
        <v>8778</v>
      </c>
      <c r="G4427" t="s">
        <v>8779</v>
      </c>
      <c r="H44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28" spans="1:8" ht="15" customHeight="1" x14ac:dyDescent="0.25">
      <c r="A4428" t="str">
        <f>MID(TB_CECO[[#This Row],[CECO_T]],1,5)</f>
        <v>5E72U</v>
      </c>
      <c r="B4428" t="str">
        <f>MID(TB_CECO[[#This Row],[TRABAJO]],1,SEARCH(",",TB_CECO[[#This Row],[TRABAJO]],1)-1)</f>
        <v>Tj 042 SW (Ch 835)</v>
      </c>
      <c r="C44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042 SW (Ch 835),PERFORACION</v>
      </c>
      <c r="D44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28" s="47" t="s">
        <v>8780</v>
      </c>
      <c r="G4428" t="s">
        <v>8781</v>
      </c>
      <c r="H44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29" spans="1:8" ht="15" customHeight="1" x14ac:dyDescent="0.25">
      <c r="A4429" t="str">
        <f>MID(TB_CECO[[#This Row],[CECO_T]],1,5)</f>
        <v>5E72U</v>
      </c>
      <c r="B4429" t="str">
        <f>MID(TB_CECO[[#This Row],[TRABAJO]],1,SEARCH(",",TB_CECO[[#This Row],[TRABAJO]],1)-1)</f>
        <v>Tj 042 SW (Ch 835)</v>
      </c>
      <c r="C44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042 SW (Ch 835),RELLENO</v>
      </c>
      <c r="D44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29" s="47" t="s">
        <v>8782</v>
      </c>
      <c r="G4429" t="s">
        <v>8783</v>
      </c>
      <c r="H44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30" spans="1:8" ht="15" customHeight="1" x14ac:dyDescent="0.25">
      <c r="A4430" t="str">
        <f>MID(TB_CECO[[#This Row],[CECO_T]],1,5)</f>
        <v>5E72U</v>
      </c>
      <c r="B4430" t="str">
        <f>MID(TB_CECO[[#This Row],[TRABAJO]],1,SEARCH(",",TB_CECO[[#This Row],[TRABAJO]],1)-1)</f>
        <v>Tj 042 SW (Ch 835)</v>
      </c>
      <c r="C44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042 SW (Ch 835),SOSTENIMIENTO</v>
      </c>
      <c r="D44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30" s="47" t="s">
        <v>8784</v>
      </c>
      <c r="G4430" t="s">
        <v>8785</v>
      </c>
      <c r="H44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31" spans="1:8" ht="15" customHeight="1" x14ac:dyDescent="0.25">
      <c r="A4431" t="str">
        <f>MID(TB_CECO[[#This Row],[CECO_T]],1,5)</f>
        <v>5E72U</v>
      </c>
      <c r="B4431" t="str">
        <f>MID(TB_CECO[[#This Row],[TRABAJO]],1,SEARCH(",",TB_CECO[[#This Row],[TRABAJO]],1)-1)</f>
        <v>Tj 042 SW (Ch 835)</v>
      </c>
      <c r="C44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042 SW (Ch 835),VOLADURA</v>
      </c>
      <c r="D44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31" s="47" t="s">
        <v>8786</v>
      </c>
      <c r="G4431" t="s">
        <v>8787</v>
      </c>
      <c r="H44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32" spans="1:8" ht="15" customHeight="1" x14ac:dyDescent="0.25">
      <c r="A4432" t="str">
        <f>MID(TB_CECO[[#This Row],[CECO_T]],1,5)</f>
        <v>5E72Z</v>
      </c>
      <c r="B4432" t="str">
        <f>MID(TB_CECO[[#This Row],[TRABAJO]],1,SEARCH(",",TB_CECO[[#This Row],[TRABAJO]],1)-1)</f>
        <v>Tj 829 SW (Snv 829 SW)</v>
      </c>
      <c r="C44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829 SW (Snv 829 SW),LIMPIEZA</v>
      </c>
      <c r="D44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32" s="47" t="s">
        <v>8788</v>
      </c>
      <c r="G4432" t="s">
        <v>8789</v>
      </c>
      <c r="H44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33" spans="1:8" ht="15" customHeight="1" x14ac:dyDescent="0.25">
      <c r="A4433" t="str">
        <f>MID(TB_CECO[[#This Row],[CECO_T]],1,5)</f>
        <v>5E72Z</v>
      </c>
      <c r="B4433" t="str">
        <f>MID(TB_CECO[[#This Row],[TRABAJO]],1,SEARCH(",",TB_CECO[[#This Row],[TRABAJO]],1)-1)</f>
        <v>Tj 829 SW (Snv 829 SW)</v>
      </c>
      <c r="C44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829 SW (Snv 829 SW),SERVICIO</v>
      </c>
      <c r="D44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33" s="47" t="s">
        <v>8790</v>
      </c>
      <c r="G4433" t="s">
        <v>8791</v>
      </c>
      <c r="H44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34" spans="1:8" ht="15" customHeight="1" x14ac:dyDescent="0.25">
      <c r="A4434" t="str">
        <f>MID(TB_CECO[[#This Row],[CECO_T]],1,5)</f>
        <v>5E72Z</v>
      </c>
      <c r="B4434" t="str">
        <f>MID(TB_CECO[[#This Row],[TRABAJO]],1,SEARCH(",",TB_CECO[[#This Row],[TRABAJO]],1)-1)</f>
        <v>Tj 829 SW (Snv 829 SW)</v>
      </c>
      <c r="C44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829 SW (Snv 829 SW),PERFORACION</v>
      </c>
      <c r="D44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34" s="47" t="s">
        <v>8792</v>
      </c>
      <c r="G4434" t="s">
        <v>8793</v>
      </c>
      <c r="H44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35" spans="1:8" ht="15" customHeight="1" x14ac:dyDescent="0.25">
      <c r="A4435" t="str">
        <f>MID(TB_CECO[[#This Row],[CECO_T]],1,5)</f>
        <v>5E72Z</v>
      </c>
      <c r="B4435" t="str">
        <f>MID(TB_CECO[[#This Row],[TRABAJO]],1,SEARCH(",",TB_CECO[[#This Row],[TRABAJO]],1)-1)</f>
        <v>Tj 829 SW (Snv 829 SW)</v>
      </c>
      <c r="C44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829 SW (Snv 829 SW),RELLENO</v>
      </c>
      <c r="D44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35" s="47" t="s">
        <v>8794</v>
      </c>
      <c r="G4435" t="s">
        <v>8795</v>
      </c>
      <c r="H44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36" spans="1:8" ht="15" customHeight="1" x14ac:dyDescent="0.25">
      <c r="A4436" t="str">
        <f>MID(TB_CECO[[#This Row],[CECO_T]],1,5)</f>
        <v>5E72Z</v>
      </c>
      <c r="B4436" t="str">
        <f>MID(TB_CECO[[#This Row],[TRABAJO]],1,SEARCH(",",TB_CECO[[#This Row],[TRABAJO]],1)-1)</f>
        <v>Tj 829 SW (Snv 829 SW)</v>
      </c>
      <c r="C44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829 SW (Snv 829 SW),SOSTENIMIENTO</v>
      </c>
      <c r="D44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36" s="47" t="s">
        <v>8796</v>
      </c>
      <c r="G4436" t="s">
        <v>8797</v>
      </c>
      <c r="H44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37" spans="1:8" ht="15" customHeight="1" x14ac:dyDescent="0.25">
      <c r="A4437" t="str">
        <f>MID(TB_CECO[[#This Row],[CECO_T]],1,5)</f>
        <v>5E72Z</v>
      </c>
      <c r="B4437" t="str">
        <f>MID(TB_CECO[[#This Row],[TRABAJO]],1,SEARCH(",",TB_CECO[[#This Row],[TRABAJO]],1)-1)</f>
        <v>Tj 829 SW (Snv 829 SW)</v>
      </c>
      <c r="C44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829 SW (Snv 829 SW),VOLADURA</v>
      </c>
      <c r="D44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37" s="47" t="s">
        <v>8798</v>
      </c>
      <c r="G4437" t="s">
        <v>8799</v>
      </c>
      <c r="H44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38" spans="1:8" ht="15" customHeight="1" x14ac:dyDescent="0.25">
      <c r="A4438" t="str">
        <f>MID(TB_CECO[[#This Row],[CECO_T]],1,5)</f>
        <v>5E732</v>
      </c>
      <c r="B4438" t="str">
        <f>MID(TB_CECO[[#This Row],[TRABAJO]],1,SEARCH(",",TB_CECO[[#This Row],[TRABAJO]],1)-1)</f>
        <v>TJ 066 NE (CH066)</v>
      </c>
      <c r="C44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NE (CH066),SUMINISTROS</v>
      </c>
      <c r="D44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38" s="47" t="s">
        <v>8800</v>
      </c>
      <c r="G4438" t="s">
        <v>8801</v>
      </c>
      <c r="H44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39" spans="1:8" ht="15" customHeight="1" x14ac:dyDescent="0.25">
      <c r="A4439" t="str">
        <f>MID(TB_CECO[[#This Row],[CECO_T]],1,5)</f>
        <v>5E732</v>
      </c>
      <c r="B4439" t="str">
        <f>MID(TB_CECO[[#This Row],[TRABAJO]],1,SEARCH(",",TB_CECO[[#This Row],[TRABAJO]],1)-1)</f>
        <v>TJ 066 NE (CH066)</v>
      </c>
      <c r="C44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NE (CH066),SOSTENIMIENTO</v>
      </c>
      <c r="D44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39" s="47" t="s">
        <v>8802</v>
      </c>
      <c r="G4439" t="s">
        <v>8803</v>
      </c>
      <c r="H44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40" spans="1:8" ht="15" customHeight="1" x14ac:dyDescent="0.25">
      <c r="A4440" t="str">
        <f>MID(TB_CECO[[#This Row],[CECO_T]],1,5)</f>
        <v>5E732</v>
      </c>
      <c r="B4440" t="str">
        <f>MID(TB_CECO[[#This Row],[TRABAJO]],1,SEARCH(",",TB_CECO[[#This Row],[TRABAJO]],1)-1)</f>
        <v>TJ 066 NE (CH066)</v>
      </c>
      <c r="C44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NE (CH066),SERVICIO</v>
      </c>
      <c r="D44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40" s="47" t="s">
        <v>8804</v>
      </c>
      <c r="G4440" t="s">
        <v>8805</v>
      </c>
      <c r="H44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41" spans="1:8" ht="15" customHeight="1" x14ac:dyDescent="0.25">
      <c r="A4441" t="str">
        <f>MID(TB_CECO[[#This Row],[CECO_T]],1,5)</f>
        <v>5E732</v>
      </c>
      <c r="B4441" t="str">
        <f>MID(TB_CECO[[#This Row],[TRABAJO]],1,SEARCH(",",TB_CECO[[#This Row],[TRABAJO]],1)-1)</f>
        <v>TJ 066 NE (CH066)</v>
      </c>
      <c r="C44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NE (CH066),REHABILITACION</v>
      </c>
      <c r="D44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41" s="47" t="s">
        <v>8806</v>
      </c>
      <c r="G4441" t="s">
        <v>8807</v>
      </c>
      <c r="H44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42" spans="1:8" ht="15" customHeight="1" x14ac:dyDescent="0.25">
      <c r="A4442" t="str">
        <f>MID(TB_CECO[[#This Row],[CECO_T]],1,5)</f>
        <v>5E733</v>
      </c>
      <c r="B4442" t="str">
        <f>MID(TB_CECO[[#This Row],[TRABAJO]],1,SEARCH(",",TB_CECO[[#This Row],[TRABAJO]],1)-1)</f>
        <v>TJ 066 SW (CH066)</v>
      </c>
      <c r="C44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SW (CH066),SUMINISTROS</v>
      </c>
      <c r="D44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42" s="47" t="s">
        <v>8808</v>
      </c>
      <c r="G4442" t="s">
        <v>8809</v>
      </c>
      <c r="H44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43" spans="1:8" ht="15" customHeight="1" x14ac:dyDescent="0.25">
      <c r="A4443" t="str">
        <f>MID(TB_CECO[[#This Row],[CECO_T]],1,5)</f>
        <v>5E733</v>
      </c>
      <c r="B4443" t="str">
        <f>MID(TB_CECO[[#This Row],[TRABAJO]],1,SEARCH(",",TB_CECO[[#This Row],[TRABAJO]],1)-1)</f>
        <v>TJ 066 SW (CH066)</v>
      </c>
      <c r="C44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SW (CH066),SOSTENIMIENTO</v>
      </c>
      <c r="D44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43" s="47" t="s">
        <v>8810</v>
      </c>
      <c r="G4443" t="s">
        <v>8811</v>
      </c>
      <c r="H44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44" spans="1:8" ht="15" customHeight="1" x14ac:dyDescent="0.25">
      <c r="A4444" t="str">
        <f>MID(TB_CECO[[#This Row],[CECO_T]],1,5)</f>
        <v>5E733</v>
      </c>
      <c r="B4444" t="str">
        <f>MID(TB_CECO[[#This Row],[TRABAJO]],1,SEARCH(",",TB_CECO[[#This Row],[TRABAJO]],1)-1)</f>
        <v>TJ 066 SW (CH066)</v>
      </c>
      <c r="C44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SW (CH066),SERVICIO</v>
      </c>
      <c r="D44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44" s="47" t="s">
        <v>8812</v>
      </c>
      <c r="G4444" t="s">
        <v>8813</v>
      </c>
      <c r="H44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45" spans="1:8" ht="15" customHeight="1" x14ac:dyDescent="0.25">
      <c r="A4445" t="str">
        <f>MID(TB_CECO[[#This Row],[CECO_T]],1,5)</f>
        <v>5E733</v>
      </c>
      <c r="B4445" t="str">
        <f>MID(TB_CECO[[#This Row],[TRABAJO]],1,SEARCH(",",TB_CECO[[#This Row],[TRABAJO]],1)-1)</f>
        <v>TJ 066 SW (CH066)</v>
      </c>
      <c r="C44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SW (CH066),REHABILITACION</v>
      </c>
      <c r="D44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45" s="47" t="s">
        <v>8814</v>
      </c>
      <c r="G4445" t="s">
        <v>8815</v>
      </c>
      <c r="H44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46" spans="1:8" ht="15" customHeight="1" x14ac:dyDescent="0.25">
      <c r="A4446" t="str">
        <f>MID(TB_CECO[[#This Row],[CECO_T]],1,5)</f>
        <v>5E735</v>
      </c>
      <c r="B4446" t="str">
        <f>MID(TB_CECO[[#This Row],[TRABAJO]],1,SEARCH(",",TB_CECO[[#This Row],[TRABAJO]],1)-1)</f>
        <v>TJ 044 (CH 044)</v>
      </c>
      <c r="C44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044 (CH 044),SUMINISTROS</v>
      </c>
      <c r="D44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46" s="47" t="s">
        <v>8816</v>
      </c>
      <c r="G4446" t="s">
        <v>8817</v>
      </c>
      <c r="H44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47" spans="1:8" ht="15" customHeight="1" x14ac:dyDescent="0.25">
      <c r="A4447" t="str">
        <f>MID(TB_CECO[[#This Row],[CECO_T]],1,5)</f>
        <v>5E735</v>
      </c>
      <c r="B4447" t="str">
        <f>MID(TB_CECO[[#This Row],[TRABAJO]],1,SEARCH(",",TB_CECO[[#This Row],[TRABAJO]],1)-1)</f>
        <v>TJ 044 (CH 044)</v>
      </c>
      <c r="C44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044 (CH 044),SOSTENIMIENTO</v>
      </c>
      <c r="D44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47" s="47" t="s">
        <v>8818</v>
      </c>
      <c r="G4447" t="s">
        <v>8819</v>
      </c>
      <c r="H44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48" spans="1:8" ht="15" customHeight="1" x14ac:dyDescent="0.25">
      <c r="A4448" t="str">
        <f>MID(TB_CECO[[#This Row],[CECO_T]],1,5)</f>
        <v>5E735</v>
      </c>
      <c r="B4448" t="str">
        <f>MID(TB_CECO[[#This Row],[TRABAJO]],1,SEARCH(",",TB_CECO[[#This Row],[TRABAJO]],1)-1)</f>
        <v>TJ 044 (CH 044)</v>
      </c>
      <c r="C44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044 (CH 044),SERVICIO</v>
      </c>
      <c r="D44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48" s="47" t="s">
        <v>8820</v>
      </c>
      <c r="G4448" t="s">
        <v>8821</v>
      </c>
      <c r="H44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49" spans="1:8" ht="15" customHeight="1" x14ac:dyDescent="0.25">
      <c r="A4449" t="str">
        <f>MID(TB_CECO[[#This Row],[CECO_T]],1,5)</f>
        <v>5E735</v>
      </c>
      <c r="B4449" t="str">
        <f>MID(TB_CECO[[#This Row],[TRABAJO]],1,SEARCH(",",TB_CECO[[#This Row],[TRABAJO]],1)-1)</f>
        <v>TJ 044 (CH 044)</v>
      </c>
      <c r="C44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044 (CH 044),REHABILITACION</v>
      </c>
      <c r="D44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49" s="47" t="s">
        <v>8822</v>
      </c>
      <c r="G4449" t="s">
        <v>8823</v>
      </c>
      <c r="H44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50" spans="1:8" ht="15" customHeight="1" x14ac:dyDescent="0.25">
      <c r="A4450" t="str">
        <f>MID(TB_CECO[[#This Row],[CECO_T]],1,5)</f>
        <v>5E735</v>
      </c>
      <c r="B4450" t="str">
        <f>MID(TB_CECO[[#This Row],[TRABAJO]],1,SEARCH(",",TB_CECO[[#This Row],[TRABAJO]],1)-1)</f>
        <v>TJ 044 (CH 044)</v>
      </c>
      <c r="C44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044 (CH 044),REALCE</v>
      </c>
      <c r="D44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50" s="47" t="s">
        <v>8824</v>
      </c>
      <c r="G4450" t="s">
        <v>8825</v>
      </c>
      <c r="H44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51" spans="1:8" ht="15" customHeight="1" x14ac:dyDescent="0.25">
      <c r="A4451" t="str">
        <f>MID(TB_CECO[[#This Row],[CECO_T]],1,5)</f>
        <v>5E735</v>
      </c>
      <c r="B4451" t="str">
        <f>MID(TB_CECO[[#This Row],[TRABAJO]],1,SEARCH(",",TB_CECO[[#This Row],[TRABAJO]],1)-1)</f>
        <v>TJ 044 (CH 044)</v>
      </c>
      <c r="C44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044 (CH 044),BREASTING</v>
      </c>
      <c r="D44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51" s="47" t="s">
        <v>8826</v>
      </c>
      <c r="G4451" t="s">
        <v>8827</v>
      </c>
      <c r="H44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52" spans="1:8" ht="15" customHeight="1" x14ac:dyDescent="0.25">
      <c r="A4452" t="str">
        <f>MID(TB_CECO[[#This Row],[CECO_T]],1,5)</f>
        <v>5E736</v>
      </c>
      <c r="B4452" t="str">
        <f>MID(TB_CECO[[#This Row],[TRABAJO]],1,SEARCH(",",TB_CECO[[#This Row],[TRABAJO]],1)-1)</f>
        <v>TJ 045 (CH 044)</v>
      </c>
      <c r="C44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045 (CH 044),SUMINISTROS</v>
      </c>
      <c r="D44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52" s="47" t="s">
        <v>8828</v>
      </c>
      <c r="G4452" t="s">
        <v>8829</v>
      </c>
      <c r="H44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53" spans="1:8" ht="15" customHeight="1" x14ac:dyDescent="0.25">
      <c r="A4453" t="str">
        <f>MID(TB_CECO[[#This Row],[CECO_T]],1,5)</f>
        <v>5E736</v>
      </c>
      <c r="B4453" t="str">
        <f>MID(TB_CECO[[#This Row],[TRABAJO]],1,SEARCH(",",TB_CECO[[#This Row],[TRABAJO]],1)-1)</f>
        <v>TJ 045 (CH 044)</v>
      </c>
      <c r="C44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045 (CH 044),SOSTENIMIENTO</v>
      </c>
      <c r="D44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53" s="47" t="s">
        <v>8830</v>
      </c>
      <c r="G4453" t="s">
        <v>8831</v>
      </c>
      <c r="H44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54" spans="1:8" ht="15" customHeight="1" x14ac:dyDescent="0.25">
      <c r="A4454" t="str">
        <f>MID(TB_CECO[[#This Row],[CECO_T]],1,5)</f>
        <v>5E736</v>
      </c>
      <c r="B4454" t="str">
        <f>MID(TB_CECO[[#This Row],[TRABAJO]],1,SEARCH(",",TB_CECO[[#This Row],[TRABAJO]],1)-1)</f>
        <v>TJ 045 (CH 044)</v>
      </c>
      <c r="C44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045 (CH 044),SERVICIO</v>
      </c>
      <c r="D44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54" s="47" t="s">
        <v>8832</v>
      </c>
      <c r="G4454" t="s">
        <v>8833</v>
      </c>
      <c r="H44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55" spans="1:8" ht="15" customHeight="1" x14ac:dyDescent="0.25">
      <c r="A4455" t="str">
        <f>MID(TB_CECO[[#This Row],[CECO_T]],1,5)</f>
        <v>5E736</v>
      </c>
      <c r="B4455" t="str">
        <f>MID(TB_CECO[[#This Row],[TRABAJO]],1,SEARCH(",",TB_CECO[[#This Row],[TRABAJO]],1)-1)</f>
        <v>TJ 045 (CH 044)</v>
      </c>
      <c r="C44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045 (CH 044),REHABILITACION</v>
      </c>
      <c r="D44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55" s="47" t="s">
        <v>8834</v>
      </c>
      <c r="G4455" t="s">
        <v>8835</v>
      </c>
      <c r="H44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56" spans="1:8" ht="15" customHeight="1" x14ac:dyDescent="0.25">
      <c r="A4456" t="str">
        <f>MID(TB_CECO[[#This Row],[CECO_T]],1,5)</f>
        <v>5E736</v>
      </c>
      <c r="B4456" t="str">
        <f>MID(TB_CECO[[#This Row],[TRABAJO]],1,SEARCH(",",TB_CECO[[#This Row],[TRABAJO]],1)-1)</f>
        <v>TJ 045 (CH 044)</v>
      </c>
      <c r="C44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045 (CH 044),REALCE</v>
      </c>
      <c r="D44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56" s="47" t="s">
        <v>8836</v>
      </c>
      <c r="G4456" t="s">
        <v>8837</v>
      </c>
      <c r="H44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57" spans="1:8" ht="15" customHeight="1" x14ac:dyDescent="0.25">
      <c r="A4457" t="str">
        <f>MID(TB_CECO[[#This Row],[CECO_T]],1,5)</f>
        <v>5E736</v>
      </c>
      <c r="B4457" t="str">
        <f>MID(TB_CECO[[#This Row],[TRABAJO]],1,SEARCH(",",TB_CECO[[#This Row],[TRABAJO]],1)-1)</f>
        <v>TJ 045 (CH 044)</v>
      </c>
      <c r="C44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045 (CH 044),BREASTING</v>
      </c>
      <c r="D44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57" s="47" t="s">
        <v>8838</v>
      </c>
      <c r="G4457" t="s">
        <v>8839</v>
      </c>
      <c r="H44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58" spans="1:8" ht="15" customHeight="1" x14ac:dyDescent="0.25">
      <c r="A4458" t="str">
        <f>MID(TB_CECO[[#This Row],[CECO_T]],1,5)</f>
        <v>5E737</v>
      </c>
      <c r="B4458" t="str">
        <f>MID(TB_CECO[[#This Row],[TRABAJO]],1,SEARCH(",",TB_CECO[[#This Row],[TRABAJO]],1)-1)</f>
        <v>TJ 066 (CH 044)</v>
      </c>
      <c r="C44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(CH 044),SUMINISTROS</v>
      </c>
      <c r="D44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58" s="47" t="s">
        <v>8840</v>
      </c>
      <c r="G4458" t="s">
        <v>8841</v>
      </c>
      <c r="H44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59" spans="1:8" ht="15" customHeight="1" x14ac:dyDescent="0.25">
      <c r="A4459" t="str">
        <f>MID(TB_CECO[[#This Row],[CECO_T]],1,5)</f>
        <v>5E737</v>
      </c>
      <c r="B4459" t="str">
        <f>MID(TB_CECO[[#This Row],[TRABAJO]],1,SEARCH(",",TB_CECO[[#This Row],[TRABAJO]],1)-1)</f>
        <v>TJ 066 (CH 044)</v>
      </c>
      <c r="C44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(CH 044),SOSTENIMIENTO</v>
      </c>
      <c r="D44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59" s="47" t="s">
        <v>8842</v>
      </c>
      <c r="G4459" t="s">
        <v>8843</v>
      </c>
      <c r="H44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60" spans="1:8" ht="15" customHeight="1" x14ac:dyDescent="0.25">
      <c r="A4460" t="str">
        <f>MID(TB_CECO[[#This Row],[CECO_T]],1,5)</f>
        <v>5E737</v>
      </c>
      <c r="B4460" t="str">
        <f>MID(TB_CECO[[#This Row],[TRABAJO]],1,SEARCH(",",TB_CECO[[#This Row],[TRABAJO]],1)-1)</f>
        <v>TJ 066 (CH 044)</v>
      </c>
      <c r="C44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(CH 044),SERVICIO</v>
      </c>
      <c r="D44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60" s="47" t="s">
        <v>8844</v>
      </c>
      <c r="G4460" t="s">
        <v>8845</v>
      </c>
      <c r="H44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61" spans="1:8" ht="15" customHeight="1" x14ac:dyDescent="0.25">
      <c r="A4461" t="str">
        <f>MID(TB_CECO[[#This Row],[CECO_T]],1,5)</f>
        <v>5E737</v>
      </c>
      <c r="B4461" t="str">
        <f>MID(TB_CECO[[#This Row],[TRABAJO]],1,SEARCH(",",TB_CECO[[#This Row],[TRABAJO]],1)-1)</f>
        <v>TJ 066 (CH 044)</v>
      </c>
      <c r="C44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(CH 044),REHABILITACION</v>
      </c>
      <c r="D44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61" s="47" t="s">
        <v>8846</v>
      </c>
      <c r="G4461" t="s">
        <v>8847</v>
      </c>
      <c r="H44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62" spans="1:8" ht="15" customHeight="1" x14ac:dyDescent="0.25">
      <c r="A4462" t="str">
        <f>MID(TB_CECO[[#This Row],[CECO_T]],1,5)</f>
        <v>5E737</v>
      </c>
      <c r="B4462" t="str">
        <f>MID(TB_CECO[[#This Row],[TRABAJO]],1,SEARCH(",",TB_CECO[[#This Row],[TRABAJO]],1)-1)</f>
        <v>TJ 066 (CH 044)</v>
      </c>
      <c r="C44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(CH 044),REALCE</v>
      </c>
      <c r="D44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62" s="47" t="s">
        <v>8848</v>
      </c>
      <c r="G4462" t="s">
        <v>8849</v>
      </c>
      <c r="H44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63" spans="1:8" ht="15" customHeight="1" x14ac:dyDescent="0.25">
      <c r="A4463" t="str">
        <f>MID(TB_CECO[[#This Row],[CECO_T]],1,5)</f>
        <v>5E737</v>
      </c>
      <c r="B4463" t="str">
        <f>MID(TB_CECO[[#This Row],[TRABAJO]],1,SEARCH(",",TB_CECO[[#This Row],[TRABAJO]],1)-1)</f>
        <v>TJ 066 (CH 044)</v>
      </c>
      <c r="C44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066 (CH 044),BREASTING</v>
      </c>
      <c r="D44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63" s="47" t="s">
        <v>8850</v>
      </c>
      <c r="G4463" t="s">
        <v>8851</v>
      </c>
      <c r="H44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64" spans="1:8" ht="15" customHeight="1" x14ac:dyDescent="0.25">
      <c r="A4464" t="str">
        <f>MID(TB_CECO[[#This Row],[CECO_T]],1,5)</f>
        <v>5E738</v>
      </c>
      <c r="B4464" t="str">
        <f>MID(TB_CECO[[#This Row],[TRABAJO]],1,SEARCH(",",TB_CECO[[#This Row],[TRABAJO]],1)-1)</f>
        <v>TJ 107 (CH 066)</v>
      </c>
      <c r="C44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066),SUMINISTROS</v>
      </c>
      <c r="D44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64" s="47" t="s">
        <v>8852</v>
      </c>
      <c r="G4464" t="s">
        <v>8853</v>
      </c>
      <c r="H44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65" spans="1:8" ht="15" customHeight="1" x14ac:dyDescent="0.25">
      <c r="A4465" t="str">
        <f>MID(TB_CECO[[#This Row],[CECO_T]],1,5)</f>
        <v>5E738</v>
      </c>
      <c r="B4465" t="str">
        <f>MID(TB_CECO[[#This Row],[TRABAJO]],1,SEARCH(",",TB_CECO[[#This Row],[TRABAJO]],1)-1)</f>
        <v>TJ 107 (CH 066)</v>
      </c>
      <c r="C44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066),SOSTENIMIENTO</v>
      </c>
      <c r="D44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65" s="47" t="s">
        <v>8854</v>
      </c>
      <c r="G4465" t="s">
        <v>8855</v>
      </c>
      <c r="H44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66" spans="1:8" ht="15" customHeight="1" x14ac:dyDescent="0.25">
      <c r="A4466" t="str">
        <f>MID(TB_CECO[[#This Row],[CECO_T]],1,5)</f>
        <v>5E738</v>
      </c>
      <c r="B4466" t="str">
        <f>MID(TB_CECO[[#This Row],[TRABAJO]],1,SEARCH(",",TB_CECO[[#This Row],[TRABAJO]],1)-1)</f>
        <v>TJ 107 (CH 066)</v>
      </c>
      <c r="C44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066),SERVICIO</v>
      </c>
      <c r="D44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66" s="47" t="s">
        <v>8856</v>
      </c>
      <c r="G4466" t="s">
        <v>8857</v>
      </c>
      <c r="H44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67" spans="1:8" ht="15" customHeight="1" x14ac:dyDescent="0.25">
      <c r="A4467" t="str">
        <f>MID(TB_CECO[[#This Row],[CECO_T]],1,5)</f>
        <v>5E738</v>
      </c>
      <c r="B4467" t="str">
        <f>MID(TB_CECO[[#This Row],[TRABAJO]],1,SEARCH(",",TB_CECO[[#This Row],[TRABAJO]],1)-1)</f>
        <v>TJ 107 (CH 066)</v>
      </c>
      <c r="C44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066),REHABILITACION</v>
      </c>
      <c r="D44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67" s="47" t="s">
        <v>8858</v>
      </c>
      <c r="G4467" t="s">
        <v>8859</v>
      </c>
      <c r="H44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68" spans="1:8" ht="15" customHeight="1" x14ac:dyDescent="0.25">
      <c r="A4468" t="str">
        <f>MID(TB_CECO[[#This Row],[CECO_T]],1,5)</f>
        <v>5E738</v>
      </c>
      <c r="B4468" t="str">
        <f>MID(TB_CECO[[#This Row],[TRABAJO]],1,SEARCH(",",TB_CECO[[#This Row],[TRABAJO]],1)-1)</f>
        <v>TJ 107 (CH 066)</v>
      </c>
      <c r="C44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066),REALCE</v>
      </c>
      <c r="D44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68" s="47" t="s">
        <v>8860</v>
      </c>
      <c r="G4468" t="s">
        <v>8861</v>
      </c>
      <c r="H44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69" spans="1:8" ht="15" customHeight="1" x14ac:dyDescent="0.25">
      <c r="A4469" t="str">
        <f>MID(TB_CECO[[#This Row],[CECO_T]],1,5)</f>
        <v>5E738</v>
      </c>
      <c r="B4469" t="str">
        <f>MID(TB_CECO[[#This Row],[TRABAJO]],1,SEARCH(",",TB_CECO[[#This Row],[TRABAJO]],1)-1)</f>
        <v>TJ 107 (CH 066)</v>
      </c>
      <c r="C44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066),BREASTING</v>
      </c>
      <c r="D44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69" s="47" t="s">
        <v>8862</v>
      </c>
      <c r="G4469" t="s">
        <v>8863</v>
      </c>
      <c r="H44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70" spans="1:8" ht="15" customHeight="1" x14ac:dyDescent="0.25">
      <c r="A4470" t="str">
        <f>MID(TB_CECO[[#This Row],[CECO_T]],1,5)</f>
        <v>5E739</v>
      </c>
      <c r="B4470" t="str">
        <f>MID(TB_CECO[[#This Row],[TRABAJO]],1,SEARCH(",",TB_CECO[[#This Row],[TRABAJO]],1)-1)</f>
        <v>TJ 107 (CH 107)</v>
      </c>
      <c r="C44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107),SUMINISTROS</v>
      </c>
      <c r="D44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70" s="47" t="s">
        <v>8864</v>
      </c>
      <c r="G4470" t="s">
        <v>8865</v>
      </c>
      <c r="H44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71" spans="1:8" ht="15" customHeight="1" x14ac:dyDescent="0.25">
      <c r="A4471" t="str">
        <f>MID(TB_CECO[[#This Row],[CECO_T]],1,5)</f>
        <v>5E739</v>
      </c>
      <c r="B4471" t="str">
        <f>MID(TB_CECO[[#This Row],[TRABAJO]],1,SEARCH(",",TB_CECO[[#This Row],[TRABAJO]],1)-1)</f>
        <v>TJ 107 (CH 107)</v>
      </c>
      <c r="C44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107),SOSTENIMIENTO</v>
      </c>
      <c r="D44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71" s="47" t="s">
        <v>8866</v>
      </c>
      <c r="G4471" t="s">
        <v>8867</v>
      </c>
      <c r="H44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72" spans="1:8" ht="15" customHeight="1" x14ac:dyDescent="0.25">
      <c r="A4472" t="str">
        <f>MID(TB_CECO[[#This Row],[CECO_T]],1,5)</f>
        <v>5E739</v>
      </c>
      <c r="B4472" t="str">
        <f>MID(TB_CECO[[#This Row],[TRABAJO]],1,SEARCH(",",TB_CECO[[#This Row],[TRABAJO]],1)-1)</f>
        <v>TJ 107 (CH 107)</v>
      </c>
      <c r="C44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107),SERVICIO</v>
      </c>
      <c r="D44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72" s="47" t="s">
        <v>8868</v>
      </c>
      <c r="G4472" t="s">
        <v>8869</v>
      </c>
      <c r="H44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73" spans="1:8" ht="15" customHeight="1" x14ac:dyDescent="0.25">
      <c r="A4473" t="str">
        <f>MID(TB_CECO[[#This Row],[CECO_T]],1,5)</f>
        <v>5E739</v>
      </c>
      <c r="B4473" t="str">
        <f>MID(TB_CECO[[#This Row],[TRABAJO]],1,SEARCH(",",TB_CECO[[#This Row],[TRABAJO]],1)-1)</f>
        <v>TJ 107 (CH 107)</v>
      </c>
      <c r="C44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107),REHABILITACION</v>
      </c>
      <c r="D44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73" s="47" t="s">
        <v>8870</v>
      </c>
      <c r="G4473" t="s">
        <v>8871</v>
      </c>
      <c r="H44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74" spans="1:8" ht="15" customHeight="1" x14ac:dyDescent="0.25">
      <c r="A4474" t="str">
        <f>MID(TB_CECO[[#This Row],[CECO_T]],1,5)</f>
        <v>5E739</v>
      </c>
      <c r="B4474" t="str">
        <f>MID(TB_CECO[[#This Row],[TRABAJO]],1,SEARCH(",",TB_CECO[[#This Row],[TRABAJO]],1)-1)</f>
        <v>TJ 107 (CH 107)</v>
      </c>
      <c r="C44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107),REALCE</v>
      </c>
      <c r="D44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74" s="47" t="s">
        <v>8872</v>
      </c>
      <c r="G4474" t="s">
        <v>8873</v>
      </c>
      <c r="H44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75" spans="1:8" ht="15" customHeight="1" x14ac:dyDescent="0.25">
      <c r="A4475" t="str">
        <f>MID(TB_CECO[[#This Row],[CECO_T]],1,5)</f>
        <v>5E739</v>
      </c>
      <c r="B4475" t="str">
        <f>MID(TB_CECO[[#This Row],[TRABAJO]],1,SEARCH(",",TB_CECO[[#This Row],[TRABAJO]],1)-1)</f>
        <v>TJ 107 (CH 107)</v>
      </c>
      <c r="C44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107),BREASTING</v>
      </c>
      <c r="D44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75" s="47" t="s">
        <v>8874</v>
      </c>
      <c r="G4475" t="s">
        <v>8875</v>
      </c>
      <c r="H44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76" spans="1:8" ht="15" customHeight="1" x14ac:dyDescent="0.25">
      <c r="A4476" t="str">
        <f>MID(TB_CECO[[#This Row],[CECO_T]],1,5)</f>
        <v>5E73A</v>
      </c>
      <c r="B4476" t="str">
        <f>MID(TB_CECO[[#This Row],[TRABAJO]],1,SEARCH(",",TB_CECO[[#This Row],[TRABAJO]],1)-1)</f>
        <v>Tj  829 SW (Snv 868 SW)</v>
      </c>
      <c r="C44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829 SW (Snv 868 SW),LIMPIEZA</v>
      </c>
      <c r="D44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76" s="47" t="s">
        <v>8876</v>
      </c>
      <c r="G4476" t="s">
        <v>8877</v>
      </c>
      <c r="H44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77" spans="1:8" ht="15" customHeight="1" x14ac:dyDescent="0.25">
      <c r="A4477" t="str">
        <f>MID(TB_CECO[[#This Row],[CECO_T]],1,5)</f>
        <v>5E73A</v>
      </c>
      <c r="B4477" t="str">
        <f>MID(TB_CECO[[#This Row],[TRABAJO]],1,SEARCH(",",TB_CECO[[#This Row],[TRABAJO]],1)-1)</f>
        <v>Tj  829 SW (Snv 868 SW)</v>
      </c>
      <c r="C44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829 SW (Snv 868 SW),SERVICIO</v>
      </c>
      <c r="D44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77" s="47" t="s">
        <v>8878</v>
      </c>
      <c r="G4477" t="s">
        <v>8879</v>
      </c>
      <c r="H44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78" spans="1:8" ht="15" customHeight="1" x14ac:dyDescent="0.25">
      <c r="A4478" t="str">
        <f>MID(TB_CECO[[#This Row],[CECO_T]],1,5)</f>
        <v>5E73A</v>
      </c>
      <c r="B4478" t="str">
        <f>MID(TB_CECO[[#This Row],[TRABAJO]],1,SEARCH(",",TB_CECO[[#This Row],[TRABAJO]],1)-1)</f>
        <v>Tj  829 SW (Snv 868 SW)</v>
      </c>
      <c r="C44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829 SW (Snv 868 SW),PERFORACION</v>
      </c>
      <c r="D44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78" s="47" t="s">
        <v>8880</v>
      </c>
      <c r="G4478" t="s">
        <v>8881</v>
      </c>
      <c r="H44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79" spans="1:8" ht="15" customHeight="1" x14ac:dyDescent="0.25">
      <c r="A4479" t="str">
        <f>MID(TB_CECO[[#This Row],[CECO_T]],1,5)</f>
        <v>5E73A</v>
      </c>
      <c r="B4479" t="str">
        <f>MID(TB_CECO[[#This Row],[TRABAJO]],1,SEARCH(",",TB_CECO[[#This Row],[TRABAJO]],1)-1)</f>
        <v>Tj  829 SW (Snv 868 SW)</v>
      </c>
      <c r="C44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829 SW (Snv 868 SW),RELLENO</v>
      </c>
      <c r="D44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79" s="47" t="s">
        <v>8882</v>
      </c>
      <c r="G4479" t="s">
        <v>8883</v>
      </c>
      <c r="H44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80" spans="1:8" ht="15" customHeight="1" x14ac:dyDescent="0.25">
      <c r="A4480" t="str">
        <f>MID(TB_CECO[[#This Row],[CECO_T]],1,5)</f>
        <v>5E73A</v>
      </c>
      <c r="B4480" t="str">
        <f>MID(TB_CECO[[#This Row],[TRABAJO]],1,SEARCH(",",TB_CECO[[#This Row],[TRABAJO]],1)-1)</f>
        <v>Tj  829 SW (Snv 868 SW)</v>
      </c>
      <c r="C44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829 SW (Snv 868 SW),SOSTENIMIENTO</v>
      </c>
      <c r="D44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80" s="47" t="s">
        <v>8884</v>
      </c>
      <c r="G4480" t="s">
        <v>8885</v>
      </c>
      <c r="H44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81" spans="1:8" ht="15" customHeight="1" x14ac:dyDescent="0.25">
      <c r="A4481" t="str">
        <f>MID(TB_CECO[[#This Row],[CECO_T]],1,5)</f>
        <v>5E73A</v>
      </c>
      <c r="B4481" t="str">
        <f>MID(TB_CECO[[#This Row],[TRABAJO]],1,SEARCH(",",TB_CECO[[#This Row],[TRABAJO]],1)-1)</f>
        <v>Tj  829 SW (Snv 868 SW)</v>
      </c>
      <c r="C44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829 SW (Snv 868 SW),VOLADURA</v>
      </c>
      <c r="D44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4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81" s="47" t="s">
        <v>8886</v>
      </c>
      <c r="G4481" t="s">
        <v>8887</v>
      </c>
      <c r="H44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82" spans="1:8" ht="15" customHeight="1" x14ac:dyDescent="0.25">
      <c r="A4482" t="str">
        <f>MID(TB_CECO[[#This Row],[CECO_T]],1,5)</f>
        <v>5E744</v>
      </c>
      <c r="B4482" t="str">
        <f>MID(TB_CECO[[#This Row],[TRABAJO]],1,SEARCH(",",TB_CECO[[#This Row],[TRABAJO]],1)-1)</f>
        <v>TJ 054 (CH 044)</v>
      </c>
      <c r="C44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054 (CH 044),SUMINISTROS</v>
      </c>
      <c r="D44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82" s="47" t="s">
        <v>8888</v>
      </c>
      <c r="G4482" t="s">
        <v>8889</v>
      </c>
      <c r="H44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83" spans="1:8" ht="15" customHeight="1" x14ac:dyDescent="0.25">
      <c r="A4483" t="str">
        <f>MID(TB_CECO[[#This Row],[CECO_T]],1,5)</f>
        <v>5E744</v>
      </c>
      <c r="B4483" t="str">
        <f>MID(TB_CECO[[#This Row],[TRABAJO]],1,SEARCH(",",TB_CECO[[#This Row],[TRABAJO]],1)-1)</f>
        <v>TJ 054 (CH 044)</v>
      </c>
      <c r="C44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054 (CH 044),SOSTENIMIENTO</v>
      </c>
      <c r="D44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83" s="47" t="s">
        <v>8890</v>
      </c>
      <c r="G4483" t="s">
        <v>8891</v>
      </c>
      <c r="H44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84" spans="1:8" ht="15" customHeight="1" x14ac:dyDescent="0.25">
      <c r="A4484" t="str">
        <f>MID(TB_CECO[[#This Row],[CECO_T]],1,5)</f>
        <v>5E744</v>
      </c>
      <c r="B4484" t="str">
        <f>MID(TB_CECO[[#This Row],[TRABAJO]],1,SEARCH(",",TB_CECO[[#This Row],[TRABAJO]],1)-1)</f>
        <v>TJ 054 (CH 044)</v>
      </c>
      <c r="C44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054 (CH 044),SERVICIO</v>
      </c>
      <c r="D44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84" s="47" t="s">
        <v>8892</v>
      </c>
      <c r="G4484" t="s">
        <v>8893</v>
      </c>
      <c r="H44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85" spans="1:8" ht="15" customHeight="1" x14ac:dyDescent="0.25">
      <c r="A4485" t="str">
        <f>MID(TB_CECO[[#This Row],[CECO_T]],1,5)</f>
        <v>5E744</v>
      </c>
      <c r="B4485" t="str">
        <f>MID(TB_CECO[[#This Row],[TRABAJO]],1,SEARCH(",",TB_CECO[[#This Row],[TRABAJO]],1)-1)</f>
        <v>TJ 054 (CH 044)</v>
      </c>
      <c r="C44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054 (CH 044),REHABILITACION</v>
      </c>
      <c r="D44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85" s="47" t="s">
        <v>8894</v>
      </c>
      <c r="G4485" t="s">
        <v>8895</v>
      </c>
      <c r="H44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86" spans="1:8" ht="15" customHeight="1" x14ac:dyDescent="0.25">
      <c r="A4486" t="str">
        <f>MID(TB_CECO[[#This Row],[CECO_T]],1,5)</f>
        <v>5E744</v>
      </c>
      <c r="B4486" t="str">
        <f>MID(TB_CECO[[#This Row],[TRABAJO]],1,SEARCH(",",TB_CECO[[#This Row],[TRABAJO]],1)-1)</f>
        <v>TJ 054 (CH 044)</v>
      </c>
      <c r="C44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054 (CH 044),REALCE</v>
      </c>
      <c r="D44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86" s="47" t="s">
        <v>8896</v>
      </c>
      <c r="G4486" t="s">
        <v>8897</v>
      </c>
      <c r="H44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87" spans="1:8" ht="15" customHeight="1" x14ac:dyDescent="0.25">
      <c r="A4487" t="str">
        <f>MID(TB_CECO[[#This Row],[CECO_T]],1,5)</f>
        <v>5E744</v>
      </c>
      <c r="B4487" t="str">
        <f>MID(TB_CECO[[#This Row],[TRABAJO]],1,SEARCH(",",TB_CECO[[#This Row],[TRABAJO]],1)-1)</f>
        <v>TJ 054 (CH 044)</v>
      </c>
      <c r="C44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054 (CH 044),BREASTING</v>
      </c>
      <c r="D44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87" s="47" t="s">
        <v>8898</v>
      </c>
      <c r="G4487" t="s">
        <v>8899</v>
      </c>
      <c r="H44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88" spans="1:8" ht="15" customHeight="1" x14ac:dyDescent="0.25">
      <c r="A4488" t="str">
        <f>MID(TB_CECO[[#This Row],[CECO_T]],1,5)</f>
        <v>5E745</v>
      </c>
      <c r="B4488" t="str">
        <f>MID(TB_CECO[[#This Row],[TRABAJO]],1,SEARCH(",",TB_CECO[[#This Row],[TRABAJO]],1)-1)</f>
        <v>TJ 055 (CH 044)</v>
      </c>
      <c r="C44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055 (CH 044),SUMINISTROS</v>
      </c>
      <c r="D44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88" s="47" t="s">
        <v>8900</v>
      </c>
      <c r="G4488" t="s">
        <v>8901</v>
      </c>
      <c r="H44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89" spans="1:8" ht="15" customHeight="1" x14ac:dyDescent="0.25">
      <c r="A4489" t="str">
        <f>MID(TB_CECO[[#This Row],[CECO_T]],1,5)</f>
        <v>5E745</v>
      </c>
      <c r="B4489" t="str">
        <f>MID(TB_CECO[[#This Row],[TRABAJO]],1,SEARCH(",",TB_CECO[[#This Row],[TRABAJO]],1)-1)</f>
        <v>TJ 055 (CH 044)</v>
      </c>
      <c r="C44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055 (CH 044),SOSTENIMIENTO</v>
      </c>
      <c r="D44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89" s="47" t="s">
        <v>8902</v>
      </c>
      <c r="G4489" t="s">
        <v>8903</v>
      </c>
      <c r="H44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90" spans="1:8" ht="15" customHeight="1" x14ac:dyDescent="0.25">
      <c r="A4490" t="str">
        <f>MID(TB_CECO[[#This Row],[CECO_T]],1,5)</f>
        <v>5E745</v>
      </c>
      <c r="B4490" t="str">
        <f>MID(TB_CECO[[#This Row],[TRABAJO]],1,SEARCH(",",TB_CECO[[#This Row],[TRABAJO]],1)-1)</f>
        <v>TJ 055 (CH 044)</v>
      </c>
      <c r="C44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055 (CH 044),SERVICIO</v>
      </c>
      <c r="D44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90" s="47" t="s">
        <v>8904</v>
      </c>
      <c r="G4490" t="s">
        <v>8905</v>
      </c>
      <c r="H44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91" spans="1:8" ht="15" customHeight="1" x14ac:dyDescent="0.25">
      <c r="A4491" t="str">
        <f>MID(TB_CECO[[#This Row],[CECO_T]],1,5)</f>
        <v>5E745</v>
      </c>
      <c r="B4491" t="str">
        <f>MID(TB_CECO[[#This Row],[TRABAJO]],1,SEARCH(",",TB_CECO[[#This Row],[TRABAJO]],1)-1)</f>
        <v>TJ 055 (CH 044)</v>
      </c>
      <c r="C44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055 (CH 044),REHABILITACION</v>
      </c>
      <c r="D44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91" s="47" t="s">
        <v>8906</v>
      </c>
      <c r="G4491" t="s">
        <v>8907</v>
      </c>
      <c r="H44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92" spans="1:8" ht="15" customHeight="1" x14ac:dyDescent="0.25">
      <c r="A4492" t="str">
        <f>MID(TB_CECO[[#This Row],[CECO_T]],1,5)</f>
        <v>5E745</v>
      </c>
      <c r="B4492" t="str">
        <f>MID(TB_CECO[[#This Row],[TRABAJO]],1,SEARCH(",",TB_CECO[[#This Row],[TRABAJO]],1)-1)</f>
        <v>TJ 055 (CH 044)</v>
      </c>
      <c r="C44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055 (CH 044),REALCE</v>
      </c>
      <c r="D44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92" s="47" t="s">
        <v>8908</v>
      </c>
      <c r="G4492" t="s">
        <v>8909</v>
      </c>
      <c r="H44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93" spans="1:8" ht="15" customHeight="1" x14ac:dyDescent="0.25">
      <c r="A4493" t="str">
        <f>MID(TB_CECO[[#This Row],[CECO_T]],1,5)</f>
        <v>5E745</v>
      </c>
      <c r="B4493" t="str">
        <f>MID(TB_CECO[[#This Row],[TRABAJO]],1,SEARCH(",",TB_CECO[[#This Row],[TRABAJO]],1)-1)</f>
        <v>TJ 055 (CH 044)</v>
      </c>
      <c r="C44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055 (CH 044),BREASTING</v>
      </c>
      <c r="D44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93" s="47" t="s">
        <v>8910</v>
      </c>
      <c r="G4493" t="s">
        <v>8911</v>
      </c>
      <c r="H44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94" spans="1:8" ht="15" customHeight="1" x14ac:dyDescent="0.25">
      <c r="A4494" t="str">
        <f>MID(TB_CECO[[#This Row],[CECO_T]],1,5)</f>
        <v>5E746</v>
      </c>
      <c r="B4494" t="str">
        <f>MID(TB_CECO[[#This Row],[TRABAJO]],1,SEARCH(",",TB_CECO[[#This Row],[TRABAJO]],1)-1)</f>
        <v>TJ 076 (CH 066)</v>
      </c>
      <c r="C44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076 (CH 066),SUMINISTROS</v>
      </c>
      <c r="D44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94" s="47" t="s">
        <v>8912</v>
      </c>
      <c r="G4494" t="s">
        <v>8913</v>
      </c>
      <c r="H44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95" spans="1:8" ht="15" customHeight="1" x14ac:dyDescent="0.25">
      <c r="A4495" t="str">
        <f>MID(TB_CECO[[#This Row],[CECO_T]],1,5)</f>
        <v>5E746</v>
      </c>
      <c r="B4495" t="str">
        <f>MID(TB_CECO[[#This Row],[TRABAJO]],1,SEARCH(",",TB_CECO[[#This Row],[TRABAJO]],1)-1)</f>
        <v>TJ 076 (CH 066)</v>
      </c>
      <c r="C44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076 (CH 066),SOSTENIMIENTO</v>
      </c>
      <c r="D44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95" s="47" t="s">
        <v>8914</v>
      </c>
      <c r="G4495" t="s">
        <v>8915</v>
      </c>
      <c r="H44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96" spans="1:8" ht="15" customHeight="1" x14ac:dyDescent="0.25">
      <c r="A4496" t="str">
        <f>MID(TB_CECO[[#This Row],[CECO_T]],1,5)</f>
        <v>5E746</v>
      </c>
      <c r="B4496" t="str">
        <f>MID(TB_CECO[[#This Row],[TRABAJO]],1,SEARCH(",",TB_CECO[[#This Row],[TRABAJO]],1)-1)</f>
        <v>TJ 076 (CH 066)</v>
      </c>
      <c r="C44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076 (CH 066),SERVICIO</v>
      </c>
      <c r="D44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96" s="47" t="s">
        <v>8916</v>
      </c>
      <c r="G4496" t="s">
        <v>8917</v>
      </c>
      <c r="H44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97" spans="1:8" ht="15" customHeight="1" x14ac:dyDescent="0.25">
      <c r="A4497" t="str">
        <f>MID(TB_CECO[[#This Row],[CECO_T]],1,5)</f>
        <v>5E746</v>
      </c>
      <c r="B4497" t="str">
        <f>MID(TB_CECO[[#This Row],[TRABAJO]],1,SEARCH(",",TB_CECO[[#This Row],[TRABAJO]],1)-1)</f>
        <v>TJ 076 (CH 066)</v>
      </c>
      <c r="C44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076 (CH 066),REHABILITACION</v>
      </c>
      <c r="D44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97" s="47" t="s">
        <v>8918</v>
      </c>
      <c r="G4497" t="s">
        <v>8919</v>
      </c>
      <c r="H44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98" spans="1:8" ht="15" customHeight="1" x14ac:dyDescent="0.25">
      <c r="A4498" t="str">
        <f>MID(TB_CECO[[#This Row],[CECO_T]],1,5)</f>
        <v>5E746</v>
      </c>
      <c r="B4498" t="str">
        <f>MID(TB_CECO[[#This Row],[TRABAJO]],1,SEARCH(",",TB_CECO[[#This Row],[TRABAJO]],1)-1)</f>
        <v>TJ 076 (CH 066)</v>
      </c>
      <c r="C44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076 (CH 066),REALCE</v>
      </c>
      <c r="D44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98" s="47" t="s">
        <v>8920</v>
      </c>
      <c r="G4498" t="s">
        <v>8921</v>
      </c>
      <c r="H44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499" spans="1:8" ht="15" customHeight="1" x14ac:dyDescent="0.25">
      <c r="A4499" t="str">
        <f>MID(TB_CECO[[#This Row],[CECO_T]],1,5)</f>
        <v>5E746</v>
      </c>
      <c r="B4499" t="str">
        <f>MID(TB_CECO[[#This Row],[TRABAJO]],1,SEARCH(",",TB_CECO[[#This Row],[TRABAJO]],1)-1)</f>
        <v>TJ 076 (CH 066)</v>
      </c>
      <c r="C44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076 (CH 066),BREASTING</v>
      </c>
      <c r="D44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4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499" s="47" t="s">
        <v>8922</v>
      </c>
      <c r="G4499" t="s">
        <v>8923</v>
      </c>
      <c r="H44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00" spans="1:8" ht="15" customHeight="1" x14ac:dyDescent="0.25">
      <c r="A4500" t="str">
        <f>MID(TB_CECO[[#This Row],[CECO_T]],1,5)</f>
        <v>5E747</v>
      </c>
      <c r="B4500" t="str">
        <f>MID(TB_CECO[[#This Row],[TRABAJO]],1,SEARCH(",",TB_CECO[[#This Row],[TRABAJO]],1)-1)</f>
        <v>TJ 107 SW (CH 107)</v>
      </c>
      <c r="C45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SW (CH 107),SUMINISTROS</v>
      </c>
      <c r="D45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00" s="47" t="s">
        <v>8924</v>
      </c>
      <c r="G4500" t="s">
        <v>8925</v>
      </c>
      <c r="H45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01" spans="1:8" ht="15" customHeight="1" x14ac:dyDescent="0.25">
      <c r="A4501" t="str">
        <f>MID(TB_CECO[[#This Row],[CECO_T]],1,5)</f>
        <v>5E747</v>
      </c>
      <c r="B4501" t="str">
        <f>MID(TB_CECO[[#This Row],[TRABAJO]],1,SEARCH(",",TB_CECO[[#This Row],[TRABAJO]],1)-1)</f>
        <v>TJ 107 SW (CH 107)</v>
      </c>
      <c r="C45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SW (CH 107),SOSTENIMIENTO</v>
      </c>
      <c r="D45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01" s="47" t="s">
        <v>8926</v>
      </c>
      <c r="G4501" t="s">
        <v>8927</v>
      </c>
      <c r="H45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02" spans="1:8" ht="15" customHeight="1" x14ac:dyDescent="0.25">
      <c r="A4502" t="str">
        <f>MID(TB_CECO[[#This Row],[CECO_T]],1,5)</f>
        <v>5E747</v>
      </c>
      <c r="B4502" t="str">
        <f>MID(TB_CECO[[#This Row],[TRABAJO]],1,SEARCH(",",TB_CECO[[#This Row],[TRABAJO]],1)-1)</f>
        <v>TJ 107 SW (CH 107)</v>
      </c>
      <c r="C45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SW (CH 107),SERVICIO</v>
      </c>
      <c r="D45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02" s="47" t="s">
        <v>8928</v>
      </c>
      <c r="G4502" t="s">
        <v>8929</v>
      </c>
      <c r="H45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03" spans="1:8" ht="15" customHeight="1" x14ac:dyDescent="0.25">
      <c r="A4503" t="str">
        <f>MID(TB_CECO[[#This Row],[CECO_T]],1,5)</f>
        <v>5E747</v>
      </c>
      <c r="B4503" t="str">
        <f>MID(TB_CECO[[#This Row],[TRABAJO]],1,SEARCH(",",TB_CECO[[#This Row],[TRABAJO]],1)-1)</f>
        <v>TJ 107 SW (CH 107)</v>
      </c>
      <c r="C45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SW (CH 107),REHABILITACION</v>
      </c>
      <c r="D45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03" s="47" t="s">
        <v>8930</v>
      </c>
      <c r="G4503" t="s">
        <v>8931</v>
      </c>
      <c r="H45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04" spans="1:8" ht="15" customHeight="1" x14ac:dyDescent="0.25">
      <c r="A4504" t="str">
        <f>MID(TB_CECO[[#This Row],[CECO_T]],1,5)</f>
        <v>5E748</v>
      </c>
      <c r="B4504" t="str">
        <f>MID(TB_CECO[[#This Row],[TRABAJO]],1,SEARCH(",",TB_CECO[[#This Row],[TRABAJO]],1)-1)</f>
        <v>TJ 107 NE (CH 107)</v>
      </c>
      <c r="C45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NE (CH 107),SUMINISTROS</v>
      </c>
      <c r="D45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04" s="47" t="s">
        <v>8932</v>
      </c>
      <c r="G4504" t="s">
        <v>8933</v>
      </c>
      <c r="H45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05" spans="1:8" ht="15" customHeight="1" x14ac:dyDescent="0.25">
      <c r="A4505" t="str">
        <f>MID(TB_CECO[[#This Row],[CECO_T]],1,5)</f>
        <v>5E748</v>
      </c>
      <c r="B4505" t="str">
        <f>MID(TB_CECO[[#This Row],[TRABAJO]],1,SEARCH(",",TB_CECO[[#This Row],[TRABAJO]],1)-1)</f>
        <v>TJ 107 NE (CH 107)</v>
      </c>
      <c r="C45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NE (CH 107),SOSTENIMIENTO</v>
      </c>
      <c r="D45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05" s="47" t="s">
        <v>8934</v>
      </c>
      <c r="G4505" t="s">
        <v>8935</v>
      </c>
      <c r="H45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06" spans="1:8" ht="15" customHeight="1" x14ac:dyDescent="0.25">
      <c r="A4506" t="str">
        <f>MID(TB_CECO[[#This Row],[CECO_T]],1,5)</f>
        <v>5E748</v>
      </c>
      <c r="B4506" t="str">
        <f>MID(TB_CECO[[#This Row],[TRABAJO]],1,SEARCH(",",TB_CECO[[#This Row],[TRABAJO]],1)-1)</f>
        <v>TJ 107 NE (CH 107)</v>
      </c>
      <c r="C45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NE (CH 107),SERVICIO</v>
      </c>
      <c r="D45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06" s="47" t="s">
        <v>8936</v>
      </c>
      <c r="G4506" t="s">
        <v>8937</v>
      </c>
      <c r="H45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07" spans="1:8" ht="15" customHeight="1" x14ac:dyDescent="0.25">
      <c r="A4507" t="str">
        <f>MID(TB_CECO[[#This Row],[CECO_T]],1,5)</f>
        <v>5E748</v>
      </c>
      <c r="B4507" t="str">
        <f>MID(TB_CECO[[#This Row],[TRABAJO]],1,SEARCH(",",TB_CECO[[#This Row],[TRABAJO]],1)-1)</f>
        <v>TJ 107 NE (CH 107)</v>
      </c>
      <c r="C45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NE (CH 107),REHABILITACION</v>
      </c>
      <c r="D45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07" s="47" t="s">
        <v>8938</v>
      </c>
      <c r="G4507" t="s">
        <v>8939</v>
      </c>
      <c r="H45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08" spans="1:8" ht="15" customHeight="1" x14ac:dyDescent="0.25">
      <c r="A4508" t="str">
        <f>MID(TB_CECO[[#This Row],[CECO_T]],1,5)</f>
        <v>5E749</v>
      </c>
      <c r="B4508" t="str">
        <f>MID(TB_CECO[[#This Row],[TRABAJO]],1,SEARCH(",",TB_CECO[[#This Row],[TRABAJO]],1)-1)</f>
        <v>TJ 091 SW (CH 091)</v>
      </c>
      <c r="C45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091 SW (CH 091),SUMINISTROS</v>
      </c>
      <c r="D45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08" s="47" t="s">
        <v>8940</v>
      </c>
      <c r="G4508" t="s">
        <v>8941</v>
      </c>
      <c r="H45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09" spans="1:8" ht="15" customHeight="1" x14ac:dyDescent="0.25">
      <c r="A4509" t="str">
        <f>MID(TB_CECO[[#This Row],[CECO_T]],1,5)</f>
        <v>5E749</v>
      </c>
      <c r="B4509" t="str">
        <f>MID(TB_CECO[[#This Row],[TRABAJO]],1,SEARCH(",",TB_CECO[[#This Row],[TRABAJO]],1)-1)</f>
        <v>TJ 091 SW (CH 091)</v>
      </c>
      <c r="C45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091 SW (CH 091),SOSTENIMIENTO</v>
      </c>
      <c r="D45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09" s="47" t="s">
        <v>8942</v>
      </c>
      <c r="G4509" t="s">
        <v>8943</v>
      </c>
      <c r="H45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10" spans="1:8" ht="15" customHeight="1" x14ac:dyDescent="0.25">
      <c r="A4510" t="str">
        <f>MID(TB_CECO[[#This Row],[CECO_T]],1,5)</f>
        <v>5E749</v>
      </c>
      <c r="B4510" t="str">
        <f>MID(TB_CECO[[#This Row],[TRABAJO]],1,SEARCH(",",TB_CECO[[#This Row],[TRABAJO]],1)-1)</f>
        <v>TJ 091 SW (CH 091)</v>
      </c>
      <c r="C45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091 SW (CH 091),SERVICIO</v>
      </c>
      <c r="D45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10" s="47" t="s">
        <v>8944</v>
      </c>
      <c r="G4510" t="s">
        <v>8945</v>
      </c>
      <c r="H45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11" spans="1:8" ht="15" customHeight="1" x14ac:dyDescent="0.25">
      <c r="A4511" t="str">
        <f>MID(TB_CECO[[#This Row],[CECO_T]],1,5)</f>
        <v>5E749</v>
      </c>
      <c r="B4511" t="str">
        <f>MID(TB_CECO[[#This Row],[TRABAJO]],1,SEARCH(",",TB_CECO[[#This Row],[TRABAJO]],1)-1)</f>
        <v>TJ 091 SW (CH 091)</v>
      </c>
      <c r="C45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091 SW (CH 091),REHABILITACION</v>
      </c>
      <c r="D45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11" s="47" t="s">
        <v>8946</v>
      </c>
      <c r="G4511" t="s">
        <v>8947</v>
      </c>
      <c r="H45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12" spans="1:8" ht="15" customHeight="1" x14ac:dyDescent="0.25">
      <c r="A4512" t="str">
        <f>MID(TB_CECO[[#This Row],[CECO_T]],1,5)</f>
        <v>5E751</v>
      </c>
      <c r="B4512" t="str">
        <f>MID(TB_CECO[[#This Row],[TRABAJO]],1,SEARCH(",",TB_CECO[[#This Row],[TRABAJO]],1)-1)</f>
        <v>TJ 091 (CH091)</v>
      </c>
      <c r="C45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091 (CH091),SUMINISTROS</v>
      </c>
      <c r="D45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12" s="47" t="s">
        <v>8948</v>
      </c>
      <c r="G4512" t="s">
        <v>8949</v>
      </c>
      <c r="H45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13" spans="1:8" ht="15" customHeight="1" x14ac:dyDescent="0.25">
      <c r="A4513" t="str">
        <f>MID(TB_CECO[[#This Row],[CECO_T]],1,5)</f>
        <v>5E751</v>
      </c>
      <c r="B4513" t="str">
        <f>MID(TB_CECO[[#This Row],[TRABAJO]],1,SEARCH(",",TB_CECO[[#This Row],[TRABAJO]],1)-1)</f>
        <v>TJ 091 (CH091)</v>
      </c>
      <c r="C45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091 (CH091),SOSTENIMIENTO</v>
      </c>
      <c r="D45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13" s="47" t="s">
        <v>8950</v>
      </c>
      <c r="G4513" t="s">
        <v>8951</v>
      </c>
      <c r="H45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14" spans="1:8" ht="15" customHeight="1" x14ac:dyDescent="0.25">
      <c r="A4514" t="str">
        <f>MID(TB_CECO[[#This Row],[CECO_T]],1,5)</f>
        <v>5E751</v>
      </c>
      <c r="B4514" t="str">
        <f>MID(TB_CECO[[#This Row],[TRABAJO]],1,SEARCH(",",TB_CECO[[#This Row],[TRABAJO]],1)-1)</f>
        <v>TJ 091 (CH091)</v>
      </c>
      <c r="C45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091 (CH091),SERVICIO</v>
      </c>
      <c r="D45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14" s="47" t="s">
        <v>8952</v>
      </c>
      <c r="G4514" t="s">
        <v>8953</v>
      </c>
      <c r="H45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15" spans="1:8" ht="15" customHeight="1" x14ac:dyDescent="0.25">
      <c r="A4515" t="str">
        <f>MID(TB_CECO[[#This Row],[CECO_T]],1,5)</f>
        <v>5E751</v>
      </c>
      <c r="B4515" t="str">
        <f>MID(TB_CECO[[#This Row],[TRABAJO]],1,SEARCH(",",TB_CECO[[#This Row],[TRABAJO]],1)-1)</f>
        <v>TJ 091 (CH091)</v>
      </c>
      <c r="C45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091 (CH091),REHABILITACION</v>
      </c>
      <c r="D45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15" s="47" t="s">
        <v>8954</v>
      </c>
      <c r="G4515" t="s">
        <v>8955</v>
      </c>
      <c r="H45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16" spans="1:8" ht="15" customHeight="1" x14ac:dyDescent="0.25">
      <c r="A4516" t="str">
        <f>MID(TB_CECO[[#This Row],[CECO_T]],1,5)</f>
        <v>5E752</v>
      </c>
      <c r="B4516" t="str">
        <f>MID(TB_CECO[[#This Row],[TRABAJO]],1,SEARCH(",",TB_CECO[[#This Row],[TRABAJO]],1)-1)</f>
        <v>TJ 101 (CH091)</v>
      </c>
      <c r="C45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101 (CH091),SUMINISTROS</v>
      </c>
      <c r="D45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16" s="47" t="s">
        <v>8956</v>
      </c>
      <c r="G4516" t="s">
        <v>8957</v>
      </c>
      <c r="H45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17" spans="1:8" ht="15" customHeight="1" x14ac:dyDescent="0.25">
      <c r="A4517" t="str">
        <f>MID(TB_CECO[[#This Row],[CECO_T]],1,5)</f>
        <v>5E752</v>
      </c>
      <c r="B4517" t="str">
        <f>MID(TB_CECO[[#This Row],[TRABAJO]],1,SEARCH(",",TB_CECO[[#This Row],[TRABAJO]],1)-1)</f>
        <v>TJ 101 (CH091)</v>
      </c>
      <c r="C45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101 (CH091),SOSTENIMIENTO</v>
      </c>
      <c r="D45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17" s="47" t="s">
        <v>8958</v>
      </c>
      <c r="G4517" t="s">
        <v>8959</v>
      </c>
      <c r="H45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18" spans="1:8" ht="15" customHeight="1" x14ac:dyDescent="0.25">
      <c r="A4518" t="str">
        <f>MID(TB_CECO[[#This Row],[CECO_T]],1,5)</f>
        <v>5E752</v>
      </c>
      <c r="B4518" t="str">
        <f>MID(TB_CECO[[#This Row],[TRABAJO]],1,SEARCH(",",TB_CECO[[#This Row],[TRABAJO]],1)-1)</f>
        <v>TJ 101 (CH091)</v>
      </c>
      <c r="C45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101 (CH091),SERVICIO</v>
      </c>
      <c r="D45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18" s="47" t="s">
        <v>8960</v>
      </c>
      <c r="G4518" t="s">
        <v>8961</v>
      </c>
      <c r="H45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19" spans="1:8" ht="15" customHeight="1" x14ac:dyDescent="0.25">
      <c r="A4519" t="str">
        <f>MID(TB_CECO[[#This Row],[CECO_T]],1,5)</f>
        <v>5E752</v>
      </c>
      <c r="B4519" t="str">
        <f>MID(TB_CECO[[#This Row],[TRABAJO]],1,SEARCH(",",TB_CECO[[#This Row],[TRABAJO]],1)-1)</f>
        <v>TJ 101 (CH091)</v>
      </c>
      <c r="C45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101 (CH091),REHABILITACION</v>
      </c>
      <c r="D45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19" s="47" t="s">
        <v>8962</v>
      </c>
      <c r="G4519" t="s">
        <v>8963</v>
      </c>
      <c r="H45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20" spans="1:8" ht="15" customHeight="1" x14ac:dyDescent="0.25">
      <c r="A4520" t="str">
        <f>MID(TB_CECO[[#This Row],[CECO_T]],1,5)</f>
        <v>5E753</v>
      </c>
      <c r="B4520" t="str">
        <f>MID(TB_CECO[[#This Row],[TRABAJO]],1,SEARCH(",",TB_CECO[[#This Row],[TRABAJO]],1)-1)</f>
        <v>TJ 117 SW  (CH 091)</v>
      </c>
      <c r="C45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SW  (CH 091),SUMINISTROS</v>
      </c>
      <c r="D45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20" s="47" t="s">
        <v>8964</v>
      </c>
      <c r="G4520" t="s">
        <v>8965</v>
      </c>
      <c r="H45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21" spans="1:8" ht="15" customHeight="1" x14ac:dyDescent="0.25">
      <c r="A4521" t="str">
        <f>MID(TB_CECO[[#This Row],[CECO_T]],1,5)</f>
        <v>5E753</v>
      </c>
      <c r="B4521" t="str">
        <f>MID(TB_CECO[[#This Row],[TRABAJO]],1,SEARCH(",",TB_CECO[[#This Row],[TRABAJO]],1)-1)</f>
        <v>TJ 117 SW  (CH 091)</v>
      </c>
      <c r="C45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SW  (CH 091),SOSTENIMIENTO</v>
      </c>
      <c r="D45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21" s="47" t="s">
        <v>8966</v>
      </c>
      <c r="G4521" t="s">
        <v>8967</v>
      </c>
      <c r="H45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22" spans="1:8" ht="15" customHeight="1" x14ac:dyDescent="0.25">
      <c r="A4522" t="str">
        <f>MID(TB_CECO[[#This Row],[CECO_T]],1,5)</f>
        <v>5E753</v>
      </c>
      <c r="B4522" t="str">
        <f>MID(TB_CECO[[#This Row],[TRABAJO]],1,SEARCH(",",TB_CECO[[#This Row],[TRABAJO]],1)-1)</f>
        <v>TJ 117 SW  (CH 091)</v>
      </c>
      <c r="C45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SW  (CH 091),SERVICIO</v>
      </c>
      <c r="D45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22" s="47" t="s">
        <v>8968</v>
      </c>
      <c r="G4522" t="s">
        <v>8969</v>
      </c>
      <c r="H45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23" spans="1:8" ht="15" customHeight="1" x14ac:dyDescent="0.25">
      <c r="A4523" t="str">
        <f>MID(TB_CECO[[#This Row],[CECO_T]],1,5)</f>
        <v>5E753</v>
      </c>
      <c r="B4523" t="str">
        <f>MID(TB_CECO[[#This Row],[TRABAJO]],1,SEARCH(",",TB_CECO[[#This Row],[TRABAJO]],1)-1)</f>
        <v>TJ 117 SW  (CH 091)</v>
      </c>
      <c r="C45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SW  (CH 091),REHABILITACION</v>
      </c>
      <c r="D45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23" s="47" t="s">
        <v>8970</v>
      </c>
      <c r="G4523" t="s">
        <v>8971</v>
      </c>
      <c r="H45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24" spans="1:8" ht="15" customHeight="1" x14ac:dyDescent="0.25">
      <c r="A4524" t="str">
        <f>MID(TB_CECO[[#This Row],[CECO_T]],1,5)</f>
        <v>5E754</v>
      </c>
      <c r="B4524" t="str">
        <f>MID(TB_CECO[[#This Row],[TRABAJO]],1,SEARCH(",",TB_CECO[[#This Row],[TRABAJO]],1)-1)</f>
        <v>TJ 117 NE  (CH 107)</v>
      </c>
      <c r="C45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NE  (CH 107),SUMINISTROS</v>
      </c>
      <c r="D45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24" s="47" t="s">
        <v>8972</v>
      </c>
      <c r="G4524" t="s">
        <v>8973</v>
      </c>
      <c r="H45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25" spans="1:8" ht="15" customHeight="1" x14ac:dyDescent="0.25">
      <c r="A4525" t="str">
        <f>MID(TB_CECO[[#This Row],[CECO_T]],1,5)</f>
        <v>5E754</v>
      </c>
      <c r="B4525" t="str">
        <f>MID(TB_CECO[[#This Row],[TRABAJO]],1,SEARCH(",",TB_CECO[[#This Row],[TRABAJO]],1)-1)</f>
        <v>TJ 117 NE  (CH 107)</v>
      </c>
      <c r="C45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NE  (CH 107),SOSTENIMIENTO</v>
      </c>
      <c r="D45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25" s="47" t="s">
        <v>8974</v>
      </c>
      <c r="G4525" t="s">
        <v>8975</v>
      </c>
      <c r="H45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26" spans="1:8" ht="15" customHeight="1" x14ac:dyDescent="0.25">
      <c r="A4526" t="str">
        <f>MID(TB_CECO[[#This Row],[CECO_T]],1,5)</f>
        <v>5E754</v>
      </c>
      <c r="B4526" t="str">
        <f>MID(TB_CECO[[#This Row],[TRABAJO]],1,SEARCH(",",TB_CECO[[#This Row],[TRABAJO]],1)-1)</f>
        <v>TJ 117 NE  (CH 107)</v>
      </c>
      <c r="C45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NE  (CH 107),SERVICIO</v>
      </c>
      <c r="D45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26" s="47" t="s">
        <v>8976</v>
      </c>
      <c r="G4526" t="s">
        <v>8977</v>
      </c>
      <c r="H45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27" spans="1:8" ht="15" customHeight="1" x14ac:dyDescent="0.25">
      <c r="A4527" t="str">
        <f>MID(TB_CECO[[#This Row],[CECO_T]],1,5)</f>
        <v>5E754</v>
      </c>
      <c r="B4527" t="str">
        <f>MID(TB_CECO[[#This Row],[TRABAJO]],1,SEARCH(",",TB_CECO[[#This Row],[TRABAJO]],1)-1)</f>
        <v>TJ 117 NE  (CH 107)</v>
      </c>
      <c r="C45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NE  (CH 107),REHABILITACION</v>
      </c>
      <c r="D45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27" s="47" t="s">
        <v>8978</v>
      </c>
      <c r="G4527" t="s">
        <v>8979</v>
      </c>
      <c r="H45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28" spans="1:8" ht="15" customHeight="1" x14ac:dyDescent="0.25">
      <c r="A4528" t="str">
        <f>MID(TB_CECO[[#This Row],[CECO_T]],1,5)</f>
        <v>5E755</v>
      </c>
      <c r="B4528" t="str">
        <f>MID(TB_CECO[[#This Row],[TRABAJO]],1,SEARCH(",",TB_CECO[[#This Row],[TRABAJO]],1)-1)</f>
        <v>TJ 111  (CH 091)</v>
      </c>
      <c r="C45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111  (CH 091),SUMINISTROS</v>
      </c>
      <c r="D45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28" s="47" t="s">
        <v>8980</v>
      </c>
      <c r="G4528" t="s">
        <v>8981</v>
      </c>
      <c r="H45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29" spans="1:8" ht="15" customHeight="1" x14ac:dyDescent="0.25">
      <c r="A4529" t="str">
        <f>MID(TB_CECO[[#This Row],[CECO_T]],1,5)</f>
        <v>5E755</v>
      </c>
      <c r="B4529" t="str">
        <f>MID(TB_CECO[[#This Row],[TRABAJO]],1,SEARCH(",",TB_CECO[[#This Row],[TRABAJO]],1)-1)</f>
        <v>TJ 111  (CH 091)</v>
      </c>
      <c r="C45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111  (CH 091),SOSTENIMIENTO</v>
      </c>
      <c r="D45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29" s="47" t="s">
        <v>8982</v>
      </c>
      <c r="G4529" t="s">
        <v>8983</v>
      </c>
      <c r="H45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30" spans="1:8" ht="15" customHeight="1" x14ac:dyDescent="0.25">
      <c r="A4530" t="str">
        <f>MID(TB_CECO[[#This Row],[CECO_T]],1,5)</f>
        <v>5E755</v>
      </c>
      <c r="B4530" t="str">
        <f>MID(TB_CECO[[#This Row],[TRABAJO]],1,SEARCH(",",TB_CECO[[#This Row],[TRABAJO]],1)-1)</f>
        <v>TJ 111  (CH 091)</v>
      </c>
      <c r="C45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111  (CH 091),SERVICIO</v>
      </c>
      <c r="D45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30" s="47" t="s">
        <v>8984</v>
      </c>
      <c r="G4530" t="s">
        <v>8985</v>
      </c>
      <c r="H45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31" spans="1:8" ht="15" customHeight="1" x14ac:dyDescent="0.25">
      <c r="A4531" t="str">
        <f>MID(TB_CECO[[#This Row],[CECO_T]],1,5)</f>
        <v>5E755</v>
      </c>
      <c r="B4531" t="str">
        <f>MID(TB_CECO[[#This Row],[TRABAJO]],1,SEARCH(",",TB_CECO[[#This Row],[TRABAJO]],1)-1)</f>
        <v>TJ 111  (CH 091)</v>
      </c>
      <c r="C45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111  (CH 091),REHABILITACION</v>
      </c>
      <c r="D45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31" s="47" t="s">
        <v>8986</v>
      </c>
      <c r="G4531" t="s">
        <v>8987</v>
      </c>
      <c r="H45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32" spans="1:8" ht="15" customHeight="1" x14ac:dyDescent="0.25">
      <c r="A4532" t="str">
        <f>MID(TB_CECO[[#This Row],[CECO_T]],1,5)</f>
        <v>5E755</v>
      </c>
      <c r="B4532" t="str">
        <f>MID(TB_CECO[[#This Row],[TRABAJO]],1,SEARCH(",",TB_CECO[[#This Row],[TRABAJO]],1)-1)</f>
        <v>TJ 111  (CH 091)</v>
      </c>
      <c r="C45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111  (CH 091),REALCE</v>
      </c>
      <c r="D45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32" s="47" t="s">
        <v>8988</v>
      </c>
      <c r="G4532" t="s">
        <v>8989</v>
      </c>
      <c r="H45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33" spans="1:8" ht="15" customHeight="1" x14ac:dyDescent="0.25">
      <c r="A4533" t="str">
        <f>MID(TB_CECO[[#This Row],[CECO_T]],1,5)</f>
        <v>5E755</v>
      </c>
      <c r="B4533" t="str">
        <f>MID(TB_CECO[[#This Row],[TRABAJO]],1,SEARCH(",",TB_CECO[[#This Row],[TRABAJO]],1)-1)</f>
        <v>TJ 111  (CH 091)</v>
      </c>
      <c r="C45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111  (CH 091),BREASTING</v>
      </c>
      <c r="D45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33" s="47" t="s">
        <v>8990</v>
      </c>
      <c r="G4533" t="s">
        <v>8991</v>
      </c>
      <c r="H45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34" spans="1:8" ht="15" customHeight="1" x14ac:dyDescent="0.25">
      <c r="A4534" t="str">
        <f>MID(TB_CECO[[#This Row],[CECO_T]],1,5)</f>
        <v>5E758</v>
      </c>
      <c r="B4534" t="str">
        <f>MID(TB_CECO[[#This Row],[TRABAJO]],1,SEARCH(",",TB_CECO[[#This Row],[TRABAJO]],1)-1)</f>
        <v>TJ 076  (CH 053)</v>
      </c>
      <c r="C45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076  (CH 053),SUMINISTROS</v>
      </c>
      <c r="D45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34" s="47" t="s">
        <v>8992</v>
      </c>
      <c r="G4534" t="s">
        <v>8993</v>
      </c>
      <c r="H45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35" spans="1:8" ht="15" customHeight="1" x14ac:dyDescent="0.25">
      <c r="A4535" t="str">
        <f>MID(TB_CECO[[#This Row],[CECO_T]],1,5)</f>
        <v>5E758</v>
      </c>
      <c r="B4535" t="str">
        <f>MID(TB_CECO[[#This Row],[TRABAJO]],1,SEARCH(",",TB_CECO[[#This Row],[TRABAJO]],1)-1)</f>
        <v>TJ 076  (CH 053)</v>
      </c>
      <c r="C45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076  (CH 053),SOSTENIMIENTO</v>
      </c>
      <c r="D45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35" s="47" t="s">
        <v>8994</v>
      </c>
      <c r="G4535" t="s">
        <v>8995</v>
      </c>
      <c r="H45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36" spans="1:8" ht="15" customHeight="1" x14ac:dyDescent="0.25">
      <c r="A4536" t="str">
        <f>MID(TB_CECO[[#This Row],[CECO_T]],1,5)</f>
        <v>5E758</v>
      </c>
      <c r="B4536" t="str">
        <f>MID(TB_CECO[[#This Row],[TRABAJO]],1,SEARCH(",",TB_CECO[[#This Row],[TRABAJO]],1)-1)</f>
        <v>TJ 076  (CH 053)</v>
      </c>
      <c r="C45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076  (CH 053),SERVICIO</v>
      </c>
      <c r="D45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36" s="47" t="s">
        <v>8996</v>
      </c>
      <c r="G4536" t="s">
        <v>8997</v>
      </c>
      <c r="H45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37" spans="1:8" ht="15" customHeight="1" x14ac:dyDescent="0.25">
      <c r="A4537" t="str">
        <f>MID(TB_CECO[[#This Row],[CECO_T]],1,5)</f>
        <v>5E758</v>
      </c>
      <c r="B4537" t="str">
        <f>MID(TB_CECO[[#This Row],[TRABAJO]],1,SEARCH(",",TB_CECO[[#This Row],[TRABAJO]],1)-1)</f>
        <v>TJ 076  (CH 053)</v>
      </c>
      <c r="C45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076  (CH 053),REHABILITACION</v>
      </c>
      <c r="D45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37" s="47" t="s">
        <v>8998</v>
      </c>
      <c r="G4537" t="s">
        <v>8999</v>
      </c>
      <c r="H45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38" spans="1:8" ht="15" customHeight="1" x14ac:dyDescent="0.25">
      <c r="A4538" t="str">
        <f>MID(TB_CECO[[#This Row],[CECO_T]],1,5)</f>
        <v>5E761</v>
      </c>
      <c r="B4538" t="str">
        <f>MID(TB_CECO[[#This Row],[TRABAJO]],1,SEARCH(",",TB_CECO[[#This Row],[TRABAJO]],1)-1)</f>
        <v>TJ 121 SW  (CH 084)</v>
      </c>
      <c r="C45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121 SW  (CH 084),SUMINISTROS</v>
      </c>
      <c r="D45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38" s="47" t="s">
        <v>9000</v>
      </c>
      <c r="G4538" t="s">
        <v>9001</v>
      </c>
      <c r="H45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39" spans="1:8" ht="15" customHeight="1" x14ac:dyDescent="0.25">
      <c r="A4539" t="str">
        <f>MID(TB_CECO[[#This Row],[CECO_T]],1,5)</f>
        <v>5E761</v>
      </c>
      <c r="B4539" t="str">
        <f>MID(TB_CECO[[#This Row],[TRABAJO]],1,SEARCH(",",TB_CECO[[#This Row],[TRABAJO]],1)-1)</f>
        <v>TJ 121 SW  (CH 084)</v>
      </c>
      <c r="C45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121 SW  (CH 084),SOSTENIMIENTO</v>
      </c>
      <c r="D45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39" s="47" t="s">
        <v>9002</v>
      </c>
      <c r="G4539" t="s">
        <v>9003</v>
      </c>
      <c r="H45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40" spans="1:8" ht="15" customHeight="1" x14ac:dyDescent="0.25">
      <c r="A4540" t="str">
        <f>MID(TB_CECO[[#This Row],[CECO_T]],1,5)</f>
        <v>5E761</v>
      </c>
      <c r="B4540" t="str">
        <f>MID(TB_CECO[[#This Row],[TRABAJO]],1,SEARCH(",",TB_CECO[[#This Row],[TRABAJO]],1)-1)</f>
        <v>TJ 121 SW  (CH 084)</v>
      </c>
      <c r="C45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121 SW  (CH 084),SERVICIO</v>
      </c>
      <c r="D45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40" s="47" t="s">
        <v>9004</v>
      </c>
      <c r="G4540" t="s">
        <v>9005</v>
      </c>
      <c r="H45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41" spans="1:8" ht="15" customHeight="1" x14ac:dyDescent="0.25">
      <c r="A4541" t="str">
        <f>MID(TB_CECO[[#This Row],[CECO_T]],1,5)</f>
        <v>5E761</v>
      </c>
      <c r="B4541" t="str">
        <f>MID(TB_CECO[[#This Row],[TRABAJO]],1,SEARCH(",",TB_CECO[[#This Row],[TRABAJO]],1)-1)</f>
        <v>TJ 121 SW  (CH 084)</v>
      </c>
      <c r="C45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121 SW  (CH 084),REHABILITACION</v>
      </c>
      <c r="D45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41" s="47" t="s">
        <v>9006</v>
      </c>
      <c r="G4541" t="s">
        <v>9007</v>
      </c>
      <c r="H45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42" spans="1:8" ht="15" customHeight="1" x14ac:dyDescent="0.25">
      <c r="A4542" t="str">
        <f>MID(TB_CECO[[#This Row],[CECO_T]],1,5)</f>
        <v>5E762</v>
      </c>
      <c r="B4542" t="str">
        <f>MID(TB_CECO[[#This Row],[TRABAJO]],1,SEARCH(",",TB_CECO[[#This Row],[TRABAJO]],1)-1)</f>
        <v>TJ 127 SW  (CH 107)</v>
      </c>
      <c r="C45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127 SW  (CH 107),SUMINISTROS</v>
      </c>
      <c r="D45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42" s="47" t="s">
        <v>9008</v>
      </c>
      <c r="G4542" t="s">
        <v>9009</v>
      </c>
      <c r="H45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43" spans="1:8" ht="15" customHeight="1" x14ac:dyDescent="0.25">
      <c r="A4543" t="str">
        <f>MID(TB_CECO[[#This Row],[CECO_T]],1,5)</f>
        <v>5E762</v>
      </c>
      <c r="B4543" t="str">
        <f>MID(TB_CECO[[#This Row],[TRABAJO]],1,SEARCH(",",TB_CECO[[#This Row],[TRABAJO]],1)-1)</f>
        <v>TJ 127 SW  (CH 107)</v>
      </c>
      <c r="C45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127 SW  (CH 107),SOSTENIMIENTO</v>
      </c>
      <c r="D45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43" s="47" t="s">
        <v>9010</v>
      </c>
      <c r="G4543" t="s">
        <v>9011</v>
      </c>
      <c r="H45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44" spans="1:8" ht="15" customHeight="1" x14ac:dyDescent="0.25">
      <c r="A4544" t="str">
        <f>MID(TB_CECO[[#This Row],[CECO_T]],1,5)</f>
        <v>5E762</v>
      </c>
      <c r="B4544" t="str">
        <f>MID(TB_CECO[[#This Row],[TRABAJO]],1,SEARCH(",",TB_CECO[[#This Row],[TRABAJO]],1)-1)</f>
        <v>TJ 127 SW  (CH 107)</v>
      </c>
      <c r="C45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127 SW  (CH 107),SERVICIO</v>
      </c>
      <c r="D45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44" s="47" t="s">
        <v>9012</v>
      </c>
      <c r="G4544" t="s">
        <v>9013</v>
      </c>
      <c r="H45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45" spans="1:8" ht="15" customHeight="1" x14ac:dyDescent="0.25">
      <c r="A4545" t="str">
        <f>MID(TB_CECO[[#This Row],[CECO_T]],1,5)</f>
        <v>5E762</v>
      </c>
      <c r="B4545" t="str">
        <f>MID(TB_CECO[[#This Row],[TRABAJO]],1,SEARCH(",",TB_CECO[[#This Row],[TRABAJO]],1)-1)</f>
        <v>TJ 127 SW  (CH 107)</v>
      </c>
      <c r="C45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127 SW  (CH 107),REHABILITACION</v>
      </c>
      <c r="D45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45" s="47" t="s">
        <v>9014</v>
      </c>
      <c r="G4545" t="s">
        <v>9015</v>
      </c>
      <c r="H45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46" spans="1:8" ht="15" customHeight="1" x14ac:dyDescent="0.25">
      <c r="A4546" t="str">
        <f>MID(TB_CECO[[#This Row],[CECO_T]],1,5)</f>
        <v>5E763</v>
      </c>
      <c r="B4546" t="str">
        <f>MID(TB_CECO[[#This Row],[TRABAJO]],1,SEARCH(",",TB_CECO[[#This Row],[TRABAJO]],1)-1)</f>
        <v>TJ 127 NE  (CH 107)</v>
      </c>
      <c r="C45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127 NE  (CH 107),SUMINISTROS</v>
      </c>
      <c r="D45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46" s="47" t="s">
        <v>9016</v>
      </c>
      <c r="G4546" t="s">
        <v>9017</v>
      </c>
      <c r="H45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47" spans="1:8" ht="15" customHeight="1" x14ac:dyDescent="0.25">
      <c r="A4547" t="str">
        <f>MID(TB_CECO[[#This Row],[CECO_T]],1,5)</f>
        <v>5E763</v>
      </c>
      <c r="B4547" t="str">
        <f>MID(TB_CECO[[#This Row],[TRABAJO]],1,SEARCH(",",TB_CECO[[#This Row],[TRABAJO]],1)-1)</f>
        <v>TJ 127 NE  (CH 107)</v>
      </c>
      <c r="C45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127 NE  (CH 107),SOSTENIMIENTO</v>
      </c>
      <c r="D45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47" s="47" t="s">
        <v>9018</v>
      </c>
      <c r="G4547" t="s">
        <v>9019</v>
      </c>
      <c r="H45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48" spans="1:8" ht="15" customHeight="1" x14ac:dyDescent="0.25">
      <c r="A4548" t="str">
        <f>MID(TB_CECO[[#This Row],[CECO_T]],1,5)</f>
        <v>5E763</v>
      </c>
      <c r="B4548" t="str">
        <f>MID(TB_CECO[[#This Row],[TRABAJO]],1,SEARCH(",",TB_CECO[[#This Row],[TRABAJO]],1)-1)</f>
        <v>TJ 127 NE  (CH 107)</v>
      </c>
      <c r="C45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127 NE  (CH 107),SERVICIO</v>
      </c>
      <c r="D45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48" s="47" t="s">
        <v>9020</v>
      </c>
      <c r="G4548" t="s">
        <v>9021</v>
      </c>
      <c r="H45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49" spans="1:8" ht="15" customHeight="1" x14ac:dyDescent="0.25">
      <c r="A4549" t="str">
        <f>MID(TB_CECO[[#This Row],[CECO_T]],1,5)</f>
        <v>5E763</v>
      </c>
      <c r="B4549" t="str">
        <f>MID(TB_CECO[[#This Row],[TRABAJO]],1,SEARCH(",",TB_CECO[[#This Row],[TRABAJO]],1)-1)</f>
        <v>TJ 127 NE  (CH 107)</v>
      </c>
      <c r="C45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127 NE  (CH 107),REHABILITACION</v>
      </c>
      <c r="D45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49" s="47" t="s">
        <v>9022</v>
      </c>
      <c r="G4549" t="s">
        <v>9023</v>
      </c>
      <c r="H45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50" spans="1:8" ht="15" customHeight="1" x14ac:dyDescent="0.25">
      <c r="A4550" t="str">
        <f>MID(TB_CECO[[#This Row],[CECO_T]],1,5)</f>
        <v>5E765</v>
      </c>
      <c r="B4550" t="str">
        <f>MID(TB_CECO[[#This Row],[TRABAJO]],1,SEARCH(",",TB_CECO[[#This Row],[TRABAJO]],1)-1)</f>
        <v>Tj 137 SW  (Ch 107)</v>
      </c>
      <c r="C45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SW  (Ch 107),SUMINISTROS</v>
      </c>
      <c r="D45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50" s="47" t="s">
        <v>9024</v>
      </c>
      <c r="G4550" t="s">
        <v>9025</v>
      </c>
      <c r="H45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51" spans="1:8" ht="15" customHeight="1" x14ac:dyDescent="0.25">
      <c r="A4551" t="str">
        <f>MID(TB_CECO[[#This Row],[CECO_T]],1,5)</f>
        <v>5E765</v>
      </c>
      <c r="B4551" t="str">
        <f>MID(TB_CECO[[#This Row],[TRABAJO]],1,SEARCH(",",TB_CECO[[#This Row],[TRABAJO]],1)-1)</f>
        <v>Tj 137 SW  (Ch 107)</v>
      </c>
      <c r="C45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SW  (Ch 107),SOSTENIMIENTO</v>
      </c>
      <c r="D45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51" s="47" t="s">
        <v>9026</v>
      </c>
      <c r="G4551" t="s">
        <v>9027</v>
      </c>
      <c r="H45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52" spans="1:8" ht="15" customHeight="1" x14ac:dyDescent="0.25">
      <c r="A4552" t="str">
        <f>MID(TB_CECO[[#This Row],[CECO_T]],1,5)</f>
        <v>5E765</v>
      </c>
      <c r="B4552" t="str">
        <f>MID(TB_CECO[[#This Row],[TRABAJO]],1,SEARCH(",",TB_CECO[[#This Row],[TRABAJO]],1)-1)</f>
        <v>Tj 137 SW  (Ch 107)</v>
      </c>
      <c r="C45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SW  (Ch 107),SERVICIO</v>
      </c>
      <c r="D45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52" s="47" t="s">
        <v>9028</v>
      </c>
      <c r="G4552" t="s">
        <v>9029</v>
      </c>
      <c r="H45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53" spans="1:8" ht="15" customHeight="1" x14ac:dyDescent="0.25">
      <c r="A4553" t="str">
        <f>MID(TB_CECO[[#This Row],[CECO_T]],1,5)</f>
        <v>5E765</v>
      </c>
      <c r="B4553" t="str">
        <f>MID(TB_CECO[[#This Row],[TRABAJO]],1,SEARCH(",",TB_CECO[[#This Row],[TRABAJO]],1)-1)</f>
        <v>Tj 137 SW  (Ch 107)</v>
      </c>
      <c r="C45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SW  (Ch 107),REHABILITACION</v>
      </c>
      <c r="D45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53" s="47" t="s">
        <v>9030</v>
      </c>
      <c r="G4553" t="s">
        <v>9031</v>
      </c>
      <c r="H45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54" spans="1:8" ht="15" customHeight="1" x14ac:dyDescent="0.25">
      <c r="A4554" t="str">
        <f>MID(TB_CECO[[#This Row],[CECO_T]],1,5)</f>
        <v>5E765</v>
      </c>
      <c r="B4554" t="str">
        <f>MID(TB_CECO[[#This Row],[TRABAJO]],1,SEARCH(",",TB_CECO[[#This Row],[TRABAJO]],1)-1)</f>
        <v>Tj 137 SW  (Ch 107)</v>
      </c>
      <c r="C45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SW  (Ch 107),REALCE</v>
      </c>
      <c r="D45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54" s="47" t="s">
        <v>9032</v>
      </c>
      <c r="G4554" t="s">
        <v>9033</v>
      </c>
      <c r="H45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55" spans="1:8" ht="15" customHeight="1" x14ac:dyDescent="0.25">
      <c r="A4555" t="str">
        <f>MID(TB_CECO[[#This Row],[CECO_T]],1,5)</f>
        <v>5E765</v>
      </c>
      <c r="B4555" t="str">
        <f>MID(TB_CECO[[#This Row],[TRABAJO]],1,SEARCH(",",TB_CECO[[#This Row],[TRABAJO]],1)-1)</f>
        <v>Tj 137 SW  (Ch 107)</v>
      </c>
      <c r="C45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SW  (Ch 107),BREASTING</v>
      </c>
      <c r="D45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55" s="47" t="s">
        <v>9034</v>
      </c>
      <c r="G4555" t="s">
        <v>9035</v>
      </c>
      <c r="H45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56" spans="1:8" ht="15" customHeight="1" x14ac:dyDescent="0.25">
      <c r="A4556" t="str">
        <f>MID(TB_CECO[[#This Row],[CECO_T]],1,5)</f>
        <v>5E766</v>
      </c>
      <c r="B4556" t="str">
        <f>MID(TB_CECO[[#This Row],[TRABAJO]],1,SEARCH(",",TB_CECO[[#This Row],[TRABAJO]],1)-1)</f>
        <v>Tj 137 NE  (Ch 107)</v>
      </c>
      <c r="C45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NE  (Ch 107),SUMINISTROS</v>
      </c>
      <c r="D45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56" s="47" t="s">
        <v>9036</v>
      </c>
      <c r="G4556" t="s">
        <v>9037</v>
      </c>
      <c r="H45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57" spans="1:8" ht="15" customHeight="1" x14ac:dyDescent="0.25">
      <c r="A4557" t="str">
        <f>MID(TB_CECO[[#This Row],[CECO_T]],1,5)</f>
        <v>5E766</v>
      </c>
      <c r="B4557" t="str">
        <f>MID(TB_CECO[[#This Row],[TRABAJO]],1,SEARCH(",",TB_CECO[[#This Row],[TRABAJO]],1)-1)</f>
        <v>Tj 137 NE  (Ch 107)</v>
      </c>
      <c r="C45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NE  (Ch 107),SOSTENIMIENTO</v>
      </c>
      <c r="D45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57" s="47" t="s">
        <v>9038</v>
      </c>
      <c r="G4557" t="s">
        <v>9039</v>
      </c>
      <c r="H45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58" spans="1:8" ht="15" customHeight="1" x14ac:dyDescent="0.25">
      <c r="A4558" t="str">
        <f>MID(TB_CECO[[#This Row],[CECO_T]],1,5)</f>
        <v>5E766</v>
      </c>
      <c r="B4558" t="str">
        <f>MID(TB_CECO[[#This Row],[TRABAJO]],1,SEARCH(",",TB_CECO[[#This Row],[TRABAJO]],1)-1)</f>
        <v>Tj 137 NE  (Ch 107)</v>
      </c>
      <c r="C45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NE  (Ch 107),SERVICIO</v>
      </c>
      <c r="D45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58" s="47" t="s">
        <v>9040</v>
      </c>
      <c r="G4558" t="s">
        <v>9041</v>
      </c>
      <c r="H45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59" spans="1:8" ht="15" customHeight="1" x14ac:dyDescent="0.25">
      <c r="A4559" t="str">
        <f>MID(TB_CECO[[#This Row],[CECO_T]],1,5)</f>
        <v>5E766</v>
      </c>
      <c r="B4559" t="str">
        <f>MID(TB_CECO[[#This Row],[TRABAJO]],1,SEARCH(",",TB_CECO[[#This Row],[TRABAJO]],1)-1)</f>
        <v>Tj 137 NE  (Ch 107)</v>
      </c>
      <c r="C45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NE  (Ch 107),REHABILITACION</v>
      </c>
      <c r="D45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59" s="47" t="s">
        <v>9042</v>
      </c>
      <c r="G4559" t="s">
        <v>9043</v>
      </c>
      <c r="H45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60" spans="1:8" ht="15" customHeight="1" x14ac:dyDescent="0.25">
      <c r="A4560" t="str">
        <f>MID(TB_CECO[[#This Row],[CECO_T]],1,5)</f>
        <v>5E766</v>
      </c>
      <c r="B4560" t="str">
        <f>MID(TB_CECO[[#This Row],[TRABAJO]],1,SEARCH(",",TB_CECO[[#This Row],[TRABAJO]],1)-1)</f>
        <v>Tj 137 NE  (Ch 107)</v>
      </c>
      <c r="C45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NE  (Ch 107),REALCE</v>
      </c>
      <c r="D45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60" s="47" t="s">
        <v>9044</v>
      </c>
      <c r="G4560" t="s">
        <v>9045</v>
      </c>
      <c r="H45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61" spans="1:8" ht="15" customHeight="1" x14ac:dyDescent="0.25">
      <c r="A4561" t="str">
        <f>MID(TB_CECO[[#This Row],[CECO_T]],1,5)</f>
        <v>5E766</v>
      </c>
      <c r="B4561" t="str">
        <f>MID(TB_CECO[[#This Row],[TRABAJO]],1,SEARCH(",",TB_CECO[[#This Row],[TRABAJO]],1)-1)</f>
        <v>Tj 137 NE  (Ch 107)</v>
      </c>
      <c r="C45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137 NE  (Ch 107),BREASTING</v>
      </c>
      <c r="D45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61" s="47" t="s">
        <v>9046</v>
      </c>
      <c r="G4561" t="s">
        <v>9047</v>
      </c>
      <c r="H45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62" spans="1:8" ht="15" customHeight="1" x14ac:dyDescent="0.25">
      <c r="A4562" t="str">
        <f>MID(TB_CECO[[#This Row],[CECO_T]],1,5)</f>
        <v>5E767</v>
      </c>
      <c r="B4562" t="str">
        <f>MID(TB_CECO[[#This Row],[TRABAJO]],1,SEARCH(",",TB_CECO[[#This Row],[TRABAJO]],1)-1)</f>
        <v>Tj 117 SW (Ch 107)</v>
      </c>
      <c r="C45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SW (Ch 107),SUMINISTROS</v>
      </c>
      <c r="D45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62" s="47" t="s">
        <v>9048</v>
      </c>
      <c r="G4562" t="s">
        <v>9049</v>
      </c>
      <c r="H45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63" spans="1:8" ht="15" customHeight="1" x14ac:dyDescent="0.25">
      <c r="A4563" t="str">
        <f>MID(TB_CECO[[#This Row],[CECO_T]],1,5)</f>
        <v>5E767</v>
      </c>
      <c r="B4563" t="str">
        <f>MID(TB_CECO[[#This Row],[TRABAJO]],1,SEARCH(",",TB_CECO[[#This Row],[TRABAJO]],1)-1)</f>
        <v>Tj 117 SW (Ch 107)</v>
      </c>
      <c r="C45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SW (Ch 107),SOSTENIMIENTO</v>
      </c>
      <c r="D45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63" s="47" t="s">
        <v>9050</v>
      </c>
      <c r="G4563" t="s">
        <v>9051</v>
      </c>
      <c r="H45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64" spans="1:8" ht="15" customHeight="1" x14ac:dyDescent="0.25">
      <c r="A4564" t="str">
        <f>MID(TB_CECO[[#This Row],[CECO_T]],1,5)</f>
        <v>5E767</v>
      </c>
      <c r="B4564" t="str">
        <f>MID(TB_CECO[[#This Row],[TRABAJO]],1,SEARCH(",",TB_CECO[[#This Row],[TRABAJO]],1)-1)</f>
        <v>Tj 117 SW (Ch 107)</v>
      </c>
      <c r="C45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SW (Ch 107),SERVICIO</v>
      </c>
      <c r="D45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64" s="47" t="s">
        <v>9052</v>
      </c>
      <c r="G4564" t="s">
        <v>9053</v>
      </c>
      <c r="H45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65" spans="1:8" ht="15" customHeight="1" x14ac:dyDescent="0.25">
      <c r="A4565" t="str">
        <f>MID(TB_CECO[[#This Row],[CECO_T]],1,5)</f>
        <v>5E767</v>
      </c>
      <c r="B4565" t="str">
        <f>MID(TB_CECO[[#This Row],[TRABAJO]],1,SEARCH(",",TB_CECO[[#This Row],[TRABAJO]],1)-1)</f>
        <v>Tj 117 SW (Ch 107)</v>
      </c>
      <c r="C45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SW (Ch 107),REHABILITACION</v>
      </c>
      <c r="D45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65" s="47" t="s">
        <v>9054</v>
      </c>
      <c r="G4565" t="s">
        <v>9055</v>
      </c>
      <c r="H45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66" spans="1:8" ht="15" customHeight="1" x14ac:dyDescent="0.25">
      <c r="A4566" t="str">
        <f>MID(TB_CECO[[#This Row],[CECO_T]],1,5)</f>
        <v>5E767</v>
      </c>
      <c r="B4566" t="str">
        <f>MID(TB_CECO[[#This Row],[TRABAJO]],1,SEARCH(",",TB_CECO[[#This Row],[TRABAJO]],1)-1)</f>
        <v>Tj 117 SW (Ch 107)</v>
      </c>
      <c r="C45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SW (Ch 107),REALCE</v>
      </c>
      <c r="D45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66" s="47" t="s">
        <v>9056</v>
      </c>
      <c r="G4566" t="s">
        <v>9057</v>
      </c>
      <c r="H45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67" spans="1:8" ht="15" customHeight="1" x14ac:dyDescent="0.25">
      <c r="A4567" t="str">
        <f>MID(TB_CECO[[#This Row],[CECO_T]],1,5)</f>
        <v>5E767</v>
      </c>
      <c r="B4567" t="str">
        <f>MID(TB_CECO[[#This Row],[TRABAJO]],1,SEARCH(",",TB_CECO[[#This Row],[TRABAJO]],1)-1)</f>
        <v>Tj 117 SW (Ch 107)</v>
      </c>
      <c r="C45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117 SW (Ch 107),BREASTING</v>
      </c>
      <c r="D45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67" s="47" t="s">
        <v>9058</v>
      </c>
      <c r="G4567" t="s">
        <v>9059</v>
      </c>
      <c r="H45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68" spans="1:8" ht="15" customHeight="1" x14ac:dyDescent="0.25">
      <c r="A4568" t="str">
        <f>MID(TB_CECO[[#This Row],[CECO_T]],1,5)</f>
        <v>5E768</v>
      </c>
      <c r="B4568" t="str">
        <f>MID(TB_CECO[[#This Row],[TRABAJO]],1,SEARCH(",",TB_CECO[[#This Row],[TRABAJO]],1)-1)</f>
        <v>Tj 065 SW (Ch 044)</v>
      </c>
      <c r="C45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065 SW (Ch 044),SUMINISTROS</v>
      </c>
      <c r="D45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68" s="47" t="s">
        <v>9060</v>
      </c>
      <c r="G4568" t="s">
        <v>9061</v>
      </c>
      <c r="H45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69" spans="1:8" ht="15" customHeight="1" x14ac:dyDescent="0.25">
      <c r="A4569" t="str">
        <f>MID(TB_CECO[[#This Row],[CECO_T]],1,5)</f>
        <v>5E768</v>
      </c>
      <c r="B4569" t="str">
        <f>MID(TB_CECO[[#This Row],[TRABAJO]],1,SEARCH(",",TB_CECO[[#This Row],[TRABAJO]],1)-1)</f>
        <v>Tj 065 SW (Ch 044)</v>
      </c>
      <c r="C45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065 SW (Ch 044),SOSTENIMIENTO</v>
      </c>
      <c r="D45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69" s="47" t="s">
        <v>9062</v>
      </c>
      <c r="G4569" t="s">
        <v>9063</v>
      </c>
      <c r="H45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70" spans="1:8" ht="15" customHeight="1" x14ac:dyDescent="0.25">
      <c r="A4570" t="str">
        <f>MID(TB_CECO[[#This Row],[CECO_T]],1,5)</f>
        <v>5E768</v>
      </c>
      <c r="B4570" t="str">
        <f>MID(TB_CECO[[#This Row],[TRABAJO]],1,SEARCH(",",TB_CECO[[#This Row],[TRABAJO]],1)-1)</f>
        <v>Tj 065 SW (Ch 044)</v>
      </c>
      <c r="C45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065 SW (Ch 044),SERVICIO</v>
      </c>
      <c r="D45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70" s="47" t="s">
        <v>9064</v>
      </c>
      <c r="G4570" t="s">
        <v>9065</v>
      </c>
      <c r="H45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71" spans="1:8" ht="15" customHeight="1" x14ac:dyDescent="0.25">
      <c r="A4571" t="str">
        <f>MID(TB_CECO[[#This Row],[CECO_T]],1,5)</f>
        <v>5E768</v>
      </c>
      <c r="B4571" t="str">
        <f>MID(TB_CECO[[#This Row],[TRABAJO]],1,SEARCH(",",TB_CECO[[#This Row],[TRABAJO]],1)-1)</f>
        <v>Tj 065 SW (Ch 044)</v>
      </c>
      <c r="C45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065 SW (Ch 044),REHABILITACION</v>
      </c>
      <c r="D45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71" s="47" t="s">
        <v>9066</v>
      </c>
      <c r="G4571" t="s">
        <v>9067</v>
      </c>
      <c r="H45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72" spans="1:8" ht="15" customHeight="1" x14ac:dyDescent="0.25">
      <c r="A4572" t="str">
        <f>MID(TB_CECO[[#This Row],[CECO_T]],1,5)</f>
        <v>5E769</v>
      </c>
      <c r="B4572" t="str">
        <f>MID(TB_CECO[[#This Row],[TRABAJO]],1,SEARCH(",",TB_CECO[[#This Row],[TRABAJO]],1)-1)</f>
        <v>Tj 097 NE (Ch 091)</v>
      </c>
      <c r="C45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097 NE (Ch 091),SUMINISTROS</v>
      </c>
      <c r="D45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72" s="47" t="s">
        <v>9068</v>
      </c>
      <c r="G4572" t="s">
        <v>9069</v>
      </c>
      <c r="H45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73" spans="1:8" ht="15" customHeight="1" x14ac:dyDescent="0.25">
      <c r="A4573" t="str">
        <f>MID(TB_CECO[[#This Row],[CECO_T]],1,5)</f>
        <v>5E769</v>
      </c>
      <c r="B4573" t="str">
        <f>MID(TB_CECO[[#This Row],[TRABAJO]],1,SEARCH(",",TB_CECO[[#This Row],[TRABAJO]],1)-1)</f>
        <v>Tj 097 NE (Ch 091)</v>
      </c>
      <c r="C45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097 NE (Ch 091),SOSTENIMIENTO</v>
      </c>
      <c r="D45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73" s="47" t="s">
        <v>9070</v>
      </c>
      <c r="G4573" t="s">
        <v>9071</v>
      </c>
      <c r="H45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74" spans="1:8" ht="15" customHeight="1" x14ac:dyDescent="0.25">
      <c r="A4574" t="str">
        <f>MID(TB_CECO[[#This Row],[CECO_T]],1,5)</f>
        <v>5E769</v>
      </c>
      <c r="B4574" t="str">
        <f>MID(TB_CECO[[#This Row],[TRABAJO]],1,SEARCH(",",TB_CECO[[#This Row],[TRABAJO]],1)-1)</f>
        <v>Tj 097 NE (Ch 091)</v>
      </c>
      <c r="C45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097 NE (Ch 091),SERVICIO</v>
      </c>
      <c r="D45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74" s="47" t="s">
        <v>9072</v>
      </c>
      <c r="G4574" t="s">
        <v>9073</v>
      </c>
      <c r="H45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75" spans="1:8" ht="15" customHeight="1" x14ac:dyDescent="0.25">
      <c r="A4575" t="str">
        <f>MID(TB_CECO[[#This Row],[CECO_T]],1,5)</f>
        <v>5E769</v>
      </c>
      <c r="B4575" t="str">
        <f>MID(TB_CECO[[#This Row],[TRABAJO]],1,SEARCH(",",TB_CECO[[#This Row],[TRABAJO]],1)-1)</f>
        <v>Tj 097 NE (Ch 091)</v>
      </c>
      <c r="C45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097 NE (Ch 091),REHABILITACION</v>
      </c>
      <c r="D45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75" s="47" t="s">
        <v>9074</v>
      </c>
      <c r="G4575" t="s">
        <v>9075</v>
      </c>
      <c r="H45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76" spans="1:8" ht="15" customHeight="1" x14ac:dyDescent="0.25">
      <c r="A4576" t="str">
        <f>MID(TB_CECO[[#This Row],[CECO_T]],1,5)</f>
        <v>5E770</v>
      </c>
      <c r="B4576" t="str">
        <f>MID(TB_CECO[[#This Row],[TRABAJO]],1,SEARCH(",",TB_CECO[[#This Row],[TRABAJO]],1)-1)</f>
        <v>Tj 081 SW (Ch 091)</v>
      </c>
      <c r="C45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081 SW (Ch 091),SUMINISTROS</v>
      </c>
      <c r="D45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76" s="47" t="s">
        <v>9076</v>
      </c>
      <c r="G4576" t="s">
        <v>9077</v>
      </c>
      <c r="H45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77" spans="1:8" ht="15" customHeight="1" x14ac:dyDescent="0.25">
      <c r="A4577" t="str">
        <f>MID(TB_CECO[[#This Row],[CECO_T]],1,5)</f>
        <v>5E770</v>
      </c>
      <c r="B4577" t="str">
        <f>MID(TB_CECO[[#This Row],[TRABAJO]],1,SEARCH(",",TB_CECO[[#This Row],[TRABAJO]],1)-1)</f>
        <v>Tj 081 SW (Ch 091)</v>
      </c>
      <c r="C45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081 SW (Ch 091),SOSTENIMIENTO</v>
      </c>
      <c r="D45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77" s="47" t="s">
        <v>9078</v>
      </c>
      <c r="G4577" t="s">
        <v>9079</v>
      </c>
      <c r="H45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78" spans="1:8" ht="15" customHeight="1" x14ac:dyDescent="0.25">
      <c r="A4578" t="str">
        <f>MID(TB_CECO[[#This Row],[CECO_T]],1,5)</f>
        <v>5E770</v>
      </c>
      <c r="B4578" t="str">
        <f>MID(TB_CECO[[#This Row],[TRABAJO]],1,SEARCH(",",TB_CECO[[#This Row],[TRABAJO]],1)-1)</f>
        <v>Tj 081 SW (Ch 091)</v>
      </c>
      <c r="C45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081 SW (Ch 091),SERVICIO</v>
      </c>
      <c r="D45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78" s="47" t="s">
        <v>9080</v>
      </c>
      <c r="G4578" t="s">
        <v>9081</v>
      </c>
      <c r="H45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79" spans="1:8" ht="15" customHeight="1" x14ac:dyDescent="0.25">
      <c r="A4579" t="str">
        <f>MID(TB_CECO[[#This Row],[CECO_T]],1,5)</f>
        <v>5E770</v>
      </c>
      <c r="B4579" t="str">
        <f>MID(TB_CECO[[#This Row],[TRABAJO]],1,SEARCH(",",TB_CECO[[#This Row],[TRABAJO]],1)-1)</f>
        <v>Tj 081 SW (Ch 091)</v>
      </c>
      <c r="C45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081 SW (Ch 091),REHABILITACION</v>
      </c>
      <c r="D45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79" s="47" t="s">
        <v>9082</v>
      </c>
      <c r="G4579" t="s">
        <v>9083</v>
      </c>
      <c r="H45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80" spans="1:8" ht="15" customHeight="1" x14ac:dyDescent="0.25">
      <c r="A4580" t="str">
        <f>MID(TB_CECO[[#This Row],[CECO_T]],1,5)</f>
        <v>5E772</v>
      </c>
      <c r="B4580" t="str">
        <f>MID(TB_CECO[[#This Row],[TRABAJO]],1,SEARCH(",",TB_CECO[[#This Row],[TRABAJO]],1)-1)</f>
        <v>Tj 065 NE (Ch 044)</v>
      </c>
      <c r="C45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065 NE (Ch 044),SUMINISTROS</v>
      </c>
      <c r="D45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80" s="47" t="s">
        <v>9084</v>
      </c>
      <c r="G4580" t="s">
        <v>9085</v>
      </c>
      <c r="H45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81" spans="1:8" ht="15" customHeight="1" x14ac:dyDescent="0.25">
      <c r="A4581" t="str">
        <f>MID(TB_CECO[[#This Row],[CECO_T]],1,5)</f>
        <v>5E772</v>
      </c>
      <c r="B4581" t="str">
        <f>MID(TB_CECO[[#This Row],[TRABAJO]],1,SEARCH(",",TB_CECO[[#This Row],[TRABAJO]],1)-1)</f>
        <v>Tj 065 NE (Ch 044)</v>
      </c>
      <c r="C45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065 NE (Ch 044),SOSTENIMIENTO</v>
      </c>
      <c r="D45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81" s="47" t="s">
        <v>9086</v>
      </c>
      <c r="G4581" t="s">
        <v>9087</v>
      </c>
      <c r="H45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82" spans="1:8" ht="15" customHeight="1" x14ac:dyDescent="0.25">
      <c r="A4582" t="str">
        <f>MID(TB_CECO[[#This Row],[CECO_T]],1,5)</f>
        <v>5E772</v>
      </c>
      <c r="B4582" t="str">
        <f>MID(TB_CECO[[#This Row],[TRABAJO]],1,SEARCH(",",TB_CECO[[#This Row],[TRABAJO]],1)-1)</f>
        <v>Tj 065 NE (Ch 044)</v>
      </c>
      <c r="C45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065 NE (Ch 044),SERVICIO</v>
      </c>
      <c r="D45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82" s="47" t="s">
        <v>9088</v>
      </c>
      <c r="G4582" t="s">
        <v>9089</v>
      </c>
      <c r="H45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83" spans="1:8" ht="15" customHeight="1" x14ac:dyDescent="0.25">
      <c r="A4583" t="str">
        <f>MID(TB_CECO[[#This Row],[CECO_T]],1,5)</f>
        <v>5E772</v>
      </c>
      <c r="B4583" t="str">
        <f>MID(TB_CECO[[#This Row],[TRABAJO]],1,SEARCH(",",TB_CECO[[#This Row],[TRABAJO]],1)-1)</f>
        <v>Tj 065 NE (Ch 044)</v>
      </c>
      <c r="C45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065 NE (Ch 044),REHABILITACION</v>
      </c>
      <c r="D45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83" s="47" t="s">
        <v>9090</v>
      </c>
      <c r="G4583" t="s">
        <v>9091</v>
      </c>
      <c r="H45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84" spans="1:8" ht="15" customHeight="1" x14ac:dyDescent="0.25">
      <c r="A4584" t="str">
        <f>MID(TB_CECO[[#This Row],[CECO_T]],1,5)</f>
        <v>5E772</v>
      </c>
      <c r="B4584" t="str">
        <f>MID(TB_CECO[[#This Row],[TRABAJO]],1,SEARCH(",",TB_CECO[[#This Row],[TRABAJO]],1)-1)</f>
        <v>Tj 065 NE (Ch 044)</v>
      </c>
      <c r="C45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065 NE (Ch 044),REALCE</v>
      </c>
      <c r="D45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84" s="47" t="s">
        <v>9092</v>
      </c>
      <c r="G4584" t="s">
        <v>9093</v>
      </c>
      <c r="H45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85" spans="1:8" ht="15" customHeight="1" x14ac:dyDescent="0.25">
      <c r="A4585" t="str">
        <f>MID(TB_CECO[[#This Row],[CECO_T]],1,5)</f>
        <v>5E772</v>
      </c>
      <c r="B4585" t="str">
        <f>MID(TB_CECO[[#This Row],[TRABAJO]],1,SEARCH(",",TB_CECO[[#This Row],[TRABAJO]],1)-1)</f>
        <v>Tj 065 NE (Ch 044)</v>
      </c>
      <c r="C45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065 NE (Ch 044),BREASTING</v>
      </c>
      <c r="D45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85" s="47" t="s">
        <v>9094</v>
      </c>
      <c r="G4585" t="s">
        <v>9095</v>
      </c>
      <c r="H45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86" spans="1:8" ht="15" customHeight="1" x14ac:dyDescent="0.25">
      <c r="A4586" t="str">
        <f>MID(TB_CECO[[#This Row],[CECO_T]],1,5)</f>
        <v>5E780</v>
      </c>
      <c r="B4586" t="str">
        <f>MID(TB_CECO[[#This Row],[TRABAJO]],1,SEARCH(",",TB_CECO[[#This Row],[TRABAJO]],1)-1)</f>
        <v>Tj 087 NE  (Ch 091)</v>
      </c>
      <c r="C45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087 NE  (Ch 091),SUMINISTROS</v>
      </c>
      <c r="D45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86" s="47" t="s">
        <v>9096</v>
      </c>
      <c r="G4586" t="s">
        <v>9097</v>
      </c>
      <c r="H45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87" spans="1:8" ht="15" customHeight="1" x14ac:dyDescent="0.25">
      <c r="A4587" t="str">
        <f>MID(TB_CECO[[#This Row],[CECO_T]],1,5)</f>
        <v>5E780</v>
      </c>
      <c r="B4587" t="str">
        <f>MID(TB_CECO[[#This Row],[TRABAJO]],1,SEARCH(",",TB_CECO[[#This Row],[TRABAJO]],1)-1)</f>
        <v>Tj 087 NE  (Ch 091)</v>
      </c>
      <c r="C45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087 NE  (Ch 091),SOSTENIMIENTO</v>
      </c>
      <c r="D45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87" s="47" t="s">
        <v>9098</v>
      </c>
      <c r="G4587" t="s">
        <v>9099</v>
      </c>
      <c r="H45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88" spans="1:8" ht="15" customHeight="1" x14ac:dyDescent="0.25">
      <c r="A4588" t="str">
        <f>MID(TB_CECO[[#This Row],[CECO_T]],1,5)</f>
        <v>5E780</v>
      </c>
      <c r="B4588" t="str">
        <f>MID(TB_CECO[[#This Row],[TRABAJO]],1,SEARCH(",",TB_CECO[[#This Row],[TRABAJO]],1)-1)</f>
        <v>Tj 087 NE  (Ch 091)</v>
      </c>
      <c r="C45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087 NE  (Ch 091),SERVICIO</v>
      </c>
      <c r="D45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88" s="47" t="s">
        <v>9100</v>
      </c>
      <c r="G4588" t="s">
        <v>9101</v>
      </c>
      <c r="H45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89" spans="1:8" ht="15" customHeight="1" x14ac:dyDescent="0.25">
      <c r="A4589" t="str">
        <f>MID(TB_CECO[[#This Row],[CECO_T]],1,5)</f>
        <v>5E780</v>
      </c>
      <c r="B4589" t="str">
        <f>MID(TB_CECO[[#This Row],[TRABAJO]],1,SEARCH(",",TB_CECO[[#This Row],[TRABAJO]],1)-1)</f>
        <v>Tj 087 NE  (Ch 091)</v>
      </c>
      <c r="C45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087 NE  (Ch 091),REHABILITACION</v>
      </c>
      <c r="D45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89" s="47" t="s">
        <v>9102</v>
      </c>
      <c r="G4589" t="s">
        <v>9103</v>
      </c>
      <c r="H45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90" spans="1:8" ht="15" customHeight="1" x14ac:dyDescent="0.25">
      <c r="A4590" t="str">
        <f>MID(TB_CECO[[#This Row],[CECO_T]],1,5)</f>
        <v>5E781</v>
      </c>
      <c r="B4590" t="str">
        <f>MID(TB_CECO[[#This Row],[TRABAJO]],1,SEARCH(",",TB_CECO[[#This Row],[TRABAJO]],1)-1)</f>
        <v>Tj 071 SW  (Ch 091)</v>
      </c>
      <c r="C45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071 SW  (Ch 091),SUMINISTROS</v>
      </c>
      <c r="D45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90" s="47" t="s">
        <v>9104</v>
      </c>
      <c r="G4590" t="s">
        <v>9105</v>
      </c>
      <c r="H45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91" spans="1:8" ht="15" customHeight="1" x14ac:dyDescent="0.25">
      <c r="A4591" t="str">
        <f>MID(TB_CECO[[#This Row],[CECO_T]],1,5)</f>
        <v>5E781</v>
      </c>
      <c r="B4591" t="str">
        <f>MID(TB_CECO[[#This Row],[TRABAJO]],1,SEARCH(",",TB_CECO[[#This Row],[TRABAJO]],1)-1)</f>
        <v>Tj 071 SW  (Ch 091)</v>
      </c>
      <c r="C45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071 SW  (Ch 091),SOSTENIMIENTO</v>
      </c>
      <c r="D45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91" s="47" t="s">
        <v>9106</v>
      </c>
      <c r="G4591" t="s">
        <v>9107</v>
      </c>
      <c r="H45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92" spans="1:8" ht="15" customHeight="1" x14ac:dyDescent="0.25">
      <c r="A4592" t="str">
        <f>MID(TB_CECO[[#This Row],[CECO_T]],1,5)</f>
        <v>5E781</v>
      </c>
      <c r="B4592" t="str">
        <f>MID(TB_CECO[[#This Row],[TRABAJO]],1,SEARCH(",",TB_CECO[[#This Row],[TRABAJO]],1)-1)</f>
        <v>Tj 071 SW  (Ch 091)</v>
      </c>
      <c r="C45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071 SW  (Ch 091),SERVICIO</v>
      </c>
      <c r="D45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92" s="47" t="s">
        <v>9108</v>
      </c>
      <c r="G4592" t="s">
        <v>9109</v>
      </c>
      <c r="H45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93" spans="1:8" ht="15" customHeight="1" x14ac:dyDescent="0.25">
      <c r="A4593" t="str">
        <f>MID(TB_CECO[[#This Row],[CECO_T]],1,5)</f>
        <v>5E781</v>
      </c>
      <c r="B4593" t="str">
        <f>MID(TB_CECO[[#This Row],[TRABAJO]],1,SEARCH(",",TB_CECO[[#This Row],[TRABAJO]],1)-1)</f>
        <v>Tj 071 SW  (Ch 091)</v>
      </c>
      <c r="C45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071 SW  (Ch 091),REHABILITACION</v>
      </c>
      <c r="D45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93" s="47" t="s">
        <v>9110</v>
      </c>
      <c r="G4593" t="s">
        <v>9111</v>
      </c>
      <c r="H45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94" spans="1:8" ht="15" customHeight="1" x14ac:dyDescent="0.25">
      <c r="A4594" t="str">
        <f>MID(TB_CECO[[#This Row],[CECO_T]],1,5)</f>
        <v>5E781</v>
      </c>
      <c r="B4594" t="str">
        <f>MID(TB_CECO[[#This Row],[TRABAJO]],1,SEARCH(",",TB_CECO[[#This Row],[TRABAJO]],1)-1)</f>
        <v>Tj 071 SW  (Ch 091)</v>
      </c>
      <c r="C45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071 SW  (Ch 091),RELLENO</v>
      </c>
      <c r="D45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94" s="47" t="s">
        <v>9112</v>
      </c>
      <c r="G4594" t="s">
        <v>9113</v>
      </c>
      <c r="H45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95" spans="1:8" ht="15" customHeight="1" x14ac:dyDescent="0.25">
      <c r="A4595" t="str">
        <f>MID(TB_CECO[[#This Row],[CECO_T]],1,5)</f>
        <v>5E782</v>
      </c>
      <c r="B4595" t="str">
        <f>MID(TB_CECO[[#This Row],[TRABAJO]],1,SEARCH(",",TB_CECO[[#This Row],[TRABAJO]],1)-1)</f>
        <v>Tj 061 SW (Ch 091)</v>
      </c>
      <c r="C45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061 SW (Ch 091),SUMINISTROS</v>
      </c>
      <c r="D45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95" s="47" t="s">
        <v>9114</v>
      </c>
      <c r="G4595" t="s">
        <v>9115</v>
      </c>
      <c r="H45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96" spans="1:8" ht="15" customHeight="1" x14ac:dyDescent="0.25">
      <c r="A4596" t="str">
        <f>MID(TB_CECO[[#This Row],[CECO_T]],1,5)</f>
        <v>5E782</v>
      </c>
      <c r="B4596" t="str">
        <f>MID(TB_CECO[[#This Row],[TRABAJO]],1,SEARCH(",",TB_CECO[[#This Row],[TRABAJO]],1)-1)</f>
        <v>Tj 061 SW (Ch 091)</v>
      </c>
      <c r="C45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061 SW (Ch 091),SOSTENIMIENTO</v>
      </c>
      <c r="D45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96" s="47" t="s">
        <v>9116</v>
      </c>
      <c r="G4596" t="s">
        <v>9117</v>
      </c>
      <c r="H45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97" spans="1:8" ht="15" customHeight="1" x14ac:dyDescent="0.25">
      <c r="A4597" t="str">
        <f>MID(TB_CECO[[#This Row],[CECO_T]],1,5)</f>
        <v>5E782</v>
      </c>
      <c r="B4597" t="str">
        <f>MID(TB_CECO[[#This Row],[TRABAJO]],1,SEARCH(",",TB_CECO[[#This Row],[TRABAJO]],1)-1)</f>
        <v>Tj 061 SW (Ch 091)</v>
      </c>
      <c r="C45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061 SW (Ch 091),SERVICIO</v>
      </c>
      <c r="D45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97" s="47" t="s">
        <v>9118</v>
      </c>
      <c r="G4597" t="s">
        <v>9119</v>
      </c>
      <c r="H45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98" spans="1:8" ht="15" customHeight="1" x14ac:dyDescent="0.25">
      <c r="A4598" t="str">
        <f>MID(TB_CECO[[#This Row],[CECO_T]],1,5)</f>
        <v>5E782</v>
      </c>
      <c r="B4598" t="str">
        <f>MID(TB_CECO[[#This Row],[TRABAJO]],1,SEARCH(",",TB_CECO[[#This Row],[TRABAJO]],1)-1)</f>
        <v>Tj 061 SW (Ch 091)</v>
      </c>
      <c r="C45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061 SW (Ch 091),REHABILITACION</v>
      </c>
      <c r="D45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98" s="47" t="s">
        <v>9120</v>
      </c>
      <c r="G4598" t="s">
        <v>9121</v>
      </c>
      <c r="H45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599" spans="1:8" ht="15" customHeight="1" x14ac:dyDescent="0.25">
      <c r="A4599" t="str">
        <f>MID(TB_CECO[[#This Row],[CECO_T]],1,5)</f>
        <v>5E782</v>
      </c>
      <c r="B4599" t="str">
        <f>MID(TB_CECO[[#This Row],[TRABAJO]],1,SEARCH(",",TB_CECO[[#This Row],[TRABAJO]],1)-1)</f>
        <v>Tj 061 SW (Ch 091)</v>
      </c>
      <c r="C45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061 SW (Ch 091),PERFORACION</v>
      </c>
      <c r="D45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5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599" s="47" t="s">
        <v>9122</v>
      </c>
      <c r="G4599" t="s">
        <v>9123</v>
      </c>
      <c r="H45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00" spans="1:8" ht="15" customHeight="1" x14ac:dyDescent="0.25">
      <c r="A4600" t="str">
        <f>MID(TB_CECO[[#This Row],[CECO_T]],1,5)</f>
        <v>5E782</v>
      </c>
      <c r="B4600" t="str">
        <f>MID(TB_CECO[[#This Row],[TRABAJO]],1,SEARCH(",",TB_CECO[[#This Row],[TRABAJO]],1)-1)</f>
        <v>Tj 061 SW (Ch 091)</v>
      </c>
      <c r="C46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061 SW (Ch 091),RELLENO</v>
      </c>
      <c r="D46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6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00" s="47" t="s">
        <v>9124</v>
      </c>
      <c r="G4600" t="s">
        <v>9125</v>
      </c>
      <c r="H46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01" spans="1:8" ht="15" customHeight="1" x14ac:dyDescent="0.25">
      <c r="A4601" t="str">
        <f>MID(TB_CECO[[#This Row],[CECO_T]],1,5)</f>
        <v>5E783</v>
      </c>
      <c r="B4601" t="str">
        <f>MID(TB_CECO[[#This Row],[TRABAJO]],1,SEARCH(",",TB_CECO[[#This Row],[TRABAJO]],1)-1)</f>
        <v>Tj 077 NE (Ch 091)</v>
      </c>
      <c r="C46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077 NE (Ch 091),SUMINISTROS</v>
      </c>
      <c r="D46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6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01" s="47" t="s">
        <v>9126</v>
      </c>
      <c r="G4601" t="s">
        <v>9127</v>
      </c>
      <c r="H46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02" spans="1:8" ht="15" customHeight="1" x14ac:dyDescent="0.25">
      <c r="A4602" t="str">
        <f>MID(TB_CECO[[#This Row],[CECO_T]],1,5)</f>
        <v>5E783</v>
      </c>
      <c r="B4602" t="str">
        <f>MID(TB_CECO[[#This Row],[TRABAJO]],1,SEARCH(",",TB_CECO[[#This Row],[TRABAJO]],1)-1)</f>
        <v>Tj 077 NE (Ch 091)</v>
      </c>
      <c r="C46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077 NE (Ch 091),SOSTENIMIENTO</v>
      </c>
      <c r="D46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6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02" s="47" t="s">
        <v>9128</v>
      </c>
      <c r="G4602" t="s">
        <v>9129</v>
      </c>
      <c r="H46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03" spans="1:8" ht="15" customHeight="1" x14ac:dyDescent="0.25">
      <c r="A4603" t="str">
        <f>MID(TB_CECO[[#This Row],[CECO_T]],1,5)</f>
        <v>5E783</v>
      </c>
      <c r="B4603" t="str">
        <f>MID(TB_CECO[[#This Row],[TRABAJO]],1,SEARCH(",",TB_CECO[[#This Row],[TRABAJO]],1)-1)</f>
        <v>Tj 077 NE (Ch 091)</v>
      </c>
      <c r="C46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077 NE (Ch 091),SERVICIO</v>
      </c>
      <c r="D46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6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03" s="47" t="s">
        <v>9130</v>
      </c>
      <c r="G4603" t="s">
        <v>9131</v>
      </c>
      <c r="H46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04" spans="1:8" ht="15" customHeight="1" x14ac:dyDescent="0.25">
      <c r="A4604" t="str">
        <f>MID(TB_CECO[[#This Row],[CECO_T]],1,5)</f>
        <v>5E783</v>
      </c>
      <c r="B4604" t="str">
        <f>MID(TB_CECO[[#This Row],[TRABAJO]],1,SEARCH(",",TB_CECO[[#This Row],[TRABAJO]],1)-1)</f>
        <v>Tj 077 NE (Ch 091)</v>
      </c>
      <c r="C46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077 NE (Ch 091),REHABILITACION</v>
      </c>
      <c r="D46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6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04" s="47" t="s">
        <v>9132</v>
      </c>
      <c r="G4604" t="s">
        <v>9133</v>
      </c>
      <c r="H46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05" spans="1:8" ht="15" customHeight="1" x14ac:dyDescent="0.25">
      <c r="A4605" t="str">
        <f>MID(TB_CECO[[#This Row],[CECO_T]],1,5)</f>
        <v>5E783</v>
      </c>
      <c r="B4605" t="str">
        <f>MID(TB_CECO[[#This Row],[TRABAJO]],1,SEARCH(",",TB_CECO[[#This Row],[TRABAJO]],1)-1)</f>
        <v>Tj 077 NE (Ch 091)</v>
      </c>
      <c r="C46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077 NE (Ch 091),RELLENO</v>
      </c>
      <c r="D46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05" s="47" t="s">
        <v>9134</v>
      </c>
      <c r="G4605" t="s">
        <v>9135</v>
      </c>
      <c r="H46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06" spans="1:8" ht="15" customHeight="1" x14ac:dyDescent="0.25">
      <c r="A4606" t="str">
        <f>MID(TB_CECO[[#This Row],[CECO_T]],1,5)</f>
        <v>5E786</v>
      </c>
      <c r="B4606" t="str">
        <f>MID(TB_CECO[[#This Row],[TRABAJO]],1,SEARCH(",",TB_CECO[[#This Row],[TRABAJO]],1)-1)</f>
        <v>Tj 046 SW (Ch 066)</v>
      </c>
      <c r="C46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046 SW (Ch 066),LIMPIEZA</v>
      </c>
      <c r="D46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06" s="47" t="s">
        <v>9136</v>
      </c>
      <c r="G4606" t="s">
        <v>9137</v>
      </c>
      <c r="H46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07" spans="1:8" ht="15" customHeight="1" x14ac:dyDescent="0.25">
      <c r="A4607" t="str">
        <f>MID(TB_CECO[[#This Row],[CECO_T]],1,5)</f>
        <v>5E786</v>
      </c>
      <c r="B4607" t="str">
        <f>MID(TB_CECO[[#This Row],[TRABAJO]],1,SEARCH(",",TB_CECO[[#This Row],[TRABAJO]],1)-1)</f>
        <v>Tj 046 SW (Ch 066)</v>
      </c>
      <c r="C46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046 SW (Ch 066),SERVICIO</v>
      </c>
      <c r="D46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07" s="47" t="s">
        <v>9138</v>
      </c>
      <c r="G4607" t="s">
        <v>9139</v>
      </c>
      <c r="H46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08" spans="1:8" ht="15" customHeight="1" x14ac:dyDescent="0.25">
      <c r="A4608" t="str">
        <f>MID(TB_CECO[[#This Row],[CECO_T]],1,5)</f>
        <v>5E786</v>
      </c>
      <c r="B4608" t="str">
        <f>MID(TB_CECO[[#This Row],[TRABAJO]],1,SEARCH(",",TB_CECO[[#This Row],[TRABAJO]],1)-1)</f>
        <v>Tj 046 SW (Ch 066)</v>
      </c>
      <c r="C46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046 SW (Ch 066),PERFORACION</v>
      </c>
      <c r="D46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08" s="47" t="s">
        <v>9140</v>
      </c>
      <c r="G4608" t="s">
        <v>9141</v>
      </c>
      <c r="H46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09" spans="1:8" ht="15" customHeight="1" x14ac:dyDescent="0.25">
      <c r="A4609" t="str">
        <f>MID(TB_CECO[[#This Row],[CECO_T]],1,5)</f>
        <v>5E786</v>
      </c>
      <c r="B4609" t="str">
        <f>MID(TB_CECO[[#This Row],[TRABAJO]],1,SEARCH(",",TB_CECO[[#This Row],[TRABAJO]],1)-1)</f>
        <v>Tj 046 SW (Ch 066)</v>
      </c>
      <c r="C46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046 SW (Ch 066),SOSTENIMIENTO</v>
      </c>
      <c r="D46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09" s="47" t="s">
        <v>9142</v>
      </c>
      <c r="G4609" t="s">
        <v>9143</v>
      </c>
      <c r="H46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10" spans="1:8" ht="15" customHeight="1" x14ac:dyDescent="0.25">
      <c r="A4610" t="str">
        <f>MID(TB_CECO[[#This Row],[CECO_T]],1,5)</f>
        <v>5E786</v>
      </c>
      <c r="B4610" t="str">
        <f>MID(TB_CECO[[#This Row],[TRABAJO]],1,SEARCH(",",TB_CECO[[#This Row],[TRABAJO]],1)-1)</f>
        <v>Tj 046 SW (Ch 066)</v>
      </c>
      <c r="C46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046 SW (Ch 066),VOLADURA</v>
      </c>
      <c r="D46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10" s="47" t="s">
        <v>9144</v>
      </c>
      <c r="G4610" t="s">
        <v>9145</v>
      </c>
      <c r="H46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11" spans="1:8" ht="15" customHeight="1" x14ac:dyDescent="0.25">
      <c r="A4611" t="str">
        <f>MID(TB_CECO[[#This Row],[CECO_T]],1,5)</f>
        <v>5E789</v>
      </c>
      <c r="B4611" t="str">
        <f>MID(TB_CECO[[#This Row],[TRABAJO]],1,SEARCH(",",TB_CECO[[#This Row],[TRABAJO]],1)-1)</f>
        <v>Tj 036 SW (Ch 066)</v>
      </c>
      <c r="C46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036 SW (Ch 066),LIMPIEZA</v>
      </c>
      <c r="D46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11" s="47" t="s">
        <v>9146</v>
      </c>
      <c r="G4611" t="s">
        <v>9147</v>
      </c>
      <c r="H46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12" spans="1:8" ht="15" customHeight="1" x14ac:dyDescent="0.25">
      <c r="A4612" t="str">
        <f>MID(TB_CECO[[#This Row],[CECO_T]],1,5)</f>
        <v>5E789</v>
      </c>
      <c r="B4612" t="str">
        <f>MID(TB_CECO[[#This Row],[TRABAJO]],1,SEARCH(",",TB_CECO[[#This Row],[TRABAJO]],1)-1)</f>
        <v>Tj 036 SW (Ch 066)</v>
      </c>
      <c r="C46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036 SW (Ch 066),SERVICIO</v>
      </c>
      <c r="D46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12" s="47" t="s">
        <v>9148</v>
      </c>
      <c r="G4612" t="s">
        <v>9149</v>
      </c>
      <c r="H46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13" spans="1:8" ht="15" customHeight="1" x14ac:dyDescent="0.25">
      <c r="A4613" t="str">
        <f>MID(TB_CECO[[#This Row],[CECO_T]],1,5)</f>
        <v>5E789</v>
      </c>
      <c r="B4613" t="str">
        <f>MID(TB_CECO[[#This Row],[TRABAJO]],1,SEARCH(",",TB_CECO[[#This Row],[TRABAJO]],1)-1)</f>
        <v>Tj 036 SW (Ch 066)</v>
      </c>
      <c r="C46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036 SW (Ch 066),PERFORACION</v>
      </c>
      <c r="D46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13" s="47" t="s">
        <v>9150</v>
      </c>
      <c r="G4613" t="s">
        <v>9151</v>
      </c>
      <c r="H46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14" spans="1:8" ht="15" customHeight="1" x14ac:dyDescent="0.25">
      <c r="A4614" t="str">
        <f>MID(TB_CECO[[#This Row],[CECO_T]],1,5)</f>
        <v>5E789</v>
      </c>
      <c r="B4614" t="str">
        <f>MID(TB_CECO[[#This Row],[TRABAJO]],1,SEARCH(",",TB_CECO[[#This Row],[TRABAJO]],1)-1)</f>
        <v>Tj 036 SW (Ch 066)</v>
      </c>
      <c r="C46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036 SW (Ch 066),SOSTENIMIENTO</v>
      </c>
      <c r="D46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14" s="47" t="s">
        <v>9152</v>
      </c>
      <c r="G4614" t="s">
        <v>9153</v>
      </c>
      <c r="H46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15" spans="1:8" ht="15" customHeight="1" x14ac:dyDescent="0.25">
      <c r="A4615" t="str">
        <f>MID(TB_CECO[[#This Row],[CECO_T]],1,5)</f>
        <v>5E789</v>
      </c>
      <c r="B4615" t="str">
        <f>MID(TB_CECO[[#This Row],[TRABAJO]],1,SEARCH(",",TB_CECO[[#This Row],[TRABAJO]],1)-1)</f>
        <v>Tj 036 SW (Ch 066)</v>
      </c>
      <c r="C46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036 SW (Ch 066),VOLADURA</v>
      </c>
      <c r="D46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15" s="47" t="s">
        <v>9154</v>
      </c>
      <c r="G4615" t="s">
        <v>9155</v>
      </c>
      <c r="H46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16" spans="1:8" ht="15" customHeight="1" x14ac:dyDescent="0.25">
      <c r="A4616" t="str">
        <f>MID(TB_CECO[[#This Row],[CECO_T]],1,5)</f>
        <v>5E796</v>
      </c>
      <c r="B4616" t="str">
        <f>MID(TB_CECO[[#This Row],[TRABAJO]],1,SEARCH(",",TB_CECO[[#This Row],[TRABAJO]],1)-1)</f>
        <v>Tj 057 SW (Ch 091)</v>
      </c>
      <c r="C46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057 SW (Ch 091),LIMPIEZA</v>
      </c>
      <c r="D46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16" s="47" t="s">
        <v>9156</v>
      </c>
      <c r="G4616" t="s">
        <v>9157</v>
      </c>
      <c r="H46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17" spans="1:8" ht="15" customHeight="1" x14ac:dyDescent="0.25">
      <c r="A4617" t="str">
        <f>MID(TB_CECO[[#This Row],[CECO_T]],1,5)</f>
        <v>5E796</v>
      </c>
      <c r="B4617" t="str">
        <f>MID(TB_CECO[[#This Row],[TRABAJO]],1,SEARCH(",",TB_CECO[[#This Row],[TRABAJO]],1)-1)</f>
        <v>Tj 057 SW (Ch 091)</v>
      </c>
      <c r="C46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057 SW (Ch 091),SERVICIO</v>
      </c>
      <c r="D46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17" s="47" t="s">
        <v>9158</v>
      </c>
      <c r="G4617" t="s">
        <v>9159</v>
      </c>
      <c r="H46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18" spans="1:8" ht="15" customHeight="1" x14ac:dyDescent="0.25">
      <c r="A4618" t="str">
        <f>MID(TB_CECO[[#This Row],[CECO_T]],1,5)</f>
        <v>5E796</v>
      </c>
      <c r="B4618" t="str">
        <f>MID(TB_CECO[[#This Row],[TRABAJO]],1,SEARCH(",",TB_CECO[[#This Row],[TRABAJO]],1)-1)</f>
        <v>Tj 057 SW (Ch 091)</v>
      </c>
      <c r="C46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057 SW (Ch 091),PERFORACION</v>
      </c>
      <c r="D46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18" s="47" t="s">
        <v>9160</v>
      </c>
      <c r="G4618" t="s">
        <v>9161</v>
      </c>
      <c r="H46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19" spans="1:8" ht="15" customHeight="1" x14ac:dyDescent="0.25">
      <c r="A4619" t="str">
        <f>MID(TB_CECO[[#This Row],[CECO_T]],1,5)</f>
        <v>5E796</v>
      </c>
      <c r="B4619" t="str">
        <f>MID(TB_CECO[[#This Row],[TRABAJO]],1,SEARCH(",",TB_CECO[[#This Row],[TRABAJO]],1)-1)</f>
        <v>Tj 057 SW (Ch 091)</v>
      </c>
      <c r="C46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057 SW (Ch 091),SOSTENIMIENTO</v>
      </c>
      <c r="D46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19" s="47" t="s">
        <v>9162</v>
      </c>
      <c r="G4619" t="s">
        <v>9163</v>
      </c>
      <c r="H46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20" spans="1:8" ht="15" customHeight="1" x14ac:dyDescent="0.25">
      <c r="A4620" t="str">
        <f>MID(TB_CECO[[#This Row],[CECO_T]],1,5)</f>
        <v>5E796</v>
      </c>
      <c r="B4620" t="str">
        <f>MID(TB_CECO[[#This Row],[TRABAJO]],1,SEARCH(",",TB_CECO[[#This Row],[TRABAJO]],1)-1)</f>
        <v>Tj 057 SW (Ch 091)</v>
      </c>
      <c r="C46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057 SW (Ch 091),VOLADURA</v>
      </c>
      <c r="D46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20" s="47" t="s">
        <v>9164</v>
      </c>
      <c r="G4620" t="s">
        <v>9165</v>
      </c>
      <c r="H46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21" spans="1:8" ht="15" customHeight="1" x14ac:dyDescent="0.25">
      <c r="A4621" t="str">
        <f>MID(TB_CECO[[#This Row],[CECO_T]],1,5)</f>
        <v>5E797</v>
      </c>
      <c r="B4621" t="str">
        <f>MID(TB_CECO[[#This Row],[TRABAJO]],1,SEARCH(",",TB_CECO[[#This Row],[TRABAJO]],1)-1)</f>
        <v>Tj 057 NE (Ch 091)</v>
      </c>
      <c r="C46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057 NE (Ch 091),LIMPIEZA</v>
      </c>
      <c r="D46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21" s="47" t="s">
        <v>9166</v>
      </c>
      <c r="G4621" t="s">
        <v>9167</v>
      </c>
      <c r="H46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22" spans="1:8" ht="15" customHeight="1" x14ac:dyDescent="0.25">
      <c r="A4622" t="str">
        <f>MID(TB_CECO[[#This Row],[CECO_T]],1,5)</f>
        <v>5E797</v>
      </c>
      <c r="B4622" t="str">
        <f>MID(TB_CECO[[#This Row],[TRABAJO]],1,SEARCH(",",TB_CECO[[#This Row],[TRABAJO]],1)-1)</f>
        <v>Tj 057 NE (Ch 091)</v>
      </c>
      <c r="C46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057 NE (Ch 091),SERVICIO</v>
      </c>
      <c r="D46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22" s="47" t="s">
        <v>9168</v>
      </c>
      <c r="G4622" t="s">
        <v>9169</v>
      </c>
      <c r="H46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23" spans="1:8" ht="15" customHeight="1" x14ac:dyDescent="0.25">
      <c r="A4623" t="str">
        <f>MID(TB_CECO[[#This Row],[CECO_T]],1,5)</f>
        <v>5E797</v>
      </c>
      <c r="B4623" t="str">
        <f>MID(TB_CECO[[#This Row],[TRABAJO]],1,SEARCH(",",TB_CECO[[#This Row],[TRABAJO]],1)-1)</f>
        <v>Tj 057 NE (Ch 091)</v>
      </c>
      <c r="C46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057 NE (Ch 091),PERFORACION</v>
      </c>
      <c r="D46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23" s="47" t="s">
        <v>9170</v>
      </c>
      <c r="G4623" t="s">
        <v>9171</v>
      </c>
      <c r="H46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24" spans="1:8" ht="15" customHeight="1" x14ac:dyDescent="0.25">
      <c r="A4624" t="str">
        <f>MID(TB_CECO[[#This Row],[CECO_T]],1,5)</f>
        <v>5E797</v>
      </c>
      <c r="B4624" t="str">
        <f>MID(TB_CECO[[#This Row],[TRABAJO]],1,SEARCH(",",TB_CECO[[#This Row],[TRABAJO]],1)-1)</f>
        <v>Tj 057 NE (Ch 091)</v>
      </c>
      <c r="C46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057 NE (Ch 091),RELLENO</v>
      </c>
      <c r="D46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24" s="47" t="s">
        <v>9172</v>
      </c>
      <c r="G4624" t="s">
        <v>9173</v>
      </c>
      <c r="H46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25" spans="1:8" ht="15" customHeight="1" x14ac:dyDescent="0.25">
      <c r="A4625" t="str">
        <f>MID(TB_CECO[[#This Row],[CECO_T]],1,5)</f>
        <v>5E797</v>
      </c>
      <c r="B4625" t="str">
        <f>MID(TB_CECO[[#This Row],[TRABAJO]],1,SEARCH(",",TB_CECO[[#This Row],[TRABAJO]],1)-1)</f>
        <v>Tj 057 NE (Ch 091)</v>
      </c>
      <c r="C46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057 NE (Ch 091),SOSTENIMIENTO</v>
      </c>
      <c r="D46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25" s="47" t="s">
        <v>9174</v>
      </c>
      <c r="G4625" t="s">
        <v>9175</v>
      </c>
      <c r="H46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26" spans="1:8" ht="15" customHeight="1" x14ac:dyDescent="0.25">
      <c r="A4626" t="str">
        <f>MID(TB_CECO[[#This Row],[CECO_T]],1,5)</f>
        <v>5E797</v>
      </c>
      <c r="B4626" t="str">
        <f>MID(TB_CECO[[#This Row],[TRABAJO]],1,SEARCH(",",TB_CECO[[#This Row],[TRABAJO]],1)-1)</f>
        <v>Tj 057 NE (Ch 091)</v>
      </c>
      <c r="C46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057 NE (Ch 091),VOLADURA</v>
      </c>
      <c r="D46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26" s="47" t="s">
        <v>9176</v>
      </c>
      <c r="G4626" t="s">
        <v>9177</v>
      </c>
      <c r="H46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27" spans="1:8" ht="15" customHeight="1" x14ac:dyDescent="0.25">
      <c r="A4627" t="str">
        <f>MID(TB_CECO[[#This Row],[CECO_T]],1,5)</f>
        <v>5EB28</v>
      </c>
      <c r="B4627" t="str">
        <f>MID(TB_CECO[[#This Row],[TRABAJO]],1,SEARCH(",",TB_CECO[[#This Row],[TRABAJO]],1)-1)</f>
        <v>Hp 029 (Tj 077 NE)</v>
      </c>
      <c r="C46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029 (Tj 077 NE),LIMPIEZA</v>
      </c>
      <c r="D46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27" s="47" t="s">
        <v>9178</v>
      </c>
      <c r="G4627" t="s">
        <v>9179</v>
      </c>
      <c r="H46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28" spans="1:8" ht="15" customHeight="1" x14ac:dyDescent="0.25">
      <c r="A4628" t="str">
        <f>MID(TB_CECO[[#This Row],[CECO_T]],1,5)</f>
        <v>5EB28</v>
      </c>
      <c r="B4628" t="str">
        <f>MID(TB_CECO[[#This Row],[TRABAJO]],1,SEARCH(",",TB_CECO[[#This Row],[TRABAJO]],1)-1)</f>
        <v>Hp 029 (Tj 077 NE)</v>
      </c>
      <c r="C46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029 (Tj 077 NE),SERVICIO</v>
      </c>
      <c r="D46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28" s="47" t="s">
        <v>9180</v>
      </c>
      <c r="G4628" t="s">
        <v>9181</v>
      </c>
      <c r="H46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29" spans="1:8" ht="15" customHeight="1" x14ac:dyDescent="0.25">
      <c r="A4629" t="str">
        <f>MID(TB_CECO[[#This Row],[CECO_T]],1,5)</f>
        <v>5EB28</v>
      </c>
      <c r="B4629" t="str">
        <f>MID(TB_CECO[[#This Row],[TRABAJO]],1,SEARCH(",",TB_CECO[[#This Row],[TRABAJO]],1)-1)</f>
        <v>Hp 029 (Tj 077 NE)</v>
      </c>
      <c r="C46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029 (Tj 077 NE),PERFORACION</v>
      </c>
      <c r="D46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29" s="47" t="s">
        <v>9182</v>
      </c>
      <c r="G4629" t="s">
        <v>9183</v>
      </c>
      <c r="H46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30" spans="1:8" ht="15" customHeight="1" x14ac:dyDescent="0.25">
      <c r="A4630" t="str">
        <f>MID(TB_CECO[[#This Row],[CECO_T]],1,5)</f>
        <v>5EB28</v>
      </c>
      <c r="B4630" t="str">
        <f>MID(TB_CECO[[#This Row],[TRABAJO]],1,SEARCH(",",TB_CECO[[#This Row],[TRABAJO]],1)-1)</f>
        <v>Hp 029 (Tj 077 NE)</v>
      </c>
      <c r="C46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029 (Tj 077 NE),SOSTENIMIENTO</v>
      </c>
      <c r="D46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30" s="47" t="s">
        <v>9184</v>
      </c>
      <c r="G4630" t="s">
        <v>9185</v>
      </c>
      <c r="H46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31" spans="1:8" ht="15" customHeight="1" x14ac:dyDescent="0.25">
      <c r="A4631" t="str">
        <f>MID(TB_CECO[[#This Row],[CECO_T]],1,5)</f>
        <v>5EB28</v>
      </c>
      <c r="B4631" t="str">
        <f>MID(TB_CECO[[#This Row],[TRABAJO]],1,SEARCH(",",TB_CECO[[#This Row],[TRABAJO]],1)-1)</f>
        <v>Hp 029 (Tj 077 NE)</v>
      </c>
      <c r="C46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029 (Tj 077 NE),VOLADURA</v>
      </c>
      <c r="D46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31" s="47" t="s">
        <v>9186</v>
      </c>
      <c r="G4631" t="s">
        <v>9187</v>
      </c>
      <c r="H46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32" spans="1:8" ht="15" customHeight="1" x14ac:dyDescent="0.25">
      <c r="A4632" t="str">
        <f>MID(TB_CECO[[#This Row],[CECO_T]],1,5)</f>
        <v>5EB29</v>
      </c>
      <c r="B4632" t="str">
        <f>MID(TB_CECO[[#This Row],[TRABAJO]],1,SEARCH(",",TB_CECO[[#This Row],[TRABAJO]],1)-1)</f>
        <v>Hp 030 (Tj 077 NE)</v>
      </c>
      <c r="C46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030 (Tj 077 NE),LIMPIEZA</v>
      </c>
      <c r="D46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32" s="47" t="s">
        <v>9188</v>
      </c>
      <c r="G4632" t="s">
        <v>9189</v>
      </c>
      <c r="H46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33" spans="1:8" ht="15" customHeight="1" x14ac:dyDescent="0.25">
      <c r="A4633" t="str">
        <f>MID(TB_CECO[[#This Row],[CECO_T]],1,5)</f>
        <v>5EB29</v>
      </c>
      <c r="B4633" t="str">
        <f>MID(TB_CECO[[#This Row],[TRABAJO]],1,SEARCH(",",TB_CECO[[#This Row],[TRABAJO]],1)-1)</f>
        <v>Hp 030 (Tj 077 NE)</v>
      </c>
      <c r="C46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030 (Tj 077 NE),SERVICIO</v>
      </c>
      <c r="D46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33" s="47" t="s">
        <v>9190</v>
      </c>
      <c r="G4633" t="s">
        <v>9191</v>
      </c>
      <c r="H46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34" spans="1:8" ht="15" customHeight="1" x14ac:dyDescent="0.25">
      <c r="A4634" t="str">
        <f>MID(TB_CECO[[#This Row],[CECO_T]],1,5)</f>
        <v>5EB29</v>
      </c>
      <c r="B4634" t="str">
        <f>MID(TB_CECO[[#This Row],[TRABAJO]],1,SEARCH(",",TB_CECO[[#This Row],[TRABAJO]],1)-1)</f>
        <v>Hp 030 (Tj 077 NE)</v>
      </c>
      <c r="C46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030 (Tj 077 NE),PERFORACION</v>
      </c>
      <c r="D46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34" s="47" t="s">
        <v>9192</v>
      </c>
      <c r="G4634" t="s">
        <v>9193</v>
      </c>
      <c r="H46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35" spans="1:8" ht="15" customHeight="1" x14ac:dyDescent="0.25">
      <c r="A4635" t="str">
        <f>MID(TB_CECO[[#This Row],[CECO_T]],1,5)</f>
        <v>5EB29</v>
      </c>
      <c r="B4635" t="str">
        <f>MID(TB_CECO[[#This Row],[TRABAJO]],1,SEARCH(",",TB_CECO[[#This Row],[TRABAJO]],1)-1)</f>
        <v>Hp 030 (Tj 077 NE)</v>
      </c>
      <c r="C46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030 (Tj 077 NE),SOSTENIMIENTO</v>
      </c>
      <c r="D46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35" s="47" t="s">
        <v>9194</v>
      </c>
      <c r="G4635" t="s">
        <v>9195</v>
      </c>
      <c r="H46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36" spans="1:8" ht="15" customHeight="1" x14ac:dyDescent="0.25">
      <c r="A4636" t="str">
        <f>MID(TB_CECO[[#This Row],[CECO_T]],1,5)</f>
        <v>5EB29</v>
      </c>
      <c r="B4636" t="str">
        <f>MID(TB_CECO[[#This Row],[TRABAJO]],1,SEARCH(",",TB_CECO[[#This Row],[TRABAJO]],1)-1)</f>
        <v>Hp 030 (Tj 077 NE)</v>
      </c>
      <c r="C46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030 (Tj 077 NE),VOLADURA</v>
      </c>
      <c r="D46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36" s="47" t="s">
        <v>9196</v>
      </c>
      <c r="G4636" t="s">
        <v>9197</v>
      </c>
      <c r="H46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37" spans="1:8" ht="15" customHeight="1" x14ac:dyDescent="0.25">
      <c r="A4637" t="str">
        <f>MID(TB_CECO[[#This Row],[CECO_T]],1,5)</f>
        <v>5EB30</v>
      </c>
      <c r="B4637" t="str">
        <f>MID(TB_CECO[[#This Row],[TRABAJO]],1,SEARCH(",",TB_CECO[[#This Row],[TRABAJO]],1)-1)</f>
        <v>Hp 031 (Tj 077 NE)</v>
      </c>
      <c r="C46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031 (Tj 077 NE),LIMPIEZA</v>
      </c>
      <c r="D46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37" s="47" t="s">
        <v>9198</v>
      </c>
      <c r="G4637" t="s">
        <v>9199</v>
      </c>
      <c r="H46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38" spans="1:8" ht="15" customHeight="1" x14ac:dyDescent="0.25">
      <c r="A4638" t="str">
        <f>MID(TB_CECO[[#This Row],[CECO_T]],1,5)</f>
        <v>5EB30</v>
      </c>
      <c r="B4638" t="str">
        <f>MID(TB_CECO[[#This Row],[TRABAJO]],1,SEARCH(",",TB_CECO[[#This Row],[TRABAJO]],1)-1)</f>
        <v>Hp 031 (Tj 077 NE)</v>
      </c>
      <c r="C46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031 (Tj 077 NE),SERVICIO</v>
      </c>
      <c r="D46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38" s="47" t="s">
        <v>9200</v>
      </c>
      <c r="G4638" t="s">
        <v>9201</v>
      </c>
      <c r="H46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39" spans="1:8" ht="15" customHeight="1" x14ac:dyDescent="0.25">
      <c r="A4639" t="str">
        <f>MID(TB_CECO[[#This Row],[CECO_T]],1,5)</f>
        <v>5EB30</v>
      </c>
      <c r="B4639" t="str">
        <f>MID(TB_CECO[[#This Row],[TRABAJO]],1,SEARCH(",",TB_CECO[[#This Row],[TRABAJO]],1)-1)</f>
        <v>Hp 031 (Tj 077 NE)</v>
      </c>
      <c r="C46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031 (Tj 077 NE),PERFORACION</v>
      </c>
      <c r="D46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39" s="47" t="s">
        <v>9202</v>
      </c>
      <c r="G4639" t="s">
        <v>9203</v>
      </c>
      <c r="H46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40" spans="1:8" ht="15" customHeight="1" x14ac:dyDescent="0.25">
      <c r="A4640" t="str">
        <f>MID(TB_CECO[[#This Row],[CECO_T]],1,5)</f>
        <v>5EB30</v>
      </c>
      <c r="B4640" t="str">
        <f>MID(TB_CECO[[#This Row],[TRABAJO]],1,SEARCH(",",TB_CECO[[#This Row],[TRABAJO]],1)-1)</f>
        <v>Hp 031 (Tj 077 NE)</v>
      </c>
      <c r="C46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031 (Tj 077 NE),SOSTENIMIENTO</v>
      </c>
      <c r="D46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40" s="47" t="s">
        <v>9204</v>
      </c>
      <c r="G4640" t="s">
        <v>9205</v>
      </c>
      <c r="H46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41" spans="1:8" ht="15" customHeight="1" x14ac:dyDescent="0.25">
      <c r="A4641" t="str">
        <f>MID(TB_CECO[[#This Row],[CECO_T]],1,5)</f>
        <v>5EB30</v>
      </c>
      <c r="B4641" t="str">
        <f>MID(TB_CECO[[#This Row],[TRABAJO]],1,SEARCH(",",TB_CECO[[#This Row],[TRABAJO]],1)-1)</f>
        <v>Hp 031 (Tj 077 NE)</v>
      </c>
      <c r="C46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Hp 031 (Tj 077 NE),VOLADURA</v>
      </c>
      <c r="D46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46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41" s="47" t="s">
        <v>9206</v>
      </c>
      <c r="G4641" t="s">
        <v>9207</v>
      </c>
      <c r="H46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42" spans="1:8" ht="15" customHeight="1" x14ac:dyDescent="0.25">
      <c r="A4642" t="str">
        <f>MID(TB_CECO[[#This Row],[CECO_T]],1,5)</f>
        <v>5F117</v>
      </c>
      <c r="B4642" t="str">
        <f>MID(TB_CECO[[#This Row],[TRABAJO]],1,SEARCH(",",TB_CECO[[#This Row],[TRABAJO]],1)-1)</f>
        <v>Cx 109 NW (Gal 127 SW)</v>
      </c>
      <c r="C46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109 NW (Gal 127 SW),SUMINISTROS</v>
      </c>
      <c r="D46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42" s="47" t="s">
        <v>9208</v>
      </c>
      <c r="G4642" t="s">
        <v>9209</v>
      </c>
      <c r="H46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43" spans="1:8" ht="15" customHeight="1" x14ac:dyDescent="0.25">
      <c r="A4643" t="str">
        <f>MID(TB_CECO[[#This Row],[CECO_T]],1,5)</f>
        <v>5F117</v>
      </c>
      <c r="B4643" t="str">
        <f>MID(TB_CECO[[#This Row],[TRABAJO]],1,SEARCH(",",TB_CECO[[#This Row],[TRABAJO]],1)-1)</f>
        <v>Cx 109 NW (Gal 127 SW)</v>
      </c>
      <c r="C46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109 NW (Gal 127 SW),SOSTENIMIENTO</v>
      </c>
      <c r="D46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43" s="47" t="s">
        <v>9210</v>
      </c>
      <c r="G4643" t="s">
        <v>9211</v>
      </c>
      <c r="H46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44" spans="1:8" ht="15" customHeight="1" x14ac:dyDescent="0.25">
      <c r="A4644" t="str">
        <f>MID(TB_CECO[[#This Row],[CECO_T]],1,5)</f>
        <v>5F117</v>
      </c>
      <c r="B4644" t="str">
        <f>MID(TB_CECO[[#This Row],[TRABAJO]],1,SEARCH(",",TB_CECO[[#This Row],[TRABAJO]],1)-1)</f>
        <v>Cx 109 NW (Gal 127 SW)</v>
      </c>
      <c r="C46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109 NW (Gal 127 SW),SERVICIO</v>
      </c>
      <c r="D46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44" s="47" t="s">
        <v>9212</v>
      </c>
      <c r="G4644" t="s">
        <v>9213</v>
      </c>
      <c r="H46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45" spans="1:8" ht="15" customHeight="1" x14ac:dyDescent="0.25">
      <c r="A4645" t="str">
        <f>MID(TB_CECO[[#This Row],[CECO_T]],1,5)</f>
        <v>5F117</v>
      </c>
      <c r="B4645" t="str">
        <f>MID(TB_CECO[[#This Row],[TRABAJO]],1,SEARCH(",",TB_CECO[[#This Row],[TRABAJO]],1)-1)</f>
        <v>Cx 109 NW (Gal 127 SW)</v>
      </c>
      <c r="C46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109 NW (Gal 127 SW),REHABILITACION</v>
      </c>
      <c r="D46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45" s="47" t="s">
        <v>9214</v>
      </c>
      <c r="G4645" t="s">
        <v>9215</v>
      </c>
      <c r="H46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46" spans="1:8" ht="15" customHeight="1" x14ac:dyDescent="0.25">
      <c r="A4646" t="str">
        <f>MID(TB_CECO[[#This Row],[CECO_T]],1,5)</f>
        <v>5F776</v>
      </c>
      <c r="B4646" t="str">
        <f>MID(TB_CECO[[#This Row],[TRABAJO]],1,SEARCH(",",TB_CECO[[#This Row],[TRABAJO]],1)-1)</f>
        <v>Tj 133 SW (Ch 133)</v>
      </c>
      <c r="C46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133 SW (Ch 133),SUMINISTROS</v>
      </c>
      <c r="D46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46" s="47" t="s">
        <v>9216</v>
      </c>
      <c r="G4646" t="s">
        <v>9217</v>
      </c>
      <c r="H46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47" spans="1:8" ht="15" customHeight="1" x14ac:dyDescent="0.25">
      <c r="A4647" t="str">
        <f>MID(TB_CECO[[#This Row],[CECO_T]],1,5)</f>
        <v>5F776</v>
      </c>
      <c r="B4647" t="str">
        <f>MID(TB_CECO[[#This Row],[TRABAJO]],1,SEARCH(",",TB_CECO[[#This Row],[TRABAJO]],1)-1)</f>
        <v>Tj 133 SW (Ch 133)</v>
      </c>
      <c r="C46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133 SW (Ch 133),SOSTENIMIENTO</v>
      </c>
      <c r="D46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47" s="47" t="s">
        <v>9218</v>
      </c>
      <c r="G4647" t="s">
        <v>9219</v>
      </c>
      <c r="H46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48" spans="1:8" ht="15" customHeight="1" x14ac:dyDescent="0.25">
      <c r="A4648" t="str">
        <f>MID(TB_CECO[[#This Row],[CECO_T]],1,5)</f>
        <v>5F776</v>
      </c>
      <c r="B4648" t="str">
        <f>MID(TB_CECO[[#This Row],[TRABAJO]],1,SEARCH(",",TB_CECO[[#This Row],[TRABAJO]],1)-1)</f>
        <v>Tj 133 SW (Ch 133)</v>
      </c>
      <c r="C46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133 SW (Ch 133),SERVICIO</v>
      </c>
      <c r="D46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48" s="47" t="s">
        <v>9220</v>
      </c>
      <c r="G4648" t="s">
        <v>9221</v>
      </c>
      <c r="H46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49" spans="1:8" ht="15" customHeight="1" x14ac:dyDescent="0.25">
      <c r="A4649" t="str">
        <f>MID(TB_CECO[[#This Row],[CECO_T]],1,5)</f>
        <v>5F776</v>
      </c>
      <c r="B4649" t="str">
        <f>MID(TB_CECO[[#This Row],[TRABAJO]],1,SEARCH(",",TB_CECO[[#This Row],[TRABAJO]],1)-1)</f>
        <v>Tj 133 SW (Ch 133)</v>
      </c>
      <c r="C46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133 SW (Ch 133),REHABILITACION</v>
      </c>
      <c r="D46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49" s="47" t="s">
        <v>9222</v>
      </c>
      <c r="G4649" t="s">
        <v>9223</v>
      </c>
      <c r="H46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50" spans="1:8" ht="15" customHeight="1" x14ac:dyDescent="0.25">
      <c r="A4650" t="str">
        <f>MID(TB_CECO[[#This Row],[CECO_T]],1,5)</f>
        <v>5F777</v>
      </c>
      <c r="B4650" t="str">
        <f>MID(TB_CECO[[#This Row],[TRABAJO]],1,SEARCH(",",TB_CECO[[#This Row],[TRABAJO]],1)-1)</f>
        <v>Tj 133 NE (Ch 133)</v>
      </c>
      <c r="C46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133 NE (Ch 133),SUMINISTROS</v>
      </c>
      <c r="D46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50" s="47" t="s">
        <v>9224</v>
      </c>
      <c r="G4650" t="s">
        <v>9225</v>
      </c>
      <c r="H46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51" spans="1:8" ht="15" customHeight="1" x14ac:dyDescent="0.25">
      <c r="A4651" t="str">
        <f>MID(TB_CECO[[#This Row],[CECO_T]],1,5)</f>
        <v>5F777</v>
      </c>
      <c r="B4651" t="str">
        <f>MID(TB_CECO[[#This Row],[TRABAJO]],1,SEARCH(",",TB_CECO[[#This Row],[TRABAJO]],1)-1)</f>
        <v>Tj 133 NE (Ch 133)</v>
      </c>
      <c r="C46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133 NE (Ch 133),SOSTENIMIENTO</v>
      </c>
      <c r="D46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51" s="47" t="s">
        <v>9226</v>
      </c>
      <c r="G4651" t="s">
        <v>9227</v>
      </c>
      <c r="H46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52" spans="1:8" ht="15" customHeight="1" x14ac:dyDescent="0.25">
      <c r="A4652" t="str">
        <f>MID(TB_CECO[[#This Row],[CECO_T]],1,5)</f>
        <v>5F777</v>
      </c>
      <c r="B4652" t="str">
        <f>MID(TB_CECO[[#This Row],[TRABAJO]],1,SEARCH(",",TB_CECO[[#This Row],[TRABAJO]],1)-1)</f>
        <v>Tj 133 NE (Ch 133)</v>
      </c>
      <c r="C46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133 NE (Ch 133),SERVICIO</v>
      </c>
      <c r="D46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52" s="47" t="s">
        <v>9228</v>
      </c>
      <c r="G4652" t="s">
        <v>9229</v>
      </c>
      <c r="H46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53" spans="1:8" ht="15" customHeight="1" x14ac:dyDescent="0.25">
      <c r="A4653" t="str">
        <f>MID(TB_CECO[[#This Row],[CECO_T]],1,5)</f>
        <v>5F777</v>
      </c>
      <c r="B4653" t="str">
        <f>MID(TB_CECO[[#This Row],[TRABAJO]],1,SEARCH(",",TB_CECO[[#This Row],[TRABAJO]],1)-1)</f>
        <v>Tj 133 NE (Ch 133)</v>
      </c>
      <c r="C46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133 NE (Ch 133),REHABILITACION</v>
      </c>
      <c r="D46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53" s="47" t="s">
        <v>9230</v>
      </c>
      <c r="G4653" t="s">
        <v>9231</v>
      </c>
      <c r="H46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54" spans="1:8" ht="15" customHeight="1" x14ac:dyDescent="0.25">
      <c r="A4654" t="str">
        <f>MID(TB_CECO[[#This Row],[CECO_T]],1,5)</f>
        <v>5F814</v>
      </c>
      <c r="B4654" t="str">
        <f>MID(TB_CECO[[#This Row],[TRABAJO]],1,SEARCH(",",TB_CECO[[#This Row],[TRABAJO]],1)-1)</f>
        <v>Cam 13 (Cx 109 NW)</v>
      </c>
      <c r="C46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13 (Cx 109 NW),SUMINISTROS</v>
      </c>
      <c r="D46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54" s="47" t="s">
        <v>9232</v>
      </c>
      <c r="G4654" t="s">
        <v>9233</v>
      </c>
      <c r="H46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55" spans="1:8" ht="15" customHeight="1" x14ac:dyDescent="0.25">
      <c r="A4655" t="str">
        <f>MID(TB_CECO[[#This Row],[CECO_T]],1,5)</f>
        <v>5F814</v>
      </c>
      <c r="B4655" t="str">
        <f>MID(TB_CECO[[#This Row],[TRABAJO]],1,SEARCH(",",TB_CECO[[#This Row],[TRABAJO]],1)-1)</f>
        <v>Cam 13 (Cx 109 NW)</v>
      </c>
      <c r="C46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13 (Cx 109 NW),SOSTENIMIENTO</v>
      </c>
      <c r="D46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55" s="47" t="s">
        <v>9234</v>
      </c>
      <c r="G4655" t="s">
        <v>9235</v>
      </c>
      <c r="H46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56" spans="1:8" ht="15" customHeight="1" x14ac:dyDescent="0.25">
      <c r="A4656" t="str">
        <f>MID(TB_CECO[[#This Row],[CECO_T]],1,5)</f>
        <v>5F814</v>
      </c>
      <c r="B4656" t="str">
        <f>MID(TB_CECO[[#This Row],[TRABAJO]],1,SEARCH(",",TB_CECO[[#This Row],[TRABAJO]],1)-1)</f>
        <v>Cam 13 (Cx 109 NW)</v>
      </c>
      <c r="C46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13 (Cx 109 NW),SERVICIO</v>
      </c>
      <c r="D46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56" s="47" t="s">
        <v>9236</v>
      </c>
      <c r="G4656" t="s">
        <v>9237</v>
      </c>
      <c r="H46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57" spans="1:8" ht="15" customHeight="1" x14ac:dyDescent="0.25">
      <c r="A4657" t="str">
        <f>MID(TB_CECO[[#This Row],[CECO_T]],1,5)</f>
        <v>5F814</v>
      </c>
      <c r="B4657" t="str">
        <f>MID(TB_CECO[[#This Row],[TRABAJO]],1,SEARCH(",",TB_CECO[[#This Row],[TRABAJO]],1)-1)</f>
        <v>Cam 13 (Cx 109 NW)</v>
      </c>
      <c r="C46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13 (Cx 109 NW),REHABILITACION</v>
      </c>
      <c r="D46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6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57" s="47" t="s">
        <v>9238</v>
      </c>
      <c r="G4657" t="s">
        <v>9239</v>
      </c>
      <c r="H46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658" spans="1:8" ht="15" customHeight="1" x14ac:dyDescent="0.25">
      <c r="A4658" t="str">
        <f>MID(TB_CECO[[#This Row],[CECO_T]],1,5)</f>
        <v>5G71R</v>
      </c>
      <c r="B4658" t="str">
        <f>MID(TB_CECO[[#This Row],[TRABAJO]],1,SEARCH(",",TB_CECO[[#This Row],[TRABAJO]],1)-1)</f>
        <v>Tj 900 SW (Ch 931)</v>
      </c>
      <c r="C46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931),LIMPIEZA</v>
      </c>
      <c r="D46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58" s="47" t="s">
        <v>9240</v>
      </c>
      <c r="G4658" t="s">
        <v>9241</v>
      </c>
      <c r="H46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59" spans="1:8" ht="15" customHeight="1" x14ac:dyDescent="0.25">
      <c r="A4659" t="str">
        <f>MID(TB_CECO[[#This Row],[CECO_T]],1,5)</f>
        <v>5G71R</v>
      </c>
      <c r="B4659" t="str">
        <f>MID(TB_CECO[[#This Row],[TRABAJO]],1,SEARCH(",",TB_CECO[[#This Row],[TRABAJO]],1)-1)</f>
        <v>Tj 900 SW (Ch 931)</v>
      </c>
      <c r="C46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931),SERVICIO</v>
      </c>
      <c r="D46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59" s="47" t="s">
        <v>9242</v>
      </c>
      <c r="G4659" t="s">
        <v>9243</v>
      </c>
      <c r="H46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60" spans="1:8" ht="15" customHeight="1" x14ac:dyDescent="0.25">
      <c r="A4660" t="str">
        <f>MID(TB_CECO[[#This Row],[CECO_T]],1,5)</f>
        <v>5G71R</v>
      </c>
      <c r="B4660" t="str">
        <f>MID(TB_CECO[[#This Row],[TRABAJO]],1,SEARCH(",",TB_CECO[[#This Row],[TRABAJO]],1)-1)</f>
        <v>Tj 900 SW (Ch 931)</v>
      </c>
      <c r="C46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931),PERFORACION</v>
      </c>
      <c r="D46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60" s="47" t="s">
        <v>9244</v>
      </c>
      <c r="G4660" t="s">
        <v>9245</v>
      </c>
      <c r="H46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61" spans="1:8" ht="15" customHeight="1" x14ac:dyDescent="0.25">
      <c r="A4661" t="str">
        <f>MID(TB_CECO[[#This Row],[CECO_T]],1,5)</f>
        <v>5G71R</v>
      </c>
      <c r="B4661" t="str">
        <f>MID(TB_CECO[[#This Row],[TRABAJO]],1,SEARCH(",",TB_CECO[[#This Row],[TRABAJO]],1)-1)</f>
        <v>Tj 900 SW (Ch 931)</v>
      </c>
      <c r="C46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931),RELLENO</v>
      </c>
      <c r="D46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61" s="47" t="s">
        <v>9246</v>
      </c>
      <c r="G4661" t="s">
        <v>9247</v>
      </c>
      <c r="H46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62" spans="1:8" ht="15" customHeight="1" x14ac:dyDescent="0.25">
      <c r="A4662" t="str">
        <f>MID(TB_CECO[[#This Row],[CECO_T]],1,5)</f>
        <v>5G71R</v>
      </c>
      <c r="B4662" t="str">
        <f>MID(TB_CECO[[#This Row],[TRABAJO]],1,SEARCH(",",TB_CECO[[#This Row],[TRABAJO]],1)-1)</f>
        <v>Tj 900 SW (Ch 931)</v>
      </c>
      <c r="C46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931),SOSTENIMIENTO</v>
      </c>
      <c r="D46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62" s="47" t="s">
        <v>9248</v>
      </c>
      <c r="G4662" t="s">
        <v>9249</v>
      </c>
      <c r="H46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63" spans="1:8" ht="15" customHeight="1" x14ac:dyDescent="0.25">
      <c r="A4663" t="str">
        <f>MID(TB_CECO[[#This Row],[CECO_T]],1,5)</f>
        <v>5G71R</v>
      </c>
      <c r="B4663" t="str">
        <f>MID(TB_CECO[[#This Row],[TRABAJO]],1,SEARCH(",",TB_CECO[[#This Row],[TRABAJO]],1)-1)</f>
        <v>Tj 900 SW (Ch 931)</v>
      </c>
      <c r="C46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931),VOLADURA</v>
      </c>
      <c r="D46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63" s="47" t="s">
        <v>9250</v>
      </c>
      <c r="G4663" t="s">
        <v>9251</v>
      </c>
      <c r="H46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64" spans="1:8" ht="15" customHeight="1" x14ac:dyDescent="0.25">
      <c r="A4664" t="str">
        <f>MID(TB_CECO[[#This Row],[CECO_T]],1,5)</f>
        <v>5G71S</v>
      </c>
      <c r="B4664" t="str">
        <f>MID(TB_CECO[[#This Row],[TRABAJO]],1,SEARCH(",",TB_CECO[[#This Row],[TRABAJO]],1)-1)</f>
        <v>Tj 900 NE (Ch 931)</v>
      </c>
      <c r="C46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931),LIMPIEZA</v>
      </c>
      <c r="D46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64" s="47" t="s">
        <v>9252</v>
      </c>
      <c r="G4664" t="s">
        <v>9253</v>
      </c>
      <c r="H46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65" spans="1:8" ht="15" customHeight="1" x14ac:dyDescent="0.25">
      <c r="A4665" t="str">
        <f>MID(TB_CECO[[#This Row],[CECO_T]],1,5)</f>
        <v>5G71S</v>
      </c>
      <c r="B4665" t="str">
        <f>MID(TB_CECO[[#This Row],[TRABAJO]],1,SEARCH(",",TB_CECO[[#This Row],[TRABAJO]],1)-1)</f>
        <v>Tj 900 NE (Ch 931)</v>
      </c>
      <c r="C46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931),SERVICIO</v>
      </c>
      <c r="D46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65" s="47" t="s">
        <v>9254</v>
      </c>
      <c r="G4665" t="s">
        <v>9255</v>
      </c>
      <c r="H46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66" spans="1:8" ht="15" customHeight="1" x14ac:dyDescent="0.25">
      <c r="A4666" t="str">
        <f>MID(TB_CECO[[#This Row],[CECO_T]],1,5)</f>
        <v>5G71S</v>
      </c>
      <c r="B4666" t="str">
        <f>MID(TB_CECO[[#This Row],[TRABAJO]],1,SEARCH(",",TB_CECO[[#This Row],[TRABAJO]],1)-1)</f>
        <v>Tj 900 NE (Ch 931)</v>
      </c>
      <c r="C46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931),PERFORACION</v>
      </c>
      <c r="D46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66" s="47" t="s">
        <v>9256</v>
      </c>
      <c r="G4666" t="s">
        <v>9257</v>
      </c>
      <c r="H46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67" spans="1:8" ht="15" customHeight="1" x14ac:dyDescent="0.25">
      <c r="A4667" t="str">
        <f>MID(TB_CECO[[#This Row],[CECO_T]],1,5)</f>
        <v>5G71S</v>
      </c>
      <c r="B4667" t="str">
        <f>MID(TB_CECO[[#This Row],[TRABAJO]],1,SEARCH(",",TB_CECO[[#This Row],[TRABAJO]],1)-1)</f>
        <v>Tj 900 NE (Ch 931)</v>
      </c>
      <c r="C46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931),RELLENO</v>
      </c>
      <c r="D46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67" s="47" t="s">
        <v>9258</v>
      </c>
      <c r="G4667" t="s">
        <v>9259</v>
      </c>
      <c r="H46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68" spans="1:8" ht="15" customHeight="1" x14ac:dyDescent="0.25">
      <c r="A4668" t="str">
        <f>MID(TB_CECO[[#This Row],[CECO_T]],1,5)</f>
        <v>5G71S</v>
      </c>
      <c r="B4668" t="str">
        <f>MID(TB_CECO[[#This Row],[TRABAJO]],1,SEARCH(",",TB_CECO[[#This Row],[TRABAJO]],1)-1)</f>
        <v>Tj 900 NE (Ch 931)</v>
      </c>
      <c r="C46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931),SOSTENIMIENTO</v>
      </c>
      <c r="D46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68" s="47" t="s">
        <v>9260</v>
      </c>
      <c r="G4668" t="s">
        <v>9261</v>
      </c>
      <c r="H46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69" spans="1:8" ht="15" customHeight="1" x14ac:dyDescent="0.25">
      <c r="A4669" t="str">
        <f>MID(TB_CECO[[#This Row],[CECO_T]],1,5)</f>
        <v>5G71S</v>
      </c>
      <c r="B4669" t="str">
        <f>MID(TB_CECO[[#This Row],[TRABAJO]],1,SEARCH(",",TB_CECO[[#This Row],[TRABAJO]],1)-1)</f>
        <v>Tj 900 NE (Ch 931)</v>
      </c>
      <c r="C46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931),VOLADURA</v>
      </c>
      <c r="D46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69" s="47" t="s">
        <v>9262</v>
      </c>
      <c r="G4669" t="s">
        <v>9263</v>
      </c>
      <c r="H46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70" spans="1:8" ht="15" customHeight="1" x14ac:dyDescent="0.25">
      <c r="A4670" t="str">
        <f>MID(TB_CECO[[#This Row],[CECO_T]],1,5)</f>
        <v>5G72C</v>
      </c>
      <c r="B4670" t="str">
        <f>MID(TB_CECO[[#This Row],[TRABAJO]],1,SEARCH(",",TB_CECO[[#This Row],[TRABAJO]],1)-1)</f>
        <v>Tj 900 SW (Ch 907)</v>
      </c>
      <c r="C46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907),LIMPIEZA</v>
      </c>
      <c r="D46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70" s="47" t="s">
        <v>9264</v>
      </c>
      <c r="G4670" t="s">
        <v>9265</v>
      </c>
      <c r="H46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71" spans="1:8" ht="15" customHeight="1" x14ac:dyDescent="0.25">
      <c r="A4671" t="str">
        <f>MID(TB_CECO[[#This Row],[CECO_T]],1,5)</f>
        <v>5G72C</v>
      </c>
      <c r="B4671" t="str">
        <f>MID(TB_CECO[[#This Row],[TRABAJO]],1,SEARCH(",",TB_CECO[[#This Row],[TRABAJO]],1)-1)</f>
        <v>Tj 900 SW (Ch 907)</v>
      </c>
      <c r="C46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907),SERVICIO</v>
      </c>
      <c r="D46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71" s="47" t="s">
        <v>9266</v>
      </c>
      <c r="G4671" t="s">
        <v>9267</v>
      </c>
      <c r="H46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72" spans="1:8" ht="15" customHeight="1" x14ac:dyDescent="0.25">
      <c r="A4672" t="str">
        <f>MID(TB_CECO[[#This Row],[CECO_T]],1,5)</f>
        <v>5G72C</v>
      </c>
      <c r="B4672" t="str">
        <f>MID(TB_CECO[[#This Row],[TRABAJO]],1,SEARCH(",",TB_CECO[[#This Row],[TRABAJO]],1)-1)</f>
        <v>Tj 900 SW (Ch 907)</v>
      </c>
      <c r="C46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907),PERFORACION</v>
      </c>
      <c r="D46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72" s="47" t="s">
        <v>9268</v>
      </c>
      <c r="G4672" t="s">
        <v>9269</v>
      </c>
      <c r="H46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73" spans="1:8" ht="15" customHeight="1" x14ac:dyDescent="0.25">
      <c r="A4673" t="str">
        <f>MID(TB_CECO[[#This Row],[CECO_T]],1,5)</f>
        <v>5G72C</v>
      </c>
      <c r="B4673" t="str">
        <f>MID(TB_CECO[[#This Row],[TRABAJO]],1,SEARCH(",",TB_CECO[[#This Row],[TRABAJO]],1)-1)</f>
        <v>Tj 900 SW (Ch 907)</v>
      </c>
      <c r="C46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907),RELLENO</v>
      </c>
      <c r="D46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73" s="47" t="s">
        <v>9270</v>
      </c>
      <c r="G4673" t="s">
        <v>9271</v>
      </c>
      <c r="H46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74" spans="1:8" ht="15" customHeight="1" x14ac:dyDescent="0.25">
      <c r="A4674" t="str">
        <f>MID(TB_CECO[[#This Row],[CECO_T]],1,5)</f>
        <v>5G72C</v>
      </c>
      <c r="B4674" t="str">
        <f>MID(TB_CECO[[#This Row],[TRABAJO]],1,SEARCH(",",TB_CECO[[#This Row],[TRABAJO]],1)-1)</f>
        <v>Tj 900 SW (Ch 907)</v>
      </c>
      <c r="C46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907),SOSTENIMIENTO</v>
      </c>
      <c r="D46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74" s="47" t="s">
        <v>9272</v>
      </c>
      <c r="G4674" t="s">
        <v>9273</v>
      </c>
      <c r="H46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75" spans="1:8" ht="15" customHeight="1" x14ac:dyDescent="0.25">
      <c r="A4675" t="str">
        <f>MID(TB_CECO[[#This Row],[CECO_T]],1,5)</f>
        <v>5G72C</v>
      </c>
      <c r="B4675" t="str">
        <f>MID(TB_CECO[[#This Row],[TRABAJO]],1,SEARCH(",",TB_CECO[[#This Row],[TRABAJO]],1)-1)</f>
        <v>Tj 900 SW (Ch 907)</v>
      </c>
      <c r="C46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SW (Ch 907),VOLADURA</v>
      </c>
      <c r="D46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75" s="47" t="s">
        <v>9274</v>
      </c>
      <c r="G4675" t="s">
        <v>9275</v>
      </c>
      <c r="H46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76" spans="1:8" ht="15" customHeight="1" x14ac:dyDescent="0.25">
      <c r="A4676" t="str">
        <f>MID(TB_CECO[[#This Row],[CECO_T]],1,5)</f>
        <v>5G72D</v>
      </c>
      <c r="B4676" t="str">
        <f>MID(TB_CECO[[#This Row],[TRABAJO]],1,SEARCH(",",TB_CECO[[#This Row],[TRABAJO]],1)-1)</f>
        <v>Tj 880 SW (Ch 907)</v>
      </c>
      <c r="C46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SW (Ch 907),LIMPIEZA</v>
      </c>
      <c r="D46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76" s="47" t="s">
        <v>9276</v>
      </c>
      <c r="G4676" t="s">
        <v>9277</v>
      </c>
      <c r="H46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77" spans="1:8" ht="15" customHeight="1" x14ac:dyDescent="0.25">
      <c r="A4677" t="str">
        <f>MID(TB_CECO[[#This Row],[CECO_T]],1,5)</f>
        <v>5G72D</v>
      </c>
      <c r="B4677" t="str">
        <f>MID(TB_CECO[[#This Row],[TRABAJO]],1,SEARCH(",",TB_CECO[[#This Row],[TRABAJO]],1)-1)</f>
        <v>Tj 880 SW (Ch 907)</v>
      </c>
      <c r="C46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SW (Ch 907),SERVICIO</v>
      </c>
      <c r="D46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77" s="47" t="s">
        <v>9278</v>
      </c>
      <c r="G4677" t="s">
        <v>9279</v>
      </c>
      <c r="H46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78" spans="1:8" ht="15" customHeight="1" x14ac:dyDescent="0.25">
      <c r="A4678" t="str">
        <f>MID(TB_CECO[[#This Row],[CECO_T]],1,5)</f>
        <v>5G72D</v>
      </c>
      <c r="B4678" t="str">
        <f>MID(TB_CECO[[#This Row],[TRABAJO]],1,SEARCH(",",TB_CECO[[#This Row],[TRABAJO]],1)-1)</f>
        <v>Tj 880 SW (Ch 907)</v>
      </c>
      <c r="C46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SW (Ch 907),PERFORACION</v>
      </c>
      <c r="D46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78" s="47" t="s">
        <v>9280</v>
      </c>
      <c r="G4678" t="s">
        <v>9281</v>
      </c>
      <c r="H46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79" spans="1:8" ht="15" customHeight="1" x14ac:dyDescent="0.25">
      <c r="A4679" t="str">
        <f>MID(TB_CECO[[#This Row],[CECO_T]],1,5)</f>
        <v>5G72D</v>
      </c>
      <c r="B4679" t="str">
        <f>MID(TB_CECO[[#This Row],[TRABAJO]],1,SEARCH(",",TB_CECO[[#This Row],[TRABAJO]],1)-1)</f>
        <v>Tj 880 SW (Ch 907)</v>
      </c>
      <c r="C46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SW (Ch 907),RELLENO</v>
      </c>
      <c r="D46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79" s="47" t="s">
        <v>9282</v>
      </c>
      <c r="G4679" t="s">
        <v>9283</v>
      </c>
      <c r="H46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80" spans="1:8" ht="15" customHeight="1" x14ac:dyDescent="0.25">
      <c r="A4680" t="str">
        <f>MID(TB_CECO[[#This Row],[CECO_T]],1,5)</f>
        <v>5G72D</v>
      </c>
      <c r="B4680" t="str">
        <f>MID(TB_CECO[[#This Row],[TRABAJO]],1,SEARCH(",",TB_CECO[[#This Row],[TRABAJO]],1)-1)</f>
        <v>Tj 880 SW (Ch 907)</v>
      </c>
      <c r="C46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SW (Ch 907),SOSTENIMIENTO</v>
      </c>
      <c r="D46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80" s="47" t="s">
        <v>9284</v>
      </c>
      <c r="G4680" t="s">
        <v>9285</v>
      </c>
      <c r="H46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81" spans="1:8" ht="15" customHeight="1" x14ac:dyDescent="0.25">
      <c r="A4681" t="str">
        <f>MID(TB_CECO[[#This Row],[CECO_T]],1,5)</f>
        <v>5G72D</v>
      </c>
      <c r="B4681" t="str">
        <f>MID(TB_CECO[[#This Row],[TRABAJO]],1,SEARCH(",",TB_CECO[[#This Row],[TRABAJO]],1)-1)</f>
        <v>Tj 880 SW (Ch 907)</v>
      </c>
      <c r="C46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SW (Ch 907),VOLADURA</v>
      </c>
      <c r="D46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81" s="47" t="s">
        <v>9286</v>
      </c>
      <c r="G4681" t="s">
        <v>9287</v>
      </c>
      <c r="H46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82" spans="1:8" ht="15" customHeight="1" x14ac:dyDescent="0.25">
      <c r="A4682" t="str">
        <f>MID(TB_CECO[[#This Row],[CECO_T]],1,5)</f>
        <v>5G72I</v>
      </c>
      <c r="B4682" t="str">
        <f>MID(TB_CECO[[#This Row],[TRABAJO]],1,SEARCH(",",TB_CECO[[#This Row],[TRABAJO]],1)-1)</f>
        <v>Tj 880 NE (Ch 907)</v>
      </c>
      <c r="C46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NE (Ch 907),LIMPIEZA</v>
      </c>
      <c r="D46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82" s="47" t="s">
        <v>9288</v>
      </c>
      <c r="G4682" t="s">
        <v>9289</v>
      </c>
      <c r="H46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83" spans="1:8" ht="15" customHeight="1" x14ac:dyDescent="0.25">
      <c r="A4683" t="str">
        <f>MID(TB_CECO[[#This Row],[CECO_T]],1,5)</f>
        <v>5G72I</v>
      </c>
      <c r="B4683" t="str">
        <f>MID(TB_CECO[[#This Row],[TRABAJO]],1,SEARCH(",",TB_CECO[[#This Row],[TRABAJO]],1)-1)</f>
        <v>Tj 880 NE (Ch 907)</v>
      </c>
      <c r="C46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NE (Ch 907),SERVICIO</v>
      </c>
      <c r="D46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83" s="47" t="s">
        <v>9290</v>
      </c>
      <c r="G4683" t="s">
        <v>9291</v>
      </c>
      <c r="H46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84" spans="1:8" ht="15" customHeight="1" x14ac:dyDescent="0.25">
      <c r="A4684" t="str">
        <f>MID(TB_CECO[[#This Row],[CECO_T]],1,5)</f>
        <v>5G72I</v>
      </c>
      <c r="B4684" t="str">
        <f>MID(TB_CECO[[#This Row],[TRABAJO]],1,SEARCH(",",TB_CECO[[#This Row],[TRABAJO]],1)-1)</f>
        <v>Tj 880 NE (Ch 907)</v>
      </c>
      <c r="C46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NE (Ch 907),PERFORACION</v>
      </c>
      <c r="D46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84" s="47" t="s">
        <v>9292</v>
      </c>
      <c r="G4684" t="s">
        <v>9293</v>
      </c>
      <c r="H46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85" spans="1:8" ht="15" customHeight="1" x14ac:dyDescent="0.25">
      <c r="A4685" t="str">
        <f>MID(TB_CECO[[#This Row],[CECO_T]],1,5)</f>
        <v>5G72I</v>
      </c>
      <c r="B4685" t="str">
        <f>MID(TB_CECO[[#This Row],[TRABAJO]],1,SEARCH(",",TB_CECO[[#This Row],[TRABAJO]],1)-1)</f>
        <v>Tj 880 NE (Ch 907)</v>
      </c>
      <c r="C46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NE (Ch 907),RELLENO</v>
      </c>
      <c r="D46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85" s="47" t="s">
        <v>9294</v>
      </c>
      <c r="G4685" t="s">
        <v>9295</v>
      </c>
      <c r="H46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86" spans="1:8" ht="15" customHeight="1" x14ac:dyDescent="0.25">
      <c r="A4686" t="str">
        <f>MID(TB_CECO[[#This Row],[CECO_T]],1,5)</f>
        <v>5G72I</v>
      </c>
      <c r="B4686" t="str">
        <f>MID(TB_CECO[[#This Row],[TRABAJO]],1,SEARCH(",",TB_CECO[[#This Row],[TRABAJO]],1)-1)</f>
        <v>Tj 880 NE (Ch 907)</v>
      </c>
      <c r="C46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NE (Ch 907),SOSTENIMIENTO</v>
      </c>
      <c r="D46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86" s="47" t="s">
        <v>9296</v>
      </c>
      <c r="G4686" t="s">
        <v>9297</v>
      </c>
      <c r="H46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87" spans="1:8" ht="15" customHeight="1" x14ac:dyDescent="0.25">
      <c r="A4687" t="str">
        <f>MID(TB_CECO[[#This Row],[CECO_T]],1,5)</f>
        <v>5G72I</v>
      </c>
      <c r="B4687" t="str">
        <f>MID(TB_CECO[[#This Row],[TRABAJO]],1,SEARCH(",",TB_CECO[[#This Row],[TRABAJO]],1)-1)</f>
        <v>Tj 880 NE (Ch 907)</v>
      </c>
      <c r="C46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880 NE (Ch 907),VOLADURA</v>
      </c>
      <c r="D46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87" s="47" t="s">
        <v>9298</v>
      </c>
      <c r="G4687" t="s">
        <v>9299</v>
      </c>
      <c r="H46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88" spans="1:8" ht="15" customHeight="1" x14ac:dyDescent="0.25">
      <c r="A4688" t="str">
        <f>MID(TB_CECO[[#This Row],[CECO_T]],1,5)</f>
        <v>5G72P</v>
      </c>
      <c r="B4688" t="str">
        <f>MID(TB_CECO[[#This Row],[TRABAJO]],1,SEARCH(",",TB_CECO[[#This Row],[TRABAJO]],1)-1)</f>
        <v>Tj 900 NE (Ch 907)</v>
      </c>
      <c r="C46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907),LIMPIEZA</v>
      </c>
      <c r="D46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88" s="47" t="s">
        <v>9300</v>
      </c>
      <c r="G4688" t="s">
        <v>9301</v>
      </c>
      <c r="H46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89" spans="1:8" ht="15" customHeight="1" x14ac:dyDescent="0.25">
      <c r="A4689" t="str">
        <f>MID(TB_CECO[[#This Row],[CECO_T]],1,5)</f>
        <v>5G72P</v>
      </c>
      <c r="B4689" t="str">
        <f>MID(TB_CECO[[#This Row],[TRABAJO]],1,SEARCH(",",TB_CECO[[#This Row],[TRABAJO]],1)-1)</f>
        <v>Tj 900 NE (Ch 907)</v>
      </c>
      <c r="C46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907),SERVICIO</v>
      </c>
      <c r="D46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89" s="47" t="s">
        <v>9302</v>
      </c>
      <c r="G4689" t="s">
        <v>9303</v>
      </c>
      <c r="H46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90" spans="1:8" ht="15" customHeight="1" x14ac:dyDescent="0.25">
      <c r="A4690" t="str">
        <f>MID(TB_CECO[[#This Row],[CECO_T]],1,5)</f>
        <v>5G72P</v>
      </c>
      <c r="B4690" t="str">
        <f>MID(TB_CECO[[#This Row],[TRABAJO]],1,SEARCH(",",TB_CECO[[#This Row],[TRABAJO]],1)-1)</f>
        <v>Tj 900 NE (Ch 907)</v>
      </c>
      <c r="C46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907),PERFORACION</v>
      </c>
      <c r="D46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90" s="47" t="s">
        <v>9304</v>
      </c>
      <c r="G4690" t="s">
        <v>9305</v>
      </c>
      <c r="H46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91" spans="1:8" ht="15" customHeight="1" x14ac:dyDescent="0.25">
      <c r="A4691" t="str">
        <f>MID(TB_CECO[[#This Row],[CECO_T]],1,5)</f>
        <v>5G72P</v>
      </c>
      <c r="B4691" t="str">
        <f>MID(TB_CECO[[#This Row],[TRABAJO]],1,SEARCH(",",TB_CECO[[#This Row],[TRABAJO]],1)-1)</f>
        <v>Tj 900 NE (Ch 907)</v>
      </c>
      <c r="C46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907),RELLENO</v>
      </c>
      <c r="D46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91" s="47" t="s">
        <v>9306</v>
      </c>
      <c r="G4691" t="s">
        <v>9307</v>
      </c>
      <c r="H46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92" spans="1:8" ht="15" customHeight="1" x14ac:dyDescent="0.25">
      <c r="A4692" t="str">
        <f>MID(TB_CECO[[#This Row],[CECO_T]],1,5)</f>
        <v>5G72P</v>
      </c>
      <c r="B4692" t="str">
        <f>MID(TB_CECO[[#This Row],[TRABAJO]],1,SEARCH(",",TB_CECO[[#This Row],[TRABAJO]],1)-1)</f>
        <v>Tj 900 NE (Ch 907)</v>
      </c>
      <c r="C46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907),SOSTENIMIENTO</v>
      </c>
      <c r="D46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92" s="47" t="s">
        <v>9308</v>
      </c>
      <c r="G4692" t="s">
        <v>9309</v>
      </c>
      <c r="H46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93" spans="1:8" ht="15" customHeight="1" x14ac:dyDescent="0.25">
      <c r="A4693" t="str">
        <f>MID(TB_CECO[[#This Row],[CECO_T]],1,5)</f>
        <v>5G72P</v>
      </c>
      <c r="B4693" t="str">
        <f>MID(TB_CECO[[#This Row],[TRABAJO]],1,SEARCH(",",TB_CECO[[#This Row],[TRABAJO]],1)-1)</f>
        <v>Tj 900 NE (Ch 907)</v>
      </c>
      <c r="C46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900 NE (Ch 907),VOLADURA</v>
      </c>
      <c r="D46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93" s="47" t="s">
        <v>9310</v>
      </c>
      <c r="G4693" t="s">
        <v>9311</v>
      </c>
      <c r="H46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94" spans="1:8" ht="15" customHeight="1" x14ac:dyDescent="0.25">
      <c r="A4694" t="str">
        <f>MID(TB_CECO[[#This Row],[CECO_T]],1,5)</f>
        <v>5G72Q</v>
      </c>
      <c r="B4694" t="str">
        <f>MID(TB_CECO[[#This Row],[TRABAJO]],1,SEARCH(",",TB_CECO[[#This Row],[TRABAJO]],1)-1)</f>
        <v>Tj 018 NE (Ch 877)</v>
      </c>
      <c r="C46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018 NE (Ch 877),LIMPIEZA</v>
      </c>
      <c r="D46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94" s="47" t="s">
        <v>9312</v>
      </c>
      <c r="G4694" t="s">
        <v>9313</v>
      </c>
      <c r="H46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95" spans="1:8" ht="15" customHeight="1" x14ac:dyDescent="0.25">
      <c r="A4695" t="str">
        <f>MID(TB_CECO[[#This Row],[CECO_T]],1,5)</f>
        <v>5G72Q</v>
      </c>
      <c r="B4695" t="str">
        <f>MID(TB_CECO[[#This Row],[TRABAJO]],1,SEARCH(",",TB_CECO[[#This Row],[TRABAJO]],1)-1)</f>
        <v>Tj 018 NE (Ch 877)</v>
      </c>
      <c r="C46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018 NE (Ch 877),SERVICIO</v>
      </c>
      <c r="D46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95" s="47" t="s">
        <v>9314</v>
      </c>
      <c r="G4695" t="s">
        <v>9315</v>
      </c>
      <c r="H46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96" spans="1:8" ht="15" customHeight="1" x14ac:dyDescent="0.25">
      <c r="A4696" t="str">
        <f>MID(TB_CECO[[#This Row],[CECO_T]],1,5)</f>
        <v>5G72Q</v>
      </c>
      <c r="B4696" t="str">
        <f>MID(TB_CECO[[#This Row],[TRABAJO]],1,SEARCH(",",TB_CECO[[#This Row],[TRABAJO]],1)-1)</f>
        <v>Tj 018 NE (Ch 877)</v>
      </c>
      <c r="C46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018 NE (Ch 877),PERFORACION</v>
      </c>
      <c r="D46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96" s="47" t="s">
        <v>9316</v>
      </c>
      <c r="G4696" t="s">
        <v>9317</v>
      </c>
      <c r="H46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97" spans="1:8" ht="15" customHeight="1" x14ac:dyDescent="0.25">
      <c r="A4697" t="str">
        <f>MID(TB_CECO[[#This Row],[CECO_T]],1,5)</f>
        <v>5G72Q</v>
      </c>
      <c r="B4697" t="str">
        <f>MID(TB_CECO[[#This Row],[TRABAJO]],1,SEARCH(",",TB_CECO[[#This Row],[TRABAJO]],1)-1)</f>
        <v>Tj 018 NE (Ch 877)</v>
      </c>
      <c r="C46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018 NE (Ch 877),RELLENO</v>
      </c>
      <c r="D46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97" s="47" t="s">
        <v>9318</v>
      </c>
      <c r="G4697" t="s">
        <v>9319</v>
      </c>
      <c r="H46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98" spans="1:8" ht="15" customHeight="1" x14ac:dyDescent="0.25">
      <c r="A4698" t="str">
        <f>MID(TB_CECO[[#This Row],[CECO_T]],1,5)</f>
        <v>5G72Q</v>
      </c>
      <c r="B4698" t="str">
        <f>MID(TB_CECO[[#This Row],[TRABAJO]],1,SEARCH(",",TB_CECO[[#This Row],[TRABAJO]],1)-1)</f>
        <v>Tj 018 NE (Ch 877)</v>
      </c>
      <c r="C46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018 NE (Ch 877),SOSTENIMIENTO</v>
      </c>
      <c r="D46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98" s="47" t="s">
        <v>9320</v>
      </c>
      <c r="G4698" t="s">
        <v>9321</v>
      </c>
      <c r="H46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699" spans="1:8" ht="15" customHeight="1" x14ac:dyDescent="0.25">
      <c r="A4699" t="str">
        <f>MID(TB_CECO[[#This Row],[CECO_T]],1,5)</f>
        <v>5G72Q</v>
      </c>
      <c r="B4699" t="str">
        <f>MID(TB_CECO[[#This Row],[TRABAJO]],1,SEARCH(",",TB_CECO[[#This Row],[TRABAJO]],1)-1)</f>
        <v>Tj 018 NE (Ch 877)</v>
      </c>
      <c r="C46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018 NE (Ch 877),VOLADURA</v>
      </c>
      <c r="D46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6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699" s="47" t="s">
        <v>9322</v>
      </c>
      <c r="G4699" t="s">
        <v>9323</v>
      </c>
      <c r="H46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00" spans="1:8" ht="15" customHeight="1" x14ac:dyDescent="0.25">
      <c r="A4700" t="str">
        <f>MID(TB_CECO[[#This Row],[CECO_T]],1,5)</f>
        <v>5G72V</v>
      </c>
      <c r="B4700" t="str">
        <f>MID(TB_CECO[[#This Row],[TRABAJO]],1,SEARCH(",",TB_CECO[[#This Row],[TRABAJO]],1)-1)</f>
        <v>Tj 019 SW (Ch 907)</v>
      </c>
      <c r="C47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SW (Ch 907),LIMPIEZA</v>
      </c>
      <c r="D47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00" s="47" t="s">
        <v>9324</v>
      </c>
      <c r="G4700" t="s">
        <v>9325</v>
      </c>
      <c r="H47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01" spans="1:8" ht="15" customHeight="1" x14ac:dyDescent="0.25">
      <c r="A4701" t="str">
        <f>MID(TB_CECO[[#This Row],[CECO_T]],1,5)</f>
        <v>5G72V</v>
      </c>
      <c r="B4701" t="str">
        <f>MID(TB_CECO[[#This Row],[TRABAJO]],1,SEARCH(",",TB_CECO[[#This Row],[TRABAJO]],1)-1)</f>
        <v>Tj 019 SW (Ch 907)</v>
      </c>
      <c r="C47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SW (Ch 907),SERVICIO</v>
      </c>
      <c r="D47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01" s="47" t="s">
        <v>9326</v>
      </c>
      <c r="G4701" t="s">
        <v>9327</v>
      </c>
      <c r="H47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02" spans="1:8" ht="15" customHeight="1" x14ac:dyDescent="0.25">
      <c r="A4702" t="str">
        <f>MID(TB_CECO[[#This Row],[CECO_T]],1,5)</f>
        <v>5G72V</v>
      </c>
      <c r="B4702" t="str">
        <f>MID(TB_CECO[[#This Row],[TRABAJO]],1,SEARCH(",",TB_CECO[[#This Row],[TRABAJO]],1)-1)</f>
        <v>Tj 019 SW (Ch 907)</v>
      </c>
      <c r="C47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SW (Ch 907),PERFORACION</v>
      </c>
      <c r="D47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02" s="47" t="s">
        <v>9328</v>
      </c>
      <c r="G4702" t="s">
        <v>9329</v>
      </c>
      <c r="H47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03" spans="1:8" ht="15" customHeight="1" x14ac:dyDescent="0.25">
      <c r="A4703" t="str">
        <f>MID(TB_CECO[[#This Row],[CECO_T]],1,5)</f>
        <v>5G72V</v>
      </c>
      <c r="B4703" t="str">
        <f>MID(TB_CECO[[#This Row],[TRABAJO]],1,SEARCH(",",TB_CECO[[#This Row],[TRABAJO]],1)-1)</f>
        <v>Tj 019 SW (Ch 907)</v>
      </c>
      <c r="C47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SW (Ch 907),RELLENO</v>
      </c>
      <c r="D47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03" s="47" t="s">
        <v>9330</v>
      </c>
      <c r="G4703" t="s">
        <v>9331</v>
      </c>
      <c r="H47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04" spans="1:8" ht="15" customHeight="1" x14ac:dyDescent="0.25">
      <c r="A4704" t="str">
        <f>MID(TB_CECO[[#This Row],[CECO_T]],1,5)</f>
        <v>5G72V</v>
      </c>
      <c r="B4704" t="str">
        <f>MID(TB_CECO[[#This Row],[TRABAJO]],1,SEARCH(",",TB_CECO[[#This Row],[TRABAJO]],1)-1)</f>
        <v>Tj 019 SW (Ch 907)</v>
      </c>
      <c r="C47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SW (Ch 907),SOSTENIMIENTO</v>
      </c>
      <c r="D47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04" s="47" t="s">
        <v>9332</v>
      </c>
      <c r="G4704" t="s">
        <v>9333</v>
      </c>
      <c r="H47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05" spans="1:8" ht="15" customHeight="1" x14ac:dyDescent="0.25">
      <c r="A4705" t="str">
        <f>MID(TB_CECO[[#This Row],[CECO_T]],1,5)</f>
        <v>5G72V</v>
      </c>
      <c r="B4705" t="str">
        <f>MID(TB_CECO[[#This Row],[TRABAJO]],1,SEARCH(",",TB_CECO[[#This Row],[TRABAJO]],1)-1)</f>
        <v>Tj 019 SW (Ch 907)</v>
      </c>
      <c r="C47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SW (Ch 907),VOLADURA</v>
      </c>
      <c r="D47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05" s="47" t="s">
        <v>9334</v>
      </c>
      <c r="G4705" t="s">
        <v>9335</v>
      </c>
      <c r="H47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06" spans="1:8" ht="15" customHeight="1" x14ac:dyDescent="0.25">
      <c r="A4706" t="str">
        <f>MID(TB_CECO[[#This Row],[CECO_T]],1,5)</f>
        <v>5G72W</v>
      </c>
      <c r="B4706" t="str">
        <f>MID(TB_CECO[[#This Row],[TRABAJO]],1,SEARCH(",",TB_CECO[[#This Row],[TRABAJO]],1)-1)</f>
        <v>Tj 019 NE (Ch 907)</v>
      </c>
      <c r="C47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NE (Ch 907),LIMPIEZA</v>
      </c>
      <c r="D47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06" s="47" t="s">
        <v>9336</v>
      </c>
      <c r="G4706" t="s">
        <v>9337</v>
      </c>
      <c r="H47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07" spans="1:8" ht="15" customHeight="1" x14ac:dyDescent="0.25">
      <c r="A4707" t="str">
        <f>MID(TB_CECO[[#This Row],[CECO_T]],1,5)</f>
        <v>5G72W</v>
      </c>
      <c r="B4707" t="str">
        <f>MID(TB_CECO[[#This Row],[TRABAJO]],1,SEARCH(",",TB_CECO[[#This Row],[TRABAJO]],1)-1)</f>
        <v>Tj 019 NE (Ch 907)</v>
      </c>
      <c r="C47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NE (Ch 907),SERVICIO</v>
      </c>
      <c r="D47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07" s="47" t="s">
        <v>9338</v>
      </c>
      <c r="G4707" t="s">
        <v>9339</v>
      </c>
      <c r="H47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08" spans="1:8" ht="15" customHeight="1" x14ac:dyDescent="0.25">
      <c r="A4708" t="str">
        <f>MID(TB_CECO[[#This Row],[CECO_T]],1,5)</f>
        <v>5G72W</v>
      </c>
      <c r="B4708" t="str">
        <f>MID(TB_CECO[[#This Row],[TRABAJO]],1,SEARCH(",",TB_CECO[[#This Row],[TRABAJO]],1)-1)</f>
        <v>Tj 019 NE (Ch 907)</v>
      </c>
      <c r="C47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NE (Ch 907),PERFORACION</v>
      </c>
      <c r="D47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08" s="47" t="s">
        <v>9340</v>
      </c>
      <c r="G4708" t="s">
        <v>9341</v>
      </c>
      <c r="H47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09" spans="1:8" ht="15" customHeight="1" x14ac:dyDescent="0.25">
      <c r="A4709" t="str">
        <f>MID(TB_CECO[[#This Row],[CECO_T]],1,5)</f>
        <v>5G72W</v>
      </c>
      <c r="B4709" t="str">
        <f>MID(TB_CECO[[#This Row],[TRABAJO]],1,SEARCH(",",TB_CECO[[#This Row],[TRABAJO]],1)-1)</f>
        <v>Tj 019 NE (Ch 907)</v>
      </c>
      <c r="C47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NE (Ch 907),RELLENO</v>
      </c>
      <c r="D47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09" s="47" t="s">
        <v>9342</v>
      </c>
      <c r="G4709" t="s">
        <v>9343</v>
      </c>
      <c r="H47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10" spans="1:8" ht="15" customHeight="1" x14ac:dyDescent="0.25">
      <c r="A4710" t="str">
        <f>MID(TB_CECO[[#This Row],[CECO_T]],1,5)</f>
        <v>5G72W</v>
      </c>
      <c r="B4710" t="str">
        <f>MID(TB_CECO[[#This Row],[TRABAJO]],1,SEARCH(",",TB_CECO[[#This Row],[TRABAJO]],1)-1)</f>
        <v>Tj 019 NE (Ch 907)</v>
      </c>
      <c r="C47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NE (Ch 907),SOSTENIMIENTO</v>
      </c>
      <c r="D47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10" s="47" t="s">
        <v>9344</v>
      </c>
      <c r="G4710" t="s">
        <v>9345</v>
      </c>
      <c r="H47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11" spans="1:8" ht="15" customHeight="1" x14ac:dyDescent="0.25">
      <c r="A4711" t="str">
        <f>MID(TB_CECO[[#This Row],[CECO_T]],1,5)</f>
        <v>5G72W</v>
      </c>
      <c r="B4711" t="str">
        <f>MID(TB_CECO[[#This Row],[TRABAJO]],1,SEARCH(",",TB_CECO[[#This Row],[TRABAJO]],1)-1)</f>
        <v>Tj 019 NE (Ch 907)</v>
      </c>
      <c r="C47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019 NE (Ch 907),VOLADURA</v>
      </c>
      <c r="D47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11" s="47" t="s">
        <v>9346</v>
      </c>
      <c r="G4711" t="s">
        <v>9347</v>
      </c>
      <c r="H47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12" spans="1:8" ht="15" customHeight="1" x14ac:dyDescent="0.25">
      <c r="A4712" t="str">
        <f>MID(TB_CECO[[#This Row],[CECO_T]],1,5)</f>
        <v>5G750</v>
      </c>
      <c r="B4712" t="str">
        <f>MID(TB_CECO[[#This Row],[TRABAJO]],1,SEARCH(",",TB_CECO[[#This Row],[TRABAJO]],1)-1)</f>
        <v>TJ 100</v>
      </c>
      <c r="C47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100,SUMINISTROS</v>
      </c>
      <c r="D47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12" s="47" t="s">
        <v>9348</v>
      </c>
      <c r="G4712" t="s">
        <v>9349</v>
      </c>
      <c r="H47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13" spans="1:8" ht="15" customHeight="1" x14ac:dyDescent="0.25">
      <c r="A4713" t="str">
        <f>MID(TB_CECO[[#This Row],[CECO_T]],1,5)</f>
        <v>5G750</v>
      </c>
      <c r="B4713" t="str">
        <f>MID(TB_CECO[[#This Row],[TRABAJO]],1,SEARCH(",",TB_CECO[[#This Row],[TRABAJO]],1)-1)</f>
        <v>TJ 100</v>
      </c>
      <c r="C47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100,SOSTENIMIENTO</v>
      </c>
      <c r="D47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13" s="47" t="s">
        <v>9350</v>
      </c>
      <c r="G4713" t="s">
        <v>9351</v>
      </c>
      <c r="H47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14" spans="1:8" ht="15" customHeight="1" x14ac:dyDescent="0.25">
      <c r="A4714" t="str">
        <f>MID(TB_CECO[[#This Row],[CECO_T]],1,5)</f>
        <v>5G778</v>
      </c>
      <c r="B4714" t="str">
        <f>MID(TB_CECO[[#This Row],[TRABAJO]],1,SEARCH(",",TB_CECO[[#This Row],[TRABAJO]],1)-1)</f>
        <v>Tj 152 NE (Ch 152)</v>
      </c>
      <c r="C47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152 NE (Ch 152),SUMINISTROS</v>
      </c>
      <c r="D47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14" s="47" t="s">
        <v>9352</v>
      </c>
      <c r="G4714" t="s">
        <v>9353</v>
      </c>
      <c r="H47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15" spans="1:8" ht="15" customHeight="1" x14ac:dyDescent="0.25">
      <c r="A4715" t="str">
        <f>MID(TB_CECO[[#This Row],[CECO_T]],1,5)</f>
        <v>5G778</v>
      </c>
      <c r="B4715" t="str">
        <f>MID(TB_CECO[[#This Row],[TRABAJO]],1,SEARCH(",",TB_CECO[[#This Row],[TRABAJO]],1)-1)</f>
        <v>Tj 152 NE (Ch 152)</v>
      </c>
      <c r="C47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152 NE (Ch 152),SOSTENIMIENTO</v>
      </c>
      <c r="D47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15" s="47" t="s">
        <v>9354</v>
      </c>
      <c r="G4715" t="s">
        <v>9355</v>
      </c>
      <c r="H47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16" spans="1:8" ht="15" customHeight="1" x14ac:dyDescent="0.25">
      <c r="A4716" t="str">
        <f>MID(TB_CECO[[#This Row],[CECO_T]],1,5)</f>
        <v>5G778</v>
      </c>
      <c r="B4716" t="str">
        <f>MID(TB_CECO[[#This Row],[TRABAJO]],1,SEARCH(",",TB_CECO[[#This Row],[TRABAJO]],1)-1)</f>
        <v>Tj 152 NE (Ch 152)</v>
      </c>
      <c r="C47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152 NE (Ch 152),SERVICIO</v>
      </c>
      <c r="D47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16" s="47" t="s">
        <v>9356</v>
      </c>
      <c r="G4716" t="s">
        <v>9357</v>
      </c>
      <c r="H47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17" spans="1:8" ht="15" customHeight="1" x14ac:dyDescent="0.25">
      <c r="A4717" t="str">
        <f>MID(TB_CECO[[#This Row],[CECO_T]],1,5)</f>
        <v>5G778</v>
      </c>
      <c r="B4717" t="str">
        <f>MID(TB_CECO[[#This Row],[TRABAJO]],1,SEARCH(",",TB_CECO[[#This Row],[TRABAJO]],1)-1)</f>
        <v>Tj 152 NE (Ch 152)</v>
      </c>
      <c r="C47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152 NE (Ch 152),REHABILITACION</v>
      </c>
      <c r="D47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17" s="47" t="s">
        <v>9358</v>
      </c>
      <c r="G4717" t="s">
        <v>9359</v>
      </c>
      <c r="H47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18" spans="1:8" ht="15" customHeight="1" x14ac:dyDescent="0.25">
      <c r="A4718" t="str">
        <f>MID(TB_CECO[[#This Row],[CECO_T]],1,5)</f>
        <v>5G779</v>
      </c>
      <c r="B4718" t="str">
        <f>MID(TB_CECO[[#This Row],[TRABAJO]],1,SEARCH(",",TB_CECO[[#This Row],[TRABAJO]],1)-1)</f>
        <v>Tj 152 SW (Ch 152)</v>
      </c>
      <c r="C47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152 SW (Ch 152),SUMINISTROS</v>
      </c>
      <c r="D47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18" s="47" t="s">
        <v>9360</v>
      </c>
      <c r="G4718" t="s">
        <v>9361</v>
      </c>
      <c r="H47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19" spans="1:8" ht="15" customHeight="1" x14ac:dyDescent="0.25">
      <c r="A4719" t="str">
        <f>MID(TB_CECO[[#This Row],[CECO_T]],1,5)</f>
        <v>5G779</v>
      </c>
      <c r="B4719" t="str">
        <f>MID(TB_CECO[[#This Row],[TRABAJO]],1,SEARCH(",",TB_CECO[[#This Row],[TRABAJO]],1)-1)</f>
        <v>Tj 152 SW (Ch 152)</v>
      </c>
      <c r="C47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152 SW (Ch 152),SOSTENIMIENTO</v>
      </c>
      <c r="D47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19" s="47" t="s">
        <v>9362</v>
      </c>
      <c r="G4719" t="s">
        <v>9363</v>
      </c>
      <c r="H47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20" spans="1:8" ht="15" customHeight="1" x14ac:dyDescent="0.25">
      <c r="A4720" t="str">
        <f>MID(TB_CECO[[#This Row],[CECO_T]],1,5)</f>
        <v>5G779</v>
      </c>
      <c r="B4720" t="str">
        <f>MID(TB_CECO[[#This Row],[TRABAJO]],1,SEARCH(",",TB_CECO[[#This Row],[TRABAJO]],1)-1)</f>
        <v>Tj 152 SW (Ch 152)</v>
      </c>
      <c r="C47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152 SW (Ch 152),SERVICIO</v>
      </c>
      <c r="D47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20" s="47" t="s">
        <v>9364</v>
      </c>
      <c r="G4720" t="s">
        <v>9365</v>
      </c>
      <c r="H47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21" spans="1:8" ht="15" customHeight="1" x14ac:dyDescent="0.25">
      <c r="A4721" t="str">
        <f>MID(TB_CECO[[#This Row],[CECO_T]],1,5)</f>
        <v>5G779</v>
      </c>
      <c r="B4721" t="str">
        <f>MID(TB_CECO[[#This Row],[TRABAJO]],1,SEARCH(",",TB_CECO[[#This Row],[TRABAJO]],1)-1)</f>
        <v>Tj 152 SW (Ch 152)</v>
      </c>
      <c r="C47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152 SW (Ch 152),REHABILITACION</v>
      </c>
      <c r="D47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21" s="47" t="s">
        <v>9366</v>
      </c>
      <c r="G4721" t="s">
        <v>9367</v>
      </c>
      <c r="H47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22" spans="1:8" ht="15" customHeight="1" x14ac:dyDescent="0.25">
      <c r="A4722" t="str">
        <f>MID(TB_CECO[[#This Row],[CECO_T]],1,5)</f>
        <v>5G792</v>
      </c>
      <c r="B4722" t="str">
        <f>MID(TB_CECO[[#This Row],[TRABAJO]],1,SEARCH(",",TB_CECO[[#This Row],[TRABAJO]],1)-1)</f>
        <v>Tj 940 SW (Ch 931)</v>
      </c>
      <c r="C47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940 SW (Ch 931),LIMPIEZA</v>
      </c>
      <c r="D47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22" s="47" t="s">
        <v>9368</v>
      </c>
      <c r="G4722" t="s">
        <v>9369</v>
      </c>
      <c r="H47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23" spans="1:8" ht="15" customHeight="1" x14ac:dyDescent="0.25">
      <c r="A4723" t="str">
        <f>MID(TB_CECO[[#This Row],[CECO_T]],1,5)</f>
        <v>5G792</v>
      </c>
      <c r="B4723" t="str">
        <f>MID(TB_CECO[[#This Row],[TRABAJO]],1,SEARCH(",",TB_CECO[[#This Row],[TRABAJO]],1)-1)</f>
        <v>Tj 940 SW (Ch 931)</v>
      </c>
      <c r="C47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940 SW (Ch 931),SERVICIO</v>
      </c>
      <c r="D47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23" s="47" t="s">
        <v>9370</v>
      </c>
      <c r="G4723" t="s">
        <v>9371</v>
      </c>
      <c r="H47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24" spans="1:8" ht="15" customHeight="1" x14ac:dyDescent="0.25">
      <c r="A4724" t="str">
        <f>MID(TB_CECO[[#This Row],[CECO_T]],1,5)</f>
        <v>5G792</v>
      </c>
      <c r="B4724" t="str">
        <f>MID(TB_CECO[[#This Row],[TRABAJO]],1,SEARCH(",",TB_CECO[[#This Row],[TRABAJO]],1)-1)</f>
        <v>Tj 940 SW (Ch 931)</v>
      </c>
      <c r="C47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940 SW (Ch 931),PERFORACION</v>
      </c>
      <c r="D47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24" s="47" t="s">
        <v>9372</v>
      </c>
      <c r="G4724" t="s">
        <v>9373</v>
      </c>
      <c r="H47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25" spans="1:8" ht="15" customHeight="1" x14ac:dyDescent="0.25">
      <c r="A4725" t="str">
        <f>MID(TB_CECO[[#This Row],[CECO_T]],1,5)</f>
        <v>5G792</v>
      </c>
      <c r="B4725" t="str">
        <f>MID(TB_CECO[[#This Row],[TRABAJO]],1,SEARCH(",",TB_CECO[[#This Row],[TRABAJO]],1)-1)</f>
        <v>Tj 940 SW (Ch 931)</v>
      </c>
      <c r="C47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940 SW (Ch 931),SOSTENIMIENTO</v>
      </c>
      <c r="D47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25" s="47" t="s">
        <v>9374</v>
      </c>
      <c r="G4725" t="s">
        <v>9375</v>
      </c>
      <c r="H47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26" spans="1:8" ht="15" customHeight="1" x14ac:dyDescent="0.25">
      <c r="A4726" t="str">
        <f>MID(TB_CECO[[#This Row],[CECO_T]],1,5)</f>
        <v>5G792</v>
      </c>
      <c r="B4726" t="str">
        <f>MID(TB_CECO[[#This Row],[TRABAJO]],1,SEARCH(",",TB_CECO[[#This Row],[TRABAJO]],1)-1)</f>
        <v>Tj 940 SW (Ch 931)</v>
      </c>
      <c r="C47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940 SW (Ch 931),VOLADURA</v>
      </c>
      <c r="D47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26" s="47" t="s">
        <v>9376</v>
      </c>
      <c r="G4726" t="s">
        <v>9377</v>
      </c>
      <c r="H47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27" spans="1:8" ht="15" customHeight="1" x14ac:dyDescent="0.25">
      <c r="A4727" t="str">
        <f>MID(TB_CECO[[#This Row],[CECO_T]],1,5)</f>
        <v>5G793</v>
      </c>
      <c r="B4727" t="str">
        <f>MID(TB_CECO[[#This Row],[TRABAJO]],1,SEARCH(",",TB_CECO[[#This Row],[TRABAJO]],1)-1)</f>
        <v>Tj 940 NE (Ch 931)</v>
      </c>
      <c r="C47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940 NE (Ch 931),LIMPIEZA</v>
      </c>
      <c r="D47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27" s="47" t="s">
        <v>9378</v>
      </c>
      <c r="G4727" t="s">
        <v>9379</v>
      </c>
      <c r="H47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28" spans="1:8" ht="15" customHeight="1" x14ac:dyDescent="0.25">
      <c r="A4728" t="str">
        <f>MID(TB_CECO[[#This Row],[CECO_T]],1,5)</f>
        <v>5G793</v>
      </c>
      <c r="B4728" t="str">
        <f>MID(TB_CECO[[#This Row],[TRABAJO]],1,SEARCH(",",TB_CECO[[#This Row],[TRABAJO]],1)-1)</f>
        <v>Tj 940 NE (Ch 931)</v>
      </c>
      <c r="C47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940 NE (Ch 931),SERVICIO</v>
      </c>
      <c r="D47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28" s="47" t="s">
        <v>9380</v>
      </c>
      <c r="G4728" t="s">
        <v>9381</v>
      </c>
      <c r="H47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29" spans="1:8" ht="15" customHeight="1" x14ac:dyDescent="0.25">
      <c r="A4729" t="str">
        <f>MID(TB_CECO[[#This Row],[CECO_T]],1,5)</f>
        <v>5G793</v>
      </c>
      <c r="B4729" t="str">
        <f>MID(TB_CECO[[#This Row],[TRABAJO]],1,SEARCH(",",TB_CECO[[#This Row],[TRABAJO]],1)-1)</f>
        <v>Tj 940 NE (Ch 931)</v>
      </c>
      <c r="C47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940 NE (Ch 931),PERFORACION</v>
      </c>
      <c r="D47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29" s="47" t="s">
        <v>9382</v>
      </c>
      <c r="G4729" t="s">
        <v>9383</v>
      </c>
      <c r="H47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30" spans="1:8" ht="15" customHeight="1" x14ac:dyDescent="0.25">
      <c r="A4730" t="str">
        <f>MID(TB_CECO[[#This Row],[CECO_T]],1,5)</f>
        <v>5G793</v>
      </c>
      <c r="B4730" t="str">
        <f>MID(TB_CECO[[#This Row],[TRABAJO]],1,SEARCH(",",TB_CECO[[#This Row],[TRABAJO]],1)-1)</f>
        <v>Tj 940 NE (Ch 931)</v>
      </c>
      <c r="C47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940 NE (Ch 931),SOSTENIMIENTO</v>
      </c>
      <c r="D47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30" s="47" t="s">
        <v>9384</v>
      </c>
      <c r="G4730" t="s">
        <v>9385</v>
      </c>
      <c r="H47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31" spans="1:8" ht="15" customHeight="1" x14ac:dyDescent="0.25">
      <c r="A4731" t="str">
        <f>MID(TB_CECO[[#This Row],[CECO_T]],1,5)</f>
        <v>5G793</v>
      </c>
      <c r="B4731" t="str">
        <f>MID(TB_CECO[[#This Row],[TRABAJO]],1,SEARCH(",",TB_CECO[[#This Row],[TRABAJO]],1)-1)</f>
        <v>Tj 940 NE (Ch 931)</v>
      </c>
      <c r="C47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940 NE (Ch 931),VOLADURA</v>
      </c>
      <c r="D47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47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31" s="47" t="s">
        <v>9386</v>
      </c>
      <c r="G4731" t="s">
        <v>9387</v>
      </c>
      <c r="H47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32" spans="1:8" ht="15" customHeight="1" x14ac:dyDescent="0.25">
      <c r="A4732" t="str">
        <f>MID(TB_CECO[[#This Row],[CECO_T]],1,5)</f>
        <v>5H71F</v>
      </c>
      <c r="B4732" t="str">
        <f>MID(TB_CECO[[#This Row],[TRABAJO]],1,SEARCH(",",TB_CECO[[#This Row],[TRABAJO]],1)-1)</f>
        <v>Tj 710 SW (Gal 708 SW)</v>
      </c>
      <c r="C47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SW (Gal 708 SW),LIMPIEZA</v>
      </c>
      <c r="D47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32" s="47" t="s">
        <v>9388</v>
      </c>
      <c r="G4732" t="s">
        <v>9389</v>
      </c>
      <c r="H47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33" spans="1:8" ht="15" customHeight="1" x14ac:dyDescent="0.25">
      <c r="A4733" t="str">
        <f>MID(TB_CECO[[#This Row],[CECO_T]],1,5)</f>
        <v>5H71F</v>
      </c>
      <c r="B4733" t="str">
        <f>MID(TB_CECO[[#This Row],[TRABAJO]],1,SEARCH(",",TB_CECO[[#This Row],[TRABAJO]],1)-1)</f>
        <v>Tj 710 SW (Gal 708 SW)</v>
      </c>
      <c r="C47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SW (Gal 708 SW),SERVICIO</v>
      </c>
      <c r="D47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33" s="47" t="s">
        <v>9390</v>
      </c>
      <c r="G4733" t="s">
        <v>9391</v>
      </c>
      <c r="H47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34" spans="1:8" ht="15" customHeight="1" x14ac:dyDescent="0.25">
      <c r="A4734" t="str">
        <f>MID(TB_CECO[[#This Row],[CECO_T]],1,5)</f>
        <v>5H71F</v>
      </c>
      <c r="B4734" t="str">
        <f>MID(TB_CECO[[#This Row],[TRABAJO]],1,SEARCH(",",TB_CECO[[#This Row],[TRABAJO]],1)-1)</f>
        <v>Tj 710 SW (Gal 708 SW)</v>
      </c>
      <c r="C47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SW (Gal 708 SW),PERFORACION</v>
      </c>
      <c r="D47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34" s="47" t="s">
        <v>9392</v>
      </c>
      <c r="G4734" t="s">
        <v>9393</v>
      </c>
      <c r="H47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35" spans="1:8" ht="15" customHeight="1" x14ac:dyDescent="0.25">
      <c r="A4735" t="str">
        <f>MID(TB_CECO[[#This Row],[CECO_T]],1,5)</f>
        <v>5H71F</v>
      </c>
      <c r="B4735" t="str">
        <f>MID(TB_CECO[[#This Row],[TRABAJO]],1,SEARCH(",",TB_CECO[[#This Row],[TRABAJO]],1)-1)</f>
        <v>Tj 710 SW (Gal 708 SW)</v>
      </c>
      <c r="C47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SW (Gal 708 SW),SOSTENIMIENTO</v>
      </c>
      <c r="D47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35" s="47" t="s">
        <v>9394</v>
      </c>
      <c r="G4735" t="s">
        <v>9395</v>
      </c>
      <c r="H47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36" spans="1:8" ht="15" customHeight="1" x14ac:dyDescent="0.25">
      <c r="A4736" t="str">
        <f>MID(TB_CECO[[#This Row],[CECO_T]],1,5)</f>
        <v>5H71F</v>
      </c>
      <c r="B4736" t="str">
        <f>MID(TB_CECO[[#This Row],[TRABAJO]],1,SEARCH(",",TB_CECO[[#This Row],[TRABAJO]],1)-1)</f>
        <v>Tj 710 SW (Gal 708 SW)</v>
      </c>
      <c r="C47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SW (Gal 708 SW),VOLADURA</v>
      </c>
      <c r="D47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36" s="47" t="s">
        <v>9396</v>
      </c>
      <c r="G4736" t="s">
        <v>9397</v>
      </c>
      <c r="H47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37" spans="1:8" ht="15" customHeight="1" x14ac:dyDescent="0.25">
      <c r="A4737" t="str">
        <f>MID(TB_CECO[[#This Row],[CECO_T]],1,5)</f>
        <v>5H71G</v>
      </c>
      <c r="B4737" t="str">
        <f>MID(TB_CECO[[#This Row],[TRABAJO]],1,SEARCH(",",TB_CECO[[#This Row],[TRABAJO]],1)-1)</f>
        <v>Tj 710 NE (Gal 708 SW)</v>
      </c>
      <c r="C47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NE (Gal 708 SW),LIMPIEZA</v>
      </c>
      <c r="D47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37" s="47" t="s">
        <v>9398</v>
      </c>
      <c r="G4737" t="s">
        <v>9399</v>
      </c>
      <c r="H47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38" spans="1:8" ht="15" customHeight="1" x14ac:dyDescent="0.25">
      <c r="A4738" t="str">
        <f>MID(TB_CECO[[#This Row],[CECO_T]],1,5)</f>
        <v>5H71G</v>
      </c>
      <c r="B4738" t="str">
        <f>MID(TB_CECO[[#This Row],[TRABAJO]],1,SEARCH(",",TB_CECO[[#This Row],[TRABAJO]],1)-1)</f>
        <v>Tj 710 NE (Gal 708 NE)</v>
      </c>
      <c r="C47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NE (Gal 708 NE),LIMPIEZA</v>
      </c>
      <c r="D47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38" s="47" t="s">
        <v>9398</v>
      </c>
      <c r="G4738" t="s">
        <v>9400</v>
      </c>
      <c r="H47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39" spans="1:8" ht="15" customHeight="1" x14ac:dyDescent="0.25">
      <c r="A4739" t="str">
        <f>MID(TB_CECO[[#This Row],[CECO_T]],1,5)</f>
        <v>5H71G</v>
      </c>
      <c r="B4739" t="str">
        <f>MID(TB_CECO[[#This Row],[TRABAJO]],1,SEARCH(",",TB_CECO[[#This Row],[TRABAJO]],1)-1)</f>
        <v>Tj 710 NE (Gal 708 SW)</v>
      </c>
      <c r="C47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NE (Gal 708 SW),SERVICIO</v>
      </c>
      <c r="D47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39" s="47" t="s">
        <v>9401</v>
      </c>
      <c r="G4739" t="s">
        <v>9402</v>
      </c>
      <c r="H47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40" spans="1:8" ht="15" customHeight="1" x14ac:dyDescent="0.25">
      <c r="A4740" t="str">
        <f>MID(TB_CECO[[#This Row],[CECO_T]],1,5)</f>
        <v>5H71G</v>
      </c>
      <c r="B4740" t="str">
        <f>MID(TB_CECO[[#This Row],[TRABAJO]],1,SEARCH(",",TB_CECO[[#This Row],[TRABAJO]],1)-1)</f>
        <v>Tj 710 NE (Gal 708 NE)</v>
      </c>
      <c r="C47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NE (Gal 708 NE),SERVICIO</v>
      </c>
      <c r="D47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40" s="47" t="s">
        <v>9401</v>
      </c>
      <c r="G4740" t="s">
        <v>9403</v>
      </c>
      <c r="H47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41" spans="1:8" ht="15" customHeight="1" x14ac:dyDescent="0.25">
      <c r="A4741" t="str">
        <f>MID(TB_CECO[[#This Row],[CECO_T]],1,5)</f>
        <v>5H71G</v>
      </c>
      <c r="B4741" t="str">
        <f>MID(TB_CECO[[#This Row],[TRABAJO]],1,SEARCH(",",TB_CECO[[#This Row],[TRABAJO]],1)-1)</f>
        <v>Tj 710 NE (Gal 708 SW)</v>
      </c>
      <c r="C47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NE (Gal 708 SW),PERFORACION</v>
      </c>
      <c r="D47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41" s="47" t="s">
        <v>9404</v>
      </c>
      <c r="G4741" t="s">
        <v>9405</v>
      </c>
      <c r="H47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42" spans="1:8" ht="15" customHeight="1" x14ac:dyDescent="0.25">
      <c r="A4742" t="str">
        <f>MID(TB_CECO[[#This Row],[CECO_T]],1,5)</f>
        <v>5H71G</v>
      </c>
      <c r="B4742" t="str">
        <f>MID(TB_CECO[[#This Row],[TRABAJO]],1,SEARCH(",",TB_CECO[[#This Row],[TRABAJO]],1)-1)</f>
        <v>Tj 710 NE (Gal 708 NE)</v>
      </c>
      <c r="C47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NE (Gal 708 NE),PERFORACION</v>
      </c>
      <c r="D47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42" s="47" t="s">
        <v>9404</v>
      </c>
      <c r="G4742" t="s">
        <v>9406</v>
      </c>
      <c r="H47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43" spans="1:8" ht="15" customHeight="1" x14ac:dyDescent="0.25">
      <c r="A4743" t="str">
        <f>MID(TB_CECO[[#This Row],[CECO_T]],1,5)</f>
        <v>5H71G</v>
      </c>
      <c r="B4743" t="str">
        <f>MID(TB_CECO[[#This Row],[TRABAJO]],1,SEARCH(",",TB_CECO[[#This Row],[TRABAJO]],1)-1)</f>
        <v>Tj 710 NE (Gal 708 NE)</v>
      </c>
      <c r="C47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NE (Gal 708 NE),RELLENO</v>
      </c>
      <c r="D47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43" s="47" t="s">
        <v>9407</v>
      </c>
      <c r="G4743" t="s">
        <v>9408</v>
      </c>
      <c r="H47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44" spans="1:8" ht="15" customHeight="1" x14ac:dyDescent="0.25">
      <c r="A4744" t="str">
        <f>MID(TB_CECO[[#This Row],[CECO_T]],1,5)</f>
        <v>5H71G</v>
      </c>
      <c r="B4744" t="str">
        <f>MID(TB_CECO[[#This Row],[TRABAJO]],1,SEARCH(",",TB_CECO[[#This Row],[TRABAJO]],1)-1)</f>
        <v>Tj 710 NE (Gal 708 SW)</v>
      </c>
      <c r="C47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NE (Gal 708 SW),SOSTENIMIENTO</v>
      </c>
      <c r="D47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44" s="47" t="s">
        <v>9409</v>
      </c>
      <c r="G4744" t="s">
        <v>9410</v>
      </c>
      <c r="H47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45" spans="1:8" ht="15" customHeight="1" x14ac:dyDescent="0.25">
      <c r="A4745" t="str">
        <f>MID(TB_CECO[[#This Row],[CECO_T]],1,5)</f>
        <v>5H71G</v>
      </c>
      <c r="B4745" t="str">
        <f>MID(TB_CECO[[#This Row],[TRABAJO]],1,SEARCH(",",TB_CECO[[#This Row],[TRABAJO]],1)-1)</f>
        <v>Tj 710 NE (Gal 708 NE)</v>
      </c>
      <c r="C47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NE (Gal 708 NE),SOSTENIMIENTO</v>
      </c>
      <c r="D47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45" s="47" t="s">
        <v>9409</v>
      </c>
      <c r="G4745" t="s">
        <v>9411</v>
      </c>
      <c r="H47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46" spans="1:8" ht="15" customHeight="1" x14ac:dyDescent="0.25">
      <c r="A4746" t="str">
        <f>MID(TB_CECO[[#This Row],[CECO_T]],1,5)</f>
        <v>5H71G</v>
      </c>
      <c r="B4746" t="str">
        <f>MID(TB_CECO[[#This Row],[TRABAJO]],1,SEARCH(",",TB_CECO[[#This Row],[TRABAJO]],1)-1)</f>
        <v>Tj 710 NE (Gal 708 SW)</v>
      </c>
      <c r="C47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NE (Gal 708 SW),VOLADURA</v>
      </c>
      <c r="D47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46" s="47" t="s">
        <v>9412</v>
      </c>
      <c r="G4746" t="s">
        <v>9413</v>
      </c>
      <c r="H47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47" spans="1:8" ht="15" customHeight="1" x14ac:dyDescent="0.25">
      <c r="A4747" t="str">
        <f>MID(TB_CECO[[#This Row],[CECO_T]],1,5)</f>
        <v>5H71G</v>
      </c>
      <c r="B4747" t="str">
        <f>MID(TB_CECO[[#This Row],[TRABAJO]],1,SEARCH(",",TB_CECO[[#This Row],[TRABAJO]],1)-1)</f>
        <v>Tj 710 NE (Gal 708 NE)</v>
      </c>
      <c r="C47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710 NE (Gal 708 NE),VOLADURA</v>
      </c>
      <c r="D47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47" s="47" t="s">
        <v>9412</v>
      </c>
      <c r="G4747" t="s">
        <v>9414</v>
      </c>
      <c r="H47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48" spans="1:8" ht="15" customHeight="1" x14ac:dyDescent="0.25">
      <c r="A4748" t="str">
        <f>MID(TB_CECO[[#This Row],[CECO_T]],1,5)</f>
        <v>5H71M</v>
      </c>
      <c r="B4748" t="str">
        <f>MID(TB_CECO[[#This Row],[TRABAJO]],1,SEARCH(",",TB_CECO[[#This Row],[TRABAJO]],1)-1)</f>
        <v xml:space="preserve">Tj 715 SW (Ch 669) </v>
      </c>
      <c r="C47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SW (Ch 669) ,LIMPIEZA</v>
      </c>
      <c r="D47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48" s="47" t="s">
        <v>9415</v>
      </c>
      <c r="G4748" t="s">
        <v>9416</v>
      </c>
      <c r="H47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49" spans="1:8" ht="15" customHeight="1" x14ac:dyDescent="0.25">
      <c r="A4749" t="str">
        <f>MID(TB_CECO[[#This Row],[CECO_T]],1,5)</f>
        <v>5H71M</v>
      </c>
      <c r="B4749" t="str">
        <f>MID(TB_CECO[[#This Row],[TRABAJO]],1,SEARCH(",",TB_CECO[[#This Row],[TRABAJO]],1)-1)</f>
        <v xml:space="preserve">Tj 715 SW (Ch 669) </v>
      </c>
      <c r="C47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SW (Ch 669) ,SERVICIO</v>
      </c>
      <c r="D47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49" s="47" t="s">
        <v>9417</v>
      </c>
      <c r="G4749" t="s">
        <v>9418</v>
      </c>
      <c r="H47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50" spans="1:8" ht="15" customHeight="1" x14ac:dyDescent="0.25">
      <c r="A4750" t="str">
        <f>MID(TB_CECO[[#This Row],[CECO_T]],1,5)</f>
        <v>5H71M</v>
      </c>
      <c r="B4750" t="str">
        <f>MID(TB_CECO[[#This Row],[TRABAJO]],1,SEARCH(",",TB_CECO[[#This Row],[TRABAJO]],1)-1)</f>
        <v xml:space="preserve">Tj 715 SW (Ch 669) </v>
      </c>
      <c r="C47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SW (Ch 669) ,PERFORACION</v>
      </c>
      <c r="D47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50" s="47" t="s">
        <v>9419</v>
      </c>
      <c r="G4750" t="s">
        <v>9420</v>
      </c>
      <c r="H47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51" spans="1:8" ht="15" customHeight="1" x14ac:dyDescent="0.25">
      <c r="A4751" t="str">
        <f>MID(TB_CECO[[#This Row],[CECO_T]],1,5)</f>
        <v>5H71M</v>
      </c>
      <c r="B4751" t="str">
        <f>MID(TB_CECO[[#This Row],[TRABAJO]],1,SEARCH(",",TB_CECO[[#This Row],[TRABAJO]],1)-1)</f>
        <v xml:space="preserve">Tj 715 SW (Ch 669) </v>
      </c>
      <c r="C47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SW (Ch 669) ,RELLENO</v>
      </c>
      <c r="D47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51" s="47" t="s">
        <v>9421</v>
      </c>
      <c r="G4751" t="s">
        <v>9422</v>
      </c>
      <c r="H47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52" spans="1:8" ht="15" customHeight="1" x14ac:dyDescent="0.25">
      <c r="A4752" t="str">
        <f>MID(TB_CECO[[#This Row],[CECO_T]],1,5)</f>
        <v>5H71M</v>
      </c>
      <c r="B4752" t="str">
        <f>MID(TB_CECO[[#This Row],[TRABAJO]],1,SEARCH(",",TB_CECO[[#This Row],[TRABAJO]],1)-1)</f>
        <v xml:space="preserve">Tj 715 SW (Ch 669) </v>
      </c>
      <c r="C47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SW (Ch 669) ,SOSTENIMIENTO</v>
      </c>
      <c r="D47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52" s="47" t="s">
        <v>9423</v>
      </c>
      <c r="G4752" t="s">
        <v>9424</v>
      </c>
      <c r="H47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53" spans="1:8" ht="15" customHeight="1" x14ac:dyDescent="0.25">
      <c r="A4753" t="str">
        <f>MID(TB_CECO[[#This Row],[CECO_T]],1,5)</f>
        <v>5H71M</v>
      </c>
      <c r="B4753" t="str">
        <f>MID(TB_CECO[[#This Row],[TRABAJO]],1,SEARCH(",",TB_CECO[[#This Row],[TRABAJO]],1)-1)</f>
        <v xml:space="preserve">Tj 715 SW (Ch 669) </v>
      </c>
      <c r="C47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SW (Ch 669) ,VOLADURA</v>
      </c>
      <c r="D47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53" s="47" t="s">
        <v>9425</v>
      </c>
      <c r="G4753" t="s">
        <v>9426</v>
      </c>
      <c r="H47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54" spans="1:8" ht="15" customHeight="1" x14ac:dyDescent="0.25">
      <c r="A4754" t="str">
        <f>MID(TB_CECO[[#This Row],[CECO_T]],1,5)</f>
        <v>5H71N</v>
      </c>
      <c r="B4754" t="str">
        <f>MID(TB_CECO[[#This Row],[TRABAJO]],1,SEARCH(",",TB_CECO[[#This Row],[TRABAJO]],1)-1)</f>
        <v>Tj 715 NE (Ch 669)</v>
      </c>
      <c r="C47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NE (Ch 669),LIMPIEZA</v>
      </c>
      <c r="D47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54" s="47" t="s">
        <v>9427</v>
      </c>
      <c r="G4754" t="s">
        <v>9428</v>
      </c>
      <c r="H47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55" spans="1:8" ht="15" customHeight="1" x14ac:dyDescent="0.25">
      <c r="A4755" t="str">
        <f>MID(TB_CECO[[#This Row],[CECO_T]],1,5)</f>
        <v>5H71N</v>
      </c>
      <c r="B4755" t="str">
        <f>MID(TB_CECO[[#This Row],[TRABAJO]],1,SEARCH(",",TB_CECO[[#This Row],[TRABAJO]],1)-1)</f>
        <v>Tj 715 NE (Ch 669)</v>
      </c>
      <c r="C47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NE (Ch 669),SERVICIO</v>
      </c>
      <c r="D47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55" s="47" t="s">
        <v>9429</v>
      </c>
      <c r="G4755" t="s">
        <v>9430</v>
      </c>
      <c r="H47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56" spans="1:8" ht="15" customHeight="1" x14ac:dyDescent="0.25">
      <c r="A4756" t="str">
        <f>MID(TB_CECO[[#This Row],[CECO_T]],1,5)</f>
        <v>5H71N</v>
      </c>
      <c r="B4756" t="str">
        <f>MID(TB_CECO[[#This Row],[TRABAJO]],1,SEARCH(",",TB_CECO[[#This Row],[TRABAJO]],1)-1)</f>
        <v>Tj 715 NE (Ch 669)</v>
      </c>
      <c r="C47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NE (Ch 669),PERFORACION</v>
      </c>
      <c r="D47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56" s="47" t="s">
        <v>9431</v>
      </c>
      <c r="G4756" t="s">
        <v>9432</v>
      </c>
      <c r="H47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57" spans="1:8" ht="15" customHeight="1" x14ac:dyDescent="0.25">
      <c r="A4757" t="str">
        <f>MID(TB_CECO[[#This Row],[CECO_T]],1,5)</f>
        <v>5H71N</v>
      </c>
      <c r="B4757" t="str">
        <f>MID(TB_CECO[[#This Row],[TRABAJO]],1,SEARCH(",",TB_CECO[[#This Row],[TRABAJO]],1)-1)</f>
        <v>Tj 715 NE (Ch 669)</v>
      </c>
      <c r="C47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NE (Ch 669),RELLENO</v>
      </c>
      <c r="D47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57" s="47" t="s">
        <v>9433</v>
      </c>
      <c r="G4757" t="s">
        <v>9434</v>
      </c>
      <c r="H47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58" spans="1:8" ht="15" customHeight="1" x14ac:dyDescent="0.25">
      <c r="A4758" t="str">
        <f>MID(TB_CECO[[#This Row],[CECO_T]],1,5)</f>
        <v>5H71N</v>
      </c>
      <c r="B4758" t="str">
        <f>MID(TB_CECO[[#This Row],[TRABAJO]],1,SEARCH(",",TB_CECO[[#This Row],[TRABAJO]],1)-1)</f>
        <v>Tj 715 NE (Ch 669)</v>
      </c>
      <c r="C47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NE (Ch 669),SOSTENIMIENTO</v>
      </c>
      <c r="D47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58" s="47" t="s">
        <v>9435</v>
      </c>
      <c r="G4758" t="s">
        <v>9436</v>
      </c>
      <c r="H47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59" spans="1:8" ht="15" customHeight="1" x14ac:dyDescent="0.25">
      <c r="A4759" t="str">
        <f>MID(TB_CECO[[#This Row],[CECO_T]],1,5)</f>
        <v>5H71N</v>
      </c>
      <c r="B4759" t="str">
        <f>MID(TB_CECO[[#This Row],[TRABAJO]],1,SEARCH(",",TB_CECO[[#This Row],[TRABAJO]],1)-1)</f>
        <v>Tj 715 NE (Ch 669)</v>
      </c>
      <c r="C47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715 NE (Ch 669),VOLADURA</v>
      </c>
      <c r="D47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SHOJO</v>
      </c>
      <c r="E47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59" s="47" t="s">
        <v>9437</v>
      </c>
      <c r="G4759" t="s">
        <v>9438</v>
      </c>
      <c r="H47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60" spans="1:8" ht="15" customHeight="1" x14ac:dyDescent="0.25">
      <c r="A4760" t="str">
        <f>MID(TB_CECO[[#This Row],[CECO_T]],1,5)</f>
        <v>5J114</v>
      </c>
      <c r="B4760" t="str">
        <f>MID(TB_CECO[[#This Row],[TRABAJO]],1,SEARCH(",",TB_CECO[[#This Row],[TRABAJO]],1)-1)</f>
        <v>CX 995 NW (GAL 980 SW)</v>
      </c>
      <c r="C47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995 NW (GAL 980 SW),SUMINISTROS</v>
      </c>
      <c r="D47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60" s="47" t="s">
        <v>9439</v>
      </c>
      <c r="G4760" t="s">
        <v>9440</v>
      </c>
      <c r="H47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61" spans="1:8" ht="15" customHeight="1" x14ac:dyDescent="0.25">
      <c r="A4761" t="str">
        <f>MID(TB_CECO[[#This Row],[CECO_T]],1,5)</f>
        <v>5J114</v>
      </c>
      <c r="B4761" t="str">
        <f>MID(TB_CECO[[#This Row],[TRABAJO]],1,SEARCH(",",TB_CECO[[#This Row],[TRABAJO]],1)-1)</f>
        <v>CX 995 NW (GAL 980 SW)</v>
      </c>
      <c r="C47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995 NW (GAL 980 SW),SOSTENIMIENTO</v>
      </c>
      <c r="D47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61" s="47" t="s">
        <v>9441</v>
      </c>
      <c r="G4761" t="s">
        <v>9442</v>
      </c>
      <c r="H47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62" spans="1:8" ht="15" customHeight="1" x14ac:dyDescent="0.25">
      <c r="A4762" t="str">
        <f>MID(TB_CECO[[#This Row],[CECO_T]],1,5)</f>
        <v>5J114</v>
      </c>
      <c r="B4762" t="str">
        <f>MID(TB_CECO[[#This Row],[TRABAJO]],1,SEARCH(",",TB_CECO[[#This Row],[TRABAJO]],1)-1)</f>
        <v>CX 995 NW (GAL 980 SW)</v>
      </c>
      <c r="C47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995 NW (GAL 980 SW),SERVICIO</v>
      </c>
      <c r="D47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62" s="47" t="s">
        <v>9443</v>
      </c>
      <c r="G4762" t="s">
        <v>9444</v>
      </c>
      <c r="H47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63" spans="1:8" ht="15" customHeight="1" x14ac:dyDescent="0.25">
      <c r="A4763" t="str">
        <f>MID(TB_CECO[[#This Row],[CECO_T]],1,5)</f>
        <v>5J114</v>
      </c>
      <c r="B4763" t="str">
        <f>MID(TB_CECO[[#This Row],[TRABAJO]],1,SEARCH(",",TB_CECO[[#This Row],[TRABAJO]],1)-1)</f>
        <v>CX 995 NW (GAL 980 SW)</v>
      </c>
      <c r="C47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995 NW (GAL 980 SW),REHABILITACION</v>
      </c>
      <c r="D47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63" s="47" t="s">
        <v>9445</v>
      </c>
      <c r="G4763" t="s">
        <v>9446</v>
      </c>
      <c r="H47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64" spans="1:8" ht="15" customHeight="1" x14ac:dyDescent="0.25">
      <c r="A4764" t="str">
        <f>MID(TB_CECO[[#This Row],[CECO_T]],1,5)</f>
        <v>5J764</v>
      </c>
      <c r="B4764" t="str">
        <f>MID(TB_CECO[[#This Row],[TRABAJO]],1,SEARCH(",",TB_CECO[[#This Row],[TRABAJO]],1)-1)</f>
        <v>TJ 800  (CH 994)</v>
      </c>
      <c r="C47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800  (CH 994),SUMINISTROS</v>
      </c>
      <c r="D47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64" s="47" t="s">
        <v>9447</v>
      </c>
      <c r="G4764" t="s">
        <v>9448</v>
      </c>
      <c r="H47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65" spans="1:8" ht="15" customHeight="1" x14ac:dyDescent="0.25">
      <c r="A4765" t="str">
        <f>MID(TB_CECO[[#This Row],[CECO_T]],1,5)</f>
        <v>5J764</v>
      </c>
      <c r="B4765" t="str">
        <f>MID(TB_CECO[[#This Row],[TRABAJO]],1,SEARCH(",",TB_CECO[[#This Row],[TRABAJO]],1)-1)</f>
        <v>TJ 800  (CH 994)</v>
      </c>
      <c r="C47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800  (CH 994),SOSTENIMIENTO</v>
      </c>
      <c r="D47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65" s="47" t="s">
        <v>9449</v>
      </c>
      <c r="G4765" t="s">
        <v>9450</v>
      </c>
      <c r="H47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66" spans="1:8" ht="15" customHeight="1" x14ac:dyDescent="0.25">
      <c r="A4766" t="str">
        <f>MID(TB_CECO[[#This Row],[CECO_T]],1,5)</f>
        <v>5J764</v>
      </c>
      <c r="B4766" t="str">
        <f>MID(TB_CECO[[#This Row],[TRABAJO]],1,SEARCH(",",TB_CECO[[#This Row],[TRABAJO]],1)-1)</f>
        <v>TJ 800  (CH 994)</v>
      </c>
      <c r="C47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800  (CH 994),SERVICIO</v>
      </c>
      <c r="D47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66" s="47" t="s">
        <v>9451</v>
      </c>
      <c r="G4766" t="s">
        <v>9452</v>
      </c>
      <c r="H47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67" spans="1:8" ht="15" customHeight="1" x14ac:dyDescent="0.25">
      <c r="A4767" t="str">
        <f>MID(TB_CECO[[#This Row],[CECO_T]],1,5)</f>
        <v>5J764</v>
      </c>
      <c r="B4767" t="str">
        <f>MID(TB_CECO[[#This Row],[TRABAJO]],1,SEARCH(",",TB_CECO[[#This Row],[TRABAJO]],1)-1)</f>
        <v>TJ 800  (CH 994)</v>
      </c>
      <c r="C47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800  (CH 994),REHABILITACION</v>
      </c>
      <c r="D47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67" s="47" t="s">
        <v>9453</v>
      </c>
      <c r="G4767" t="s">
        <v>9454</v>
      </c>
      <c r="H47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68" spans="1:8" ht="15" customHeight="1" x14ac:dyDescent="0.25">
      <c r="A4768" t="str">
        <f>MID(TB_CECO[[#This Row],[CECO_T]],1,5)</f>
        <v>5J771</v>
      </c>
      <c r="B4768" t="str">
        <f>MID(TB_CECO[[#This Row],[TRABAJO]],1,SEARCH(",",TB_CECO[[#This Row],[TRABAJO]],1)-1)</f>
        <v>Tj 790 SW (Ch 994)</v>
      </c>
      <c r="C47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790 SW (Ch 994),SUMINISTROS</v>
      </c>
      <c r="D47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68" s="47" t="s">
        <v>9455</v>
      </c>
      <c r="G4768" t="s">
        <v>9456</v>
      </c>
      <c r="H47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69" spans="1:8" ht="15" customHeight="1" x14ac:dyDescent="0.25">
      <c r="A4769" t="str">
        <f>MID(TB_CECO[[#This Row],[CECO_T]],1,5)</f>
        <v>5J771</v>
      </c>
      <c r="B4769" t="str">
        <f>MID(TB_CECO[[#This Row],[TRABAJO]],1,SEARCH(",",TB_CECO[[#This Row],[TRABAJO]],1)-1)</f>
        <v>Tj 790 SW (Ch 994)</v>
      </c>
      <c r="C47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790 SW (Ch 994),SOSTENIMIENTO</v>
      </c>
      <c r="D47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69" s="47" t="s">
        <v>9457</v>
      </c>
      <c r="G4769" t="s">
        <v>9458</v>
      </c>
      <c r="H47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70" spans="1:8" ht="15" customHeight="1" x14ac:dyDescent="0.25">
      <c r="A4770" t="str">
        <f>MID(TB_CECO[[#This Row],[CECO_T]],1,5)</f>
        <v>5J771</v>
      </c>
      <c r="B4770" t="str">
        <f>MID(TB_CECO[[#This Row],[TRABAJO]],1,SEARCH(",",TB_CECO[[#This Row],[TRABAJO]],1)-1)</f>
        <v>Tj 790 SW (Ch 994)</v>
      </c>
      <c r="C47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790 SW (Ch 994),SERVICIO</v>
      </c>
      <c r="D47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70" s="47" t="s">
        <v>9459</v>
      </c>
      <c r="G4770" t="s">
        <v>9460</v>
      </c>
      <c r="H47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71" spans="1:8" ht="15" customHeight="1" x14ac:dyDescent="0.25">
      <c r="A4771" t="str">
        <f>MID(TB_CECO[[#This Row],[CECO_T]],1,5)</f>
        <v>5J771</v>
      </c>
      <c r="B4771" t="str">
        <f>MID(TB_CECO[[#This Row],[TRABAJO]],1,SEARCH(",",TB_CECO[[#This Row],[TRABAJO]],1)-1)</f>
        <v>Tj 790 SW (Ch 994)</v>
      </c>
      <c r="C47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790 SW (Ch 994),REHABILITACION</v>
      </c>
      <c r="D47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7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71" s="47" t="s">
        <v>9461</v>
      </c>
      <c r="G4771" t="s">
        <v>9462</v>
      </c>
      <c r="H47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72" spans="1:8" ht="15" customHeight="1" x14ac:dyDescent="0.25">
      <c r="A4772" t="str">
        <f>MID(TB_CECO[[#This Row],[CECO_T]],1,5)</f>
        <v>5L675</v>
      </c>
      <c r="B4772" t="str">
        <f>MID(TB_CECO[[#This Row],[TRABAJO]],1,SEARCH(",",TB_CECO[[#This Row],[TRABAJO]],1)-1)</f>
        <v>Est 950 NW (Snv 152 NE) </v>
      </c>
      <c r="C47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950 NW (Snv 152 NE) ,LIMPIEZA</v>
      </c>
      <c r="D47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72" s="47" t="s">
        <v>9463</v>
      </c>
      <c r="G4772" t="s">
        <v>9464</v>
      </c>
      <c r="H47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73" spans="1:8" ht="15" customHeight="1" x14ac:dyDescent="0.25">
      <c r="A4773" t="str">
        <f>MID(TB_CECO[[#This Row],[CECO_T]],1,5)</f>
        <v>5L675</v>
      </c>
      <c r="B4773" t="str">
        <f>MID(TB_CECO[[#This Row],[TRABAJO]],1,SEARCH(",",TB_CECO[[#This Row],[TRABAJO]],1)-1)</f>
        <v>Est 950 NW (Snv 152 NE) </v>
      </c>
      <c r="C47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950 NW (Snv 152 NE) ,SERVICIO</v>
      </c>
      <c r="D47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73" s="47" t="s">
        <v>9465</v>
      </c>
      <c r="G4773" t="s">
        <v>9466</v>
      </c>
      <c r="H47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74" spans="1:8" ht="15" customHeight="1" x14ac:dyDescent="0.25">
      <c r="A4774" t="str">
        <f>MID(TB_CECO[[#This Row],[CECO_T]],1,5)</f>
        <v>5L675</v>
      </c>
      <c r="B4774" t="str">
        <f>MID(TB_CECO[[#This Row],[TRABAJO]],1,SEARCH(",",TB_CECO[[#This Row],[TRABAJO]],1)-1)</f>
        <v>Est 950 NW (Snv 152 NE) </v>
      </c>
      <c r="C47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950 NW (Snv 152 NE) ,PERFORACION</v>
      </c>
      <c r="D47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74" s="47" t="s">
        <v>9467</v>
      </c>
      <c r="G4774" t="s">
        <v>9468</v>
      </c>
      <c r="H47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75" spans="1:8" ht="15" customHeight="1" x14ac:dyDescent="0.25">
      <c r="A4775" t="str">
        <f>MID(TB_CECO[[#This Row],[CECO_T]],1,5)</f>
        <v>5L675</v>
      </c>
      <c r="B4775" t="str">
        <f>MID(TB_CECO[[#This Row],[TRABAJO]],1,SEARCH(",",TB_CECO[[#This Row],[TRABAJO]],1)-1)</f>
        <v>Est 950 NW (Snv 152 NE) </v>
      </c>
      <c r="C47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950 NW (Snv 152 NE) ,SOSTENIMIENTO</v>
      </c>
      <c r="D47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75" s="47" t="s">
        <v>9469</v>
      </c>
      <c r="G4775" t="s">
        <v>9470</v>
      </c>
      <c r="H47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76" spans="1:8" ht="15" customHeight="1" x14ac:dyDescent="0.25">
      <c r="A4776" t="str">
        <f>MID(TB_CECO[[#This Row],[CECO_T]],1,5)</f>
        <v>5L675</v>
      </c>
      <c r="B4776" t="str">
        <f>MID(TB_CECO[[#This Row],[TRABAJO]],1,SEARCH(",",TB_CECO[[#This Row],[TRABAJO]],1)-1)</f>
        <v>Est 950 NW (Snv 152 NE) </v>
      </c>
      <c r="C47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950 NW (Snv 152 NE) ,VOLADURA</v>
      </c>
      <c r="D47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76" s="47" t="s">
        <v>9471</v>
      </c>
      <c r="G4776" t="s">
        <v>9472</v>
      </c>
      <c r="H47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77" spans="1:8" ht="15" customHeight="1" x14ac:dyDescent="0.25">
      <c r="A4777" t="str">
        <f>MID(TB_CECO[[#This Row],[CECO_T]],1,5)</f>
        <v>5L71A</v>
      </c>
      <c r="B4777" t="str">
        <f>MID(TB_CECO[[#This Row],[TRABAJO]],1,SEARCH(",",TB_CECO[[#This Row],[TRABAJO]],1)-1)</f>
        <v>Tj 795 SW (Ch 998)</v>
      </c>
      <c r="C47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795 SW (Ch 998),LIMPIEZA</v>
      </c>
      <c r="D47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77" s="47" t="s">
        <v>9473</v>
      </c>
      <c r="G4777" t="s">
        <v>9474</v>
      </c>
      <c r="H47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78" spans="1:8" ht="15" customHeight="1" x14ac:dyDescent="0.25">
      <c r="A4778" t="str">
        <f>MID(TB_CECO[[#This Row],[CECO_T]],1,5)</f>
        <v>5L71A</v>
      </c>
      <c r="B4778" t="str">
        <f>MID(TB_CECO[[#This Row],[TRABAJO]],1,SEARCH(",",TB_CECO[[#This Row],[TRABAJO]],1)-1)</f>
        <v>Tj 795 SW (Ch 998)</v>
      </c>
      <c r="C47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795 SW (Ch 998),SERVICIO</v>
      </c>
      <c r="D47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78" s="47" t="s">
        <v>9475</v>
      </c>
      <c r="G4778" t="s">
        <v>9476</v>
      </c>
      <c r="H47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79" spans="1:8" ht="15" customHeight="1" x14ac:dyDescent="0.25">
      <c r="A4779" t="str">
        <f>MID(TB_CECO[[#This Row],[CECO_T]],1,5)</f>
        <v>5L71A</v>
      </c>
      <c r="B4779" t="str">
        <f>MID(TB_CECO[[#This Row],[TRABAJO]],1,SEARCH(",",TB_CECO[[#This Row],[TRABAJO]],1)-1)</f>
        <v>Tj 795 SW (Ch 998)</v>
      </c>
      <c r="C47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795 SW (Ch 998),PERFORACION</v>
      </c>
      <c r="D47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79" s="47" t="s">
        <v>9477</v>
      </c>
      <c r="G4779" t="s">
        <v>9478</v>
      </c>
      <c r="H47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80" spans="1:8" ht="15" customHeight="1" x14ac:dyDescent="0.25">
      <c r="A4780" t="str">
        <f>MID(TB_CECO[[#This Row],[CECO_T]],1,5)</f>
        <v>5L71A</v>
      </c>
      <c r="B4780" t="str">
        <f>MID(TB_CECO[[#This Row],[TRABAJO]],1,SEARCH(",",TB_CECO[[#This Row],[TRABAJO]],1)-1)</f>
        <v>Tj 795 SW (Ch 998)</v>
      </c>
      <c r="C47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795 SW (Ch 998),SOSTENIMIENTO</v>
      </c>
      <c r="D47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80" s="47" t="s">
        <v>9479</v>
      </c>
      <c r="G4780" t="s">
        <v>9480</v>
      </c>
      <c r="H47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81" spans="1:8" ht="15" customHeight="1" x14ac:dyDescent="0.25">
      <c r="A4781" t="str">
        <f>MID(TB_CECO[[#This Row],[CECO_T]],1,5)</f>
        <v>5L71A</v>
      </c>
      <c r="B4781" t="str">
        <f>MID(TB_CECO[[#This Row],[TRABAJO]],1,SEARCH(",",TB_CECO[[#This Row],[TRABAJO]],1)-1)</f>
        <v>Tj 795 SW (Ch 998)</v>
      </c>
      <c r="C47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795 SW (Ch 998),VOLADURA</v>
      </c>
      <c r="D47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81" s="47" t="s">
        <v>9481</v>
      </c>
      <c r="G4781" t="s">
        <v>9482</v>
      </c>
      <c r="H47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82" spans="1:8" ht="15" customHeight="1" x14ac:dyDescent="0.25">
      <c r="A4782" t="str">
        <f>MID(TB_CECO[[#This Row],[CECO_T]],1,5)</f>
        <v>5L71B</v>
      </c>
      <c r="B4782" t="str">
        <f>MID(TB_CECO[[#This Row],[TRABAJO]],1,SEARCH(",",TB_CECO[[#This Row],[TRABAJO]],1)-1)</f>
        <v>Tj 795 NE (Ch 998)</v>
      </c>
      <c r="C47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795 NE (Ch 998),LIMPIEZA</v>
      </c>
      <c r="D47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82" s="47" t="s">
        <v>9483</v>
      </c>
      <c r="G4782" t="s">
        <v>9484</v>
      </c>
      <c r="H47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83" spans="1:8" ht="15" customHeight="1" x14ac:dyDescent="0.25">
      <c r="A4783" t="str">
        <f>MID(TB_CECO[[#This Row],[CECO_T]],1,5)</f>
        <v>5L71B</v>
      </c>
      <c r="B4783" t="str">
        <f>MID(TB_CECO[[#This Row],[TRABAJO]],1,SEARCH(",",TB_CECO[[#This Row],[TRABAJO]],1)-1)</f>
        <v>Tj 795 NE (Ch 998)</v>
      </c>
      <c r="C47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795 NE (Ch 998),SERVICIO</v>
      </c>
      <c r="D47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83" s="47" t="s">
        <v>9485</v>
      </c>
      <c r="G4783" t="s">
        <v>9486</v>
      </c>
      <c r="H47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84" spans="1:8" ht="15" customHeight="1" x14ac:dyDescent="0.25">
      <c r="A4784" t="str">
        <f>MID(TB_CECO[[#This Row],[CECO_T]],1,5)</f>
        <v>5L71B</v>
      </c>
      <c r="B4784" t="str">
        <f>MID(TB_CECO[[#This Row],[TRABAJO]],1,SEARCH(",",TB_CECO[[#This Row],[TRABAJO]],1)-1)</f>
        <v>Tj 795 NE (Ch 998)</v>
      </c>
      <c r="C47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795 NE (Ch 998),PERFORACION</v>
      </c>
      <c r="D47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84" s="47" t="s">
        <v>9487</v>
      </c>
      <c r="G4784" t="s">
        <v>9488</v>
      </c>
      <c r="H47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85" spans="1:8" ht="15" customHeight="1" x14ac:dyDescent="0.25">
      <c r="A4785" t="str">
        <f>MID(TB_CECO[[#This Row],[CECO_T]],1,5)</f>
        <v>5L71B</v>
      </c>
      <c r="B4785" t="str">
        <f>MID(TB_CECO[[#This Row],[TRABAJO]],1,SEARCH(",",TB_CECO[[#This Row],[TRABAJO]],1)-1)</f>
        <v>Tj 795 NE (Ch 998)</v>
      </c>
      <c r="C47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795 NE (Ch 998),SOSTENIMIENTO</v>
      </c>
      <c r="D47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85" s="47" t="s">
        <v>9489</v>
      </c>
      <c r="G4785" t="s">
        <v>9490</v>
      </c>
      <c r="H47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86" spans="1:8" ht="15" customHeight="1" x14ac:dyDescent="0.25">
      <c r="A4786" t="str">
        <f>MID(TB_CECO[[#This Row],[CECO_T]],1,5)</f>
        <v>5L71B</v>
      </c>
      <c r="B4786" t="str">
        <f>MID(TB_CECO[[#This Row],[TRABAJO]],1,SEARCH(",",TB_CECO[[#This Row],[TRABAJO]],1)-1)</f>
        <v>Tj 795 NE (Ch 998)</v>
      </c>
      <c r="C47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795 NE (Ch 998),VOLADURA</v>
      </c>
      <c r="D47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86" s="47" t="s">
        <v>9491</v>
      </c>
      <c r="G4786" t="s">
        <v>9492</v>
      </c>
      <c r="H47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87" spans="1:8" ht="15" customHeight="1" x14ac:dyDescent="0.25">
      <c r="A4787" t="str">
        <f>MID(TB_CECO[[#This Row],[CECO_T]],1,5)</f>
        <v>5L71C</v>
      </c>
      <c r="B4787" t="str">
        <f>MID(TB_CECO[[#This Row],[TRABAJO]],1,SEARCH(",",TB_CECO[[#This Row],[TRABAJO]],1)-1)</f>
        <v>Tj 030 SW (CH 003)</v>
      </c>
      <c r="C47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030 SW (CH 003),LIMPIEZA</v>
      </c>
      <c r="D47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87" s="47" t="s">
        <v>9493</v>
      </c>
      <c r="G4787" t="s">
        <v>9494</v>
      </c>
      <c r="H47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88" spans="1:8" ht="15" customHeight="1" x14ac:dyDescent="0.25">
      <c r="A4788" t="str">
        <f>MID(TB_CECO[[#This Row],[CECO_T]],1,5)</f>
        <v>5L71C</v>
      </c>
      <c r="B4788" t="str">
        <f>MID(TB_CECO[[#This Row],[TRABAJO]],1,SEARCH(",",TB_CECO[[#This Row],[TRABAJO]],1)-1)</f>
        <v>Tj 030 SW (CH 003)</v>
      </c>
      <c r="C47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030 SW (CH 003),SERVICIO</v>
      </c>
      <c r="D47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88" s="47" t="s">
        <v>9495</v>
      </c>
      <c r="G4788" t="s">
        <v>9496</v>
      </c>
      <c r="H47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89" spans="1:8" ht="15" customHeight="1" x14ac:dyDescent="0.25">
      <c r="A4789" t="str">
        <f>MID(TB_CECO[[#This Row],[CECO_T]],1,5)</f>
        <v>5L71C</v>
      </c>
      <c r="B4789" t="str">
        <f>MID(TB_CECO[[#This Row],[TRABAJO]],1,SEARCH(",",TB_CECO[[#This Row],[TRABAJO]],1)-1)</f>
        <v>Tj 030 SW (CH 003)</v>
      </c>
      <c r="C47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030 SW (CH 003),PERFORACION</v>
      </c>
      <c r="D47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89" s="47" t="s">
        <v>9497</v>
      </c>
      <c r="G4789" t="s">
        <v>9498</v>
      </c>
      <c r="H47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90" spans="1:8" ht="15" customHeight="1" x14ac:dyDescent="0.25">
      <c r="A4790" t="str">
        <f>MID(TB_CECO[[#This Row],[CECO_T]],1,5)</f>
        <v>5L71C</v>
      </c>
      <c r="B4790" t="str">
        <f>MID(TB_CECO[[#This Row],[TRABAJO]],1,SEARCH(",",TB_CECO[[#This Row],[TRABAJO]],1)-1)</f>
        <v>Tj 030 SW (CH 003)</v>
      </c>
      <c r="C47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030 SW (CH 003),SOSTENIMIENTO</v>
      </c>
      <c r="D47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90" s="47" t="s">
        <v>9499</v>
      </c>
      <c r="G4790" t="s">
        <v>9500</v>
      </c>
      <c r="H47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91" spans="1:8" ht="15" customHeight="1" x14ac:dyDescent="0.25">
      <c r="A4791" t="str">
        <f>MID(TB_CECO[[#This Row],[CECO_T]],1,5)</f>
        <v>5L71C</v>
      </c>
      <c r="B4791" t="str">
        <f>MID(TB_CECO[[#This Row],[TRABAJO]],1,SEARCH(",",TB_CECO[[#This Row],[TRABAJO]],1)-1)</f>
        <v>Tj 030 SW (CH 003)</v>
      </c>
      <c r="C47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030 SW (CH 003),VOLADURA</v>
      </c>
      <c r="D47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91" s="47" t="s">
        <v>9501</v>
      </c>
      <c r="G4791" t="s">
        <v>9502</v>
      </c>
      <c r="H47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92" spans="1:8" ht="15" customHeight="1" x14ac:dyDescent="0.25">
      <c r="A4792" t="str">
        <f>MID(TB_CECO[[#This Row],[CECO_T]],1,5)</f>
        <v>5L71D</v>
      </c>
      <c r="B4792" t="str">
        <f>MID(TB_CECO[[#This Row],[TRABAJO]],1,SEARCH(",",TB_CECO[[#This Row],[TRABAJO]],1)-1)</f>
        <v>Tj 029 SW (Snv 029 SW)</v>
      </c>
      <c r="C47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029 SW (Snv 029 SW),LIMPIEZA</v>
      </c>
      <c r="D47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92" s="47" t="s">
        <v>9503</v>
      </c>
      <c r="G4792" t="s">
        <v>9504</v>
      </c>
      <c r="H47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93" spans="1:8" ht="15" customHeight="1" x14ac:dyDescent="0.25">
      <c r="A4793" t="str">
        <f>MID(TB_CECO[[#This Row],[CECO_T]],1,5)</f>
        <v>5L71D</v>
      </c>
      <c r="B4793" t="str">
        <f>MID(TB_CECO[[#This Row],[TRABAJO]],1,SEARCH(",",TB_CECO[[#This Row],[TRABAJO]],1)-1)</f>
        <v>Tj 029 SW (Snv 029 SW)</v>
      </c>
      <c r="C47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029 SW (Snv 029 SW),SERVICIO</v>
      </c>
      <c r="D47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93" s="47" t="s">
        <v>9505</v>
      </c>
      <c r="G4793" t="s">
        <v>9506</v>
      </c>
      <c r="H47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94" spans="1:8" ht="15" customHeight="1" x14ac:dyDescent="0.25">
      <c r="A4794" t="str">
        <f>MID(TB_CECO[[#This Row],[CECO_T]],1,5)</f>
        <v>5L71D</v>
      </c>
      <c r="B4794" t="str">
        <f>MID(TB_CECO[[#This Row],[TRABAJO]],1,SEARCH(",",TB_CECO[[#This Row],[TRABAJO]],1)-1)</f>
        <v>Tj 029 SW (Snv 029 SW)</v>
      </c>
      <c r="C47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029 SW (Snv 029 SW),PERFORACION</v>
      </c>
      <c r="D47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94" s="47" t="s">
        <v>9507</v>
      </c>
      <c r="G4794" t="s">
        <v>9508</v>
      </c>
      <c r="H47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95" spans="1:8" ht="15" customHeight="1" x14ac:dyDescent="0.25">
      <c r="A4795" t="str">
        <f>MID(TB_CECO[[#This Row],[CECO_T]],1,5)</f>
        <v>5L71D</v>
      </c>
      <c r="B4795" t="str">
        <f>MID(TB_CECO[[#This Row],[TRABAJO]],1,SEARCH(",",TB_CECO[[#This Row],[TRABAJO]],1)-1)</f>
        <v>Tj 029 SW (Snv 029 SW)</v>
      </c>
      <c r="C47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029 SW (Snv 029 SW),SOSTENIMIENTO</v>
      </c>
      <c r="D47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95" s="47" t="s">
        <v>9509</v>
      </c>
      <c r="G4795" t="s">
        <v>9510</v>
      </c>
      <c r="H47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96" spans="1:8" ht="15" customHeight="1" x14ac:dyDescent="0.25">
      <c r="A4796" t="str">
        <f>MID(TB_CECO[[#This Row],[CECO_T]],1,5)</f>
        <v>5L71D</v>
      </c>
      <c r="B4796" t="str">
        <f>MID(TB_CECO[[#This Row],[TRABAJO]],1,SEARCH(",",TB_CECO[[#This Row],[TRABAJO]],1)-1)</f>
        <v>Tj 029 SW (Snv 029 SW)</v>
      </c>
      <c r="C47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029 SW (Snv 029 SW),VOLADURA</v>
      </c>
      <c r="D47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96" s="47" t="s">
        <v>9511</v>
      </c>
      <c r="G4796" t="s">
        <v>9512</v>
      </c>
      <c r="H47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797" spans="1:8" ht="15" customHeight="1" x14ac:dyDescent="0.25">
      <c r="A4797" t="str">
        <f>MID(TB_CECO[[#This Row],[CECO_T]],1,5)</f>
        <v>5L71E</v>
      </c>
      <c r="B4797" t="str">
        <f>MID(TB_CECO[[#This Row],[TRABAJO]],1,SEARCH(",",TB_CECO[[#This Row],[TRABAJO]],1)-1)</f>
        <v xml:space="preserve"> Tj 030 NE (Ch 003)</v>
      </c>
      <c r="C47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030 NE (Ch 003),LIMPIEZA</v>
      </c>
      <c r="D47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97" s="47" t="s">
        <v>9513</v>
      </c>
      <c r="G4797" t="s">
        <v>9514</v>
      </c>
      <c r="H47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98" spans="1:8" ht="15" customHeight="1" x14ac:dyDescent="0.25">
      <c r="A4798" t="str">
        <f>MID(TB_CECO[[#This Row],[CECO_T]],1,5)</f>
        <v>5L71E</v>
      </c>
      <c r="B4798" t="str">
        <f>MID(TB_CECO[[#This Row],[TRABAJO]],1,SEARCH(",",TB_CECO[[#This Row],[TRABAJO]],1)-1)</f>
        <v xml:space="preserve"> Tj 030 NE (Ch 003)</v>
      </c>
      <c r="C47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030 NE (Ch 003),SERVICIO</v>
      </c>
      <c r="D47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98" s="47" t="s">
        <v>9515</v>
      </c>
      <c r="G4798" t="s">
        <v>9516</v>
      </c>
      <c r="H47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799" spans="1:8" ht="15" customHeight="1" x14ac:dyDescent="0.25">
      <c r="A4799" t="str">
        <f>MID(TB_CECO[[#This Row],[CECO_T]],1,5)</f>
        <v>5L71E</v>
      </c>
      <c r="B4799" t="str">
        <f>MID(TB_CECO[[#This Row],[TRABAJO]],1,SEARCH(",",TB_CECO[[#This Row],[TRABAJO]],1)-1)</f>
        <v xml:space="preserve"> Tj 030 NE (Ch 003)</v>
      </c>
      <c r="C47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030 NE (Ch 003),PERFORACION</v>
      </c>
      <c r="D47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7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799" s="47" t="s">
        <v>9517</v>
      </c>
      <c r="G4799" t="s">
        <v>9518</v>
      </c>
      <c r="H47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00" spans="1:8" ht="15" customHeight="1" x14ac:dyDescent="0.25">
      <c r="A4800" t="str">
        <f>MID(TB_CECO[[#This Row],[CECO_T]],1,5)</f>
        <v>5L71E</v>
      </c>
      <c r="B4800" t="str">
        <f>MID(TB_CECO[[#This Row],[TRABAJO]],1,SEARCH(",",TB_CECO[[#This Row],[TRABAJO]],1)-1)</f>
        <v xml:space="preserve"> Tj 030 NE (Ch 003)</v>
      </c>
      <c r="C48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030 NE (Ch 003),SOSTENIMIENTO</v>
      </c>
      <c r="D48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00" s="47" t="s">
        <v>9519</v>
      </c>
      <c r="G4800" t="s">
        <v>9520</v>
      </c>
      <c r="H48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01" spans="1:8" ht="15" customHeight="1" x14ac:dyDescent="0.25">
      <c r="A4801" t="str">
        <f>MID(TB_CECO[[#This Row],[CECO_T]],1,5)</f>
        <v>5L71E</v>
      </c>
      <c r="B4801" t="str">
        <f>MID(TB_CECO[[#This Row],[TRABAJO]],1,SEARCH(",",TB_CECO[[#This Row],[TRABAJO]],1)-1)</f>
        <v xml:space="preserve"> Tj 030 NE (Ch 003)</v>
      </c>
      <c r="C48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 Tj 030 NE (Ch 003),VOLADURA</v>
      </c>
      <c r="D48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01" s="47" t="s">
        <v>9521</v>
      </c>
      <c r="G4801" t="s">
        <v>9522</v>
      </c>
      <c r="H48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802" spans="1:8" ht="15" customHeight="1" x14ac:dyDescent="0.25">
      <c r="A4802" t="str">
        <f>MID(TB_CECO[[#This Row],[CECO_T]],1,5)</f>
        <v>5L71O</v>
      </c>
      <c r="B4802" t="str">
        <f>MID(TB_CECO[[#This Row],[TRABAJO]],1,SEARCH(",",TB_CECO[[#This Row],[TRABAJO]],1)-1)</f>
        <v>Tj 004 SW (Snv 002 SW)</v>
      </c>
      <c r="C48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SW),LIMPIEZA</v>
      </c>
      <c r="D48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02" s="47" t="s">
        <v>9523</v>
      </c>
      <c r="G4802" t="s">
        <v>9524</v>
      </c>
      <c r="H48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03" spans="1:8" ht="15" customHeight="1" x14ac:dyDescent="0.25">
      <c r="A4803" t="str">
        <f>MID(TB_CECO[[#This Row],[CECO_T]],1,5)</f>
        <v>5L71O</v>
      </c>
      <c r="B4803" t="str">
        <f>MID(TB_CECO[[#This Row],[TRABAJO]],1,SEARCH(",",TB_CECO[[#This Row],[TRABAJO]],1)-1)</f>
        <v>Tj 004 SW (Snv 002 SW)</v>
      </c>
      <c r="C48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SW),SERVICIO</v>
      </c>
      <c r="D48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03" s="47" t="s">
        <v>9525</v>
      </c>
      <c r="G4803" t="s">
        <v>9526</v>
      </c>
      <c r="H48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04" spans="1:8" ht="15" customHeight="1" x14ac:dyDescent="0.25">
      <c r="A4804" t="str">
        <f>MID(TB_CECO[[#This Row],[CECO_T]],1,5)</f>
        <v>5L71O</v>
      </c>
      <c r="B4804" t="str">
        <f>MID(TB_CECO[[#This Row],[TRABAJO]],1,SEARCH(",",TB_CECO[[#This Row],[TRABAJO]],1)-1)</f>
        <v>Tj 004 SW (Snv 002 SW)</v>
      </c>
      <c r="C48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SW),PERFORACION</v>
      </c>
      <c r="D48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04" s="47" t="s">
        <v>9527</v>
      </c>
      <c r="G4804" t="s">
        <v>9528</v>
      </c>
      <c r="H48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05" spans="1:8" ht="15" customHeight="1" x14ac:dyDescent="0.25">
      <c r="A4805" t="str">
        <f>MID(TB_CECO[[#This Row],[CECO_T]],1,5)</f>
        <v>5L71O</v>
      </c>
      <c r="B4805" t="str">
        <f>MID(TB_CECO[[#This Row],[TRABAJO]],1,SEARCH(",",TB_CECO[[#This Row],[TRABAJO]],1)-1)</f>
        <v>Tj 004 SW (Snv 002 SW)</v>
      </c>
      <c r="C48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SW),RELLENO</v>
      </c>
      <c r="D48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05" s="47" t="s">
        <v>9529</v>
      </c>
      <c r="G4805" t="s">
        <v>9530</v>
      </c>
      <c r="H48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06" spans="1:8" ht="15" customHeight="1" x14ac:dyDescent="0.25">
      <c r="A4806" t="str">
        <f>MID(TB_CECO[[#This Row],[CECO_T]],1,5)</f>
        <v>5L71O</v>
      </c>
      <c r="B4806" t="str">
        <f>MID(TB_CECO[[#This Row],[TRABAJO]],1,SEARCH(",",TB_CECO[[#This Row],[TRABAJO]],1)-1)</f>
        <v>Tj 004 SW (Snv 002 SW)</v>
      </c>
      <c r="C48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SW),SOSTENIMIENTO</v>
      </c>
      <c r="D48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06" s="47" t="s">
        <v>9531</v>
      </c>
      <c r="G4806" t="s">
        <v>9532</v>
      </c>
      <c r="H48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07" spans="1:8" ht="15" customHeight="1" x14ac:dyDescent="0.25">
      <c r="A4807" t="str">
        <f>MID(TB_CECO[[#This Row],[CECO_T]],1,5)</f>
        <v>5L71O</v>
      </c>
      <c r="B4807" t="str">
        <f>MID(TB_CECO[[#This Row],[TRABAJO]],1,SEARCH(",",TB_CECO[[#This Row],[TRABAJO]],1)-1)</f>
        <v>Tj 004 SW (Snv 002 SW)</v>
      </c>
      <c r="C48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004 SW (Snv 002 SW),VOLADURA</v>
      </c>
      <c r="D48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07" s="47" t="s">
        <v>9533</v>
      </c>
      <c r="G4807" t="s">
        <v>9534</v>
      </c>
      <c r="H48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08" spans="1:8" ht="15" customHeight="1" x14ac:dyDescent="0.25">
      <c r="A4808" t="str">
        <f>MID(TB_CECO[[#This Row],[CECO_T]],1,5)</f>
        <v>5L71P</v>
      </c>
      <c r="B4808" t="str">
        <f>MID(TB_CECO[[#This Row],[TRABAJO]],1,SEARCH(",",TB_CECO[[#This Row],[TRABAJO]],1)-1)</f>
        <v>Tj 157 SW (Ch 921)</v>
      </c>
      <c r="C48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921),LIMPIEZA</v>
      </c>
      <c r="D48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08" s="47" t="s">
        <v>9535</v>
      </c>
      <c r="G4808" t="s">
        <v>9536</v>
      </c>
      <c r="H48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09" spans="1:8" ht="15" customHeight="1" x14ac:dyDescent="0.25">
      <c r="A4809" t="str">
        <f>MID(TB_CECO[[#This Row],[CECO_T]],1,5)</f>
        <v>5L71P</v>
      </c>
      <c r="B4809" t="str">
        <f>MID(TB_CECO[[#This Row],[TRABAJO]],1,SEARCH(",",TB_CECO[[#This Row],[TRABAJO]],1)-1)</f>
        <v>Tj 157 SW (Ch 921)</v>
      </c>
      <c r="C48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921),SERVICIO</v>
      </c>
      <c r="D48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09" s="47" t="s">
        <v>9537</v>
      </c>
      <c r="G4809" t="s">
        <v>9538</v>
      </c>
      <c r="H48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10" spans="1:8" ht="15" customHeight="1" x14ac:dyDescent="0.25">
      <c r="A4810" t="str">
        <f>MID(TB_CECO[[#This Row],[CECO_T]],1,5)</f>
        <v>5L71P</v>
      </c>
      <c r="B4810" t="str">
        <f>MID(TB_CECO[[#This Row],[TRABAJO]],1,SEARCH(",",TB_CECO[[#This Row],[TRABAJO]],1)-1)</f>
        <v>Tj 157 SW (Ch 921)</v>
      </c>
      <c r="C48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921),PERFORACION</v>
      </c>
      <c r="D48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10" s="47" t="s">
        <v>9539</v>
      </c>
      <c r="G4810" t="s">
        <v>9540</v>
      </c>
      <c r="H48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11" spans="1:8" ht="15" customHeight="1" x14ac:dyDescent="0.25">
      <c r="A4811" t="str">
        <f>MID(TB_CECO[[#This Row],[CECO_T]],1,5)</f>
        <v>5L71P</v>
      </c>
      <c r="B4811" t="str">
        <f>MID(TB_CECO[[#This Row],[TRABAJO]],1,SEARCH(",",TB_CECO[[#This Row],[TRABAJO]],1)-1)</f>
        <v>Tj 157 SW (Ch 921)</v>
      </c>
      <c r="C48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921),RELLENO</v>
      </c>
      <c r="D48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11" s="47" t="s">
        <v>9541</v>
      </c>
      <c r="G4811" t="s">
        <v>9542</v>
      </c>
      <c r="H48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12" spans="1:8" ht="15" customHeight="1" x14ac:dyDescent="0.25">
      <c r="A4812" t="str">
        <f>MID(TB_CECO[[#This Row],[CECO_T]],1,5)</f>
        <v>5L71P</v>
      </c>
      <c r="B4812" t="str">
        <f>MID(TB_CECO[[#This Row],[TRABAJO]],1,SEARCH(",",TB_CECO[[#This Row],[TRABAJO]],1)-1)</f>
        <v>Tj 157 SW (Ch 921)</v>
      </c>
      <c r="C48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921),SOSTENIMIENTO</v>
      </c>
      <c r="D48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12" s="47" t="s">
        <v>9543</v>
      </c>
      <c r="G4812" t="s">
        <v>9544</v>
      </c>
      <c r="H48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13" spans="1:8" ht="15" customHeight="1" x14ac:dyDescent="0.25">
      <c r="A4813" t="str">
        <f>MID(TB_CECO[[#This Row],[CECO_T]],1,5)</f>
        <v>5L71P</v>
      </c>
      <c r="B4813" t="str">
        <f>MID(TB_CECO[[#This Row],[TRABAJO]],1,SEARCH(",",TB_CECO[[#This Row],[TRABAJO]],1)-1)</f>
        <v>Tj 157 SW (Ch 921)</v>
      </c>
      <c r="C48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921),VOLADURA</v>
      </c>
      <c r="D48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13" s="47" t="s">
        <v>9545</v>
      </c>
      <c r="G4813" t="s">
        <v>9546</v>
      </c>
      <c r="H48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14" spans="1:8" ht="15" customHeight="1" x14ac:dyDescent="0.25">
      <c r="A4814" t="str">
        <f>MID(TB_CECO[[#This Row],[CECO_T]],1,5)</f>
        <v>5L71Q</v>
      </c>
      <c r="B4814" t="str">
        <f>MID(TB_CECO[[#This Row],[TRABAJO]],1,SEARCH(",",TB_CECO[[#This Row],[TRABAJO]],1)-1)</f>
        <v>Tj 157 NE (Ch 921)</v>
      </c>
      <c r="C48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921),LIMPIEZA</v>
      </c>
      <c r="D48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14" s="47" t="s">
        <v>9547</v>
      </c>
      <c r="G4814" t="s">
        <v>9548</v>
      </c>
      <c r="H48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15" spans="1:8" ht="15" customHeight="1" x14ac:dyDescent="0.25">
      <c r="A4815" t="str">
        <f>MID(TB_CECO[[#This Row],[CECO_T]],1,5)</f>
        <v>5L71Q</v>
      </c>
      <c r="B4815" t="str">
        <f>MID(TB_CECO[[#This Row],[TRABAJO]],1,SEARCH(",",TB_CECO[[#This Row],[TRABAJO]],1)-1)</f>
        <v>Tj 157 NE (Ch 921)</v>
      </c>
      <c r="C48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921),SERVICIO</v>
      </c>
      <c r="D48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15" s="47" t="s">
        <v>9549</v>
      </c>
      <c r="G4815" t="s">
        <v>9550</v>
      </c>
      <c r="H48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16" spans="1:8" ht="15" customHeight="1" x14ac:dyDescent="0.25">
      <c r="A4816" t="str">
        <f>MID(TB_CECO[[#This Row],[CECO_T]],1,5)</f>
        <v>5L71Q</v>
      </c>
      <c r="B4816" t="str">
        <f>MID(TB_CECO[[#This Row],[TRABAJO]],1,SEARCH(",",TB_CECO[[#This Row],[TRABAJO]],1)-1)</f>
        <v>Tj 157 NE (Ch 921)</v>
      </c>
      <c r="C48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921),PERFORACION</v>
      </c>
      <c r="D48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16" s="47" t="s">
        <v>9551</v>
      </c>
      <c r="G4816" t="s">
        <v>9552</v>
      </c>
      <c r="H48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17" spans="1:8" ht="15" customHeight="1" x14ac:dyDescent="0.25">
      <c r="A4817" t="str">
        <f>MID(TB_CECO[[#This Row],[CECO_T]],1,5)</f>
        <v>5L71Q</v>
      </c>
      <c r="B4817" t="str">
        <f>MID(TB_CECO[[#This Row],[TRABAJO]],1,SEARCH(",",TB_CECO[[#This Row],[TRABAJO]],1)-1)</f>
        <v>Tj 157 NE (Ch 921)</v>
      </c>
      <c r="C48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921),RELLENO</v>
      </c>
      <c r="D48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17" s="47" t="s">
        <v>9553</v>
      </c>
      <c r="G4817" t="s">
        <v>9554</v>
      </c>
      <c r="H48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18" spans="1:8" ht="15" customHeight="1" x14ac:dyDescent="0.25">
      <c r="A4818" t="str">
        <f>MID(TB_CECO[[#This Row],[CECO_T]],1,5)</f>
        <v>5L71Q</v>
      </c>
      <c r="B4818" t="str">
        <f>MID(TB_CECO[[#This Row],[TRABAJO]],1,SEARCH(",",TB_CECO[[#This Row],[TRABAJO]],1)-1)</f>
        <v>Tj 157 NE (Ch 921)</v>
      </c>
      <c r="C48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921),SOSTENIMIENTO</v>
      </c>
      <c r="D48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18" s="47" t="s">
        <v>9555</v>
      </c>
      <c r="G4818" t="s">
        <v>9556</v>
      </c>
      <c r="H48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19" spans="1:8" ht="15" customHeight="1" x14ac:dyDescent="0.25">
      <c r="A4819" t="str">
        <f>MID(TB_CECO[[#This Row],[CECO_T]],1,5)</f>
        <v>5L71Q</v>
      </c>
      <c r="B4819" t="str">
        <f>MID(TB_CECO[[#This Row],[TRABAJO]],1,SEARCH(",",TB_CECO[[#This Row],[TRABAJO]],1)-1)</f>
        <v>Tj 157 NE (Ch 921)</v>
      </c>
      <c r="C48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921),VOLADURA</v>
      </c>
      <c r="D48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19" s="47" t="s">
        <v>9557</v>
      </c>
      <c r="G4819" t="s">
        <v>9558</v>
      </c>
      <c r="H48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20" spans="1:8" ht="15" customHeight="1" x14ac:dyDescent="0.25">
      <c r="A4820" t="str">
        <f>MID(TB_CECO[[#This Row],[CECO_T]],1,5)</f>
        <v>5L71X</v>
      </c>
      <c r="B4820" t="str">
        <f>MID(TB_CECO[[#This Row],[TRABAJO]],1,SEARCH(",",TB_CECO[[#This Row],[TRABAJO]],1)-1)</f>
        <v>Tj 009 SW (Snv 029 SW)</v>
      </c>
      <c r="C48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009 SW (Snv 029 SW),LIMPIEZA</v>
      </c>
      <c r="D48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20" s="47" t="s">
        <v>9559</v>
      </c>
      <c r="G4820" t="s">
        <v>9560</v>
      </c>
      <c r="H48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21" spans="1:8" ht="15" customHeight="1" x14ac:dyDescent="0.25">
      <c r="A4821" t="str">
        <f>MID(TB_CECO[[#This Row],[CECO_T]],1,5)</f>
        <v>5L71X</v>
      </c>
      <c r="B4821" t="str">
        <f>MID(TB_CECO[[#This Row],[TRABAJO]],1,SEARCH(",",TB_CECO[[#This Row],[TRABAJO]],1)-1)</f>
        <v>Tj 009 SW (Snv 029 SW)</v>
      </c>
      <c r="C48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009 SW (Snv 029 SW),SERVICIO</v>
      </c>
      <c r="D48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21" s="47" t="s">
        <v>9561</v>
      </c>
      <c r="G4821" t="s">
        <v>9562</v>
      </c>
      <c r="H48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22" spans="1:8" ht="15" customHeight="1" x14ac:dyDescent="0.25">
      <c r="A4822" t="str">
        <f>MID(TB_CECO[[#This Row],[CECO_T]],1,5)</f>
        <v>5L71X</v>
      </c>
      <c r="B4822" t="str">
        <f>MID(TB_CECO[[#This Row],[TRABAJO]],1,SEARCH(",",TB_CECO[[#This Row],[TRABAJO]],1)-1)</f>
        <v>Tj 009 SW (Snv 029 SW)</v>
      </c>
      <c r="C48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009 SW (Snv 029 SW),PERFORACION</v>
      </c>
      <c r="D48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22" s="47" t="s">
        <v>9563</v>
      </c>
      <c r="G4822" t="s">
        <v>9564</v>
      </c>
      <c r="H48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23" spans="1:8" ht="15" customHeight="1" x14ac:dyDescent="0.25">
      <c r="A4823" t="str">
        <f>MID(TB_CECO[[#This Row],[CECO_T]],1,5)</f>
        <v>5L71X</v>
      </c>
      <c r="B4823" t="str">
        <f>MID(TB_CECO[[#This Row],[TRABAJO]],1,SEARCH(",",TB_CECO[[#This Row],[TRABAJO]],1)-1)</f>
        <v>Tj 009 SW (Snv 029 SW)</v>
      </c>
      <c r="C48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009 SW (Snv 029 SW),RELLENO</v>
      </c>
      <c r="D48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23" s="47" t="s">
        <v>9565</v>
      </c>
      <c r="G4823" t="s">
        <v>9566</v>
      </c>
      <c r="H48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24" spans="1:8" ht="15" customHeight="1" x14ac:dyDescent="0.25">
      <c r="A4824" t="str">
        <f>MID(TB_CECO[[#This Row],[CECO_T]],1,5)</f>
        <v>5L71X</v>
      </c>
      <c r="B4824" t="str">
        <f>MID(TB_CECO[[#This Row],[TRABAJO]],1,SEARCH(",",TB_CECO[[#This Row],[TRABAJO]],1)-1)</f>
        <v>Tj 009 SW (Snv 029 SW)</v>
      </c>
      <c r="C48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009 SW (Snv 029 SW),SOSTENIMIENTO</v>
      </c>
      <c r="D48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24" s="47" t="s">
        <v>9567</v>
      </c>
      <c r="G4824" t="s">
        <v>9568</v>
      </c>
      <c r="H48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25" spans="1:8" ht="15" customHeight="1" x14ac:dyDescent="0.25">
      <c r="A4825" t="str">
        <f>MID(TB_CECO[[#This Row],[CECO_T]],1,5)</f>
        <v>5L71X</v>
      </c>
      <c r="B4825" t="str">
        <f>MID(TB_CECO[[#This Row],[TRABAJO]],1,SEARCH(",",TB_CECO[[#This Row],[TRABAJO]],1)-1)</f>
        <v>Tj 009 SW (Snv 029 SW)</v>
      </c>
      <c r="C48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009 SW (Snv 029 SW),VOLADURA</v>
      </c>
      <c r="D48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25" s="47" t="s">
        <v>9569</v>
      </c>
      <c r="G4825" t="s">
        <v>9570</v>
      </c>
      <c r="H48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26" spans="1:8" ht="15" customHeight="1" x14ac:dyDescent="0.25">
      <c r="A4826" t="str">
        <f>MID(TB_CECO[[#This Row],[CECO_T]],1,5)</f>
        <v>5L72E</v>
      </c>
      <c r="B4826" t="str">
        <f>MID(TB_CECO[[#This Row],[TRABAJO]],1,SEARCH(",",TB_CECO[[#This Row],[TRABAJO]],1)-1)</f>
        <v>Tj 157 SW (Ch 973)</v>
      </c>
      <c r="C48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973),LIMPIEZA</v>
      </c>
      <c r="D48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26" s="47" t="s">
        <v>9571</v>
      </c>
      <c r="G4826" t="s">
        <v>9572</v>
      </c>
      <c r="H48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27" spans="1:8" ht="15" customHeight="1" x14ac:dyDescent="0.25">
      <c r="A4827" t="str">
        <f>MID(TB_CECO[[#This Row],[CECO_T]],1,5)</f>
        <v>5L72E</v>
      </c>
      <c r="B4827" t="str">
        <f>MID(TB_CECO[[#This Row],[TRABAJO]],1,SEARCH(",",TB_CECO[[#This Row],[TRABAJO]],1)-1)</f>
        <v>Tj 157 SW (Ch 973)</v>
      </c>
      <c r="C48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973),SERVICIO</v>
      </c>
      <c r="D48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27" s="47" t="s">
        <v>9573</v>
      </c>
      <c r="G4827" t="s">
        <v>9574</v>
      </c>
      <c r="H48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28" spans="1:8" ht="15" customHeight="1" x14ac:dyDescent="0.25">
      <c r="A4828" t="str">
        <f>MID(TB_CECO[[#This Row],[CECO_T]],1,5)</f>
        <v>5L72E</v>
      </c>
      <c r="B4828" t="str">
        <f>MID(TB_CECO[[#This Row],[TRABAJO]],1,SEARCH(",",TB_CECO[[#This Row],[TRABAJO]],1)-1)</f>
        <v>Tj 157 SW (Ch 973)</v>
      </c>
      <c r="C48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973),PERFORACION</v>
      </c>
      <c r="D48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28" s="47" t="s">
        <v>9575</v>
      </c>
      <c r="G4828" t="s">
        <v>9576</v>
      </c>
      <c r="H48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29" spans="1:8" ht="15" customHeight="1" x14ac:dyDescent="0.25">
      <c r="A4829" t="str">
        <f>MID(TB_CECO[[#This Row],[CECO_T]],1,5)</f>
        <v>5L72E</v>
      </c>
      <c r="B4829" t="str">
        <f>MID(TB_CECO[[#This Row],[TRABAJO]],1,SEARCH(",",TB_CECO[[#This Row],[TRABAJO]],1)-1)</f>
        <v>Tj 157 SW (Ch 973)</v>
      </c>
      <c r="C48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973),RELLENO</v>
      </c>
      <c r="D48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29" s="47" t="s">
        <v>9577</v>
      </c>
      <c r="G4829" t="s">
        <v>9578</v>
      </c>
      <c r="H48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30" spans="1:8" ht="15" customHeight="1" x14ac:dyDescent="0.25">
      <c r="A4830" t="str">
        <f>MID(TB_CECO[[#This Row],[CECO_T]],1,5)</f>
        <v>5L72E</v>
      </c>
      <c r="B4830" t="str">
        <f>MID(TB_CECO[[#This Row],[TRABAJO]],1,SEARCH(",",TB_CECO[[#This Row],[TRABAJO]],1)-1)</f>
        <v>Tj 157 SW (Ch 973)</v>
      </c>
      <c r="C48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973),SOSTENIMIENTO</v>
      </c>
      <c r="D48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30" s="47" t="s">
        <v>9579</v>
      </c>
      <c r="G4830" t="s">
        <v>9580</v>
      </c>
      <c r="H48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31" spans="1:8" ht="15" customHeight="1" x14ac:dyDescent="0.25">
      <c r="A4831" t="str">
        <f>MID(TB_CECO[[#This Row],[CECO_T]],1,5)</f>
        <v>5L72E</v>
      </c>
      <c r="B4831" t="str">
        <f>MID(TB_CECO[[#This Row],[TRABAJO]],1,SEARCH(",",TB_CECO[[#This Row],[TRABAJO]],1)-1)</f>
        <v>Tj 157 SW (Ch 973)</v>
      </c>
      <c r="C48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SW (Ch 973),VOLADURA</v>
      </c>
      <c r="D48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31" s="47" t="s">
        <v>9581</v>
      </c>
      <c r="G4831" t="s">
        <v>9582</v>
      </c>
      <c r="H48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32" spans="1:8" ht="15" customHeight="1" x14ac:dyDescent="0.25">
      <c r="A4832" t="str">
        <f>MID(TB_CECO[[#This Row],[CECO_T]],1,5)</f>
        <v>5L72F</v>
      </c>
      <c r="B4832" t="str">
        <f>MID(TB_CECO[[#This Row],[TRABAJO]],1,SEARCH(",",TB_CECO[[#This Row],[TRABAJO]],1)-1)</f>
        <v>Tj 157 NE (Ch 973)</v>
      </c>
      <c r="C48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973),LIMPIEZA</v>
      </c>
      <c r="D48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32" s="47" t="s">
        <v>9583</v>
      </c>
      <c r="G4832" t="s">
        <v>9584</v>
      </c>
      <c r="H48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33" spans="1:8" ht="15" customHeight="1" x14ac:dyDescent="0.25">
      <c r="A4833" t="str">
        <f>MID(TB_CECO[[#This Row],[CECO_T]],1,5)</f>
        <v>5L72F</v>
      </c>
      <c r="B4833" t="str">
        <f>MID(TB_CECO[[#This Row],[TRABAJO]],1,SEARCH(",",TB_CECO[[#This Row],[TRABAJO]],1)-1)</f>
        <v>Tj 157 NE (Ch 973)</v>
      </c>
      <c r="C48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973),SERVICIO</v>
      </c>
      <c r="D48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33" s="47" t="s">
        <v>9585</v>
      </c>
      <c r="G4833" t="s">
        <v>9586</v>
      </c>
      <c r="H48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34" spans="1:8" ht="15" customHeight="1" x14ac:dyDescent="0.25">
      <c r="A4834" t="str">
        <f>MID(TB_CECO[[#This Row],[CECO_T]],1,5)</f>
        <v>5L72F</v>
      </c>
      <c r="B4834" t="str">
        <f>MID(TB_CECO[[#This Row],[TRABAJO]],1,SEARCH(",",TB_CECO[[#This Row],[TRABAJO]],1)-1)</f>
        <v>Tj 157 NE (Ch 973)</v>
      </c>
      <c r="C48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973),PERFORACION</v>
      </c>
      <c r="D48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34" s="47" t="s">
        <v>9587</v>
      </c>
      <c r="G4834" t="s">
        <v>9588</v>
      </c>
      <c r="H48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35" spans="1:8" ht="15" customHeight="1" x14ac:dyDescent="0.25">
      <c r="A4835" t="str">
        <f>MID(TB_CECO[[#This Row],[CECO_T]],1,5)</f>
        <v>5L72F</v>
      </c>
      <c r="B4835" t="str">
        <f>MID(TB_CECO[[#This Row],[TRABAJO]],1,SEARCH(",",TB_CECO[[#This Row],[TRABAJO]],1)-1)</f>
        <v>Tj 157 NE (Ch 973)</v>
      </c>
      <c r="C48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973),RELLENO</v>
      </c>
      <c r="D48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35" s="47" t="s">
        <v>9589</v>
      </c>
      <c r="G4835" t="s">
        <v>9590</v>
      </c>
      <c r="H48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36" spans="1:8" ht="15" customHeight="1" x14ac:dyDescent="0.25">
      <c r="A4836" t="str">
        <f>MID(TB_CECO[[#This Row],[CECO_T]],1,5)</f>
        <v>5L72F</v>
      </c>
      <c r="B4836" t="str">
        <f>MID(TB_CECO[[#This Row],[TRABAJO]],1,SEARCH(",",TB_CECO[[#This Row],[TRABAJO]],1)-1)</f>
        <v>Tj 157 NE (Ch 973)</v>
      </c>
      <c r="C48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973),SOSTENIMIENTO</v>
      </c>
      <c r="D48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36" s="47" t="s">
        <v>9591</v>
      </c>
      <c r="G4836" t="s">
        <v>9592</v>
      </c>
      <c r="H48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37" spans="1:8" ht="15" customHeight="1" x14ac:dyDescent="0.25">
      <c r="A4837" t="str">
        <f>MID(TB_CECO[[#This Row],[CECO_T]],1,5)</f>
        <v>5L72F</v>
      </c>
      <c r="B4837" t="str">
        <f>MID(TB_CECO[[#This Row],[TRABAJO]],1,SEARCH(",",TB_CECO[[#This Row],[TRABAJO]],1)-1)</f>
        <v>Tj 157 NE (Ch 973)</v>
      </c>
      <c r="C48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973),VOLADURA</v>
      </c>
      <c r="D48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37" s="47" t="s">
        <v>9593</v>
      </c>
      <c r="G4837" t="s">
        <v>9594</v>
      </c>
      <c r="H48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38" spans="1:8" ht="15" customHeight="1" x14ac:dyDescent="0.25">
      <c r="A4838" t="str">
        <f>MID(TB_CECO[[#This Row],[CECO_T]],1,5)</f>
        <v>5L72J</v>
      </c>
      <c r="B4838" t="str">
        <f>MID(TB_CECO[[#This Row],[TRABAJO]],1,SEARCH(",",TB_CECO[[#This Row],[TRABAJO]],1)-1)</f>
        <v>Tj 938 NE (Ch 944)</v>
      </c>
      <c r="C48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938 NE (Ch 944),LIMPIEZA</v>
      </c>
      <c r="D48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38" s="47" t="s">
        <v>9595</v>
      </c>
      <c r="G4838" t="s">
        <v>9596</v>
      </c>
      <c r="H48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39" spans="1:8" ht="15" customHeight="1" x14ac:dyDescent="0.25">
      <c r="A4839" t="str">
        <f>MID(TB_CECO[[#This Row],[CECO_T]],1,5)</f>
        <v>5L72J</v>
      </c>
      <c r="B4839" t="str">
        <f>MID(TB_CECO[[#This Row],[TRABAJO]],1,SEARCH(",",TB_CECO[[#This Row],[TRABAJO]],1)-1)</f>
        <v>Tj 938 NE (Ch 944)</v>
      </c>
      <c r="C48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938 NE (Ch 944),SERVICIO</v>
      </c>
      <c r="D48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39" s="47" t="s">
        <v>9597</v>
      </c>
      <c r="G4839" t="s">
        <v>9598</v>
      </c>
      <c r="H48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40" spans="1:8" ht="15" customHeight="1" x14ac:dyDescent="0.25">
      <c r="A4840" t="str">
        <f>MID(TB_CECO[[#This Row],[CECO_T]],1,5)</f>
        <v>5L72J</v>
      </c>
      <c r="B4840" t="str">
        <f>MID(TB_CECO[[#This Row],[TRABAJO]],1,SEARCH(",",TB_CECO[[#This Row],[TRABAJO]],1)-1)</f>
        <v>Tj 938 NE (Ch 944)</v>
      </c>
      <c r="C48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938 NE (Ch 944),PERFORACION</v>
      </c>
      <c r="D48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40" s="47" t="s">
        <v>9599</v>
      </c>
      <c r="G4840" t="s">
        <v>9600</v>
      </c>
      <c r="H48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41" spans="1:8" ht="15" customHeight="1" x14ac:dyDescent="0.25">
      <c r="A4841" t="str">
        <f>MID(TB_CECO[[#This Row],[CECO_T]],1,5)</f>
        <v>5L72J</v>
      </c>
      <c r="B4841" t="str">
        <f>MID(TB_CECO[[#This Row],[TRABAJO]],1,SEARCH(",",TB_CECO[[#This Row],[TRABAJO]],1)-1)</f>
        <v>Tj 938 NE (Ch 944)</v>
      </c>
      <c r="C48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938 NE (Ch 944),SOSTENIMIENTO</v>
      </c>
      <c r="D48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41" s="47" t="s">
        <v>9601</v>
      </c>
      <c r="G4841" t="s">
        <v>9602</v>
      </c>
      <c r="H48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42" spans="1:8" ht="15" customHeight="1" x14ac:dyDescent="0.25">
      <c r="A4842" t="str">
        <f>MID(TB_CECO[[#This Row],[CECO_T]],1,5)</f>
        <v>5L72J</v>
      </c>
      <c r="B4842" t="str">
        <f>MID(TB_CECO[[#This Row],[TRABAJO]],1,SEARCH(",",TB_CECO[[#This Row],[TRABAJO]],1)-1)</f>
        <v>Tj 938 NE (Ch 944)</v>
      </c>
      <c r="C48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938 NE (Ch 944),VOLADURA</v>
      </c>
      <c r="D48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42" s="47" t="s">
        <v>9603</v>
      </c>
      <c r="G4842" t="s">
        <v>9604</v>
      </c>
      <c r="H48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43" spans="1:8" ht="15" customHeight="1" x14ac:dyDescent="0.25">
      <c r="A4843" t="str">
        <f>MID(TB_CECO[[#This Row],[CECO_T]],1,5)</f>
        <v>5L72K</v>
      </c>
      <c r="B4843" t="str">
        <f>MID(TB_CECO[[#This Row],[TRABAJO]],1,SEARCH(",",TB_CECO[[#This Row],[TRABAJO]],1)-1)</f>
        <v>Tj 938 SW (Ch 944)</v>
      </c>
      <c r="C48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938 SW (Ch 944),LIMPIEZA</v>
      </c>
      <c r="D48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43" s="47" t="s">
        <v>9605</v>
      </c>
      <c r="G4843" t="s">
        <v>9606</v>
      </c>
      <c r="H48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44" spans="1:8" ht="15" customHeight="1" x14ac:dyDescent="0.25">
      <c r="A4844" t="str">
        <f>MID(TB_CECO[[#This Row],[CECO_T]],1,5)</f>
        <v>5L72K</v>
      </c>
      <c r="B4844" t="str">
        <f>MID(TB_CECO[[#This Row],[TRABAJO]],1,SEARCH(",",TB_CECO[[#This Row],[TRABAJO]],1)-1)</f>
        <v>Tj 938 SW (Ch 944)</v>
      </c>
      <c r="C48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938 SW (Ch 944),SERVICIO</v>
      </c>
      <c r="D48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44" s="47" t="s">
        <v>9607</v>
      </c>
      <c r="G4844" t="s">
        <v>9608</v>
      </c>
      <c r="H48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45" spans="1:8" ht="15" customHeight="1" x14ac:dyDescent="0.25">
      <c r="A4845" t="str">
        <f>MID(TB_CECO[[#This Row],[CECO_T]],1,5)</f>
        <v>5L72K</v>
      </c>
      <c r="B4845" t="str">
        <f>MID(TB_CECO[[#This Row],[TRABAJO]],1,SEARCH(",",TB_CECO[[#This Row],[TRABAJO]],1)-1)</f>
        <v>Tj 938 SW (Ch 944)</v>
      </c>
      <c r="C48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938 SW (Ch 944),PERFORACION</v>
      </c>
      <c r="D48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45" s="47" t="s">
        <v>9609</v>
      </c>
      <c r="G4845" t="s">
        <v>9610</v>
      </c>
      <c r="H48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46" spans="1:8" ht="15" customHeight="1" x14ac:dyDescent="0.25">
      <c r="A4846" t="str">
        <f>MID(TB_CECO[[#This Row],[CECO_T]],1,5)</f>
        <v>5L72K</v>
      </c>
      <c r="B4846" t="str">
        <f>MID(TB_CECO[[#This Row],[TRABAJO]],1,SEARCH(",",TB_CECO[[#This Row],[TRABAJO]],1)-1)</f>
        <v>Tj 938 SW (Ch 944)</v>
      </c>
      <c r="C48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938 SW (Ch 944),SOSTENIMIENTO</v>
      </c>
      <c r="D48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46" s="47" t="s">
        <v>9611</v>
      </c>
      <c r="G4846" t="s">
        <v>9612</v>
      </c>
      <c r="H48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47" spans="1:8" ht="15" customHeight="1" x14ac:dyDescent="0.25">
      <c r="A4847" t="str">
        <f>MID(TB_CECO[[#This Row],[CECO_T]],1,5)</f>
        <v>5L72K</v>
      </c>
      <c r="B4847" t="str">
        <f>MID(TB_CECO[[#This Row],[TRABAJO]],1,SEARCH(",",TB_CECO[[#This Row],[TRABAJO]],1)-1)</f>
        <v>Tj 938 SW (Ch 944)</v>
      </c>
      <c r="C48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938 SW (Ch 944),VOLADURA</v>
      </c>
      <c r="D48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47" s="47" t="s">
        <v>9613</v>
      </c>
      <c r="G4847" t="s">
        <v>9614</v>
      </c>
      <c r="H48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48" spans="1:8" ht="15" customHeight="1" x14ac:dyDescent="0.25">
      <c r="A4848" t="str">
        <f>MID(TB_CECO[[#This Row],[CECO_T]],1,5)</f>
        <v>5L72L</v>
      </c>
      <c r="B4848" t="str">
        <f>MID(TB_CECO[[#This Row],[TRABAJO]],1,SEARCH(",",TB_CECO[[#This Row],[TRABAJO]],1)-1)</f>
        <v>Tj 177 SW (Ch 921)</v>
      </c>
      <c r="C48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921),LIMPIEZA</v>
      </c>
      <c r="D48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48" s="47" t="s">
        <v>9615</v>
      </c>
      <c r="G4848" t="s">
        <v>9616</v>
      </c>
      <c r="H48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49" spans="1:8" ht="15" customHeight="1" x14ac:dyDescent="0.25">
      <c r="A4849" t="str">
        <f>MID(TB_CECO[[#This Row],[CECO_T]],1,5)</f>
        <v>5L72L</v>
      </c>
      <c r="B4849" t="str">
        <f>MID(TB_CECO[[#This Row],[TRABAJO]],1,SEARCH(",",TB_CECO[[#This Row],[TRABAJO]],1)-1)</f>
        <v>Tj 177 SW (Ch 921)</v>
      </c>
      <c r="C48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921),LIMPIEZA</v>
      </c>
      <c r="D48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49" s="47" t="s">
        <v>9615</v>
      </c>
      <c r="G4849" t="s">
        <v>9616</v>
      </c>
      <c r="H48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50" spans="1:8" ht="15" customHeight="1" x14ac:dyDescent="0.25">
      <c r="A4850" t="str">
        <f>MID(TB_CECO[[#This Row],[CECO_T]],1,5)</f>
        <v>5L72L</v>
      </c>
      <c r="B4850" t="str">
        <f>MID(TB_CECO[[#This Row],[TRABAJO]],1,SEARCH(",",TB_CECO[[#This Row],[TRABAJO]],1)-1)</f>
        <v>Tj 177 SW (Ch 921)</v>
      </c>
      <c r="C48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921),SERVICIO</v>
      </c>
      <c r="D48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50" s="47" t="s">
        <v>9617</v>
      </c>
      <c r="G4850" t="s">
        <v>9618</v>
      </c>
      <c r="H48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51" spans="1:8" ht="15" customHeight="1" x14ac:dyDescent="0.25">
      <c r="A4851" t="str">
        <f>MID(TB_CECO[[#This Row],[CECO_T]],1,5)</f>
        <v>5L72L</v>
      </c>
      <c r="B4851" t="str">
        <f>MID(TB_CECO[[#This Row],[TRABAJO]],1,SEARCH(",",TB_CECO[[#This Row],[TRABAJO]],1)-1)</f>
        <v>Tj 177 SW (Ch 921)</v>
      </c>
      <c r="C48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921),SERVICIO</v>
      </c>
      <c r="D48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51" s="47" t="s">
        <v>9617</v>
      </c>
      <c r="G4851" t="s">
        <v>9618</v>
      </c>
      <c r="H48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52" spans="1:8" ht="15" customHeight="1" x14ac:dyDescent="0.25">
      <c r="A4852" t="str">
        <f>MID(TB_CECO[[#This Row],[CECO_T]],1,5)</f>
        <v>5L72L</v>
      </c>
      <c r="B4852" t="str">
        <f>MID(TB_CECO[[#This Row],[TRABAJO]],1,SEARCH(",",TB_CECO[[#This Row],[TRABAJO]],1)-1)</f>
        <v>Tj 177 SW (Ch 921)</v>
      </c>
      <c r="C48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921),PERFORACION</v>
      </c>
      <c r="D48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52" s="47" t="s">
        <v>9619</v>
      </c>
      <c r="G4852" t="s">
        <v>9620</v>
      </c>
      <c r="H48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53" spans="1:8" ht="15" customHeight="1" x14ac:dyDescent="0.25">
      <c r="A4853" t="str">
        <f>MID(TB_CECO[[#This Row],[CECO_T]],1,5)</f>
        <v>5L72L</v>
      </c>
      <c r="B4853" t="str">
        <f>MID(TB_CECO[[#This Row],[TRABAJO]],1,SEARCH(",",TB_CECO[[#This Row],[TRABAJO]],1)-1)</f>
        <v>Tj 177 SW (Ch 921)</v>
      </c>
      <c r="C48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921),PERFORACION</v>
      </c>
      <c r="D48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53" s="47" t="s">
        <v>9619</v>
      </c>
      <c r="G4853" t="s">
        <v>9620</v>
      </c>
      <c r="H48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54" spans="1:8" ht="15" customHeight="1" x14ac:dyDescent="0.25">
      <c r="A4854" t="str">
        <f>MID(TB_CECO[[#This Row],[CECO_T]],1,5)</f>
        <v>5L72L</v>
      </c>
      <c r="B4854" t="str">
        <f>MID(TB_CECO[[#This Row],[TRABAJO]],1,SEARCH(",",TB_CECO[[#This Row],[TRABAJO]],1)-1)</f>
        <v>Tj 177 SW (Ch 921)</v>
      </c>
      <c r="C48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921),RELLENO</v>
      </c>
      <c r="D48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54" s="47" t="s">
        <v>9621</v>
      </c>
      <c r="G4854" t="s">
        <v>9622</v>
      </c>
      <c r="H48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55" spans="1:8" ht="15" customHeight="1" x14ac:dyDescent="0.25">
      <c r="A4855" t="str">
        <f>MID(TB_CECO[[#This Row],[CECO_T]],1,5)</f>
        <v>5L72L</v>
      </c>
      <c r="B4855" t="str">
        <f>MID(TB_CECO[[#This Row],[TRABAJO]],1,SEARCH(",",TB_CECO[[#This Row],[TRABAJO]],1)-1)</f>
        <v>Tj 177 SW (Ch 921)</v>
      </c>
      <c r="C48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921),RELLENO</v>
      </c>
      <c r="D48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55" s="47" t="s">
        <v>9621</v>
      </c>
      <c r="G4855" t="s">
        <v>9622</v>
      </c>
      <c r="H48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56" spans="1:8" ht="15" customHeight="1" x14ac:dyDescent="0.25">
      <c r="A4856" t="str">
        <f>MID(TB_CECO[[#This Row],[CECO_T]],1,5)</f>
        <v>5L72L</v>
      </c>
      <c r="B4856" t="str">
        <f>MID(TB_CECO[[#This Row],[TRABAJO]],1,SEARCH(",",TB_CECO[[#This Row],[TRABAJO]],1)-1)</f>
        <v>Tj 177 SW (Ch 921)</v>
      </c>
      <c r="C48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921),SOSTENIMIENTO</v>
      </c>
      <c r="D48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56" s="47" t="s">
        <v>9623</v>
      </c>
      <c r="G4856" t="s">
        <v>9624</v>
      </c>
      <c r="H48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57" spans="1:8" ht="15" customHeight="1" x14ac:dyDescent="0.25">
      <c r="A4857" t="str">
        <f>MID(TB_CECO[[#This Row],[CECO_T]],1,5)</f>
        <v>5L72L</v>
      </c>
      <c r="B4857" t="str">
        <f>MID(TB_CECO[[#This Row],[TRABAJO]],1,SEARCH(",",TB_CECO[[#This Row],[TRABAJO]],1)-1)</f>
        <v>Tj 177 SW (Ch 921)</v>
      </c>
      <c r="C48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921),SOSTENIMIENTO</v>
      </c>
      <c r="D48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57" s="47" t="s">
        <v>9623</v>
      </c>
      <c r="G4857" t="s">
        <v>9624</v>
      </c>
      <c r="H48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58" spans="1:8" ht="15" customHeight="1" x14ac:dyDescent="0.25">
      <c r="A4858" t="str">
        <f>MID(TB_CECO[[#This Row],[CECO_T]],1,5)</f>
        <v>5L72L</v>
      </c>
      <c r="B4858" t="str">
        <f>MID(TB_CECO[[#This Row],[TRABAJO]],1,SEARCH(",",TB_CECO[[#This Row],[TRABAJO]],1)-1)</f>
        <v>Tj 177 SW (Ch 921)</v>
      </c>
      <c r="C48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921),VOLADURA</v>
      </c>
      <c r="D48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58" s="47" t="s">
        <v>9625</v>
      </c>
      <c r="G4858" t="s">
        <v>9626</v>
      </c>
      <c r="H48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59" spans="1:8" ht="15" customHeight="1" x14ac:dyDescent="0.25">
      <c r="A4859" t="str">
        <f>MID(TB_CECO[[#This Row],[CECO_T]],1,5)</f>
        <v>5L72L</v>
      </c>
      <c r="B4859" t="str">
        <f>MID(TB_CECO[[#This Row],[TRABAJO]],1,SEARCH(",",TB_CECO[[#This Row],[TRABAJO]],1)-1)</f>
        <v>Tj 177 SW (Ch 921)</v>
      </c>
      <c r="C48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SW (Ch 921),VOLADURA</v>
      </c>
      <c r="D48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59" s="47" t="s">
        <v>9625</v>
      </c>
      <c r="G4859" t="s">
        <v>9626</v>
      </c>
      <c r="H48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60" spans="1:8" ht="15" customHeight="1" x14ac:dyDescent="0.25">
      <c r="A4860" t="str">
        <f>MID(TB_CECO[[#This Row],[CECO_T]],1,5)</f>
        <v>5L72M</v>
      </c>
      <c r="B4860" t="str">
        <f>MID(TB_CECO[[#This Row],[TRABAJO]],1,SEARCH(",",TB_CECO[[#This Row],[TRABAJO]],1)-1)</f>
        <v>Tj 177 NE (Ch 921)</v>
      </c>
      <c r="C48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921),LIMPIEZA</v>
      </c>
      <c r="D48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60" s="47" t="s">
        <v>9627</v>
      </c>
      <c r="G4860" t="s">
        <v>9628</v>
      </c>
      <c r="H48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61" spans="1:8" ht="15" customHeight="1" x14ac:dyDescent="0.25">
      <c r="A4861" t="str">
        <f>MID(TB_CECO[[#This Row],[CECO_T]],1,5)</f>
        <v>5L72M</v>
      </c>
      <c r="B4861" t="str">
        <f>MID(TB_CECO[[#This Row],[TRABAJO]],1,SEARCH(",",TB_CECO[[#This Row],[TRABAJO]],1)-1)</f>
        <v>Tj 177 NE (Ch 921)</v>
      </c>
      <c r="C48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921),LIMPIEZA</v>
      </c>
      <c r="D48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61" s="47" t="s">
        <v>9627</v>
      </c>
      <c r="G4861" t="s">
        <v>9628</v>
      </c>
      <c r="H48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62" spans="1:8" ht="15" customHeight="1" x14ac:dyDescent="0.25">
      <c r="A4862" t="str">
        <f>MID(TB_CECO[[#This Row],[CECO_T]],1,5)</f>
        <v>5L72M</v>
      </c>
      <c r="B4862" t="str">
        <f>MID(TB_CECO[[#This Row],[TRABAJO]],1,SEARCH(",",TB_CECO[[#This Row],[TRABAJO]],1)-1)</f>
        <v>Tj 177 NE (Ch 921)</v>
      </c>
      <c r="C48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921),SERVICIO</v>
      </c>
      <c r="D48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62" s="47" t="s">
        <v>9629</v>
      </c>
      <c r="G4862" t="s">
        <v>9630</v>
      </c>
      <c r="H48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63" spans="1:8" ht="15" customHeight="1" x14ac:dyDescent="0.25">
      <c r="A4863" t="str">
        <f>MID(TB_CECO[[#This Row],[CECO_T]],1,5)</f>
        <v>5L72M</v>
      </c>
      <c r="B4863" t="str">
        <f>MID(TB_CECO[[#This Row],[TRABAJO]],1,SEARCH(",",TB_CECO[[#This Row],[TRABAJO]],1)-1)</f>
        <v>Tj 177 NE (Ch 921)</v>
      </c>
      <c r="C48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921),SERVICIO</v>
      </c>
      <c r="D48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63" s="47" t="s">
        <v>9629</v>
      </c>
      <c r="G4863" t="s">
        <v>9630</v>
      </c>
      <c r="H48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64" spans="1:8" ht="15" customHeight="1" x14ac:dyDescent="0.25">
      <c r="A4864" t="str">
        <f>MID(TB_CECO[[#This Row],[CECO_T]],1,5)</f>
        <v>5L72M</v>
      </c>
      <c r="B4864" t="str">
        <f>MID(TB_CECO[[#This Row],[TRABAJO]],1,SEARCH(",",TB_CECO[[#This Row],[TRABAJO]],1)-1)</f>
        <v>Tj 177 NE (Ch 921)</v>
      </c>
      <c r="C48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921),PERFORACION</v>
      </c>
      <c r="D48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64" s="47" t="s">
        <v>9631</v>
      </c>
      <c r="G4864" t="s">
        <v>9632</v>
      </c>
      <c r="H48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65" spans="1:8" ht="15" customHeight="1" x14ac:dyDescent="0.25">
      <c r="A4865" t="str">
        <f>MID(TB_CECO[[#This Row],[CECO_T]],1,5)</f>
        <v>5L72M</v>
      </c>
      <c r="B4865" t="str">
        <f>MID(TB_CECO[[#This Row],[TRABAJO]],1,SEARCH(",",TB_CECO[[#This Row],[TRABAJO]],1)-1)</f>
        <v>Tj 177 NE (Ch 921)</v>
      </c>
      <c r="C48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921),PERFORACION</v>
      </c>
      <c r="D48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65" s="47" t="s">
        <v>9631</v>
      </c>
      <c r="G4865" t="s">
        <v>9632</v>
      </c>
      <c r="H48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66" spans="1:8" ht="15" customHeight="1" x14ac:dyDescent="0.25">
      <c r="A4866" t="str">
        <f>MID(TB_CECO[[#This Row],[CECO_T]],1,5)</f>
        <v>5L72M</v>
      </c>
      <c r="B4866" t="str">
        <f>MID(TB_CECO[[#This Row],[TRABAJO]],1,SEARCH(",",TB_CECO[[#This Row],[TRABAJO]],1)-1)</f>
        <v>Tj 177 NE (Ch 921)</v>
      </c>
      <c r="C48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921),RELLENO</v>
      </c>
      <c r="D48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66" s="47" t="s">
        <v>9633</v>
      </c>
      <c r="G4866" t="s">
        <v>9634</v>
      </c>
      <c r="H48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67" spans="1:8" ht="15" customHeight="1" x14ac:dyDescent="0.25">
      <c r="A4867" t="str">
        <f>MID(TB_CECO[[#This Row],[CECO_T]],1,5)</f>
        <v>5L72M</v>
      </c>
      <c r="B4867" t="str">
        <f>MID(TB_CECO[[#This Row],[TRABAJO]],1,SEARCH(",",TB_CECO[[#This Row],[TRABAJO]],1)-1)</f>
        <v>Tj 177 NE (Ch 921)</v>
      </c>
      <c r="C48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921),RELLENO</v>
      </c>
      <c r="D48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67" s="47" t="s">
        <v>9633</v>
      </c>
      <c r="G4867" t="s">
        <v>9634</v>
      </c>
      <c r="H48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68" spans="1:8" ht="15" customHeight="1" x14ac:dyDescent="0.25">
      <c r="A4868" t="str">
        <f>MID(TB_CECO[[#This Row],[CECO_T]],1,5)</f>
        <v>5L72M</v>
      </c>
      <c r="B4868" t="str">
        <f>MID(TB_CECO[[#This Row],[TRABAJO]],1,SEARCH(",",TB_CECO[[#This Row],[TRABAJO]],1)-1)</f>
        <v>Tj 177 NE (Ch 921)</v>
      </c>
      <c r="C48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921),SOSTENIMIENTO</v>
      </c>
      <c r="D48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68" s="47" t="s">
        <v>9635</v>
      </c>
      <c r="G4868" t="s">
        <v>9636</v>
      </c>
      <c r="H48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69" spans="1:8" ht="15" customHeight="1" x14ac:dyDescent="0.25">
      <c r="A4869" t="str">
        <f>MID(TB_CECO[[#This Row],[CECO_T]],1,5)</f>
        <v>5L72M</v>
      </c>
      <c r="B4869" t="str">
        <f>MID(TB_CECO[[#This Row],[TRABAJO]],1,SEARCH(",",TB_CECO[[#This Row],[TRABAJO]],1)-1)</f>
        <v>Tj 177 NE (Ch 921)</v>
      </c>
      <c r="C48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921),SOSTENIMIENTO</v>
      </c>
      <c r="D48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69" s="47" t="s">
        <v>9635</v>
      </c>
      <c r="G4869" t="s">
        <v>9636</v>
      </c>
      <c r="H48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70" spans="1:8" ht="15" customHeight="1" x14ac:dyDescent="0.25">
      <c r="A4870" t="str">
        <f>MID(TB_CECO[[#This Row],[CECO_T]],1,5)</f>
        <v>5L72M</v>
      </c>
      <c r="B4870" t="str">
        <f>MID(TB_CECO[[#This Row],[TRABAJO]],1,SEARCH(",",TB_CECO[[#This Row],[TRABAJO]],1)-1)</f>
        <v>Tj 177 NE (Ch 921)</v>
      </c>
      <c r="C48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921),VOLADURA</v>
      </c>
      <c r="D48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70" s="47" t="s">
        <v>9637</v>
      </c>
      <c r="G4870" t="s">
        <v>9638</v>
      </c>
      <c r="H48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71" spans="1:8" ht="15" customHeight="1" x14ac:dyDescent="0.25">
      <c r="A4871" t="str">
        <f>MID(TB_CECO[[#This Row],[CECO_T]],1,5)</f>
        <v>5L72M</v>
      </c>
      <c r="B4871" t="str">
        <f>MID(TB_CECO[[#This Row],[TRABAJO]],1,SEARCH(",",TB_CECO[[#This Row],[TRABAJO]],1)-1)</f>
        <v>Tj 177 NE (Ch 921)</v>
      </c>
      <c r="C48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177 NE (Ch 921),VOLADURA</v>
      </c>
      <c r="D48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71" s="47" t="s">
        <v>9637</v>
      </c>
      <c r="G4871" t="s">
        <v>9638</v>
      </c>
      <c r="H48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72" spans="1:8" ht="15" customHeight="1" x14ac:dyDescent="0.25">
      <c r="A4872" t="str">
        <f>MID(TB_CECO[[#This Row],[CECO_T]],1,5)</f>
        <v>5L72O</v>
      </c>
      <c r="B4872" t="str">
        <f>MID(TB_CECO[[#This Row],[TRABAJO]],1,SEARCH(",",TB_CECO[[#This Row],[TRABAJO]],1)-1)</f>
        <v>Tj 157 NE (Ch 948)</v>
      </c>
      <c r="C48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948),LIMPIEZA</v>
      </c>
      <c r="D48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72" s="47" t="s">
        <v>9639</v>
      </c>
      <c r="G4872" t="s">
        <v>9640</v>
      </c>
      <c r="H48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73" spans="1:8" ht="15" customHeight="1" x14ac:dyDescent="0.25">
      <c r="A4873" t="str">
        <f>MID(TB_CECO[[#This Row],[CECO_T]],1,5)</f>
        <v>5L72O</v>
      </c>
      <c r="B4873" t="str">
        <f>MID(TB_CECO[[#This Row],[TRABAJO]],1,SEARCH(",",TB_CECO[[#This Row],[TRABAJO]],1)-1)</f>
        <v>Tj 157 NE (Ch 948)</v>
      </c>
      <c r="C48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948),SERVICIO</v>
      </c>
      <c r="D48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73" s="47" t="s">
        <v>9641</v>
      </c>
      <c r="G4873" t="s">
        <v>9642</v>
      </c>
      <c r="H48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74" spans="1:8" ht="15" customHeight="1" x14ac:dyDescent="0.25">
      <c r="A4874" t="str">
        <f>MID(TB_CECO[[#This Row],[CECO_T]],1,5)</f>
        <v>5L72O</v>
      </c>
      <c r="B4874" t="str">
        <f>MID(TB_CECO[[#This Row],[TRABAJO]],1,SEARCH(",",TB_CECO[[#This Row],[TRABAJO]],1)-1)</f>
        <v>Tj 157 NE (Ch 948)</v>
      </c>
      <c r="C48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948),PERFORACION</v>
      </c>
      <c r="D48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74" s="47" t="s">
        <v>9643</v>
      </c>
      <c r="G4874" t="s">
        <v>9644</v>
      </c>
      <c r="H48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75" spans="1:8" ht="15" customHeight="1" x14ac:dyDescent="0.25">
      <c r="A4875" t="str">
        <f>MID(TB_CECO[[#This Row],[CECO_T]],1,5)</f>
        <v>5L72O</v>
      </c>
      <c r="B4875" t="str">
        <f>MID(TB_CECO[[#This Row],[TRABAJO]],1,SEARCH(",",TB_CECO[[#This Row],[TRABAJO]],1)-1)</f>
        <v>Tj 157 NE (Ch 948)</v>
      </c>
      <c r="C48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948),RELLENO</v>
      </c>
      <c r="D48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75" s="47" t="s">
        <v>9645</v>
      </c>
      <c r="G4875" t="s">
        <v>9646</v>
      </c>
      <c r="H48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76" spans="1:8" ht="15" customHeight="1" x14ac:dyDescent="0.25">
      <c r="A4876" t="str">
        <f>MID(TB_CECO[[#This Row],[CECO_T]],1,5)</f>
        <v>5L72O</v>
      </c>
      <c r="B4876" t="str">
        <f>MID(TB_CECO[[#This Row],[TRABAJO]],1,SEARCH(",",TB_CECO[[#This Row],[TRABAJO]],1)-1)</f>
        <v>Tj 157 NE (Ch 948)</v>
      </c>
      <c r="C48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948),SOSTENIMIENTO</v>
      </c>
      <c r="D48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76" s="47" t="s">
        <v>9647</v>
      </c>
      <c r="G4876" t="s">
        <v>9648</v>
      </c>
      <c r="H48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77" spans="1:8" ht="15" customHeight="1" x14ac:dyDescent="0.25">
      <c r="A4877" t="str">
        <f>MID(TB_CECO[[#This Row],[CECO_T]],1,5)</f>
        <v>5L72O</v>
      </c>
      <c r="B4877" t="str">
        <f>MID(TB_CECO[[#This Row],[TRABAJO]],1,SEARCH(",",TB_CECO[[#This Row],[TRABAJO]],1)-1)</f>
        <v>Tj 157 NE (Ch 948)</v>
      </c>
      <c r="C48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157 NE (Ch 948),VOLADURA</v>
      </c>
      <c r="D48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77" s="47" t="s">
        <v>9649</v>
      </c>
      <c r="G4877" t="s">
        <v>9650</v>
      </c>
      <c r="H48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78" spans="1:8" ht="15" customHeight="1" x14ac:dyDescent="0.25">
      <c r="A4878" t="str">
        <f>MID(TB_CECO[[#This Row],[CECO_T]],1,5)</f>
        <v>5L775</v>
      </c>
      <c r="B4878" t="str">
        <f>MID(TB_CECO[[#This Row],[TRABAJO]],1,SEARCH(",",TB_CECO[[#This Row],[TRABAJO]],1)-1)</f>
        <v>Tj 256 SW (Snv 256 SW)</v>
      </c>
      <c r="C48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256 SW (Snv 256 SW),SUMINISTROS</v>
      </c>
      <c r="D48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8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78" s="47" t="s">
        <v>9651</v>
      </c>
      <c r="G4878" t="s">
        <v>9652</v>
      </c>
      <c r="H48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79" spans="1:8" ht="15" customHeight="1" x14ac:dyDescent="0.25">
      <c r="A4879" t="str">
        <f>MID(TB_CECO[[#This Row],[CECO_T]],1,5)</f>
        <v>5L775</v>
      </c>
      <c r="B4879" t="str">
        <f>MID(TB_CECO[[#This Row],[TRABAJO]],1,SEARCH(",",TB_CECO[[#This Row],[TRABAJO]],1)-1)</f>
        <v>Tj 256 SW (Snv 256 SW)</v>
      </c>
      <c r="C48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256 SW (Snv 256 SW),SOSTENIMIENTO</v>
      </c>
      <c r="D48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8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79" s="47" t="s">
        <v>9653</v>
      </c>
      <c r="G4879" t="s">
        <v>9654</v>
      </c>
      <c r="H48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80" spans="1:8" ht="15" customHeight="1" x14ac:dyDescent="0.25">
      <c r="A4880" t="str">
        <f>MID(TB_CECO[[#This Row],[CECO_T]],1,5)</f>
        <v>5L775</v>
      </c>
      <c r="B4880" t="str">
        <f>MID(TB_CECO[[#This Row],[TRABAJO]],1,SEARCH(",",TB_CECO[[#This Row],[TRABAJO]],1)-1)</f>
        <v>Tj 256 SW (Snv 256 SW)</v>
      </c>
      <c r="C48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256 SW (Snv 256 SW),SERVICIO</v>
      </c>
      <c r="D48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8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80" s="47" t="s">
        <v>9655</v>
      </c>
      <c r="G4880" t="s">
        <v>9656</v>
      </c>
      <c r="H48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81" spans="1:8" ht="15" customHeight="1" x14ac:dyDescent="0.25">
      <c r="A4881" t="str">
        <f>MID(TB_CECO[[#This Row],[CECO_T]],1,5)</f>
        <v>5L775</v>
      </c>
      <c r="B4881" t="str">
        <f>MID(TB_CECO[[#This Row],[TRABAJO]],1,SEARCH(",",TB_CECO[[#This Row],[TRABAJO]],1)-1)</f>
        <v>Tj 256 SW (Snv 256 SW)</v>
      </c>
      <c r="C48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256 SW (Snv 256 SW),REHABILITACION</v>
      </c>
      <c r="D48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48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81" s="47" t="s">
        <v>9657</v>
      </c>
      <c r="G4881" t="s">
        <v>9658</v>
      </c>
      <c r="H48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82" spans="1:8" ht="15" customHeight="1" x14ac:dyDescent="0.25">
      <c r="A4882" t="str">
        <f>MID(TB_CECO[[#This Row],[CECO_T]],1,5)</f>
        <v>5L794</v>
      </c>
      <c r="B4882" t="str">
        <f>MID(TB_CECO[[#This Row],[TRABAJO]],1,SEARCH(",",TB_CECO[[#This Row],[TRABAJO]],1)-1)</f>
        <v>Tj 017 SW (Snv 015 SW)</v>
      </c>
      <c r="C48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017 SW (Snv 015 SW),LIMPIEZA</v>
      </c>
      <c r="D48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82" s="47" t="s">
        <v>9659</v>
      </c>
      <c r="G4882" t="s">
        <v>9660</v>
      </c>
      <c r="H48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83" spans="1:8" ht="15" customHeight="1" x14ac:dyDescent="0.25">
      <c r="A4883" t="str">
        <f>MID(TB_CECO[[#This Row],[CECO_T]],1,5)</f>
        <v>5L794</v>
      </c>
      <c r="B4883" t="str">
        <f>MID(TB_CECO[[#This Row],[TRABAJO]],1,SEARCH(",",TB_CECO[[#This Row],[TRABAJO]],1)-1)</f>
        <v>Tj 017 SW (Snv 015 SW)</v>
      </c>
      <c r="C48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017 SW (Snv 015 SW),SERVICIO</v>
      </c>
      <c r="D48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83" s="47" t="s">
        <v>9661</v>
      </c>
      <c r="G4883" t="s">
        <v>9662</v>
      </c>
      <c r="H48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84" spans="1:8" ht="15" customHeight="1" x14ac:dyDescent="0.25">
      <c r="A4884" t="str">
        <f>MID(TB_CECO[[#This Row],[CECO_T]],1,5)</f>
        <v>5L794</v>
      </c>
      <c r="B4884" t="str">
        <f>MID(TB_CECO[[#This Row],[TRABAJO]],1,SEARCH(",",TB_CECO[[#This Row],[TRABAJO]],1)-1)</f>
        <v>Tj 017 SW (Snv 015 SW)</v>
      </c>
      <c r="C48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017 SW (Snv 015 SW),PERFORACION</v>
      </c>
      <c r="D48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84" s="47" t="s">
        <v>9663</v>
      </c>
      <c r="G4884" t="s">
        <v>9664</v>
      </c>
      <c r="H48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85" spans="1:8" ht="15" customHeight="1" x14ac:dyDescent="0.25">
      <c r="A4885" t="str">
        <f>MID(TB_CECO[[#This Row],[CECO_T]],1,5)</f>
        <v>5L794</v>
      </c>
      <c r="B4885" t="str">
        <f>MID(TB_CECO[[#This Row],[TRABAJO]],1,SEARCH(",",TB_CECO[[#This Row],[TRABAJO]],1)-1)</f>
        <v>Tj 017 SW (Snv 015 SW)</v>
      </c>
      <c r="C48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017 SW (Snv 015 SW),SOSTENIMIENTO</v>
      </c>
      <c r="D48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85" s="47" t="s">
        <v>9665</v>
      </c>
      <c r="G4885" t="s">
        <v>9666</v>
      </c>
      <c r="H48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86" spans="1:8" ht="15" customHeight="1" x14ac:dyDescent="0.25">
      <c r="A4886" t="str">
        <f>MID(TB_CECO[[#This Row],[CECO_T]],1,5)</f>
        <v>5L794</v>
      </c>
      <c r="B4886" t="str">
        <f>MID(TB_CECO[[#This Row],[TRABAJO]],1,SEARCH(",",TB_CECO[[#This Row],[TRABAJO]],1)-1)</f>
        <v>Tj 017 SW (Snv 015 SW)</v>
      </c>
      <c r="C48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017 SW (Snv 015 SW),VOLADURA</v>
      </c>
      <c r="D48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86" s="47" t="s">
        <v>9667</v>
      </c>
      <c r="G4886" t="s">
        <v>9668</v>
      </c>
      <c r="H48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87" spans="1:8" ht="15" customHeight="1" x14ac:dyDescent="0.25">
      <c r="A4887" t="str">
        <f>MID(TB_CECO[[#This Row],[CECO_T]],1,5)</f>
        <v>5L795</v>
      </c>
      <c r="B4887" t="str">
        <f>MID(TB_CECO[[#This Row],[TRABAJO]],1,SEARCH(",",TB_CECO[[#This Row],[TRABAJO]],1)-1)</f>
        <v>Tj 017 NE (Snv 015 SW)</v>
      </c>
      <c r="C48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017 NE (Snv 015 SW),LIMPIEZA</v>
      </c>
      <c r="D48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87" s="47" t="s">
        <v>9669</v>
      </c>
      <c r="G4887" t="s">
        <v>9670</v>
      </c>
      <c r="H48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88" spans="1:8" ht="15" customHeight="1" x14ac:dyDescent="0.25">
      <c r="A4888" t="str">
        <f>MID(TB_CECO[[#This Row],[CECO_T]],1,5)</f>
        <v>5L795</v>
      </c>
      <c r="B4888" t="str">
        <f>MID(TB_CECO[[#This Row],[TRABAJO]],1,SEARCH(",",TB_CECO[[#This Row],[TRABAJO]],1)-1)</f>
        <v>Tj 017 NE (Snv 015 SW)</v>
      </c>
      <c r="C48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017 NE (Snv 015 SW),SERVICIO</v>
      </c>
      <c r="D48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88" s="47" t="s">
        <v>9671</v>
      </c>
      <c r="G4888" t="s">
        <v>9672</v>
      </c>
      <c r="H48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89" spans="1:8" ht="15" customHeight="1" x14ac:dyDescent="0.25">
      <c r="A4889" t="str">
        <f>MID(TB_CECO[[#This Row],[CECO_T]],1,5)</f>
        <v>5L795</v>
      </c>
      <c r="B4889" t="str">
        <f>MID(TB_CECO[[#This Row],[TRABAJO]],1,SEARCH(",",TB_CECO[[#This Row],[TRABAJO]],1)-1)</f>
        <v>Tj 017 NE (Snv 015 SW)</v>
      </c>
      <c r="C48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017 NE (Snv 015 SW),PERFORACION</v>
      </c>
      <c r="D48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89" s="47" t="s">
        <v>9673</v>
      </c>
      <c r="G4889" t="s">
        <v>9674</v>
      </c>
      <c r="H48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90" spans="1:8" ht="15" customHeight="1" x14ac:dyDescent="0.25">
      <c r="A4890" t="str">
        <f>MID(TB_CECO[[#This Row],[CECO_T]],1,5)</f>
        <v>5L795</v>
      </c>
      <c r="B4890" t="str">
        <f>MID(TB_CECO[[#This Row],[TRABAJO]],1,SEARCH(",",TB_CECO[[#This Row],[TRABAJO]],1)-1)</f>
        <v>Tj 017 NE (Snv 015 SW)</v>
      </c>
      <c r="C48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017 NE (Snv 015 SW),SOSTENIMIENTO</v>
      </c>
      <c r="D48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90" s="47" t="s">
        <v>9675</v>
      </c>
      <c r="G4890" t="s">
        <v>9676</v>
      </c>
      <c r="H48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91" spans="1:8" ht="15" customHeight="1" x14ac:dyDescent="0.25">
      <c r="A4891" t="str">
        <f>MID(TB_CECO[[#This Row],[CECO_T]],1,5)</f>
        <v>5L795</v>
      </c>
      <c r="B4891" t="str">
        <f>MID(TB_CECO[[#This Row],[TRABAJO]],1,SEARCH(",",TB_CECO[[#This Row],[TRABAJO]],1)-1)</f>
        <v>Tj 017 NE (Snv 015 SW)</v>
      </c>
      <c r="C48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 017 NE (Snv 015 SW),VOLADURA</v>
      </c>
      <c r="D48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8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91" s="47" t="s">
        <v>9677</v>
      </c>
      <c r="G4891" t="s">
        <v>9678</v>
      </c>
      <c r="H48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92" spans="1:8" ht="15" customHeight="1" x14ac:dyDescent="0.25">
      <c r="A4892" t="str">
        <f>MID(TB_CECO[[#This Row],[CECO_T]],1,5)</f>
        <v>5M71H</v>
      </c>
      <c r="B4892" t="str">
        <f>MID(TB_CECO[[#This Row],[TRABAJO]],1,SEARCH(",",TB_CECO[[#This Row],[TRABAJO]],1)-1)</f>
        <v>Tj 642 SW (Gal 639 SW)</v>
      </c>
      <c r="C48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642 SW (Gal 639 SW),LIMPIEZA</v>
      </c>
      <c r="D48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8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92" s="47" t="s">
        <v>9679</v>
      </c>
      <c r="G4892" t="s">
        <v>9680</v>
      </c>
      <c r="H48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93" spans="1:8" ht="15" customHeight="1" x14ac:dyDescent="0.25">
      <c r="A4893" t="str">
        <f>MID(TB_CECO[[#This Row],[CECO_T]],1,5)</f>
        <v>5M71H</v>
      </c>
      <c r="B4893" t="str">
        <f>MID(TB_CECO[[#This Row],[TRABAJO]],1,SEARCH(",",TB_CECO[[#This Row],[TRABAJO]],1)-1)</f>
        <v>Tj 642 SW (Gal 639 SW)</v>
      </c>
      <c r="C48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642 SW (Gal 639 SW),SERVICIO</v>
      </c>
      <c r="D48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8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93" s="47" t="s">
        <v>9681</v>
      </c>
      <c r="G4893" t="s">
        <v>9682</v>
      </c>
      <c r="H48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94" spans="1:8" ht="15" customHeight="1" x14ac:dyDescent="0.25">
      <c r="A4894" t="str">
        <f>MID(TB_CECO[[#This Row],[CECO_T]],1,5)</f>
        <v>5M71H</v>
      </c>
      <c r="B4894" t="str">
        <f>MID(TB_CECO[[#This Row],[TRABAJO]],1,SEARCH(",",TB_CECO[[#This Row],[TRABAJO]],1)-1)</f>
        <v>Tj 642 SW (Gal 639 SW)</v>
      </c>
      <c r="C48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642 SW (Gal 639 SW),PERFORACION</v>
      </c>
      <c r="D48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8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94" s="47" t="s">
        <v>9683</v>
      </c>
      <c r="G4894" t="s">
        <v>9684</v>
      </c>
      <c r="H48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95" spans="1:8" ht="15" customHeight="1" x14ac:dyDescent="0.25">
      <c r="A4895" t="str">
        <f>MID(TB_CECO[[#This Row],[CECO_T]],1,5)</f>
        <v>5M71H</v>
      </c>
      <c r="B4895" t="str">
        <f>MID(TB_CECO[[#This Row],[TRABAJO]],1,SEARCH(",",TB_CECO[[#This Row],[TRABAJO]],1)-1)</f>
        <v>Tj 642 SW (Gal 639 SW)</v>
      </c>
      <c r="C48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642 SW (Gal 639 SW),SOSTENIMIENTO</v>
      </c>
      <c r="D48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8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95" s="47" t="s">
        <v>9685</v>
      </c>
      <c r="G4895" t="s">
        <v>9686</v>
      </c>
      <c r="H48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96" spans="1:8" ht="15" customHeight="1" x14ac:dyDescent="0.25">
      <c r="A4896" t="str">
        <f>MID(TB_CECO[[#This Row],[CECO_T]],1,5)</f>
        <v>5M71H</v>
      </c>
      <c r="B4896" t="str">
        <f>MID(TB_CECO[[#This Row],[TRABAJO]],1,SEARCH(",",TB_CECO[[#This Row],[TRABAJO]],1)-1)</f>
        <v>Tj 642 SW (Gal 639 SW)</v>
      </c>
      <c r="C48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642 SW (Gal 639 SW),VOLADURA</v>
      </c>
      <c r="D48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8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96" s="47" t="s">
        <v>9687</v>
      </c>
      <c r="G4896" t="s">
        <v>9688</v>
      </c>
      <c r="H48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97" spans="1:8" ht="15" customHeight="1" x14ac:dyDescent="0.25">
      <c r="A4897" t="str">
        <f>MID(TB_CECO[[#This Row],[CECO_T]],1,5)</f>
        <v>5M71L</v>
      </c>
      <c r="B4897" t="str">
        <f>MID(TB_CECO[[#This Row],[TRABAJO]],1,SEARCH(",",TB_CECO[[#This Row],[TRABAJO]],1)-1)</f>
        <v>Tj 642 NE (Gal 639 NE)</v>
      </c>
      <c r="C48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642 NE (Gal 639 NE),LIMPIEZA</v>
      </c>
      <c r="D48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8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97" s="47" t="s">
        <v>9689</v>
      </c>
      <c r="G4897" t="s">
        <v>9690</v>
      </c>
      <c r="H48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98" spans="1:8" ht="15" customHeight="1" x14ac:dyDescent="0.25">
      <c r="A4898" t="str">
        <f>MID(TB_CECO[[#This Row],[CECO_T]],1,5)</f>
        <v>5M71L</v>
      </c>
      <c r="B4898" t="str">
        <f>MID(TB_CECO[[#This Row],[TRABAJO]],1,SEARCH(",",TB_CECO[[#This Row],[TRABAJO]],1)-1)</f>
        <v>Tj 642 NE (Gal 639 NE)</v>
      </c>
      <c r="C48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642 NE (Gal 639 NE),SERVICIO</v>
      </c>
      <c r="D48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8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98" s="47" t="s">
        <v>9691</v>
      </c>
      <c r="G4898" t="s">
        <v>9692</v>
      </c>
      <c r="H48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899" spans="1:8" ht="15" customHeight="1" x14ac:dyDescent="0.25">
      <c r="A4899" t="str">
        <f>MID(TB_CECO[[#This Row],[CECO_T]],1,5)</f>
        <v>5M71L</v>
      </c>
      <c r="B4899" t="str">
        <f>MID(TB_CECO[[#This Row],[TRABAJO]],1,SEARCH(",",TB_CECO[[#This Row],[TRABAJO]],1)-1)</f>
        <v>Tj 642 NE (Gal 639 NE)</v>
      </c>
      <c r="C48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642 NE (Gal 639 NE),PERFORACION</v>
      </c>
      <c r="D48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8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899" s="47" t="s">
        <v>9693</v>
      </c>
      <c r="G4899" t="s">
        <v>9694</v>
      </c>
      <c r="H48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00" spans="1:8" ht="15" customHeight="1" x14ac:dyDescent="0.25">
      <c r="A4900" t="str">
        <f>MID(TB_CECO[[#This Row],[CECO_T]],1,5)</f>
        <v>5M71L</v>
      </c>
      <c r="B4900" t="str">
        <f>MID(TB_CECO[[#This Row],[TRABAJO]],1,SEARCH(",",TB_CECO[[#This Row],[TRABAJO]],1)-1)</f>
        <v>Tj 642 NE (Gal 639 NE)</v>
      </c>
      <c r="C49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642 NE (Gal 639 NE),RELLENO</v>
      </c>
      <c r="D49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00" s="47" t="s">
        <v>9695</v>
      </c>
      <c r="G4900" t="s">
        <v>9696</v>
      </c>
      <c r="H49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01" spans="1:8" ht="15" customHeight="1" x14ac:dyDescent="0.25">
      <c r="A4901" t="str">
        <f>MID(TB_CECO[[#This Row],[CECO_T]],1,5)</f>
        <v>5M71L</v>
      </c>
      <c r="B4901" t="str">
        <f>MID(TB_CECO[[#This Row],[TRABAJO]],1,SEARCH(",",TB_CECO[[#This Row],[TRABAJO]],1)-1)</f>
        <v>Tj 642 NE (Gal 639 NE)</v>
      </c>
      <c r="C49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642 NE (Gal 639 NE),SOSTENIMIENTO</v>
      </c>
      <c r="D49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01" s="47" t="s">
        <v>9697</v>
      </c>
      <c r="G4901" t="s">
        <v>9698</v>
      </c>
      <c r="H49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02" spans="1:8" ht="15" customHeight="1" x14ac:dyDescent="0.25">
      <c r="A4902" t="str">
        <f>MID(TB_CECO[[#This Row],[CECO_T]],1,5)</f>
        <v>5M71L</v>
      </c>
      <c r="B4902" t="str">
        <f>MID(TB_CECO[[#This Row],[TRABAJO]],1,SEARCH(",",TB_CECO[[#This Row],[TRABAJO]],1)-1)</f>
        <v>Tj 642 NE (Gal 639 NE)</v>
      </c>
      <c r="C49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642 NE (Gal 639 NE),VOLADURA</v>
      </c>
      <c r="D49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02" s="47" t="s">
        <v>9699</v>
      </c>
      <c r="G4902" t="s">
        <v>9700</v>
      </c>
      <c r="H49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03" spans="1:8" ht="15" customHeight="1" x14ac:dyDescent="0.25">
      <c r="A4903" t="str">
        <f>MID(TB_CECO[[#This Row],[CECO_T]],1,5)</f>
        <v>5M72G</v>
      </c>
      <c r="B4903" t="str">
        <f>MID(TB_CECO[[#This Row],[TRABAJO]],1,SEARCH(",",TB_CECO[[#This Row],[TRABAJO]],1)-1)</f>
        <v>Tj 619 SW (Ch 619)</v>
      </c>
      <c r="C49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SW (Ch 619),LIMPIEZA</v>
      </c>
      <c r="D49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03" s="47" t="s">
        <v>9701</v>
      </c>
      <c r="G4903" t="s">
        <v>9702</v>
      </c>
      <c r="H49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04" spans="1:8" ht="15" customHeight="1" x14ac:dyDescent="0.25">
      <c r="A4904" t="str">
        <f>MID(TB_CECO[[#This Row],[CECO_T]],1,5)</f>
        <v>5M72G</v>
      </c>
      <c r="B4904" t="str">
        <f>MID(TB_CECO[[#This Row],[TRABAJO]],1,SEARCH(",",TB_CECO[[#This Row],[TRABAJO]],1)-1)</f>
        <v>Tj 619 SW (Ch 619)</v>
      </c>
      <c r="C49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SW (Ch 619),SERVICIO</v>
      </c>
      <c r="D49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04" s="47" t="s">
        <v>9703</v>
      </c>
      <c r="G4904" t="s">
        <v>9704</v>
      </c>
      <c r="H49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05" spans="1:8" ht="15" customHeight="1" x14ac:dyDescent="0.25">
      <c r="A4905" t="str">
        <f>MID(TB_CECO[[#This Row],[CECO_T]],1,5)</f>
        <v>5M72G</v>
      </c>
      <c r="B4905" t="str">
        <f>MID(TB_CECO[[#This Row],[TRABAJO]],1,SEARCH(",",TB_CECO[[#This Row],[TRABAJO]],1)-1)</f>
        <v>Tj 619 SW (Ch 619)</v>
      </c>
      <c r="C49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SW (Ch 619),PERFORACION</v>
      </c>
      <c r="D49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05" s="47" t="s">
        <v>9705</v>
      </c>
      <c r="G4905" t="s">
        <v>9706</v>
      </c>
      <c r="H49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06" spans="1:8" ht="15" customHeight="1" x14ac:dyDescent="0.25">
      <c r="A4906" t="str">
        <f>MID(TB_CECO[[#This Row],[CECO_T]],1,5)</f>
        <v>5M72G</v>
      </c>
      <c r="B4906" t="str">
        <f>MID(TB_CECO[[#This Row],[TRABAJO]],1,SEARCH(",",TB_CECO[[#This Row],[TRABAJO]],1)-1)</f>
        <v>Tj 619 SW (Ch 619)</v>
      </c>
      <c r="C49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SW (Ch 619),RELLENO</v>
      </c>
      <c r="D49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06" s="47" t="s">
        <v>9707</v>
      </c>
      <c r="G4906" t="s">
        <v>9708</v>
      </c>
      <c r="H49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07" spans="1:8" ht="15" customHeight="1" x14ac:dyDescent="0.25">
      <c r="A4907" t="str">
        <f>MID(TB_CECO[[#This Row],[CECO_T]],1,5)</f>
        <v>5M72G</v>
      </c>
      <c r="B4907" t="str">
        <f>MID(TB_CECO[[#This Row],[TRABAJO]],1,SEARCH(",",TB_CECO[[#This Row],[TRABAJO]],1)-1)</f>
        <v>Tj 619 SW (Ch 619)</v>
      </c>
      <c r="C49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SW (Ch 619),SOSTENIMIENTO</v>
      </c>
      <c r="D49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07" s="47" t="s">
        <v>9709</v>
      </c>
      <c r="G4907" t="s">
        <v>9710</v>
      </c>
      <c r="H49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08" spans="1:8" ht="15" customHeight="1" x14ac:dyDescent="0.25">
      <c r="A4908" t="str">
        <f>MID(TB_CECO[[#This Row],[CECO_T]],1,5)</f>
        <v>5M72G</v>
      </c>
      <c r="B4908" t="str">
        <f>MID(TB_CECO[[#This Row],[TRABAJO]],1,SEARCH(",",TB_CECO[[#This Row],[TRABAJO]],1)-1)</f>
        <v>Tj 619 SW (Ch 619)</v>
      </c>
      <c r="C49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SW (Ch 619),VOLADURA</v>
      </c>
      <c r="D49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08" s="47" t="s">
        <v>9711</v>
      </c>
      <c r="G4908" t="s">
        <v>9712</v>
      </c>
      <c r="H49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09" spans="1:8" ht="15" customHeight="1" x14ac:dyDescent="0.25">
      <c r="A4909" t="str">
        <f>MID(TB_CECO[[#This Row],[CECO_T]],1,5)</f>
        <v>5M72H</v>
      </c>
      <c r="B4909" t="str">
        <f>MID(TB_CECO[[#This Row],[TRABAJO]],1,SEARCH(",",TB_CECO[[#This Row],[TRABAJO]],1)-1)</f>
        <v>Tj 619 NE (Ch 619)</v>
      </c>
      <c r="C49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NE (Ch 619),LIMPIEZA</v>
      </c>
      <c r="D49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09" s="47" t="s">
        <v>9713</v>
      </c>
      <c r="G4909" t="s">
        <v>9714</v>
      </c>
      <c r="H49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10" spans="1:8" ht="15" customHeight="1" x14ac:dyDescent="0.25">
      <c r="A4910" t="str">
        <f>MID(TB_CECO[[#This Row],[CECO_T]],1,5)</f>
        <v>5M72H</v>
      </c>
      <c r="B4910" t="str">
        <f>MID(TB_CECO[[#This Row],[TRABAJO]],1,SEARCH(",",TB_CECO[[#This Row],[TRABAJO]],1)-1)</f>
        <v>Tj 619 NE (Ch 619)</v>
      </c>
      <c r="C49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NE (Ch 619),SERVICIO</v>
      </c>
      <c r="D49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10" s="47" t="s">
        <v>9715</v>
      </c>
      <c r="G4910" t="s">
        <v>9716</v>
      </c>
      <c r="H49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11" spans="1:8" ht="15" customHeight="1" x14ac:dyDescent="0.25">
      <c r="A4911" t="str">
        <f>MID(TB_CECO[[#This Row],[CECO_T]],1,5)</f>
        <v>5M72H</v>
      </c>
      <c r="B4911" t="str">
        <f>MID(TB_CECO[[#This Row],[TRABAJO]],1,SEARCH(",",TB_CECO[[#This Row],[TRABAJO]],1)-1)</f>
        <v>Tj 619 NE (Ch 619)</v>
      </c>
      <c r="C49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NE (Ch 619),PERFORACION</v>
      </c>
      <c r="D49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11" s="47" t="s">
        <v>9717</v>
      </c>
      <c r="G4911" t="s">
        <v>9718</v>
      </c>
      <c r="H49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12" spans="1:8" ht="15" customHeight="1" x14ac:dyDescent="0.25">
      <c r="A4912" t="str">
        <f>MID(TB_CECO[[#This Row],[CECO_T]],1,5)</f>
        <v>5M72H</v>
      </c>
      <c r="B4912" t="str">
        <f>MID(TB_CECO[[#This Row],[TRABAJO]],1,SEARCH(",",TB_CECO[[#This Row],[TRABAJO]],1)-1)</f>
        <v>Tj 619 NE (Ch 619)</v>
      </c>
      <c r="C49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NE (Ch 619),RELLENO</v>
      </c>
      <c r="D49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12" s="47" t="s">
        <v>9719</v>
      </c>
      <c r="G4912" t="s">
        <v>9720</v>
      </c>
      <c r="H49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13" spans="1:8" ht="15" customHeight="1" x14ac:dyDescent="0.25">
      <c r="A4913" t="str">
        <f>MID(TB_CECO[[#This Row],[CECO_T]],1,5)</f>
        <v>5M72H</v>
      </c>
      <c r="B4913" t="str">
        <f>MID(TB_CECO[[#This Row],[TRABAJO]],1,SEARCH(",",TB_CECO[[#This Row],[TRABAJO]],1)-1)</f>
        <v>Tj 619 NE (Ch 619)</v>
      </c>
      <c r="C49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NE (Ch 619),SOSTENIMIENTO</v>
      </c>
      <c r="D49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13" s="47" t="s">
        <v>9721</v>
      </c>
      <c r="G4913" t="s">
        <v>9722</v>
      </c>
      <c r="H49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14" spans="1:8" ht="15" customHeight="1" x14ac:dyDescent="0.25">
      <c r="A4914" t="str">
        <f>MID(TB_CECO[[#This Row],[CECO_T]],1,5)</f>
        <v>5M72H</v>
      </c>
      <c r="B4914" t="str">
        <f>MID(TB_CECO[[#This Row],[TRABAJO]],1,SEARCH(",",TB_CECO[[#This Row],[TRABAJO]],1)-1)</f>
        <v>Tj 619 NE (Ch 619)</v>
      </c>
      <c r="C49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619 NE (Ch 619),VOLADURA</v>
      </c>
      <c r="D49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JACKY</v>
      </c>
      <c r="E49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14" s="47" t="s">
        <v>9723</v>
      </c>
      <c r="G4914" t="s">
        <v>9724</v>
      </c>
      <c r="H49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4915" spans="1:8" ht="15" customHeight="1" x14ac:dyDescent="0.25">
      <c r="A4915" t="str">
        <f>MID(TB_CECO[[#This Row],[CECO_T]],1,5)</f>
        <v>61003</v>
      </c>
      <c r="B4915" t="str">
        <f>MID(TB_CECO[[#This Row],[TRABAJO]],1,SEARCH(",",TB_CECO[[#This Row],[TRABAJO]],1)-1)</f>
        <v>GAL 150 SW (CX 150 NW)</v>
      </c>
      <c r="C49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NW),VOLADURA     </v>
      </c>
      <c r="D49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15" s="47" t="s">
        <v>9725</v>
      </c>
      <c r="G4915" t="s">
        <v>9726</v>
      </c>
      <c r="H49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16" spans="1:8" ht="15" customHeight="1" x14ac:dyDescent="0.25">
      <c r="A4916" t="str">
        <f>MID(TB_CECO[[#This Row],[CECO_T]],1,5)</f>
        <v>61003</v>
      </c>
      <c r="B4916" t="str">
        <f>MID(TB_CECO[[#This Row],[TRABAJO]],1,SEARCH(",",TB_CECO[[#This Row],[TRABAJO]],1)-1)</f>
        <v>GAL 150 SW (CX 150 NW)</v>
      </c>
      <c r="C49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NW),CAMINOS      </v>
      </c>
      <c r="D49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16" s="47" t="s">
        <v>9727</v>
      </c>
      <c r="G4916" t="s">
        <v>9728</v>
      </c>
      <c r="H49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17" spans="1:8" ht="15" customHeight="1" x14ac:dyDescent="0.25">
      <c r="A4917" t="str">
        <f>MID(TB_CECO[[#This Row],[CECO_T]],1,5)</f>
        <v>61003</v>
      </c>
      <c r="B4917" t="str">
        <f>MID(TB_CECO[[#This Row],[TRABAJO]],1,SEARCH(",",TB_CECO[[#This Row],[TRABAJO]],1)-1)</f>
        <v>GAL 150 SW (CX 150 NW)</v>
      </c>
      <c r="C49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SW (CX 150 NW),INST.DE RIELE</v>
      </c>
      <c r="D49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17" s="47" t="s">
        <v>9729</v>
      </c>
      <c r="G4917" t="s">
        <v>9730</v>
      </c>
      <c r="H49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18" spans="1:8" ht="15" customHeight="1" x14ac:dyDescent="0.25">
      <c r="A4918" t="str">
        <f>MID(TB_CECO[[#This Row],[CECO_T]],1,5)</f>
        <v>61003</v>
      </c>
      <c r="B4918" t="str">
        <f>MID(TB_CECO[[#This Row],[TRABAJO]],1,SEARCH(",",TB_CECO[[#This Row],[TRABAJO]],1)-1)</f>
        <v>GAL 150 SW (CX 150 NW)</v>
      </c>
      <c r="C49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SW (CX 150 NW),REHAB DE LABO</v>
      </c>
      <c r="D49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18" s="47" t="s">
        <v>9731</v>
      </c>
      <c r="G4918" t="s">
        <v>9732</v>
      </c>
      <c r="H49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19" spans="1:8" ht="15" customHeight="1" x14ac:dyDescent="0.25">
      <c r="A4919" t="str">
        <f>MID(TB_CECO[[#This Row],[CECO_T]],1,5)</f>
        <v>61004</v>
      </c>
      <c r="B4919" t="str">
        <f>MID(TB_CECO[[#This Row],[TRABAJO]],1,SEARCH(",",TB_CECO[[#This Row],[TRABAJO]],1)-1)</f>
        <v>GAL 150 NE (CX 150 NW)</v>
      </c>
      <c r="C49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NW),VOLADURA     </v>
      </c>
      <c r="D49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19" s="47" t="s">
        <v>9733</v>
      </c>
      <c r="G4919" t="s">
        <v>9734</v>
      </c>
      <c r="H49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20" spans="1:8" ht="15" customHeight="1" x14ac:dyDescent="0.25">
      <c r="A4920" t="str">
        <f>MID(TB_CECO[[#This Row],[CECO_T]],1,5)</f>
        <v>61004</v>
      </c>
      <c r="B4920" t="str">
        <f>MID(TB_CECO[[#This Row],[TRABAJO]],1,SEARCH(",",TB_CECO[[#This Row],[TRABAJO]],1)-1)</f>
        <v>GAL 150 NE (CX 150 NW)</v>
      </c>
      <c r="C49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NW),CAMINOS      </v>
      </c>
      <c r="D49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20" s="47" t="s">
        <v>9735</v>
      </c>
      <c r="G4920" t="s">
        <v>9736</v>
      </c>
      <c r="H49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21" spans="1:8" ht="15" customHeight="1" x14ac:dyDescent="0.25">
      <c r="A4921" t="str">
        <f>MID(TB_CECO[[#This Row],[CECO_T]],1,5)</f>
        <v>61004</v>
      </c>
      <c r="B4921" t="str">
        <f>MID(TB_CECO[[#This Row],[TRABAJO]],1,SEARCH(",",TB_CECO[[#This Row],[TRABAJO]],1)-1)</f>
        <v>GAL 150 NE (CX 150 NW)</v>
      </c>
      <c r="C49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NE (CX 150 NW),INST.DE RIELE</v>
      </c>
      <c r="D49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21" s="47" t="s">
        <v>9737</v>
      </c>
      <c r="G4921" t="s">
        <v>9738</v>
      </c>
      <c r="H49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22" spans="1:8" ht="15" customHeight="1" x14ac:dyDescent="0.25">
      <c r="A4922" t="str">
        <f>MID(TB_CECO[[#This Row],[CECO_T]],1,5)</f>
        <v>61004</v>
      </c>
      <c r="B4922" t="str">
        <f>MID(TB_CECO[[#This Row],[TRABAJO]],1,SEARCH(",",TB_CECO[[#This Row],[TRABAJO]],1)-1)</f>
        <v>GAL 150 NE (CX 150 NW)</v>
      </c>
      <c r="C49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NE (CX 150 NW),REHAB DE LABO</v>
      </c>
      <c r="D49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22" s="47" t="s">
        <v>9739</v>
      </c>
      <c r="G4922" t="s">
        <v>9740</v>
      </c>
      <c r="H49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23" spans="1:8" ht="15" customHeight="1" x14ac:dyDescent="0.25">
      <c r="A4923" t="str">
        <f>MID(TB_CECO[[#This Row],[CECO_T]],1,5)</f>
        <v>61103</v>
      </c>
      <c r="B4923" t="str">
        <f>MID(TB_CECO[[#This Row],[TRABAJO]],1,SEARCH(",",TB_CECO[[#This Row],[TRABAJO]],1)-1)</f>
        <v>CX 150 NW (GAL 170 SW)</v>
      </c>
      <c r="C49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150 NW (GAL 170 SW),VOLADURA     </v>
      </c>
      <c r="D49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23" s="47" t="s">
        <v>9741</v>
      </c>
      <c r="G4923" t="s">
        <v>9742</v>
      </c>
      <c r="H49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24" spans="1:8" ht="15" customHeight="1" x14ac:dyDescent="0.25">
      <c r="A4924" t="str">
        <f>MID(TB_CECO[[#This Row],[CECO_T]],1,5)</f>
        <v>61103</v>
      </c>
      <c r="B4924" t="str">
        <f>MID(TB_CECO[[#This Row],[TRABAJO]],1,SEARCH(",",TB_CECO[[#This Row],[TRABAJO]],1)-1)</f>
        <v>CX 150 NW (GAL 170 SW)</v>
      </c>
      <c r="C49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150 NW (GAL 170 SW),CAMINOS      </v>
      </c>
      <c r="D49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24" s="47" t="s">
        <v>9743</v>
      </c>
      <c r="G4924" t="s">
        <v>9744</v>
      </c>
      <c r="H49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25" spans="1:8" ht="15" customHeight="1" x14ac:dyDescent="0.25">
      <c r="A4925" t="str">
        <f>MID(TB_CECO[[#This Row],[CECO_T]],1,5)</f>
        <v>61103</v>
      </c>
      <c r="B4925" t="str">
        <f>MID(TB_CECO[[#This Row],[TRABAJO]],1,SEARCH(",",TB_CECO[[#This Row],[TRABAJO]],1)-1)</f>
        <v>CX 150 NW (GAL 170 SW)</v>
      </c>
      <c r="C49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150 NW (GAL 170 SW),INST.DE RIELE</v>
      </c>
      <c r="D49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25" s="47" t="s">
        <v>9745</v>
      </c>
      <c r="G4925" t="s">
        <v>9746</v>
      </c>
      <c r="H49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26" spans="1:8" ht="15" customHeight="1" x14ac:dyDescent="0.25">
      <c r="A4926" t="str">
        <f>MID(TB_CECO[[#This Row],[CECO_T]],1,5)</f>
        <v>61103</v>
      </c>
      <c r="B4926" t="str">
        <f>MID(TB_CECO[[#This Row],[TRABAJO]],1,SEARCH(",",TB_CECO[[#This Row],[TRABAJO]],1)-1)</f>
        <v>CX 150 NW (GAL 170 SW)</v>
      </c>
      <c r="C49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150 NW (GAL 170 SW),REHAB DE LABO</v>
      </c>
      <c r="D49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26" s="47" t="s">
        <v>9747</v>
      </c>
      <c r="G4926" t="s">
        <v>9748</v>
      </c>
      <c r="H49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27" spans="1:8" ht="15" customHeight="1" x14ac:dyDescent="0.25">
      <c r="A4927" t="str">
        <f>MID(TB_CECO[[#This Row],[CECO_T]],1,5)</f>
        <v>61107</v>
      </c>
      <c r="B4927" t="str">
        <f>MID(TB_CECO[[#This Row],[TRABAJO]],1,SEARCH(",",TB_CECO[[#This Row],[TRABAJO]],1)-1)</f>
        <v>CX 074 SW (CX 150 NW )</v>
      </c>
      <c r="C49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074 SW (CX 150 NW ),VOLADURA     </v>
      </c>
      <c r="D49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27" s="47" t="s">
        <v>9749</v>
      </c>
      <c r="G4927" t="s">
        <v>9750</v>
      </c>
      <c r="H49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28" spans="1:8" ht="15" customHeight="1" x14ac:dyDescent="0.25">
      <c r="A4928" t="str">
        <f>MID(TB_CECO[[#This Row],[CECO_T]],1,5)</f>
        <v>61107</v>
      </c>
      <c r="B4928" t="str">
        <f>MID(TB_CECO[[#This Row],[TRABAJO]],1,SEARCH(",",TB_CECO[[#This Row],[TRABAJO]],1)-1)</f>
        <v>CX 074 SW (CX 150 NW )</v>
      </c>
      <c r="C49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CX 074 SW (CX 150 NW ),CAMINOS      </v>
      </c>
      <c r="D49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28" s="47" t="s">
        <v>9751</v>
      </c>
      <c r="G4928" t="s">
        <v>9752</v>
      </c>
      <c r="H49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29" spans="1:8" ht="15" customHeight="1" x14ac:dyDescent="0.25">
      <c r="A4929" t="str">
        <f>MID(TB_CECO[[#This Row],[CECO_T]],1,5)</f>
        <v>61107</v>
      </c>
      <c r="B4929" t="str">
        <f>MID(TB_CECO[[#This Row],[TRABAJO]],1,SEARCH(",",TB_CECO[[#This Row],[TRABAJO]],1)-1)</f>
        <v>CX 074 SW (CX 150 NW )</v>
      </c>
      <c r="C49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074 SW (CX 150 NW ),INST.DE RIELE</v>
      </c>
      <c r="D49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29" s="47" t="s">
        <v>9753</v>
      </c>
      <c r="G4929" t="s">
        <v>9754</v>
      </c>
      <c r="H49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30" spans="1:8" ht="15" customHeight="1" x14ac:dyDescent="0.25">
      <c r="A4930" t="str">
        <f>MID(TB_CECO[[#This Row],[CECO_T]],1,5)</f>
        <v>61107</v>
      </c>
      <c r="B4930" t="str">
        <f>MID(TB_CECO[[#This Row],[TRABAJO]],1,SEARCH(",",TB_CECO[[#This Row],[TRABAJO]],1)-1)</f>
        <v>CX 074 SW (CX 150 NW )</v>
      </c>
      <c r="C49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074 SW (CX 150 NW ),REHAB DE LABO</v>
      </c>
      <c r="D49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30" s="47" t="s">
        <v>9755</v>
      </c>
      <c r="G4930" t="s">
        <v>9756</v>
      </c>
      <c r="H49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31" spans="1:8" ht="15" customHeight="1" x14ac:dyDescent="0.25">
      <c r="A4931" t="str">
        <f>MID(TB_CECO[[#This Row],[CECO_T]],1,5)</f>
        <v>61219</v>
      </c>
      <c r="B4931" t="str">
        <f>MID(TB_CECO[[#This Row],[TRABAJO]],1,SEARCH(",",TB_CECO[[#This Row],[TRABAJO]],1)-1)</f>
        <v>CH 125 (CX 150 NW)</v>
      </c>
      <c r="C49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NW),VOLADURA         </v>
      </c>
      <c r="D49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31" s="47" t="s">
        <v>9757</v>
      </c>
      <c r="G4931" t="s">
        <v>9758</v>
      </c>
      <c r="H49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32" spans="1:8" ht="15" customHeight="1" x14ac:dyDescent="0.25">
      <c r="A4932" t="str">
        <f>MID(TB_CECO[[#This Row],[CECO_T]],1,5)</f>
        <v>61219</v>
      </c>
      <c r="B4932" t="str">
        <f>MID(TB_CECO[[#This Row],[TRABAJO]],1,SEARCH(",",TB_CECO[[#This Row],[TRABAJO]],1)-1)</f>
        <v>CH 125 (CX 150 NW)</v>
      </c>
      <c r="C49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NW),CAMINOS          </v>
      </c>
      <c r="D49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32" s="47" t="s">
        <v>9759</v>
      </c>
      <c r="G4932" t="s">
        <v>9760</v>
      </c>
      <c r="H49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33" spans="1:8" ht="15" customHeight="1" x14ac:dyDescent="0.25">
      <c r="A4933" t="str">
        <f>MID(TB_CECO[[#This Row],[CECO_T]],1,5)</f>
        <v>61219</v>
      </c>
      <c r="B4933" t="str">
        <f>MID(TB_CECO[[#This Row],[TRABAJO]],1,SEARCH(",",TB_CECO[[#This Row],[TRABAJO]],1)-1)</f>
        <v>CH 125 (CX 150 NW)</v>
      </c>
      <c r="C49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NW),INST.DE RIELES   </v>
      </c>
      <c r="D49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33" s="47" t="s">
        <v>9761</v>
      </c>
      <c r="G4933" t="s">
        <v>9762</v>
      </c>
      <c r="H49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34" spans="1:8" ht="15" customHeight="1" x14ac:dyDescent="0.25">
      <c r="A4934" t="str">
        <f>MID(TB_CECO[[#This Row],[CECO_T]],1,5)</f>
        <v>61219</v>
      </c>
      <c r="B4934" t="str">
        <f>MID(TB_CECO[[#This Row],[TRABAJO]],1,SEARCH(",",TB_CECO[[#This Row],[TRABAJO]],1)-1)</f>
        <v>CH 125 (CX 150 NW)</v>
      </c>
      <c r="C49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125 (CX 150 NW),REHAB DE LABORES </v>
      </c>
      <c r="D49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34" s="47" t="s">
        <v>9763</v>
      </c>
      <c r="G4934" t="s">
        <v>9764</v>
      </c>
      <c r="H49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35" spans="1:8" ht="15" customHeight="1" x14ac:dyDescent="0.25">
      <c r="A4935" t="str">
        <f>MID(TB_CECO[[#This Row],[CECO_T]],1,5)</f>
        <v>61222</v>
      </c>
      <c r="B4935" t="str">
        <f>MID(TB_CECO[[#This Row],[TRABAJO]],1,SEARCH(",",TB_CECO[[#This Row],[TRABAJO]],1)-1)</f>
        <v>CH 080 (GAL 150 SW)</v>
      </c>
      <c r="C49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SW),VOLADURA        </v>
      </c>
      <c r="D49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35" s="47" t="s">
        <v>9765</v>
      </c>
      <c r="G4935" t="s">
        <v>9766</v>
      </c>
      <c r="H49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36" spans="1:8" ht="15" customHeight="1" x14ac:dyDescent="0.25">
      <c r="A4936" t="str">
        <f>MID(TB_CECO[[#This Row],[CECO_T]],1,5)</f>
        <v>61222</v>
      </c>
      <c r="B4936" t="str">
        <f>MID(TB_CECO[[#This Row],[TRABAJO]],1,SEARCH(",",TB_CECO[[#This Row],[TRABAJO]],1)-1)</f>
        <v>CH 080 (GAL 150 SW)</v>
      </c>
      <c r="C49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SW),CAMINOS         </v>
      </c>
      <c r="D49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36" s="47" t="s">
        <v>9767</v>
      </c>
      <c r="G4936" t="s">
        <v>9768</v>
      </c>
      <c r="H49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37" spans="1:8" ht="15" customHeight="1" x14ac:dyDescent="0.25">
      <c r="A4937" t="str">
        <f>MID(TB_CECO[[#This Row],[CECO_T]],1,5)</f>
        <v>61222</v>
      </c>
      <c r="B4937" t="str">
        <f>MID(TB_CECO[[#This Row],[TRABAJO]],1,SEARCH(",",TB_CECO[[#This Row],[TRABAJO]],1)-1)</f>
        <v>CH 080 (GAL 150 SW)</v>
      </c>
      <c r="C49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SW),INST.DE RIELES  </v>
      </c>
      <c r="D49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37" s="47" t="s">
        <v>9769</v>
      </c>
      <c r="G4937" t="s">
        <v>9770</v>
      </c>
      <c r="H49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38" spans="1:8" ht="15" customHeight="1" x14ac:dyDescent="0.25">
      <c r="A4938" t="str">
        <f>MID(TB_CECO[[#This Row],[CECO_T]],1,5)</f>
        <v>61222</v>
      </c>
      <c r="B4938" t="str">
        <f>MID(TB_CECO[[#This Row],[TRABAJO]],1,SEARCH(",",TB_CECO[[#This Row],[TRABAJO]],1)-1)</f>
        <v>CH 080 (GAL 150 SW)</v>
      </c>
      <c r="C49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080 (GAL 150 SW),REHAB DE LABORES</v>
      </c>
      <c r="D49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38" s="47" t="s">
        <v>9771</v>
      </c>
      <c r="G4938" t="s">
        <v>9772</v>
      </c>
      <c r="H49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39" spans="1:8" ht="15" customHeight="1" x14ac:dyDescent="0.25">
      <c r="A4939" t="str">
        <f>MID(TB_CECO[[#This Row],[CECO_T]],1,5)</f>
        <v>61222</v>
      </c>
      <c r="B4939" t="str">
        <f>MID(TB_CECO[[#This Row],[TRABAJO]],1,SEARCH(",",TB_CECO[[#This Row],[TRABAJO]],1)-1)</f>
        <v>CH 080 (GAL 150 SW)</v>
      </c>
      <c r="C49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080 (GAL 150 SW),CICLO COMPLETO  </v>
      </c>
      <c r="D49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39" s="47" t="s">
        <v>9773</v>
      </c>
      <c r="G4939" t="s">
        <v>9774</v>
      </c>
      <c r="H49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40" spans="1:8" ht="15" customHeight="1" x14ac:dyDescent="0.25">
      <c r="A4940" t="str">
        <f>MID(TB_CECO[[#This Row],[CECO_T]],1,5)</f>
        <v>61435</v>
      </c>
      <c r="B4940" t="str">
        <f>MID(TB_CECO[[#This Row],[TRABAJO]],1,SEARCH(",",TB_CECO[[#This Row],[TRABAJO]],1)-1)</f>
        <v>SNV 125 NE (CX 150 NW)</v>
      </c>
      <c r="C49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NE (CX 150 NW),VOLADURA     </v>
      </c>
      <c r="D49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40" s="47" t="s">
        <v>9775</v>
      </c>
      <c r="G4940" t="s">
        <v>9776</v>
      </c>
      <c r="H49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41" spans="1:8" ht="15" customHeight="1" x14ac:dyDescent="0.25">
      <c r="A4941" t="str">
        <f>MID(TB_CECO[[#This Row],[CECO_T]],1,5)</f>
        <v>61435</v>
      </c>
      <c r="B4941" t="str">
        <f>MID(TB_CECO[[#This Row],[TRABAJO]],1,SEARCH(",",TB_CECO[[#This Row],[TRABAJO]],1)-1)</f>
        <v>SNV 125 NE (CX 150 NW)</v>
      </c>
      <c r="C49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NE (CX 150 NW),CAMINOS      </v>
      </c>
      <c r="D49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41" s="47" t="s">
        <v>9777</v>
      </c>
      <c r="G4941" t="s">
        <v>9778</v>
      </c>
      <c r="H49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42" spans="1:8" ht="15" customHeight="1" x14ac:dyDescent="0.25">
      <c r="A4942" t="str">
        <f>MID(TB_CECO[[#This Row],[CECO_T]],1,5)</f>
        <v>61435</v>
      </c>
      <c r="B4942" t="str">
        <f>MID(TB_CECO[[#This Row],[TRABAJO]],1,SEARCH(",",TB_CECO[[#This Row],[TRABAJO]],1)-1)</f>
        <v>SNV 125 NE (CX 150 NW)</v>
      </c>
      <c r="C49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NE (CX 150 NW),INST.DE RIELE</v>
      </c>
      <c r="D49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42" s="47" t="s">
        <v>9779</v>
      </c>
      <c r="G4942" t="s">
        <v>9780</v>
      </c>
      <c r="H49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43" spans="1:8" ht="15" customHeight="1" x14ac:dyDescent="0.25">
      <c r="A4943" t="str">
        <f>MID(TB_CECO[[#This Row],[CECO_T]],1,5)</f>
        <v>61435</v>
      </c>
      <c r="B4943" t="str">
        <f>MID(TB_CECO[[#This Row],[TRABAJO]],1,SEARCH(",",TB_CECO[[#This Row],[TRABAJO]],1)-1)</f>
        <v>SNV 125 NE (CX 150 NW)</v>
      </c>
      <c r="C49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NE (CX 150 NW),REHAB DE LABO</v>
      </c>
      <c r="D49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43" s="47" t="s">
        <v>9781</v>
      </c>
      <c r="G4943" t="s">
        <v>9782</v>
      </c>
      <c r="H49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44" spans="1:8" ht="15" customHeight="1" x14ac:dyDescent="0.25">
      <c r="A4944" t="str">
        <f>MID(TB_CECO[[#This Row],[CECO_T]],1,5)</f>
        <v>61436</v>
      </c>
      <c r="B4944" t="str">
        <f>MID(TB_CECO[[#This Row],[TRABAJO]],1,SEARCH(",",TB_CECO[[#This Row],[TRABAJO]],1)-1)</f>
        <v>SNV 125 SW (CX 150 NW)</v>
      </c>
      <c r="C49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SW (CX 150 NW),VOLADURA     </v>
      </c>
      <c r="D49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44" s="47" t="s">
        <v>9783</v>
      </c>
      <c r="G4944" t="s">
        <v>9784</v>
      </c>
      <c r="H49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45" spans="1:8" ht="15" customHeight="1" x14ac:dyDescent="0.25">
      <c r="A4945" t="str">
        <f>MID(TB_CECO[[#This Row],[CECO_T]],1,5)</f>
        <v>61436</v>
      </c>
      <c r="B4945" t="str">
        <f>MID(TB_CECO[[#This Row],[TRABAJO]],1,SEARCH(",",TB_CECO[[#This Row],[TRABAJO]],1)-1)</f>
        <v>SNV 125 SW (CX 150 NW)</v>
      </c>
      <c r="C49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125 SW (CX 150 NW),CAMINOS      </v>
      </c>
      <c r="D49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45" s="47" t="s">
        <v>9785</v>
      </c>
      <c r="G4945" t="s">
        <v>9786</v>
      </c>
      <c r="H49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46" spans="1:8" ht="15" customHeight="1" x14ac:dyDescent="0.25">
      <c r="A4946" t="str">
        <f>MID(TB_CECO[[#This Row],[CECO_T]],1,5)</f>
        <v>61436</v>
      </c>
      <c r="B4946" t="str">
        <f>MID(TB_CECO[[#This Row],[TRABAJO]],1,SEARCH(",",TB_CECO[[#This Row],[TRABAJO]],1)-1)</f>
        <v>SNV 125 SW (CX 150 NW)</v>
      </c>
      <c r="C49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SW (CX 150 NW),INST.DE RIELE</v>
      </c>
      <c r="D49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46" s="47" t="s">
        <v>9787</v>
      </c>
      <c r="G4946" t="s">
        <v>9788</v>
      </c>
      <c r="H49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47" spans="1:8" ht="15" customHeight="1" x14ac:dyDescent="0.25">
      <c r="A4947" t="str">
        <f>MID(TB_CECO[[#This Row],[CECO_T]],1,5)</f>
        <v>61436</v>
      </c>
      <c r="B4947" t="str">
        <f>MID(TB_CECO[[#This Row],[TRABAJO]],1,SEARCH(",",TB_CECO[[#This Row],[TRABAJO]],1)-1)</f>
        <v>SNV 125 SW (CX 150 NW)</v>
      </c>
      <c r="C49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125 SW (CX 150 NW),REHAB DE LABO</v>
      </c>
      <c r="D49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47" s="47" t="s">
        <v>9789</v>
      </c>
      <c r="G4947" t="s">
        <v>9790</v>
      </c>
      <c r="H49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48" spans="1:8" ht="15" customHeight="1" x14ac:dyDescent="0.25">
      <c r="A4948" t="str">
        <f>MID(TB_CECO[[#This Row],[CECO_T]],1,5)</f>
        <v>61437</v>
      </c>
      <c r="B4948" t="str">
        <f>MID(TB_CECO[[#This Row],[TRABAJO]],1,SEARCH(",",TB_CECO[[#This Row],[TRABAJO]],1)-1)</f>
        <v>SNV 103 SW (CX 150 NW)</v>
      </c>
      <c r="C49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(CX 150 NW),VOLADURA     </v>
      </c>
      <c r="D49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48" s="47" t="s">
        <v>9791</v>
      </c>
      <c r="G4948" t="s">
        <v>9792</v>
      </c>
      <c r="H49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49" spans="1:8" ht="15" customHeight="1" x14ac:dyDescent="0.25">
      <c r="A4949" t="str">
        <f>MID(TB_CECO[[#This Row],[CECO_T]],1,5)</f>
        <v>61437</v>
      </c>
      <c r="B4949" t="str">
        <f>MID(TB_CECO[[#This Row],[TRABAJO]],1,SEARCH(",",TB_CECO[[#This Row],[TRABAJO]],1)-1)</f>
        <v>SNV 103 SW (CX 150 NW)</v>
      </c>
      <c r="C49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(CX 150 NW),CAMINOS      </v>
      </c>
      <c r="D49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49" s="47" t="s">
        <v>9793</v>
      </c>
      <c r="G4949" t="s">
        <v>9794</v>
      </c>
      <c r="H49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50" spans="1:8" ht="15" customHeight="1" x14ac:dyDescent="0.25">
      <c r="A4950" t="str">
        <f>MID(TB_CECO[[#This Row],[CECO_T]],1,5)</f>
        <v>61437</v>
      </c>
      <c r="B4950" t="str">
        <f>MID(TB_CECO[[#This Row],[TRABAJO]],1,SEARCH(",",TB_CECO[[#This Row],[TRABAJO]],1)-1)</f>
        <v>SNV 103 SW (CX 150 NW)</v>
      </c>
      <c r="C49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103 SW (CX 150 NW),INST.DE RIELE</v>
      </c>
      <c r="D49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50" s="47" t="s">
        <v>9795</v>
      </c>
      <c r="G4950" t="s">
        <v>9796</v>
      </c>
      <c r="H49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51" spans="1:8" ht="15" customHeight="1" x14ac:dyDescent="0.25">
      <c r="A4951" t="str">
        <f>MID(TB_CECO[[#This Row],[CECO_T]],1,5)</f>
        <v>61437</v>
      </c>
      <c r="B4951" t="str">
        <f>MID(TB_CECO[[#This Row],[TRABAJO]],1,SEARCH(",",TB_CECO[[#This Row],[TRABAJO]],1)-1)</f>
        <v>SNV 103 SW (CX 150 NW)</v>
      </c>
      <c r="C49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103 SW (CX 150 NW),REHAB DE LABO</v>
      </c>
      <c r="D49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51" s="47" t="s">
        <v>9797</v>
      </c>
      <c r="G4951" t="s">
        <v>9798</v>
      </c>
      <c r="H49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52" spans="1:8" ht="15" customHeight="1" x14ac:dyDescent="0.25">
      <c r="A4952" t="str">
        <f>MID(TB_CECO[[#This Row],[CECO_T]],1,5)</f>
        <v>61438</v>
      </c>
      <c r="B4952" t="str">
        <f>MID(TB_CECO[[#This Row],[TRABAJO]],1,SEARCH(",",TB_CECO[[#This Row],[TRABAJO]],1)-1)</f>
        <v>SNV 103 NE (CX 150 NW)</v>
      </c>
      <c r="C49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NE (CX 150 NW),VOLADURA     </v>
      </c>
      <c r="D49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52" s="47" t="s">
        <v>9799</v>
      </c>
      <c r="G4952" t="s">
        <v>9800</v>
      </c>
      <c r="H49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53" spans="1:8" ht="15" customHeight="1" x14ac:dyDescent="0.25">
      <c r="A4953" t="str">
        <f>MID(TB_CECO[[#This Row],[CECO_T]],1,5)</f>
        <v>61438</v>
      </c>
      <c r="B4953" t="str">
        <f>MID(TB_CECO[[#This Row],[TRABAJO]],1,SEARCH(",",TB_CECO[[#This Row],[TRABAJO]],1)-1)</f>
        <v>SNV 103 NE (CX 150 NW)</v>
      </c>
      <c r="C49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NE (CX 150 NW),CAMINOS      </v>
      </c>
      <c r="D49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53" s="47" t="s">
        <v>9801</v>
      </c>
      <c r="G4953" t="s">
        <v>9802</v>
      </c>
      <c r="H49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54" spans="1:8" ht="15" customHeight="1" x14ac:dyDescent="0.25">
      <c r="A4954" t="str">
        <f>MID(TB_CECO[[#This Row],[CECO_T]],1,5)</f>
        <v>61438</v>
      </c>
      <c r="B4954" t="str">
        <f>MID(TB_CECO[[#This Row],[TRABAJO]],1,SEARCH(",",TB_CECO[[#This Row],[TRABAJO]],1)-1)</f>
        <v>SNV 103 NE (CX 150 NW)</v>
      </c>
      <c r="C49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103 NE (CX 150 NW),INST.DE RIELE</v>
      </c>
      <c r="D49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54" s="47" t="s">
        <v>9803</v>
      </c>
      <c r="G4954" t="s">
        <v>9804</v>
      </c>
      <c r="H49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55" spans="1:8" ht="15" customHeight="1" x14ac:dyDescent="0.25">
      <c r="A4955" t="str">
        <f>MID(TB_CECO[[#This Row],[CECO_T]],1,5)</f>
        <v>61438</v>
      </c>
      <c r="B4955" t="str">
        <f>MID(TB_CECO[[#This Row],[TRABAJO]],1,SEARCH(",",TB_CECO[[#This Row],[TRABAJO]],1)-1)</f>
        <v>SNV 103 NE (CX 150 NW)</v>
      </c>
      <c r="C49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103 NE (CX 150 NW),REHAB DE LABO</v>
      </c>
      <c r="D49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55" s="47" t="s">
        <v>9805</v>
      </c>
      <c r="G4955" t="s">
        <v>9806</v>
      </c>
      <c r="H49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56" spans="1:8" ht="15" customHeight="1" x14ac:dyDescent="0.25">
      <c r="A4956" t="str">
        <f>MID(TB_CECO[[#This Row],[CECO_T]],1,5)</f>
        <v>61442</v>
      </c>
      <c r="B4956" t="str">
        <f>MID(TB_CECO[[#This Row],[TRABAJO]],1,SEARCH(",",TB_CECO[[#This Row],[TRABAJO]],1)-1)</f>
        <v>SNV 103 SW (CH044)</v>
      </c>
      <c r="C49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(CH044),VOLADURA         </v>
      </c>
      <c r="D49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56" s="47" t="s">
        <v>9807</v>
      </c>
      <c r="G4956" t="s">
        <v>9808</v>
      </c>
      <c r="H49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57" spans="1:8" ht="15" customHeight="1" x14ac:dyDescent="0.25">
      <c r="A4957" t="str">
        <f>MID(TB_CECO[[#This Row],[CECO_T]],1,5)</f>
        <v>61442</v>
      </c>
      <c r="B4957" t="str">
        <f>MID(TB_CECO[[#This Row],[TRABAJO]],1,SEARCH(",",TB_CECO[[#This Row],[TRABAJO]],1)-1)</f>
        <v>SNV 103 SW (CH044)</v>
      </c>
      <c r="C49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(CH044),CAMINOS          </v>
      </c>
      <c r="D49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57" s="47" t="s">
        <v>9809</v>
      </c>
      <c r="G4957" t="s">
        <v>9810</v>
      </c>
      <c r="H49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58" spans="1:8" ht="15" customHeight="1" x14ac:dyDescent="0.25">
      <c r="A4958" t="str">
        <f>MID(TB_CECO[[#This Row],[CECO_T]],1,5)</f>
        <v>61442</v>
      </c>
      <c r="B4958" t="str">
        <f>MID(TB_CECO[[#This Row],[TRABAJO]],1,SEARCH(",",TB_CECO[[#This Row],[TRABAJO]],1)-1)</f>
        <v>SNV 103 SW (CH044)</v>
      </c>
      <c r="C49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(CH044),INST.DE RIELES   </v>
      </c>
      <c r="D49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58" s="47" t="s">
        <v>9811</v>
      </c>
      <c r="G4958" t="s">
        <v>9812</v>
      </c>
      <c r="H49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59" spans="1:8" ht="15" customHeight="1" x14ac:dyDescent="0.25">
      <c r="A4959" t="str">
        <f>MID(TB_CECO[[#This Row],[CECO_T]],1,5)</f>
        <v>61442</v>
      </c>
      <c r="B4959" t="str">
        <f>MID(TB_CECO[[#This Row],[TRABAJO]],1,SEARCH(",",TB_CECO[[#This Row],[TRABAJO]],1)-1)</f>
        <v>SNV 103 SW (CH044)</v>
      </c>
      <c r="C49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(CH044),REHAB DE LABORES </v>
      </c>
      <c r="D49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59" s="47" t="s">
        <v>9813</v>
      </c>
      <c r="G4959" t="s">
        <v>9814</v>
      </c>
      <c r="H49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60" spans="1:8" ht="15" customHeight="1" x14ac:dyDescent="0.25">
      <c r="A4960" t="str">
        <f>MID(TB_CECO[[#This Row],[CECO_T]],1,5)</f>
        <v>61442</v>
      </c>
      <c r="B4960" t="str">
        <f>MID(TB_CECO[[#This Row],[TRABAJO]],1,SEARCH(",",TB_CECO[[#This Row],[TRABAJO]],1)-1)</f>
        <v>SNV 103 SW (CH044)</v>
      </c>
      <c r="C49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103 SW (CH044),CICLO COMPLETO   </v>
      </c>
      <c r="D49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60" s="47" t="s">
        <v>9815</v>
      </c>
      <c r="G4960" t="s">
        <v>9816</v>
      </c>
      <c r="H49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61" spans="1:8" ht="15" customHeight="1" x14ac:dyDescent="0.25">
      <c r="A4961" t="str">
        <f>MID(TB_CECO[[#This Row],[CECO_T]],1,5)</f>
        <v>61443</v>
      </c>
      <c r="B4961" t="str">
        <f>MID(TB_CECO[[#This Row],[TRABAJO]],1,SEARCH(",",TB_CECO[[#This Row],[TRABAJO]],1)-1)</f>
        <v>SNV 123-1 SW (SNV.123 SW)</v>
      </c>
      <c r="C49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123-1 SW (SNV.123 SW),VOLADURA  </v>
      </c>
      <c r="D49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61" s="47" t="s">
        <v>9817</v>
      </c>
      <c r="G4961" t="s">
        <v>9818</v>
      </c>
      <c r="H49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62" spans="1:8" ht="15" customHeight="1" x14ac:dyDescent="0.25">
      <c r="A4962" t="str">
        <f>MID(TB_CECO[[#This Row],[CECO_T]],1,5)</f>
        <v>61443</v>
      </c>
      <c r="B4962" t="str">
        <f>MID(TB_CECO[[#This Row],[TRABAJO]],1,SEARCH(",",TB_CECO[[#This Row],[TRABAJO]],1)-1)</f>
        <v>SNV 123-1 SW (SNV.123 SW)</v>
      </c>
      <c r="C49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123-1 SW (SNV.123 SW),CAMINOS   </v>
      </c>
      <c r="D49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62" s="47" t="s">
        <v>9819</v>
      </c>
      <c r="G4962" t="s">
        <v>9820</v>
      </c>
      <c r="H49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63" spans="1:8" ht="15" customHeight="1" x14ac:dyDescent="0.25">
      <c r="A4963" t="str">
        <f>MID(TB_CECO[[#This Row],[CECO_T]],1,5)</f>
        <v>61443</v>
      </c>
      <c r="B4963" t="str">
        <f>MID(TB_CECO[[#This Row],[TRABAJO]],1,SEARCH(",",TB_CECO[[#This Row],[TRABAJO]],1)-1)</f>
        <v>SNV 123-1 SW (SNV.123 SW)</v>
      </c>
      <c r="C49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SW (SNV.123 SW),INST.DE RI</v>
      </c>
      <c r="D49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63" s="47" t="s">
        <v>9821</v>
      </c>
      <c r="G4963" t="s">
        <v>9822</v>
      </c>
      <c r="H49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64" spans="1:8" ht="15" customHeight="1" x14ac:dyDescent="0.25">
      <c r="A4964" t="str">
        <f>MID(TB_CECO[[#This Row],[CECO_T]],1,5)</f>
        <v>61443</v>
      </c>
      <c r="B4964" t="str">
        <f>MID(TB_CECO[[#This Row],[TRABAJO]],1,SEARCH(",",TB_CECO[[#This Row],[TRABAJO]],1)-1)</f>
        <v>SNV 123-1 SW (SNV.123 SW)</v>
      </c>
      <c r="C49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SW (SNV.123 SW),REHAB DE L</v>
      </c>
      <c r="D49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64" s="47" t="s">
        <v>9823</v>
      </c>
      <c r="G4964" t="s">
        <v>9824</v>
      </c>
      <c r="H49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65" spans="1:8" ht="15" customHeight="1" x14ac:dyDescent="0.25">
      <c r="A4965" t="str">
        <f>MID(TB_CECO[[#This Row],[CECO_T]],1,5)</f>
        <v>61443</v>
      </c>
      <c r="B4965" t="str">
        <f>MID(TB_CECO[[#This Row],[TRABAJO]],1,SEARCH(",",TB_CECO[[#This Row],[TRABAJO]],1)-1)</f>
        <v>SNV 123-1 SW (SNV.123 SW)</v>
      </c>
      <c r="C49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123-1 SW (SNV.123 SW),CICLO COMP</v>
      </c>
      <c r="D49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65" s="47" t="s">
        <v>9825</v>
      </c>
      <c r="G4965" t="s">
        <v>9826</v>
      </c>
      <c r="H49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66" spans="1:8" ht="15" customHeight="1" x14ac:dyDescent="0.25">
      <c r="A4966" t="str">
        <f>MID(TB_CECO[[#This Row],[CECO_T]],1,5)</f>
        <v>61444</v>
      </c>
      <c r="B4966" t="str">
        <f>MID(TB_CECO[[#This Row],[TRABAJO]],1,SEARCH(",",TB_CECO[[#This Row],[TRABAJO]],1)-1)</f>
        <v>SNV 123 SW (CH 044)</v>
      </c>
      <c r="C49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044),VOLADURA        </v>
      </c>
      <c r="D49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66" s="47" t="s">
        <v>9827</v>
      </c>
      <c r="G4966" t="s">
        <v>9828</v>
      </c>
      <c r="H49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67" spans="1:8" ht="15" customHeight="1" x14ac:dyDescent="0.25">
      <c r="A4967" t="str">
        <f>MID(TB_CECO[[#This Row],[CECO_T]],1,5)</f>
        <v>61444</v>
      </c>
      <c r="B4967" t="str">
        <f>MID(TB_CECO[[#This Row],[TRABAJO]],1,SEARCH(",",TB_CECO[[#This Row],[TRABAJO]],1)-1)</f>
        <v>SNV 123 SW (CH 044)</v>
      </c>
      <c r="C49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044),CAMINOS         </v>
      </c>
      <c r="D49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67" s="47" t="s">
        <v>9829</v>
      </c>
      <c r="G4967" t="s">
        <v>9830</v>
      </c>
      <c r="H49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68" spans="1:8" ht="15" customHeight="1" x14ac:dyDescent="0.25">
      <c r="A4968" t="str">
        <f>MID(TB_CECO[[#This Row],[CECO_T]],1,5)</f>
        <v>61444</v>
      </c>
      <c r="B4968" t="str">
        <f>MID(TB_CECO[[#This Row],[TRABAJO]],1,SEARCH(",",TB_CECO[[#This Row],[TRABAJO]],1)-1)</f>
        <v>SNV 123 SW (CH 044)</v>
      </c>
      <c r="C49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044),INST.DE RIELES  </v>
      </c>
      <c r="D49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68" s="47" t="s">
        <v>9831</v>
      </c>
      <c r="G4968" t="s">
        <v>9832</v>
      </c>
      <c r="H49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69" spans="1:8" ht="15" customHeight="1" x14ac:dyDescent="0.25">
      <c r="A4969" t="str">
        <f>MID(TB_CECO[[#This Row],[CECO_T]],1,5)</f>
        <v>61444</v>
      </c>
      <c r="B4969" t="str">
        <f>MID(TB_CECO[[#This Row],[TRABAJO]],1,SEARCH(",",TB_CECO[[#This Row],[TRABAJO]],1)-1)</f>
        <v>SNV 123 SW (CH 044)</v>
      </c>
      <c r="C49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 SW (CH 044),REHAB DE LABORES</v>
      </c>
      <c r="D49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69" s="47" t="s">
        <v>9833</v>
      </c>
      <c r="G4969" t="s">
        <v>9834</v>
      </c>
      <c r="H49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70" spans="1:8" ht="15" customHeight="1" x14ac:dyDescent="0.25">
      <c r="A4970" t="str">
        <f>MID(TB_CECO[[#This Row],[CECO_T]],1,5)</f>
        <v>61444</v>
      </c>
      <c r="B4970" t="str">
        <f>MID(TB_CECO[[#This Row],[TRABAJO]],1,SEARCH(",",TB_CECO[[#This Row],[TRABAJO]],1)-1)</f>
        <v>SNV 123 SW (CH 044)</v>
      </c>
      <c r="C49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044),CICLO COMPLETO  </v>
      </c>
      <c r="D49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70" s="47" t="s">
        <v>9835</v>
      </c>
      <c r="G4970" t="s">
        <v>9836</v>
      </c>
      <c r="H49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71" spans="1:8" ht="15" customHeight="1" x14ac:dyDescent="0.25">
      <c r="A4971" t="str">
        <f>MID(TB_CECO[[#This Row],[CECO_T]],1,5)</f>
        <v>61445</v>
      </c>
      <c r="B4971" t="str">
        <f>MID(TB_CECO[[#This Row],[TRABAJO]],1,SEARCH(",",TB_CECO[[#This Row],[TRABAJO]],1)-1)</f>
        <v>SNV 123 NE (CH 044)</v>
      </c>
      <c r="C49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044),VOLADURA        </v>
      </c>
      <c r="D49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71" s="47" t="s">
        <v>9837</v>
      </c>
      <c r="G4971" t="s">
        <v>9838</v>
      </c>
      <c r="H49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72" spans="1:8" ht="15" customHeight="1" x14ac:dyDescent="0.25">
      <c r="A4972" t="str">
        <f>MID(TB_CECO[[#This Row],[CECO_T]],1,5)</f>
        <v>61445</v>
      </c>
      <c r="B4972" t="str">
        <f>MID(TB_CECO[[#This Row],[TRABAJO]],1,SEARCH(",",TB_CECO[[#This Row],[TRABAJO]],1)-1)</f>
        <v>SNV 123 NE (CH 044)</v>
      </c>
      <c r="C49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044),CAMINOS         </v>
      </c>
      <c r="D49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72" s="47" t="s">
        <v>9839</v>
      </c>
      <c r="G4972" t="s">
        <v>9840</v>
      </c>
      <c r="H49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73" spans="1:8" ht="15" customHeight="1" x14ac:dyDescent="0.25">
      <c r="A4973" t="str">
        <f>MID(TB_CECO[[#This Row],[CECO_T]],1,5)</f>
        <v>61445</v>
      </c>
      <c r="B4973" t="str">
        <f>MID(TB_CECO[[#This Row],[TRABAJO]],1,SEARCH(",",TB_CECO[[#This Row],[TRABAJO]],1)-1)</f>
        <v>SNV 123 NE (CH 044)</v>
      </c>
      <c r="C49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044),INST.DE RIELES  </v>
      </c>
      <c r="D49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73" s="47" t="s">
        <v>9841</v>
      </c>
      <c r="G4973" t="s">
        <v>9842</v>
      </c>
      <c r="H49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74" spans="1:8" ht="15" customHeight="1" x14ac:dyDescent="0.25">
      <c r="A4974" t="str">
        <f>MID(TB_CECO[[#This Row],[CECO_T]],1,5)</f>
        <v>61445</v>
      </c>
      <c r="B4974" t="str">
        <f>MID(TB_CECO[[#This Row],[TRABAJO]],1,SEARCH(",",TB_CECO[[#This Row],[TRABAJO]],1)-1)</f>
        <v>SNV 123 NE (CH 044)</v>
      </c>
      <c r="C49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 NE (CH 044),REHAB DE LABORES</v>
      </c>
      <c r="D49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74" s="47" t="s">
        <v>9843</v>
      </c>
      <c r="G4974" t="s">
        <v>9844</v>
      </c>
      <c r="H49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75" spans="1:8" ht="15" customHeight="1" x14ac:dyDescent="0.25">
      <c r="A4975" t="str">
        <f>MID(TB_CECO[[#This Row],[CECO_T]],1,5)</f>
        <v>61445</v>
      </c>
      <c r="B4975" t="str">
        <f>MID(TB_CECO[[#This Row],[TRABAJO]],1,SEARCH(",",TB_CECO[[#This Row],[TRABAJO]],1)-1)</f>
        <v>SNV 123 NE (CH 044)</v>
      </c>
      <c r="C49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044),CICLO COMPLETO  </v>
      </c>
      <c r="D49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75" s="47" t="s">
        <v>9845</v>
      </c>
      <c r="G4975" t="s">
        <v>9846</v>
      </c>
      <c r="H49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76" spans="1:8" ht="15" customHeight="1" x14ac:dyDescent="0.25">
      <c r="A4976" t="str">
        <f>MID(TB_CECO[[#This Row],[CECO_T]],1,5)</f>
        <v>61520</v>
      </c>
      <c r="B4976" t="str">
        <f>MID(TB_CECO[[#This Row],[TRABAJO]],1,SEARCH(",",TB_CECO[[#This Row],[TRABAJO]],1)-1)</f>
        <v>EST. 094 NW (GAL 150 SW)</v>
      </c>
      <c r="C49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094 NW (GAL 150 SW),VOLADURA   </v>
      </c>
      <c r="D49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76" s="47" t="s">
        <v>9847</v>
      </c>
      <c r="G4976" t="s">
        <v>9848</v>
      </c>
      <c r="H49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77" spans="1:8" ht="15" customHeight="1" x14ac:dyDescent="0.25">
      <c r="A4977" t="str">
        <f>MID(TB_CECO[[#This Row],[CECO_T]],1,5)</f>
        <v>61520</v>
      </c>
      <c r="B4977" t="str">
        <f>MID(TB_CECO[[#This Row],[TRABAJO]],1,SEARCH(",",TB_CECO[[#This Row],[TRABAJO]],1)-1)</f>
        <v>EST. 094 NW (GAL 150 SW)</v>
      </c>
      <c r="C49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094 NW (GAL 150 SW),CAMINOS    </v>
      </c>
      <c r="D49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77" s="47" t="s">
        <v>9849</v>
      </c>
      <c r="G4977" t="s">
        <v>9850</v>
      </c>
      <c r="H49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78" spans="1:8" ht="15" customHeight="1" x14ac:dyDescent="0.25">
      <c r="A4978" t="str">
        <f>MID(TB_CECO[[#This Row],[CECO_T]],1,5)</f>
        <v>61520</v>
      </c>
      <c r="B4978" t="str">
        <f>MID(TB_CECO[[#This Row],[TRABAJO]],1,SEARCH(",",TB_CECO[[#This Row],[TRABAJO]],1)-1)</f>
        <v>EST. 094 NW (GAL 150 SW)</v>
      </c>
      <c r="C49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094 NW (GAL 150 SW),INST.DE RIE</v>
      </c>
      <c r="D49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78" s="47" t="s">
        <v>9851</v>
      </c>
      <c r="G4978" t="s">
        <v>9852</v>
      </c>
      <c r="H49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79" spans="1:8" ht="15" customHeight="1" x14ac:dyDescent="0.25">
      <c r="A4979" t="str">
        <f>MID(TB_CECO[[#This Row],[CECO_T]],1,5)</f>
        <v>61520</v>
      </c>
      <c r="B4979" t="str">
        <f>MID(TB_CECO[[#This Row],[TRABAJO]],1,SEARCH(",",TB_CECO[[#This Row],[TRABAJO]],1)-1)</f>
        <v>EST. 094 NW (GAL 150 SW)</v>
      </c>
      <c r="C49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094 NW (GAL 150 SW),REHAB DE LA</v>
      </c>
      <c r="D49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79" s="47" t="s">
        <v>9853</v>
      </c>
      <c r="G4979" t="s">
        <v>9854</v>
      </c>
      <c r="H49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80" spans="1:8" ht="15" customHeight="1" x14ac:dyDescent="0.25">
      <c r="A4980" t="str">
        <f>MID(TB_CECO[[#This Row],[CECO_T]],1,5)</f>
        <v>61520</v>
      </c>
      <c r="B4980" t="str">
        <f>MID(TB_CECO[[#This Row],[TRABAJO]],1,SEARCH(",",TB_CECO[[#This Row],[TRABAJO]],1)-1)</f>
        <v>EST. 094 NW (GAL 150 SW)</v>
      </c>
      <c r="C49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094 NW (GAL 150 SW),CICLO COMPL</v>
      </c>
      <c r="D49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80" s="47" t="s">
        <v>9855</v>
      </c>
      <c r="G4980" t="s">
        <v>9856</v>
      </c>
      <c r="H49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81" spans="1:8" ht="15" customHeight="1" x14ac:dyDescent="0.25">
      <c r="A4981" t="str">
        <f>MID(TB_CECO[[#This Row],[CECO_T]],1,5)</f>
        <v>61521</v>
      </c>
      <c r="B4981" t="str">
        <f>MID(TB_CECO[[#This Row],[TRABAJO]],1,SEARCH(",",TB_CECO[[#This Row],[TRABAJO]],1)-1)</f>
        <v>EST. 089NW (GAL 150 SW)</v>
      </c>
      <c r="C49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089NW (GAL 150 SW),VOLADURA    </v>
      </c>
      <c r="D49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81" s="47" t="s">
        <v>9857</v>
      </c>
      <c r="G4981" t="s">
        <v>9858</v>
      </c>
      <c r="H49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82" spans="1:8" ht="15" customHeight="1" x14ac:dyDescent="0.25">
      <c r="A4982" t="str">
        <f>MID(TB_CECO[[#This Row],[CECO_T]],1,5)</f>
        <v>61521</v>
      </c>
      <c r="B4982" t="str">
        <f>MID(TB_CECO[[#This Row],[TRABAJO]],1,SEARCH(",",TB_CECO[[#This Row],[TRABAJO]],1)-1)</f>
        <v>EST. 089NW (GAL 150 SW)</v>
      </c>
      <c r="C49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089NW (GAL 150 SW),CAMINOS     </v>
      </c>
      <c r="D49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82" s="47" t="s">
        <v>9859</v>
      </c>
      <c r="G4982" t="s">
        <v>9860</v>
      </c>
      <c r="H49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83" spans="1:8" ht="15" customHeight="1" x14ac:dyDescent="0.25">
      <c r="A4983" t="str">
        <f>MID(TB_CECO[[#This Row],[CECO_T]],1,5)</f>
        <v>61521</v>
      </c>
      <c r="B4983" t="str">
        <f>MID(TB_CECO[[#This Row],[TRABAJO]],1,SEARCH(",",TB_CECO[[#This Row],[TRABAJO]],1)-1)</f>
        <v>EST. 089NW (GAL 150 SW)</v>
      </c>
      <c r="C49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089NW (GAL 150 SW),INST.DE RIEL</v>
      </c>
      <c r="D49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83" s="47" t="s">
        <v>9861</v>
      </c>
      <c r="G4983" t="s">
        <v>9862</v>
      </c>
      <c r="H49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84" spans="1:8" ht="15" customHeight="1" x14ac:dyDescent="0.25">
      <c r="A4984" t="str">
        <f>MID(TB_CECO[[#This Row],[CECO_T]],1,5)</f>
        <v>61521</v>
      </c>
      <c r="B4984" t="str">
        <f>MID(TB_CECO[[#This Row],[TRABAJO]],1,SEARCH(",",TB_CECO[[#This Row],[TRABAJO]],1)-1)</f>
        <v>EST. 089NW (GAL 150 SW)</v>
      </c>
      <c r="C49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089NW (GAL 150 SW),REHAB DE LAB</v>
      </c>
      <c r="D49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84" s="47" t="s">
        <v>9863</v>
      </c>
      <c r="G4984" t="s">
        <v>9864</v>
      </c>
      <c r="H49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85" spans="1:8" ht="15" customHeight="1" x14ac:dyDescent="0.25">
      <c r="A4985" t="str">
        <f>MID(TB_CECO[[#This Row],[CECO_T]],1,5)</f>
        <v>61521</v>
      </c>
      <c r="B4985" t="str">
        <f>MID(TB_CECO[[#This Row],[TRABAJO]],1,SEARCH(",",TB_CECO[[#This Row],[TRABAJO]],1)-1)</f>
        <v>EST. 089NW (GAL 150 SW)</v>
      </c>
      <c r="C49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089NW (GAL 150 SW),CICLO COMPLE</v>
      </c>
      <c r="D49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85" s="47" t="s">
        <v>9865</v>
      </c>
      <c r="G4985" t="s">
        <v>9866</v>
      </c>
      <c r="H49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86" spans="1:8" ht="15" customHeight="1" x14ac:dyDescent="0.25">
      <c r="A4986" t="str">
        <f>MID(TB_CECO[[#This Row],[CECO_T]],1,5)</f>
        <v>61B06</v>
      </c>
      <c r="B4986" t="str">
        <f>MID(TB_CECO[[#This Row],[TRABAJO]],1,SEARCH(",",TB_CECO[[#This Row],[TRABAJO]],1)-1)</f>
        <v>CAM 09 (CX 074 SW)</v>
      </c>
      <c r="C49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SW),DESQUINCHE       </v>
      </c>
      <c r="D49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86" s="47" t="s">
        <v>9867</v>
      </c>
      <c r="G4986" t="s">
        <v>9868</v>
      </c>
      <c r="H49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87" spans="1:8" ht="15" customHeight="1" x14ac:dyDescent="0.25">
      <c r="A4987" t="str">
        <f>MID(TB_CECO[[#This Row],[CECO_T]],1,5)</f>
        <v>61B06</v>
      </c>
      <c r="B4987" t="str">
        <f>MID(TB_CECO[[#This Row],[TRABAJO]],1,SEARCH(",",TB_CECO[[#This Row],[TRABAJO]],1)-1)</f>
        <v>CAM 09 (CX 074 SW)</v>
      </c>
      <c r="C49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SW),ENMADERADO       </v>
      </c>
      <c r="D49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87" s="47" t="s">
        <v>9869</v>
      </c>
      <c r="G4987" t="s">
        <v>9870</v>
      </c>
      <c r="H49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88" spans="1:8" ht="15" customHeight="1" x14ac:dyDescent="0.25">
      <c r="A4988" t="str">
        <f>MID(TB_CECO[[#This Row],[CECO_T]],1,5)</f>
        <v>61B06</v>
      </c>
      <c r="B4988" t="str">
        <f>MID(TB_CECO[[#This Row],[TRABAJO]],1,SEARCH(",",TB_CECO[[#This Row],[TRABAJO]],1)-1)</f>
        <v>CAM 09 (CX 074 SW)</v>
      </c>
      <c r="C49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SW),LIMPIEZA         </v>
      </c>
      <c r="D49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88" s="47" t="s">
        <v>9871</v>
      </c>
      <c r="G4988" t="s">
        <v>9872</v>
      </c>
      <c r="H49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89" spans="1:8" ht="15" customHeight="1" x14ac:dyDescent="0.25">
      <c r="A4989" t="str">
        <f>MID(TB_CECO[[#This Row],[CECO_T]],1,5)</f>
        <v>61B06</v>
      </c>
      <c r="B4989" t="str">
        <f>MID(TB_CECO[[#This Row],[TRABAJO]],1,SEARCH(",",TB_CECO[[#This Row],[TRABAJO]],1)-1)</f>
        <v>CAM 09 (CX 074 SW)</v>
      </c>
      <c r="C49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SW),SERVICIOS        </v>
      </c>
      <c r="D49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89" s="47" t="s">
        <v>9873</v>
      </c>
      <c r="G4989" t="s">
        <v>9874</v>
      </c>
      <c r="H49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90" spans="1:8" ht="15" customHeight="1" x14ac:dyDescent="0.25">
      <c r="A4990" t="str">
        <f>MID(TB_CECO[[#This Row],[CECO_T]],1,5)</f>
        <v>61B06</v>
      </c>
      <c r="B4990" t="str">
        <f>MID(TB_CECO[[#This Row],[TRABAJO]],1,SEARCH(",",TB_CECO[[#This Row],[TRABAJO]],1)-1)</f>
        <v>CAM 09 (CX 074 SW)</v>
      </c>
      <c r="C49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SW),EXTRACCION       </v>
      </c>
      <c r="D49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90" s="47" t="s">
        <v>9875</v>
      </c>
      <c r="G4990" t="s">
        <v>9876</v>
      </c>
      <c r="H49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91" spans="1:8" ht="15" customHeight="1" x14ac:dyDescent="0.25">
      <c r="A4991" t="str">
        <f>MID(TB_CECO[[#This Row],[CECO_T]],1,5)</f>
        <v>61B06</v>
      </c>
      <c r="B4991" t="str">
        <f>MID(TB_CECO[[#This Row],[TRABAJO]],1,SEARCH(",",TB_CECO[[#This Row],[TRABAJO]],1)-1)</f>
        <v>CAM 09 (CX 074 SW)</v>
      </c>
      <c r="C49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SW),SPLIT SET        </v>
      </c>
      <c r="D49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91" s="47" t="s">
        <v>9877</v>
      </c>
      <c r="G4991" t="s">
        <v>9878</v>
      </c>
      <c r="H49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92" spans="1:8" ht="15" customHeight="1" x14ac:dyDescent="0.25">
      <c r="A4992" t="str">
        <f>MID(TB_CECO[[#This Row],[CECO_T]],1,5)</f>
        <v>61B06</v>
      </c>
      <c r="B4992" t="str">
        <f>MID(TB_CECO[[#This Row],[TRABAJO]],1,SEARCH(",",TB_CECO[[#This Row],[TRABAJO]],1)-1)</f>
        <v>CAM 09 (CX 074 SW)</v>
      </c>
      <c r="C49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SW),SPLIT CON MALLA  </v>
      </c>
      <c r="D49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92" s="47" t="s">
        <v>9879</v>
      </c>
      <c r="G4992" t="s">
        <v>9880</v>
      </c>
      <c r="H49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93" spans="1:8" ht="15" customHeight="1" x14ac:dyDescent="0.25">
      <c r="A4993" t="str">
        <f>MID(TB_CECO[[#This Row],[CECO_T]],1,5)</f>
        <v>61B06</v>
      </c>
      <c r="B4993" t="str">
        <f>MID(TB_CECO[[#This Row],[TRABAJO]],1,SEARCH(",",TB_CECO[[#This Row],[TRABAJO]],1)-1)</f>
        <v>CAM 09 (CX 074 SW)</v>
      </c>
      <c r="C49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SW),IZAJE Y DESCENSO </v>
      </c>
      <c r="D49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93" s="47" t="s">
        <v>9881</v>
      </c>
      <c r="G4993" t="s">
        <v>9882</v>
      </c>
      <c r="H49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94" spans="1:8" ht="15" customHeight="1" x14ac:dyDescent="0.25">
      <c r="A4994" t="str">
        <f>MID(TB_CECO[[#This Row],[CECO_T]],1,5)</f>
        <v>61B06</v>
      </c>
      <c r="B4994" t="str">
        <f>MID(TB_CECO[[#This Row],[TRABAJO]],1,SEARCH(",",TB_CECO[[#This Row],[TRABAJO]],1)-1)</f>
        <v>CAM 09 (CX 074 SW)</v>
      </c>
      <c r="C49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SW),PERFORACION      </v>
      </c>
      <c r="D49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94" s="47" t="s">
        <v>9883</v>
      </c>
      <c r="G4994" t="s">
        <v>9884</v>
      </c>
      <c r="H49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95" spans="1:8" ht="15" customHeight="1" x14ac:dyDescent="0.25">
      <c r="A4995" t="str">
        <f>MID(TB_CECO[[#This Row],[CECO_T]],1,5)</f>
        <v>61B06</v>
      </c>
      <c r="B4995" t="str">
        <f>MID(TB_CECO[[#This Row],[TRABAJO]],1,SEARCH(",",TB_CECO[[#This Row],[TRABAJO]],1)-1)</f>
        <v>CAM 09 (CX 074 SW)</v>
      </c>
      <c r="C49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SW),VOLADURA         </v>
      </c>
      <c r="D49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95" s="47" t="s">
        <v>9885</v>
      </c>
      <c r="G4995" t="s">
        <v>9886</v>
      </c>
      <c r="H49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96" spans="1:8" ht="15" customHeight="1" x14ac:dyDescent="0.25">
      <c r="A4996" t="str">
        <f>MID(TB_CECO[[#This Row],[CECO_T]],1,5)</f>
        <v>61B06</v>
      </c>
      <c r="B4996" t="str">
        <f>MID(TB_CECO[[#This Row],[TRABAJO]],1,SEARCH(",",TB_CECO[[#This Row],[TRABAJO]],1)-1)</f>
        <v>CAM 09 (CX 074 SW)</v>
      </c>
      <c r="C49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SW),CAMINOS          </v>
      </c>
      <c r="D49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96" s="47" t="s">
        <v>9887</v>
      </c>
      <c r="G4996" t="s">
        <v>9888</v>
      </c>
      <c r="H49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97" spans="1:8" ht="15" customHeight="1" x14ac:dyDescent="0.25">
      <c r="A4997" t="str">
        <f>MID(TB_CECO[[#This Row],[CECO_T]],1,5)</f>
        <v>61B06</v>
      </c>
      <c r="B4997" t="str">
        <f>MID(TB_CECO[[#This Row],[TRABAJO]],1,SEARCH(",",TB_CECO[[#This Row],[TRABAJO]],1)-1)</f>
        <v>CAM 09 (CX 074 SW)</v>
      </c>
      <c r="C49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SW),INST.DE RIELES   </v>
      </c>
      <c r="D49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97" s="47" t="s">
        <v>9889</v>
      </c>
      <c r="G4997" t="s">
        <v>9890</v>
      </c>
      <c r="H49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98" spans="1:8" ht="15" customHeight="1" x14ac:dyDescent="0.25">
      <c r="A4998" t="str">
        <f>MID(TB_CECO[[#This Row],[CECO_T]],1,5)</f>
        <v>61B06</v>
      </c>
      <c r="B4998" t="str">
        <f>MID(TB_CECO[[#This Row],[TRABAJO]],1,SEARCH(",",TB_CECO[[#This Row],[TRABAJO]],1)-1)</f>
        <v>CAM 09 (CX 074 SW)</v>
      </c>
      <c r="C49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SW),REHAB DE LABORES </v>
      </c>
      <c r="D49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98" s="47" t="s">
        <v>9891</v>
      </c>
      <c r="G4998" t="s">
        <v>9892</v>
      </c>
      <c r="H49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4999" spans="1:8" ht="15" customHeight="1" x14ac:dyDescent="0.25">
      <c r="A4999" t="str">
        <f>MID(TB_CECO[[#This Row],[CECO_T]],1,5)</f>
        <v>61B06</v>
      </c>
      <c r="B4999" t="str">
        <f>MID(TB_CECO[[#This Row],[TRABAJO]],1,SEARCH(",",TB_CECO[[#This Row],[TRABAJO]],1)-1)</f>
        <v>CAM 09 (CX 074 SW)</v>
      </c>
      <c r="C49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CAM 09 (CX 074 SW),CICLO COMPLETO   </v>
      </c>
      <c r="D49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49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4999" s="47" t="s">
        <v>9893</v>
      </c>
      <c r="G4999" t="s">
        <v>9894</v>
      </c>
      <c r="H49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00" spans="1:8" ht="15" customHeight="1" x14ac:dyDescent="0.25">
      <c r="A5000" t="str">
        <f>MID(TB_CECO[[#This Row],[CECO_T]],1,5)</f>
        <v>62220</v>
      </c>
      <c r="B5000" t="str">
        <f>MID(TB_CECO[[#This Row],[TRABAJO]],1,SEARCH(",",TB_CECO[[#This Row],[TRABAJO]],1)-1)</f>
        <v>CH 107 (GAL 150 NE)</v>
      </c>
      <c r="C50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NE),VOLADURA        </v>
      </c>
      <c r="D50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00" s="47" t="s">
        <v>9895</v>
      </c>
      <c r="G5000" t="s">
        <v>9896</v>
      </c>
      <c r="H50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01" spans="1:8" ht="15" customHeight="1" x14ac:dyDescent="0.25">
      <c r="A5001" t="str">
        <f>MID(TB_CECO[[#This Row],[CECO_T]],1,5)</f>
        <v>62220</v>
      </c>
      <c r="B5001" t="str">
        <f>MID(TB_CECO[[#This Row],[TRABAJO]],1,SEARCH(",",TB_CECO[[#This Row],[TRABAJO]],1)-1)</f>
        <v>CH 107 (GAL 150 NE)</v>
      </c>
      <c r="C50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NE),CAMINOS         </v>
      </c>
      <c r="D50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01" s="47" t="s">
        <v>9897</v>
      </c>
      <c r="G5001" t="s">
        <v>9898</v>
      </c>
      <c r="H50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02" spans="1:8" ht="15" customHeight="1" x14ac:dyDescent="0.25">
      <c r="A5002" t="str">
        <f>MID(TB_CECO[[#This Row],[CECO_T]],1,5)</f>
        <v>62220</v>
      </c>
      <c r="B5002" t="str">
        <f>MID(TB_CECO[[#This Row],[TRABAJO]],1,SEARCH(",",TB_CECO[[#This Row],[TRABAJO]],1)-1)</f>
        <v>CH 107 (GAL 150 NE)</v>
      </c>
      <c r="C50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NE),INST.DE RIELES  </v>
      </c>
      <c r="D50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02" s="47" t="s">
        <v>9899</v>
      </c>
      <c r="G5002" t="s">
        <v>9900</v>
      </c>
      <c r="H50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03" spans="1:8" ht="15" customHeight="1" x14ac:dyDescent="0.25">
      <c r="A5003" t="str">
        <f>MID(TB_CECO[[#This Row],[CECO_T]],1,5)</f>
        <v>62220</v>
      </c>
      <c r="B5003" t="str">
        <f>MID(TB_CECO[[#This Row],[TRABAJO]],1,SEARCH(",",TB_CECO[[#This Row],[TRABAJO]],1)-1)</f>
        <v>CH 107 (GAL 150 NE)</v>
      </c>
      <c r="C50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107 (GAL 150 NE),REHAB DE LABORES</v>
      </c>
      <c r="D50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03" s="47" t="s">
        <v>9901</v>
      </c>
      <c r="G5003" t="s">
        <v>9902</v>
      </c>
      <c r="H50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04" spans="1:8" ht="15" customHeight="1" x14ac:dyDescent="0.25">
      <c r="A5004" t="str">
        <f>MID(TB_CECO[[#This Row],[CECO_T]],1,5)</f>
        <v>62220</v>
      </c>
      <c r="B5004" t="str">
        <f>MID(TB_CECO[[#This Row],[TRABAJO]],1,SEARCH(",",TB_CECO[[#This Row],[TRABAJO]],1)-1)</f>
        <v>CH 107 (GAL 150 NE)</v>
      </c>
      <c r="C50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CH 107 (GAL 150 NE),CICLO COMPLETO  </v>
      </c>
      <c r="D50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04" s="47" t="s">
        <v>9903</v>
      </c>
      <c r="G5004" t="s">
        <v>9904</v>
      </c>
      <c r="H50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05" spans="1:8" ht="15" customHeight="1" x14ac:dyDescent="0.25">
      <c r="A5005" t="str">
        <f>MID(TB_CECO[[#This Row],[CECO_T]],1,5)</f>
        <v>63439</v>
      </c>
      <c r="B5005" t="str">
        <f>MID(TB_CECO[[#This Row],[TRABAJO]],1,SEARCH(",",TB_CECO[[#This Row],[TRABAJO]],1)-1)</f>
        <v>SNV 123 SW (CH 107)</v>
      </c>
      <c r="C50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107),VOLADURA        </v>
      </c>
      <c r="D50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05" s="47" t="s">
        <v>9905</v>
      </c>
      <c r="G5005" t="s">
        <v>9906</v>
      </c>
      <c r="H50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06" spans="1:8" ht="15" customHeight="1" x14ac:dyDescent="0.25">
      <c r="A5006" t="str">
        <f>MID(TB_CECO[[#This Row],[CECO_T]],1,5)</f>
        <v>63439</v>
      </c>
      <c r="B5006" t="str">
        <f>MID(TB_CECO[[#This Row],[TRABAJO]],1,SEARCH(",",TB_CECO[[#This Row],[TRABAJO]],1)-1)</f>
        <v>SNV 123 SW (CH 107)</v>
      </c>
      <c r="C50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107),CAMINOS         </v>
      </c>
      <c r="D50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06" s="47" t="s">
        <v>9907</v>
      </c>
      <c r="G5006" t="s">
        <v>9908</v>
      </c>
      <c r="H50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07" spans="1:8" ht="15" customHeight="1" x14ac:dyDescent="0.25">
      <c r="A5007" t="str">
        <f>MID(TB_CECO[[#This Row],[CECO_T]],1,5)</f>
        <v>63439</v>
      </c>
      <c r="B5007" t="str">
        <f>MID(TB_CECO[[#This Row],[TRABAJO]],1,SEARCH(",",TB_CECO[[#This Row],[TRABAJO]],1)-1)</f>
        <v>SNV 123 SW (CH 107)</v>
      </c>
      <c r="C50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107),INST.DE RIELES  </v>
      </c>
      <c r="D50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07" s="47" t="s">
        <v>9909</v>
      </c>
      <c r="G5007" t="s">
        <v>9910</v>
      </c>
      <c r="H50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08" spans="1:8" ht="15" customHeight="1" x14ac:dyDescent="0.25">
      <c r="A5008" t="str">
        <f>MID(TB_CECO[[#This Row],[CECO_T]],1,5)</f>
        <v>63439</v>
      </c>
      <c r="B5008" t="str">
        <f>MID(TB_CECO[[#This Row],[TRABAJO]],1,SEARCH(",",TB_CECO[[#This Row],[TRABAJO]],1)-1)</f>
        <v>SNV 123 SW (CH 107)</v>
      </c>
      <c r="C50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 SW (CH 107),REHAB DE LABORES</v>
      </c>
      <c r="D50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08" s="47" t="s">
        <v>9911</v>
      </c>
      <c r="G5008" t="s">
        <v>9912</v>
      </c>
      <c r="H50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09" spans="1:8" ht="15" customHeight="1" x14ac:dyDescent="0.25">
      <c r="A5009" t="str">
        <f>MID(TB_CECO[[#This Row],[CECO_T]],1,5)</f>
        <v>63439</v>
      </c>
      <c r="B5009" t="str">
        <f>MID(TB_CECO[[#This Row],[TRABAJO]],1,SEARCH(",",TB_CECO[[#This Row],[TRABAJO]],1)-1)</f>
        <v>SNV 123 SW (CH 107)</v>
      </c>
      <c r="C50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SW (CH 107),CICLO COMPLETO  </v>
      </c>
      <c r="D50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09" s="47" t="s">
        <v>9913</v>
      </c>
      <c r="G5009" t="s">
        <v>9914</v>
      </c>
      <c r="H50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10" spans="1:8" ht="15" customHeight="1" x14ac:dyDescent="0.25">
      <c r="A5010" t="str">
        <f>MID(TB_CECO[[#This Row],[CECO_T]],1,5)</f>
        <v>63440</v>
      </c>
      <c r="B5010" t="str">
        <f>MID(TB_CECO[[#This Row],[TRABAJO]],1,SEARCH(",",TB_CECO[[#This Row],[TRABAJO]],1)-1)</f>
        <v>SNV 123 NE (CH 107)</v>
      </c>
      <c r="C50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107),VOLADURA        </v>
      </c>
      <c r="D50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10" s="47" t="s">
        <v>9915</v>
      </c>
      <c r="G5010" t="s">
        <v>9916</v>
      </c>
      <c r="H50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11" spans="1:8" ht="15" customHeight="1" x14ac:dyDescent="0.25">
      <c r="A5011" t="str">
        <f>MID(TB_CECO[[#This Row],[CECO_T]],1,5)</f>
        <v>63440</v>
      </c>
      <c r="B5011" t="str">
        <f>MID(TB_CECO[[#This Row],[TRABAJO]],1,SEARCH(",",TB_CECO[[#This Row],[TRABAJO]],1)-1)</f>
        <v>SNV 123 NE (CH 107)</v>
      </c>
      <c r="C50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107),CAMINOS         </v>
      </c>
      <c r="D50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11" s="47" t="s">
        <v>9917</v>
      </c>
      <c r="G5011" t="s">
        <v>9918</v>
      </c>
      <c r="H50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12" spans="1:8" ht="15" customHeight="1" x14ac:dyDescent="0.25">
      <c r="A5012" t="str">
        <f>MID(TB_CECO[[#This Row],[CECO_T]],1,5)</f>
        <v>63440</v>
      </c>
      <c r="B5012" t="str">
        <f>MID(TB_CECO[[#This Row],[TRABAJO]],1,SEARCH(",",TB_CECO[[#This Row],[TRABAJO]],1)-1)</f>
        <v>SNV 123 NE (CH 107)</v>
      </c>
      <c r="C50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107),INST.DE RIELES  </v>
      </c>
      <c r="D50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12" s="47" t="s">
        <v>9919</v>
      </c>
      <c r="G5012" t="s">
        <v>9920</v>
      </c>
      <c r="H50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13" spans="1:8" ht="15" customHeight="1" x14ac:dyDescent="0.25">
      <c r="A5013" t="str">
        <f>MID(TB_CECO[[#This Row],[CECO_T]],1,5)</f>
        <v>63440</v>
      </c>
      <c r="B5013" t="str">
        <f>MID(TB_CECO[[#This Row],[TRABAJO]],1,SEARCH(",",TB_CECO[[#This Row],[TRABAJO]],1)-1)</f>
        <v>SNV 123 NE (CH 107)</v>
      </c>
      <c r="C50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123 NE (CH 107),REHAB DE LABORES</v>
      </c>
      <c r="D50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13" s="47" t="s">
        <v>9921</v>
      </c>
      <c r="G5013" t="s">
        <v>9922</v>
      </c>
      <c r="H50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14" spans="1:8" ht="15" customHeight="1" x14ac:dyDescent="0.25">
      <c r="A5014" t="str">
        <f>MID(TB_CECO[[#This Row],[CECO_T]],1,5)</f>
        <v>63440</v>
      </c>
      <c r="B5014" t="str">
        <f>MID(TB_CECO[[#This Row],[TRABAJO]],1,SEARCH(",",TB_CECO[[#This Row],[TRABAJO]],1)-1)</f>
        <v>SNV 123 NE (CH 107)</v>
      </c>
      <c r="C50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SNV 123 NE (CH 107),CICLO COMPLETO  </v>
      </c>
      <c r="D50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14" s="47" t="s">
        <v>9923</v>
      </c>
      <c r="G5014" t="s">
        <v>9924</v>
      </c>
      <c r="H50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15" spans="1:8" ht="15" customHeight="1" x14ac:dyDescent="0.25">
      <c r="A5015" t="str">
        <f>MID(TB_CECO[[#This Row],[CECO_T]],1,5)</f>
        <v>64522</v>
      </c>
      <c r="B5015" t="str">
        <f>MID(TB_CECO[[#This Row],[TRABAJO]],1,SEARCH(",",TB_CECO[[#This Row],[TRABAJO]],1)-1)</f>
        <v>EST. 088 SE (GAL 150 SW)</v>
      </c>
      <c r="C50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088 SE (GAL 150 SW),VOLADURA   </v>
      </c>
      <c r="D50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15" s="47" t="s">
        <v>9925</v>
      </c>
      <c r="G5015" t="s">
        <v>9926</v>
      </c>
      <c r="H50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16" spans="1:8" ht="15" customHeight="1" x14ac:dyDescent="0.25">
      <c r="A5016" t="str">
        <f>MID(TB_CECO[[#This Row],[CECO_T]],1,5)</f>
        <v>64522</v>
      </c>
      <c r="B5016" t="str">
        <f>MID(TB_CECO[[#This Row],[TRABAJO]],1,SEARCH(",",TB_CECO[[#This Row],[TRABAJO]],1)-1)</f>
        <v>EST. 088 SE (GAL 150 SW)</v>
      </c>
      <c r="C50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EST. 088 SE (GAL 150 SW),CAMINOS    </v>
      </c>
      <c r="D50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16" s="47" t="s">
        <v>9927</v>
      </c>
      <c r="G5016" t="s">
        <v>9928</v>
      </c>
      <c r="H50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17" spans="1:8" ht="15" customHeight="1" x14ac:dyDescent="0.25">
      <c r="A5017" t="str">
        <f>MID(TB_CECO[[#This Row],[CECO_T]],1,5)</f>
        <v>64522</v>
      </c>
      <c r="B5017" t="str">
        <f>MID(TB_CECO[[#This Row],[TRABAJO]],1,SEARCH(",",TB_CECO[[#This Row],[TRABAJO]],1)-1)</f>
        <v>EST. 088 SE (GAL 150 SW)</v>
      </c>
      <c r="C50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088 SE (GAL 150 SW),INST.DE RIE</v>
      </c>
      <c r="D50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17" s="47" t="s">
        <v>9929</v>
      </c>
      <c r="G5017" t="s">
        <v>9930</v>
      </c>
      <c r="H50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18" spans="1:8" ht="15" customHeight="1" x14ac:dyDescent="0.25">
      <c r="A5018" t="str">
        <f>MID(TB_CECO[[#This Row],[CECO_T]],1,5)</f>
        <v>64522</v>
      </c>
      <c r="B5018" t="str">
        <f>MID(TB_CECO[[#This Row],[TRABAJO]],1,SEARCH(",",TB_CECO[[#This Row],[TRABAJO]],1)-1)</f>
        <v>EST. 088 SE (GAL 150 SW)</v>
      </c>
      <c r="C50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088 SE (GAL 150 SW),REHAB DE LA</v>
      </c>
      <c r="D50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18" s="47" t="s">
        <v>9931</v>
      </c>
      <c r="G5018" t="s">
        <v>9932</v>
      </c>
      <c r="H50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19" spans="1:8" ht="15" customHeight="1" x14ac:dyDescent="0.25">
      <c r="A5019" t="str">
        <f>MID(TB_CECO[[#This Row],[CECO_T]],1,5)</f>
        <v>64522</v>
      </c>
      <c r="B5019" t="str">
        <f>MID(TB_CECO[[#This Row],[TRABAJO]],1,SEARCH(",",TB_CECO[[#This Row],[TRABAJO]],1)-1)</f>
        <v>EST. 088 SE (GAL 150 SW)</v>
      </c>
      <c r="C50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EST. 088 SE (GAL 150 SW),CICLO COMPL</v>
      </c>
      <c r="D50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19" s="47" t="s">
        <v>9933</v>
      </c>
      <c r="G5019" t="s">
        <v>9934</v>
      </c>
      <c r="H50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20" spans="1:8" ht="15" customHeight="1" x14ac:dyDescent="0.25">
      <c r="A5020" t="str">
        <f>MID(TB_CECO[[#This Row],[CECO_T]],1,5)</f>
        <v>65321</v>
      </c>
      <c r="B5020" t="str">
        <f>MID(TB_CECO[[#This Row],[TRABAJO]],1,SEARCH(",",TB_CECO[[#This Row],[TRABAJO]],1)-1)</f>
        <v>TJ 125 NE (CH 125)</v>
      </c>
      <c r="C50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125),VOLADURA         </v>
      </c>
      <c r="D50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20" s="47" t="s">
        <v>9935</v>
      </c>
      <c r="G5020" t="s">
        <v>9936</v>
      </c>
      <c r="H50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21" spans="1:8" ht="15" customHeight="1" x14ac:dyDescent="0.25">
      <c r="A5021" t="str">
        <f>MID(TB_CECO[[#This Row],[CECO_T]],1,5)</f>
        <v>65321</v>
      </c>
      <c r="B5021" t="str">
        <f>MID(TB_CECO[[#This Row],[TRABAJO]],1,SEARCH(",",TB_CECO[[#This Row],[TRABAJO]],1)-1)</f>
        <v>TJ 125 NE (CH 125)</v>
      </c>
      <c r="C50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125),CAMINOS          </v>
      </c>
      <c r="D50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21" s="47" t="s">
        <v>9937</v>
      </c>
      <c r="G5021" t="s">
        <v>9938</v>
      </c>
      <c r="H50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22" spans="1:8" ht="15" customHeight="1" x14ac:dyDescent="0.25">
      <c r="A5022" t="str">
        <f>MID(TB_CECO[[#This Row],[CECO_T]],1,5)</f>
        <v>65321</v>
      </c>
      <c r="B5022" t="str">
        <f>MID(TB_CECO[[#This Row],[TRABAJO]],1,SEARCH(",",TB_CECO[[#This Row],[TRABAJO]],1)-1)</f>
        <v>TJ 125 NE (CH 125)</v>
      </c>
      <c r="C50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125),INST.DE RIELES   </v>
      </c>
      <c r="D50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22" s="47" t="s">
        <v>9939</v>
      </c>
      <c r="G5022" t="s">
        <v>9940</v>
      </c>
      <c r="H50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23" spans="1:8" ht="15" customHeight="1" x14ac:dyDescent="0.25">
      <c r="A5023" t="str">
        <f>MID(TB_CECO[[#This Row],[CECO_T]],1,5)</f>
        <v>65321</v>
      </c>
      <c r="B5023" t="str">
        <f>MID(TB_CECO[[#This Row],[TRABAJO]],1,SEARCH(",",TB_CECO[[#This Row],[TRABAJO]],1)-1)</f>
        <v>TJ 125 NE (CH 125)</v>
      </c>
      <c r="C50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125),REHAB DE LABORES </v>
      </c>
      <c r="D50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23" s="47" t="s">
        <v>9941</v>
      </c>
      <c r="G5023" t="s">
        <v>9942</v>
      </c>
      <c r="H50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24" spans="1:8" ht="15" customHeight="1" x14ac:dyDescent="0.25">
      <c r="A5024" t="str">
        <f>MID(TB_CECO[[#This Row],[CECO_T]],1,5)</f>
        <v>65321</v>
      </c>
      <c r="B5024" t="str">
        <f>MID(TB_CECO[[#This Row],[TRABAJO]],1,SEARCH(",",TB_CECO[[#This Row],[TRABAJO]],1)-1)</f>
        <v>TJ 125 NE (CH 125)</v>
      </c>
      <c r="C50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NE (CH 125),CICLO COMPLETO   </v>
      </c>
      <c r="D50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24" s="47" t="s">
        <v>9943</v>
      </c>
      <c r="G5024" t="s">
        <v>9944</v>
      </c>
      <c r="H50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25" spans="1:8" ht="15" customHeight="1" x14ac:dyDescent="0.25">
      <c r="A5025" t="str">
        <f>MID(TB_CECO[[#This Row],[CECO_T]],1,5)</f>
        <v>65322</v>
      </c>
      <c r="B5025" t="str">
        <f>MID(TB_CECO[[#This Row],[TRABAJO]],1,SEARCH(",",TB_CECO[[#This Row],[TRABAJO]],1)-1)</f>
        <v>TJ 125 SW (CH 125)</v>
      </c>
      <c r="C50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125),VOLADURA         </v>
      </c>
      <c r="D50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25" s="47" t="s">
        <v>9945</v>
      </c>
      <c r="G5025" t="s">
        <v>9946</v>
      </c>
      <c r="H50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26" spans="1:8" ht="15" customHeight="1" x14ac:dyDescent="0.25">
      <c r="A5026" t="str">
        <f>MID(TB_CECO[[#This Row],[CECO_T]],1,5)</f>
        <v>65322</v>
      </c>
      <c r="B5026" t="str">
        <f>MID(TB_CECO[[#This Row],[TRABAJO]],1,SEARCH(",",TB_CECO[[#This Row],[TRABAJO]],1)-1)</f>
        <v>TJ 125 SW (CH 125)</v>
      </c>
      <c r="C50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125),CAMINOS          </v>
      </c>
      <c r="D50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26" s="47" t="s">
        <v>9947</v>
      </c>
      <c r="G5026" t="s">
        <v>9948</v>
      </c>
      <c r="H50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27" spans="1:8" ht="15" customHeight="1" x14ac:dyDescent="0.25">
      <c r="A5027" t="str">
        <f>MID(TB_CECO[[#This Row],[CECO_T]],1,5)</f>
        <v>65322</v>
      </c>
      <c r="B5027" t="str">
        <f>MID(TB_CECO[[#This Row],[TRABAJO]],1,SEARCH(",",TB_CECO[[#This Row],[TRABAJO]],1)-1)</f>
        <v>TJ 125 SW (CH 125)</v>
      </c>
      <c r="C50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125),INST.DE RIELES   </v>
      </c>
      <c r="D50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27" s="47" t="s">
        <v>9949</v>
      </c>
      <c r="G5027" t="s">
        <v>9950</v>
      </c>
      <c r="H50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28" spans="1:8" ht="15" customHeight="1" x14ac:dyDescent="0.25">
      <c r="A5028" t="str">
        <f>MID(TB_CECO[[#This Row],[CECO_T]],1,5)</f>
        <v>65322</v>
      </c>
      <c r="B5028" t="str">
        <f>MID(TB_CECO[[#This Row],[TRABAJO]],1,SEARCH(",",TB_CECO[[#This Row],[TRABAJO]],1)-1)</f>
        <v>TJ 125 SW (CH 125)</v>
      </c>
      <c r="C50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125),REHAB DE LABORES </v>
      </c>
      <c r="D50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28" s="47" t="s">
        <v>9951</v>
      </c>
      <c r="G5028" t="s">
        <v>9952</v>
      </c>
      <c r="H50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29" spans="1:8" ht="15" customHeight="1" x14ac:dyDescent="0.25">
      <c r="A5029" t="str">
        <f>MID(TB_CECO[[#This Row],[CECO_T]],1,5)</f>
        <v>65322</v>
      </c>
      <c r="B5029" t="str">
        <f>MID(TB_CECO[[#This Row],[TRABAJO]],1,SEARCH(",",TB_CECO[[#This Row],[TRABAJO]],1)-1)</f>
        <v>TJ 125 SW (CH 125)</v>
      </c>
      <c r="C50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125 SW (CH 125),CICLO COMPLETO   </v>
      </c>
      <c r="D50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29" s="47" t="s">
        <v>9953</v>
      </c>
      <c r="G5029" t="s">
        <v>9954</v>
      </c>
      <c r="H50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30" spans="1:8" ht="15" customHeight="1" x14ac:dyDescent="0.25">
      <c r="A5030" t="str">
        <f>MID(TB_CECO[[#This Row],[CECO_T]],1,5)</f>
        <v>65324</v>
      </c>
      <c r="B5030" t="str">
        <f>MID(TB_CECO[[#This Row],[TRABAJO]],1,SEARCH(",",TB_CECO[[#This Row],[TRABAJO]],1)-1)</f>
        <v>TJ 150 (GAL 150 NE)</v>
      </c>
      <c r="C50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NE),VOLADURA        </v>
      </c>
      <c r="D50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30" s="47" t="s">
        <v>9955</v>
      </c>
      <c r="G5030" t="s">
        <v>9956</v>
      </c>
      <c r="H50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31" spans="1:8" ht="15" customHeight="1" x14ac:dyDescent="0.25">
      <c r="A5031" t="str">
        <f>MID(TB_CECO[[#This Row],[CECO_T]],1,5)</f>
        <v>65324</v>
      </c>
      <c r="B5031" t="str">
        <f>MID(TB_CECO[[#This Row],[TRABAJO]],1,SEARCH(",",TB_CECO[[#This Row],[TRABAJO]],1)-1)</f>
        <v>TJ 150 (GAL 150 NE)</v>
      </c>
      <c r="C50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NE),CAMINOS         </v>
      </c>
      <c r="D50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31" s="47" t="s">
        <v>9957</v>
      </c>
      <c r="G5031" t="s">
        <v>9958</v>
      </c>
      <c r="H50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32" spans="1:8" ht="15" customHeight="1" x14ac:dyDescent="0.25">
      <c r="A5032" t="str">
        <f>MID(TB_CECO[[#This Row],[CECO_T]],1,5)</f>
        <v>65324</v>
      </c>
      <c r="B5032" t="str">
        <f>MID(TB_CECO[[#This Row],[TRABAJO]],1,SEARCH(",",TB_CECO[[#This Row],[TRABAJO]],1)-1)</f>
        <v>TJ 150 (GAL 150 NE)</v>
      </c>
      <c r="C50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NE),INST.DE RIELES  </v>
      </c>
      <c r="D50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32" s="47" t="s">
        <v>9959</v>
      </c>
      <c r="G5032" t="s">
        <v>9960</v>
      </c>
      <c r="H50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33" spans="1:8" ht="15" customHeight="1" x14ac:dyDescent="0.25">
      <c r="A5033" t="str">
        <f>MID(TB_CECO[[#This Row],[CECO_T]],1,5)</f>
        <v>65324</v>
      </c>
      <c r="B5033" t="str">
        <f>MID(TB_CECO[[#This Row],[TRABAJO]],1,SEARCH(",",TB_CECO[[#This Row],[TRABAJO]],1)-1)</f>
        <v>TJ 150 (GAL 150 NE)</v>
      </c>
      <c r="C50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150 (GAL 150 NE),REHAB DE LABORES</v>
      </c>
      <c r="D50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33" s="47" t="s">
        <v>9961</v>
      </c>
      <c r="G5033" t="s">
        <v>9962</v>
      </c>
      <c r="H50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34" spans="1:8" ht="15" customHeight="1" x14ac:dyDescent="0.25">
      <c r="A5034" t="str">
        <f>MID(TB_CECO[[#This Row],[CECO_T]],1,5)</f>
        <v>65324</v>
      </c>
      <c r="B5034" t="str">
        <f>MID(TB_CECO[[#This Row],[TRABAJO]],1,SEARCH(",",TB_CECO[[#This Row],[TRABAJO]],1)-1)</f>
        <v>TJ 150 (GAL 150 NE)</v>
      </c>
      <c r="C50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TJ 150 (GAL 150 NE),CICLO COMPLETO  </v>
      </c>
      <c r="D50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0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34" s="47" t="s">
        <v>9963</v>
      </c>
      <c r="G5034" t="s">
        <v>9964</v>
      </c>
      <c r="H50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35" spans="1:8" ht="15" customHeight="1" x14ac:dyDescent="0.25">
      <c r="A5035" t="str">
        <f>MID(TB_CECO[[#This Row],[CECO_T]],1,5)</f>
        <v>5D73B</v>
      </c>
      <c r="B5035" t="str">
        <f>MID(TB_CECO[[#This Row],[TRABAJO]],1,SEARCH(",",TB_CECO[[#This Row],[TRABAJO]],1)-1)</f>
        <v>Tj  885 SW (Inc 822 NE)</v>
      </c>
      <c r="C50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SW (Inc 822 NE),PERFORACION</v>
      </c>
      <c r="D50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35" s="47" t="s">
        <v>9965</v>
      </c>
      <c r="G5035" t="s">
        <v>9966</v>
      </c>
      <c r="H50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36" spans="1:8" ht="15" customHeight="1" x14ac:dyDescent="0.25">
      <c r="A5036" t="str">
        <f>MID(TB_CECO[[#This Row],[CECO_T]],1,5)</f>
        <v>5D73B</v>
      </c>
      <c r="B5036" t="str">
        <f>MID(TB_CECO[[#This Row],[TRABAJO]],1,SEARCH(",",TB_CECO[[#This Row],[TRABAJO]],1)-1)</f>
        <v>Tj  885 SW (Inc 822 NE)</v>
      </c>
      <c r="C50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SW (Inc 822 NE),VOLADURA</v>
      </c>
      <c r="D50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36" s="47" t="s">
        <v>9967</v>
      </c>
      <c r="G5036" t="s">
        <v>9968</v>
      </c>
      <c r="H50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37" spans="1:8" ht="15" customHeight="1" x14ac:dyDescent="0.25">
      <c r="A5037" t="str">
        <f>MID(TB_CECO[[#This Row],[CECO_T]],1,5)</f>
        <v>5D73B</v>
      </c>
      <c r="B5037" t="str">
        <f>MID(TB_CECO[[#This Row],[TRABAJO]],1,SEARCH(",",TB_CECO[[#This Row],[TRABAJO]],1)-1)</f>
        <v>Tj  885 SW (Inc 822 NE)</v>
      </c>
      <c r="C50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SW (Inc 822 NE),LIMPIEZA</v>
      </c>
      <c r="D50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37" s="47" t="s">
        <v>9969</v>
      </c>
      <c r="G5037" t="s">
        <v>9970</v>
      </c>
      <c r="H50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38" spans="1:8" ht="15" customHeight="1" x14ac:dyDescent="0.25">
      <c r="A5038" t="str">
        <f>MID(TB_CECO[[#This Row],[CECO_T]],1,5)</f>
        <v>5D73B</v>
      </c>
      <c r="B5038" t="str">
        <f>MID(TB_CECO[[#This Row],[TRABAJO]],1,SEARCH(",",TB_CECO[[#This Row],[TRABAJO]],1)-1)</f>
        <v>Tj  885 SW (Inc 822 NE)</v>
      </c>
      <c r="C50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SW (Inc 822 NE),SOSTENIMIENTO</v>
      </c>
      <c r="D50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38" s="47" t="s">
        <v>9971</v>
      </c>
      <c r="G5038" t="s">
        <v>9972</v>
      </c>
      <c r="H50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39" spans="1:8" ht="15" customHeight="1" x14ac:dyDescent="0.25">
      <c r="A5039" t="str">
        <f>MID(TB_CECO[[#This Row],[CECO_T]],1,5)</f>
        <v>5D73B</v>
      </c>
      <c r="B5039" t="str">
        <f>MID(TB_CECO[[#This Row],[TRABAJO]],1,SEARCH(",",TB_CECO[[#This Row],[TRABAJO]],1)-1)</f>
        <v>Tj  885 SW (Inc 822 NE)</v>
      </c>
      <c r="C50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SW (Inc 822 NE),SERVICIO</v>
      </c>
      <c r="D50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39" s="47" t="s">
        <v>9973</v>
      </c>
      <c r="G5039" t="s">
        <v>9974</v>
      </c>
      <c r="H50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40" spans="1:8" ht="15" customHeight="1" x14ac:dyDescent="0.25">
      <c r="A5040" t="str">
        <f>MID(TB_CECO[[#This Row],[CECO_T]],1,5)</f>
        <v>5D73B</v>
      </c>
      <c r="B5040" t="str">
        <f>MID(TB_CECO[[#This Row],[TRABAJO]],1,SEARCH(",",TB_CECO[[#This Row],[TRABAJO]],1)-1)</f>
        <v>Tj  885 SW (Inc 822 NE)</v>
      </c>
      <c r="C50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SW (Inc 822 NE),RELLENO</v>
      </c>
      <c r="D50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40" s="47" t="s">
        <v>9975</v>
      </c>
      <c r="G5040" t="s">
        <v>9976</v>
      </c>
      <c r="H50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41" spans="1:8" ht="15" customHeight="1" x14ac:dyDescent="0.25">
      <c r="A5041" t="str">
        <f>MID(TB_CECO[[#This Row],[CECO_T]],1,5)</f>
        <v>5D73C</v>
      </c>
      <c r="B5041" t="str">
        <f>MID(TB_CECO[[#This Row],[TRABAJO]],1,SEARCH(",",TB_CECO[[#This Row],[TRABAJO]],1)-1)</f>
        <v>Tj  885 NE (Inc 822 NE)</v>
      </c>
      <c r="C50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NE (Inc 822 NE),PERFORACION</v>
      </c>
      <c r="D50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41" s="47" t="s">
        <v>9977</v>
      </c>
      <c r="G5041" t="s">
        <v>9978</v>
      </c>
      <c r="H50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42" spans="1:8" ht="15" customHeight="1" x14ac:dyDescent="0.25">
      <c r="A5042" t="str">
        <f>MID(TB_CECO[[#This Row],[CECO_T]],1,5)</f>
        <v>5D73C</v>
      </c>
      <c r="B5042" t="str">
        <f>MID(TB_CECO[[#This Row],[TRABAJO]],1,SEARCH(",",TB_CECO[[#This Row],[TRABAJO]],1)-1)</f>
        <v>Tj  885 NE (Inc 822 NE)</v>
      </c>
      <c r="C50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NE (Inc 822 NE),VOLADURA</v>
      </c>
      <c r="D50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42" s="47" t="s">
        <v>9979</v>
      </c>
      <c r="G5042" t="s">
        <v>9980</v>
      </c>
      <c r="H50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43" spans="1:8" ht="15" customHeight="1" x14ac:dyDescent="0.25">
      <c r="A5043" t="str">
        <f>MID(TB_CECO[[#This Row],[CECO_T]],1,5)</f>
        <v>5D73C</v>
      </c>
      <c r="B5043" t="str">
        <f>MID(TB_CECO[[#This Row],[TRABAJO]],1,SEARCH(",",TB_CECO[[#This Row],[TRABAJO]],1)-1)</f>
        <v>Tj  885 NE (Inc 822 NE)</v>
      </c>
      <c r="C50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NE (Inc 822 NE),LIMPIEZA</v>
      </c>
      <c r="D50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43" s="47" t="s">
        <v>9981</v>
      </c>
      <c r="G5043" t="s">
        <v>9982</v>
      </c>
      <c r="H50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44" spans="1:8" ht="15" customHeight="1" x14ac:dyDescent="0.25">
      <c r="A5044" t="str">
        <f>MID(TB_CECO[[#This Row],[CECO_T]],1,5)</f>
        <v>5D73C</v>
      </c>
      <c r="B5044" t="str">
        <f>MID(TB_CECO[[#This Row],[TRABAJO]],1,SEARCH(",",TB_CECO[[#This Row],[TRABAJO]],1)-1)</f>
        <v>Tj  885 NE (Inc 822 NE)</v>
      </c>
      <c r="C50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NE (Inc 822 NE),SOSTENIMIENTO</v>
      </c>
      <c r="D50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44" s="47" t="s">
        <v>9983</v>
      </c>
      <c r="G5044" t="s">
        <v>9984</v>
      </c>
      <c r="H50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45" spans="1:8" ht="15" customHeight="1" x14ac:dyDescent="0.25">
      <c r="A5045" t="str">
        <f>MID(TB_CECO[[#This Row],[CECO_T]],1,5)</f>
        <v>5D73C</v>
      </c>
      <c r="B5045" t="str">
        <f>MID(TB_CECO[[#This Row],[TRABAJO]],1,SEARCH(",",TB_CECO[[#This Row],[TRABAJO]],1)-1)</f>
        <v>Tj  885 NE (Inc 822 NE)</v>
      </c>
      <c r="C50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NE (Inc 822 NE),SERVICIO</v>
      </c>
      <c r="D50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45" s="47" t="s">
        <v>9985</v>
      </c>
      <c r="G5045" t="s">
        <v>9986</v>
      </c>
      <c r="H50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46" spans="1:8" ht="15" customHeight="1" x14ac:dyDescent="0.25">
      <c r="A5046" t="str">
        <f>MID(TB_CECO[[#This Row],[CECO_T]],1,5)</f>
        <v>5D73C</v>
      </c>
      <c r="B5046" t="str">
        <f>MID(TB_CECO[[#This Row],[TRABAJO]],1,SEARCH(",",TB_CECO[[#This Row],[TRABAJO]],1)-1)</f>
        <v>Tj  885 NE (Inc 822 NE)</v>
      </c>
      <c r="C50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885 NE (Inc 822 NE),RELLENO</v>
      </c>
      <c r="D50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46" s="47" t="s">
        <v>9987</v>
      </c>
      <c r="G5046" t="s">
        <v>9988</v>
      </c>
      <c r="H50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47" spans="1:8" ht="15" customHeight="1" x14ac:dyDescent="0.25">
      <c r="A5047" t="str">
        <f>MID(TB_CECO[[#This Row],[CECO_T]],1,5)</f>
        <v>3G31W</v>
      </c>
      <c r="B5047" t="str">
        <f>MID(TB_CECO[[#This Row],[TRABAJO]],1,SEARCH(",",TB_CECO[[#This Row],[TRABAJO]],1)-1)</f>
        <v>Ch 934 (Snv 025 NE)</v>
      </c>
      <c r="C50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934 (Snv 025 NE),PERFORACION</v>
      </c>
      <c r="D50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0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047" s="47" t="s">
        <v>9989</v>
      </c>
      <c r="G5047" t="s">
        <v>9990</v>
      </c>
      <c r="H50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48" spans="1:8" ht="15" customHeight="1" x14ac:dyDescent="0.25">
      <c r="A5048" t="str">
        <f>MID(TB_CECO[[#This Row],[CECO_T]],1,5)</f>
        <v>3G31W</v>
      </c>
      <c r="B5048" t="str">
        <f>MID(TB_CECO[[#This Row],[TRABAJO]],1,SEARCH(",",TB_CECO[[#This Row],[TRABAJO]],1)-1)</f>
        <v>Ch 934 (Snv 025 NE)</v>
      </c>
      <c r="C50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934 (Snv 025 NE),VOLADURA</v>
      </c>
      <c r="D50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0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048" s="47" t="s">
        <v>9991</v>
      </c>
      <c r="G5048" t="s">
        <v>9992</v>
      </c>
      <c r="H50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49" spans="1:8" ht="15" customHeight="1" x14ac:dyDescent="0.25">
      <c r="A5049" t="str">
        <f>MID(TB_CECO[[#This Row],[CECO_T]],1,5)</f>
        <v>3G31W</v>
      </c>
      <c r="B5049" t="str">
        <f>MID(TB_CECO[[#This Row],[TRABAJO]],1,SEARCH(",",TB_CECO[[#This Row],[TRABAJO]],1)-1)</f>
        <v>Ch 934 (Snv 025 NE)</v>
      </c>
      <c r="C50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934 (Snv 025 NE),LIMPIEZA</v>
      </c>
      <c r="D50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0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049" s="47" t="s">
        <v>9993</v>
      </c>
      <c r="G5049" t="s">
        <v>9994</v>
      </c>
      <c r="H50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50" spans="1:8" ht="15" customHeight="1" x14ac:dyDescent="0.25">
      <c r="A5050" t="str">
        <f>MID(TB_CECO[[#This Row],[CECO_T]],1,5)</f>
        <v>3G31W</v>
      </c>
      <c r="B5050" t="str">
        <f>MID(TB_CECO[[#This Row],[TRABAJO]],1,SEARCH(",",TB_CECO[[#This Row],[TRABAJO]],1)-1)</f>
        <v>Ch 934 (Snv 025 NE)</v>
      </c>
      <c r="C50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934 (Snv 025 NE),SOSTENIMIENTO</v>
      </c>
      <c r="D50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0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050" s="47" t="s">
        <v>9995</v>
      </c>
      <c r="G5050" t="s">
        <v>9996</v>
      </c>
      <c r="H50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51" spans="1:8" ht="15" customHeight="1" x14ac:dyDescent="0.25">
      <c r="A5051" t="str">
        <f>MID(TB_CECO[[#This Row],[CECO_T]],1,5)</f>
        <v>3G31W</v>
      </c>
      <c r="B5051" t="str">
        <f>MID(TB_CECO[[#This Row],[TRABAJO]],1,SEARCH(",",TB_CECO[[#This Row],[TRABAJO]],1)-1)</f>
        <v>Ch 934 (Snv 025 NE)</v>
      </c>
      <c r="C50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934 (Snv 025 NE),SERVICIO</v>
      </c>
      <c r="D50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0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051" s="47" t="s">
        <v>9997</v>
      </c>
      <c r="G5051" t="s">
        <v>9998</v>
      </c>
      <c r="H50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52" spans="1:8" ht="15" customHeight="1" x14ac:dyDescent="0.25">
      <c r="A5052" t="str">
        <f>MID(TB_CECO[[#This Row],[CECO_T]],1,5)</f>
        <v>5D73D</v>
      </c>
      <c r="B5052" t="str">
        <f>MID(TB_CECO[[#This Row],[TRABAJO]],1,SEARCH(",",TB_CECO[[#This Row],[TRABAJO]],1)-1)</f>
        <v xml:space="preserve">Tj 929 SW (Snv 929 SW) </v>
      </c>
      <c r="C50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929 SW (Snv 929 SW) ,PERFORACION</v>
      </c>
      <c r="D50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52" s="47" t="s">
        <v>9999</v>
      </c>
      <c r="G5052" t="s">
        <v>10000</v>
      </c>
      <c r="H50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53" spans="1:8" ht="15" customHeight="1" x14ac:dyDescent="0.25">
      <c r="A5053" t="str">
        <f>MID(TB_CECO[[#This Row],[CECO_T]],1,5)</f>
        <v>5D73D</v>
      </c>
      <c r="B5053" t="str">
        <f>MID(TB_CECO[[#This Row],[TRABAJO]],1,SEARCH(",",TB_CECO[[#This Row],[TRABAJO]],1)-1)</f>
        <v xml:space="preserve">Tj 929 SW (Snv 929 SW) </v>
      </c>
      <c r="C50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929 SW (Snv 929 SW) ,VOLADURA</v>
      </c>
      <c r="D50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53" s="47" t="s">
        <v>10001</v>
      </c>
      <c r="G5053" t="s">
        <v>10002</v>
      </c>
      <c r="H50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54" spans="1:8" ht="15" customHeight="1" x14ac:dyDescent="0.25">
      <c r="A5054" t="str">
        <f>MID(TB_CECO[[#This Row],[CECO_T]],1,5)</f>
        <v>5D73D</v>
      </c>
      <c r="B5054" t="str">
        <f>MID(TB_CECO[[#This Row],[TRABAJO]],1,SEARCH(",",TB_CECO[[#This Row],[TRABAJO]],1)-1)</f>
        <v xml:space="preserve">Tj 929 SW (Snv 929 SW) </v>
      </c>
      <c r="C50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929 SW (Snv 929 SW) ,LIMPIEZA</v>
      </c>
      <c r="D50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54" s="47" t="s">
        <v>10003</v>
      </c>
      <c r="G5054" t="s">
        <v>10004</v>
      </c>
      <c r="H50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55" spans="1:8" ht="15" customHeight="1" x14ac:dyDescent="0.25">
      <c r="A5055" t="str">
        <f>MID(TB_CECO[[#This Row],[CECO_T]],1,5)</f>
        <v>5D73D</v>
      </c>
      <c r="B5055" t="str">
        <f>MID(TB_CECO[[#This Row],[TRABAJO]],1,SEARCH(",",TB_CECO[[#This Row],[TRABAJO]],1)-1)</f>
        <v xml:space="preserve">Tj 929 SW (Snv 929 SW) </v>
      </c>
      <c r="C50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929 SW (Snv 929 SW) ,SOSTENIMIENTO</v>
      </c>
      <c r="D50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55" s="47" t="s">
        <v>10005</v>
      </c>
      <c r="G5055" t="s">
        <v>10006</v>
      </c>
      <c r="H50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56" spans="1:8" ht="15" customHeight="1" x14ac:dyDescent="0.25">
      <c r="A5056" t="str">
        <f>MID(TB_CECO[[#This Row],[CECO_T]],1,5)</f>
        <v>5D73D</v>
      </c>
      <c r="B5056" t="str">
        <f>MID(TB_CECO[[#This Row],[TRABAJO]],1,SEARCH(",",TB_CECO[[#This Row],[TRABAJO]],1)-1)</f>
        <v xml:space="preserve">Tj 929 SW (Snv 929 SW) </v>
      </c>
      <c r="C50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929 SW (Snv 929 SW) ,SERVICIO</v>
      </c>
      <c r="D50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56" s="47" t="s">
        <v>10007</v>
      </c>
      <c r="G5056" t="s">
        <v>10008</v>
      </c>
      <c r="H50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57" spans="1:8" ht="15" customHeight="1" x14ac:dyDescent="0.25">
      <c r="A5057" t="str">
        <f>MID(TB_CECO[[#This Row],[CECO_T]],1,5)</f>
        <v>5D73D</v>
      </c>
      <c r="B5057" t="str">
        <f>MID(TB_CECO[[#This Row],[TRABAJO]],1,SEARCH(",",TB_CECO[[#This Row],[TRABAJO]],1)-1)</f>
        <v xml:space="preserve">Tj 929 SW (Snv 929 SW) </v>
      </c>
      <c r="C50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929 SW (Snv 929 SW) ,RELLENO</v>
      </c>
      <c r="D50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057" s="47" t="s">
        <v>10009</v>
      </c>
      <c r="G5057" t="s">
        <v>10010</v>
      </c>
      <c r="H50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058" spans="1:8" ht="15" customHeight="1" x14ac:dyDescent="0.25">
      <c r="A5058" t="str">
        <f>MID(TB_CECO[[#This Row],[CECO_T]],1,5)</f>
        <v>3E56G</v>
      </c>
      <c r="B5058" t="str">
        <f>MID(TB_CECO[[#This Row],[TRABAJO]],1,SEARCH(",",TB_CECO[[#This Row],[TRABAJO]],1)-1)</f>
        <v>Snv 034 SW (Tj 030 SW)</v>
      </c>
      <c r="C50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034 SW (Tj 030 SW),PERFORACION</v>
      </c>
      <c r="D50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0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058" s="47" t="s">
        <v>10011</v>
      </c>
      <c r="G5058" t="s">
        <v>10012</v>
      </c>
      <c r="H50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59" spans="1:8" ht="15" customHeight="1" x14ac:dyDescent="0.25">
      <c r="A5059" t="str">
        <f>MID(TB_CECO[[#This Row],[CECO_T]],1,5)</f>
        <v>3E56G</v>
      </c>
      <c r="B5059" t="str">
        <f>MID(TB_CECO[[#This Row],[TRABAJO]],1,SEARCH(",",TB_CECO[[#This Row],[TRABAJO]],1)-1)</f>
        <v>Snv 034 SW (Tj 030 SW)</v>
      </c>
      <c r="C50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034 SW (Tj 030 SW),VOLADURA</v>
      </c>
      <c r="D50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0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059" s="47" t="s">
        <v>10013</v>
      </c>
      <c r="G5059" t="s">
        <v>10014</v>
      </c>
      <c r="H50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60" spans="1:8" ht="15" customHeight="1" x14ac:dyDescent="0.25">
      <c r="A5060" t="str">
        <f>MID(TB_CECO[[#This Row],[CECO_T]],1,5)</f>
        <v>3E56G</v>
      </c>
      <c r="B5060" t="str">
        <f>MID(TB_CECO[[#This Row],[TRABAJO]],1,SEARCH(",",TB_CECO[[#This Row],[TRABAJO]],1)-1)</f>
        <v>Snv 034 SW (Tj 030 SW)</v>
      </c>
      <c r="C50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034 SW (Tj 030 SW),LIMPIEZA</v>
      </c>
      <c r="D50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0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060" s="47" t="s">
        <v>10015</v>
      </c>
      <c r="G5060" t="s">
        <v>10016</v>
      </c>
      <c r="H50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61" spans="1:8" ht="15" customHeight="1" x14ac:dyDescent="0.25">
      <c r="A5061" t="str">
        <f>MID(TB_CECO[[#This Row],[CECO_T]],1,5)</f>
        <v>3E56G</v>
      </c>
      <c r="B5061" t="str">
        <f>MID(TB_CECO[[#This Row],[TRABAJO]],1,SEARCH(",",TB_CECO[[#This Row],[TRABAJO]],1)-1)</f>
        <v>Snv 034 SW (Tj 030 SW)</v>
      </c>
      <c r="C50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034 SW (Tj 030 SW),SOSTENIMIENTO</v>
      </c>
      <c r="D50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0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061" s="47" t="s">
        <v>10017</v>
      </c>
      <c r="G5061" t="s">
        <v>10018</v>
      </c>
      <c r="H50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62" spans="1:8" ht="15" customHeight="1" x14ac:dyDescent="0.25">
      <c r="A5062" t="str">
        <f>MID(TB_CECO[[#This Row],[CECO_T]],1,5)</f>
        <v>3E56G</v>
      </c>
      <c r="B5062" t="str">
        <f>MID(TB_CECO[[#This Row],[TRABAJO]],1,SEARCH(",",TB_CECO[[#This Row],[TRABAJO]],1)-1)</f>
        <v>Snv 034 SW (Tj 030 SW)</v>
      </c>
      <c r="C50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034 SW (Tj 030 SW),SERVICIO</v>
      </c>
      <c r="D50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0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062" s="47" t="s">
        <v>10019</v>
      </c>
      <c r="G5062" t="s">
        <v>10020</v>
      </c>
      <c r="H50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63" spans="1:8" ht="15" customHeight="1" x14ac:dyDescent="0.25">
      <c r="A5063" t="str">
        <f>MID(TB_CECO[[#This Row],[CECO_T]],1,5)</f>
        <v>1D691</v>
      </c>
      <c r="B5063" t="str">
        <f>MID(TB_CECO[[#This Row],[TRABAJO]],1,SEARCH(",",TB_CECO[[#This Row],[TRABAJO]],1)-1)</f>
        <v xml:space="preserve">Est 955 NW (Snv 885 NE) </v>
      </c>
      <c r="C50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955 NW (Snv 885 NE) ,PERFORACION</v>
      </c>
      <c r="D50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63" s="47" t="s">
        <v>10021</v>
      </c>
      <c r="G5063" t="s">
        <v>10022</v>
      </c>
      <c r="H50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64" spans="1:8" ht="15" customHeight="1" x14ac:dyDescent="0.25">
      <c r="A5064" t="str">
        <f>MID(TB_CECO[[#This Row],[CECO_T]],1,5)</f>
        <v>1D691</v>
      </c>
      <c r="B5064" t="str">
        <f>MID(TB_CECO[[#This Row],[TRABAJO]],1,SEARCH(",",TB_CECO[[#This Row],[TRABAJO]],1)-1)</f>
        <v xml:space="preserve">Est 955 NW (Snv 885 NE) </v>
      </c>
      <c r="C50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955 NW (Snv 885 NE) ,VOLADURA</v>
      </c>
      <c r="D50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64" s="47" t="s">
        <v>10023</v>
      </c>
      <c r="G5064" t="s">
        <v>10024</v>
      </c>
      <c r="H50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65" spans="1:8" ht="15" customHeight="1" x14ac:dyDescent="0.25">
      <c r="A5065" t="str">
        <f>MID(TB_CECO[[#This Row],[CECO_T]],1,5)</f>
        <v>1D691</v>
      </c>
      <c r="B5065" t="str">
        <f>MID(TB_CECO[[#This Row],[TRABAJO]],1,SEARCH(",",TB_CECO[[#This Row],[TRABAJO]],1)-1)</f>
        <v xml:space="preserve">Est 955 NW (Snv 885 NE) </v>
      </c>
      <c r="C50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955 NW (Snv 885 NE) ,LIMPIEZA</v>
      </c>
      <c r="D50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65" s="47" t="s">
        <v>10025</v>
      </c>
      <c r="G5065" t="s">
        <v>10026</v>
      </c>
      <c r="H50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66" spans="1:8" ht="15" customHeight="1" x14ac:dyDescent="0.25">
      <c r="A5066" t="str">
        <f>MID(TB_CECO[[#This Row],[CECO_T]],1,5)</f>
        <v>1D691</v>
      </c>
      <c r="B5066" t="str">
        <f>MID(TB_CECO[[#This Row],[TRABAJO]],1,SEARCH(",",TB_CECO[[#This Row],[TRABAJO]],1)-1)</f>
        <v xml:space="preserve">Est 955 NW (Snv 885 NE) </v>
      </c>
      <c r="C50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955 NW (Snv 885 NE) ,SOSTENIMIENTO</v>
      </c>
      <c r="D50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66" s="47" t="s">
        <v>10027</v>
      </c>
      <c r="G5066" t="s">
        <v>10028</v>
      </c>
      <c r="H50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67" spans="1:8" ht="15" customHeight="1" x14ac:dyDescent="0.25">
      <c r="A5067" t="str">
        <f>MID(TB_CECO[[#This Row],[CECO_T]],1,5)</f>
        <v>1D691</v>
      </c>
      <c r="B5067" t="str">
        <f>MID(TB_CECO[[#This Row],[TRABAJO]],1,SEARCH(",",TB_CECO[[#This Row],[TRABAJO]],1)-1)</f>
        <v xml:space="preserve">Est 955 NW (Snv 885 NE) </v>
      </c>
      <c r="C50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955 NW (Snv 885 NE) ,SERVICIO</v>
      </c>
      <c r="D50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67" s="47" t="s">
        <v>10029</v>
      </c>
      <c r="G5067" t="s">
        <v>10030</v>
      </c>
      <c r="H50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68" spans="1:8" ht="15" customHeight="1" x14ac:dyDescent="0.25">
      <c r="A5068" t="str">
        <f>MID(TB_CECO[[#This Row],[CECO_T]],1,5)</f>
        <v>1D692</v>
      </c>
      <c r="B5068" t="str">
        <f>MID(TB_CECO[[#This Row],[TRABAJO]],1,SEARCH(",",TB_CECO[[#This Row],[TRABAJO]],1)-1)</f>
        <v xml:space="preserve">Est 934 NW (Snv 885 SW) </v>
      </c>
      <c r="C50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934 NW (Snv 885 SW) ,PERFORACION</v>
      </c>
      <c r="D50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68" s="47" t="s">
        <v>10031</v>
      </c>
      <c r="G5068" t="s">
        <v>10032</v>
      </c>
      <c r="H50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69" spans="1:8" ht="15" customHeight="1" x14ac:dyDescent="0.25">
      <c r="A5069" t="str">
        <f>MID(TB_CECO[[#This Row],[CECO_T]],1,5)</f>
        <v>1D692</v>
      </c>
      <c r="B5069" t="str">
        <f>MID(TB_CECO[[#This Row],[TRABAJO]],1,SEARCH(",",TB_CECO[[#This Row],[TRABAJO]],1)-1)</f>
        <v xml:space="preserve">Est 934 NW (Snv 885 SW) </v>
      </c>
      <c r="C50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934 NW (Snv 885 SW) ,VOLADURA</v>
      </c>
      <c r="D50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69" s="47" t="s">
        <v>10033</v>
      </c>
      <c r="G5069" t="s">
        <v>10034</v>
      </c>
      <c r="H50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70" spans="1:8" ht="15" customHeight="1" x14ac:dyDescent="0.25">
      <c r="A5070" t="str">
        <f>MID(TB_CECO[[#This Row],[CECO_T]],1,5)</f>
        <v>1D692</v>
      </c>
      <c r="B5070" t="str">
        <f>MID(TB_CECO[[#This Row],[TRABAJO]],1,SEARCH(",",TB_CECO[[#This Row],[TRABAJO]],1)-1)</f>
        <v xml:space="preserve">Est 934 NW (Snv 885 SW) </v>
      </c>
      <c r="C50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934 NW (Snv 885 SW) ,LIMPIEZA</v>
      </c>
      <c r="D50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70" s="47" t="s">
        <v>10035</v>
      </c>
      <c r="G5070" t="s">
        <v>10036</v>
      </c>
      <c r="H50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71" spans="1:8" ht="15" customHeight="1" x14ac:dyDescent="0.25">
      <c r="A5071" t="str">
        <f>MID(TB_CECO[[#This Row],[CECO_T]],1,5)</f>
        <v>1D692</v>
      </c>
      <c r="B5071" t="str">
        <f>MID(TB_CECO[[#This Row],[TRABAJO]],1,SEARCH(",",TB_CECO[[#This Row],[TRABAJO]],1)-1)</f>
        <v xml:space="preserve">Est 934 NW (Snv 885 SW) </v>
      </c>
      <c r="C50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934 NW (Snv 885 SW) ,SOSTENIMIENTO</v>
      </c>
      <c r="D50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71" s="47" t="s">
        <v>10037</v>
      </c>
      <c r="G5071" t="s">
        <v>10038</v>
      </c>
      <c r="H50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72" spans="1:8" ht="15" customHeight="1" x14ac:dyDescent="0.25">
      <c r="A5072" t="str">
        <f>MID(TB_CECO[[#This Row],[CECO_T]],1,5)</f>
        <v>1D692</v>
      </c>
      <c r="B5072" t="str">
        <f>MID(TB_CECO[[#This Row],[TRABAJO]],1,SEARCH(",",TB_CECO[[#This Row],[TRABAJO]],1)-1)</f>
        <v xml:space="preserve">Est 934 NW (Snv 885 SW) </v>
      </c>
      <c r="C50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934 NW (Snv 885 SW) ,SERVICIO</v>
      </c>
      <c r="D50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72" s="47" t="s">
        <v>10039</v>
      </c>
      <c r="G5072" t="s">
        <v>10040</v>
      </c>
      <c r="H50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73" spans="1:8" ht="15" customHeight="1" x14ac:dyDescent="0.25">
      <c r="A5073" t="str">
        <f>MID(TB_CECO[[#This Row],[CECO_T]],1,5)</f>
        <v>1D693</v>
      </c>
      <c r="B5073" t="str">
        <f>MID(TB_CECO[[#This Row],[TRABAJO]],1,SEARCH(",",TB_CECO[[#This Row],[TRABAJO]],1)-1)</f>
        <v>Est 925 NW (Snv 885 SW)</v>
      </c>
      <c r="C50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925 NW (Snv 885 SW),PERFORACION</v>
      </c>
      <c r="D50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73" s="47" t="s">
        <v>10041</v>
      </c>
      <c r="G5073" t="s">
        <v>10042</v>
      </c>
      <c r="H50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74" spans="1:8" ht="15" customHeight="1" x14ac:dyDescent="0.25">
      <c r="A5074" t="str">
        <f>MID(TB_CECO[[#This Row],[CECO_T]],1,5)</f>
        <v>1D693</v>
      </c>
      <c r="B5074" t="str">
        <f>MID(TB_CECO[[#This Row],[TRABAJO]],1,SEARCH(",",TB_CECO[[#This Row],[TRABAJO]],1)-1)</f>
        <v>Est 925 NW (Snv 885 SW)</v>
      </c>
      <c r="C50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925 NW (Snv 885 SW),VOLADURA</v>
      </c>
      <c r="D50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74" s="47" t="s">
        <v>10043</v>
      </c>
      <c r="G5074" t="s">
        <v>10044</v>
      </c>
      <c r="H50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75" spans="1:8" ht="15" customHeight="1" x14ac:dyDescent="0.25">
      <c r="A5075" t="str">
        <f>MID(TB_CECO[[#This Row],[CECO_T]],1,5)</f>
        <v>1D693</v>
      </c>
      <c r="B5075" t="str">
        <f>MID(TB_CECO[[#This Row],[TRABAJO]],1,SEARCH(",",TB_CECO[[#This Row],[TRABAJO]],1)-1)</f>
        <v>Est 925 NW (Snv 885 SW)</v>
      </c>
      <c r="C50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925 NW (Snv 885 SW),LIMPIEZA</v>
      </c>
      <c r="D50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75" s="47" t="s">
        <v>10045</v>
      </c>
      <c r="G5075" t="s">
        <v>10046</v>
      </c>
      <c r="H50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76" spans="1:8" ht="15" customHeight="1" x14ac:dyDescent="0.25">
      <c r="A5076" t="str">
        <f>MID(TB_CECO[[#This Row],[CECO_T]],1,5)</f>
        <v>1D693</v>
      </c>
      <c r="B5076" t="str">
        <f>MID(TB_CECO[[#This Row],[TRABAJO]],1,SEARCH(",",TB_CECO[[#This Row],[TRABAJO]],1)-1)</f>
        <v>Est 925 NW (Snv 885 SW)</v>
      </c>
      <c r="C50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925 NW (Snv 885 SW),SOSTENIMIENTO</v>
      </c>
      <c r="D50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76" s="47" t="s">
        <v>10047</v>
      </c>
      <c r="G5076" t="s">
        <v>10048</v>
      </c>
      <c r="H50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77" spans="1:8" ht="15" customHeight="1" x14ac:dyDescent="0.25">
      <c r="A5077" t="str">
        <f>MID(TB_CECO[[#This Row],[CECO_T]],1,5)</f>
        <v>1D693</v>
      </c>
      <c r="B5077" t="str">
        <f>MID(TB_CECO[[#This Row],[TRABAJO]],1,SEARCH(",",TB_CECO[[#This Row],[TRABAJO]],1)-1)</f>
        <v>Est 925 NW (Snv 885 SW)</v>
      </c>
      <c r="C50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925 NW (Snv 885 SW),SERVICIO</v>
      </c>
      <c r="D50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77" s="47" t="s">
        <v>10049</v>
      </c>
      <c r="G5077" t="s">
        <v>10050</v>
      </c>
      <c r="H50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78" spans="1:8" ht="15" customHeight="1" x14ac:dyDescent="0.25">
      <c r="A5078" t="str">
        <f>MID(TB_CECO[[#This Row],[CECO_T]],1,5)</f>
        <v>1D694</v>
      </c>
      <c r="B5078" t="str">
        <f>MID(TB_CECO[[#This Row],[TRABAJO]],1,SEARCH(",",TB_CECO[[#This Row],[TRABAJO]],1)-1)</f>
        <v>Est 919 NW (Snv 885 SW)</v>
      </c>
      <c r="C50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919 NW (Snv 885 SW),PERFORACION</v>
      </c>
      <c r="D50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78" s="47" t="s">
        <v>10051</v>
      </c>
      <c r="G5078" t="s">
        <v>10052</v>
      </c>
      <c r="H50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79" spans="1:8" ht="15" customHeight="1" x14ac:dyDescent="0.25">
      <c r="A5079" t="str">
        <f>MID(TB_CECO[[#This Row],[CECO_T]],1,5)</f>
        <v>1D694</v>
      </c>
      <c r="B5079" t="str">
        <f>MID(TB_CECO[[#This Row],[TRABAJO]],1,SEARCH(",",TB_CECO[[#This Row],[TRABAJO]],1)-1)</f>
        <v>Est 919 NW (Snv 885 SW)</v>
      </c>
      <c r="C50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919 NW (Snv 885 SW),VOLADURA</v>
      </c>
      <c r="D50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79" s="47" t="s">
        <v>10053</v>
      </c>
      <c r="G5079" t="s">
        <v>10054</v>
      </c>
      <c r="H50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80" spans="1:8" ht="15" customHeight="1" x14ac:dyDescent="0.25">
      <c r="A5080" t="str">
        <f>MID(TB_CECO[[#This Row],[CECO_T]],1,5)</f>
        <v>1D694</v>
      </c>
      <c r="B5080" t="str">
        <f>MID(TB_CECO[[#This Row],[TRABAJO]],1,SEARCH(",",TB_CECO[[#This Row],[TRABAJO]],1)-1)</f>
        <v>Est 919 NW (Snv 885 SW)</v>
      </c>
      <c r="C50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919 NW (Snv 885 SW),LIMPIEZA</v>
      </c>
      <c r="D50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80" s="47" t="s">
        <v>10055</v>
      </c>
      <c r="G5080" t="s">
        <v>10056</v>
      </c>
      <c r="H50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81" spans="1:8" ht="15" customHeight="1" x14ac:dyDescent="0.25">
      <c r="A5081" t="str">
        <f>MID(TB_CECO[[#This Row],[CECO_T]],1,5)</f>
        <v>1D694</v>
      </c>
      <c r="B5081" t="str">
        <f>MID(TB_CECO[[#This Row],[TRABAJO]],1,SEARCH(",",TB_CECO[[#This Row],[TRABAJO]],1)-1)</f>
        <v>Est 919 NW (Snv 885 SW)</v>
      </c>
      <c r="C50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919 NW (Snv 885 SW),SOSTENIMIENTO</v>
      </c>
      <c r="D50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81" s="47" t="s">
        <v>10057</v>
      </c>
      <c r="G5081" t="s">
        <v>10058</v>
      </c>
      <c r="H50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82" spans="1:8" ht="15" customHeight="1" x14ac:dyDescent="0.25">
      <c r="A5082" t="str">
        <f>MID(TB_CECO[[#This Row],[CECO_T]],1,5)</f>
        <v>1D694</v>
      </c>
      <c r="B5082" t="str">
        <f>MID(TB_CECO[[#This Row],[TRABAJO]],1,SEARCH(",",TB_CECO[[#This Row],[TRABAJO]],1)-1)</f>
        <v>Est 919 NW (Snv 885 SW)</v>
      </c>
      <c r="C50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919 NW (Snv 885 SW),SERVICIO</v>
      </c>
      <c r="D50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82" s="47" t="s">
        <v>10059</v>
      </c>
      <c r="G5082" t="s">
        <v>10060</v>
      </c>
      <c r="H50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83" spans="1:8" ht="15" customHeight="1" x14ac:dyDescent="0.25">
      <c r="A5083" t="str">
        <f>MID(TB_CECO[[#This Row],[CECO_T]],1,5)</f>
        <v>1D695</v>
      </c>
      <c r="B5083" t="str">
        <f>MID(TB_CECO[[#This Row],[TRABAJO]],1,SEARCH(",",TB_CECO[[#This Row],[TRABAJO]],1)-1)</f>
        <v>Est 910 NW (Snv 885 SW)</v>
      </c>
      <c r="C50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910 NW (Snv 885 SW),PERFORACION</v>
      </c>
      <c r="D50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83" s="47" t="s">
        <v>10061</v>
      </c>
      <c r="G5083" t="s">
        <v>10062</v>
      </c>
      <c r="H50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84" spans="1:8" ht="15" customHeight="1" x14ac:dyDescent="0.25">
      <c r="A5084" t="str">
        <f>MID(TB_CECO[[#This Row],[CECO_T]],1,5)</f>
        <v>1D695</v>
      </c>
      <c r="B5084" t="str">
        <f>MID(TB_CECO[[#This Row],[TRABAJO]],1,SEARCH(",",TB_CECO[[#This Row],[TRABAJO]],1)-1)</f>
        <v>Est 910 NW (Snv 885 SW)</v>
      </c>
      <c r="C50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910 NW (Snv 885 SW),VOLADURA</v>
      </c>
      <c r="D50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84" s="47" t="s">
        <v>10063</v>
      </c>
      <c r="G5084" t="s">
        <v>10064</v>
      </c>
      <c r="H50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85" spans="1:8" ht="15" customHeight="1" x14ac:dyDescent="0.25">
      <c r="A5085" t="str">
        <f>MID(TB_CECO[[#This Row],[CECO_T]],1,5)</f>
        <v>1D695</v>
      </c>
      <c r="B5085" t="str">
        <f>MID(TB_CECO[[#This Row],[TRABAJO]],1,SEARCH(",",TB_CECO[[#This Row],[TRABAJO]],1)-1)</f>
        <v>Est 910 NW (Snv 885 SW)</v>
      </c>
      <c r="C50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910 NW (Snv 885 SW),LIMPIEZA</v>
      </c>
      <c r="D50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85" s="47" t="s">
        <v>10065</v>
      </c>
      <c r="G5085" t="s">
        <v>10066</v>
      </c>
      <c r="H50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86" spans="1:8" ht="15" customHeight="1" x14ac:dyDescent="0.25">
      <c r="A5086" t="str">
        <f>MID(TB_CECO[[#This Row],[CECO_T]],1,5)</f>
        <v>1D695</v>
      </c>
      <c r="B5086" t="str">
        <f>MID(TB_CECO[[#This Row],[TRABAJO]],1,SEARCH(",",TB_CECO[[#This Row],[TRABAJO]],1)-1)</f>
        <v>Est 910 NW (Snv 885 SW)</v>
      </c>
      <c r="C50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910 NW (Snv 885 SW),SOSTENIMIENTO</v>
      </c>
      <c r="D50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86" s="47" t="s">
        <v>10067</v>
      </c>
      <c r="G5086" t="s">
        <v>10068</v>
      </c>
      <c r="H50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87" spans="1:8" ht="15" customHeight="1" x14ac:dyDescent="0.25">
      <c r="A5087" t="str">
        <f>MID(TB_CECO[[#This Row],[CECO_T]],1,5)</f>
        <v>1D695</v>
      </c>
      <c r="B5087" t="str">
        <f>MID(TB_CECO[[#This Row],[TRABAJO]],1,SEARCH(",",TB_CECO[[#This Row],[TRABAJO]],1)-1)</f>
        <v>Est 910 NW (Snv 885 SW)</v>
      </c>
      <c r="C50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910 NW (Snv 885 SW),SERVICIO</v>
      </c>
      <c r="D50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87" s="47" t="s">
        <v>10069</v>
      </c>
      <c r="G5087" t="s">
        <v>10070</v>
      </c>
      <c r="H50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88" spans="1:8" ht="15" customHeight="1" x14ac:dyDescent="0.25">
      <c r="A5088" t="str">
        <f>MID(TB_CECO[[#This Row],[CECO_T]],1,5)</f>
        <v>1D31X</v>
      </c>
      <c r="B5088" t="str">
        <f>MID(TB_CECO[[#This Row],[TRABAJO]],1,SEARCH(",",TB_CECO[[#This Row],[TRABAJO]],1)-1)</f>
        <v>Ch 929 (Bp 940 NW)</v>
      </c>
      <c r="C50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929 (Bp 940 NW),PERFORACION</v>
      </c>
      <c r="D50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88" s="47" t="s">
        <v>10071</v>
      </c>
      <c r="G5088" t="s">
        <v>10072</v>
      </c>
      <c r="H50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89" spans="1:8" ht="15" customHeight="1" x14ac:dyDescent="0.25">
      <c r="A5089" t="str">
        <f>MID(TB_CECO[[#This Row],[CECO_T]],1,5)</f>
        <v>1D31X</v>
      </c>
      <c r="B5089" t="str">
        <f>MID(TB_CECO[[#This Row],[TRABAJO]],1,SEARCH(",",TB_CECO[[#This Row],[TRABAJO]],1)-1)</f>
        <v>Ch 929 (Bp 940 NW)</v>
      </c>
      <c r="C50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929 (Bp 940 NW),VOLADURA</v>
      </c>
      <c r="D50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89" s="47" t="s">
        <v>10073</v>
      </c>
      <c r="G5089" t="s">
        <v>10074</v>
      </c>
      <c r="H50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90" spans="1:8" ht="15" customHeight="1" x14ac:dyDescent="0.25">
      <c r="A5090" t="str">
        <f>MID(TB_CECO[[#This Row],[CECO_T]],1,5)</f>
        <v>1D31X</v>
      </c>
      <c r="B5090" t="str">
        <f>MID(TB_CECO[[#This Row],[TRABAJO]],1,SEARCH(",",TB_CECO[[#This Row],[TRABAJO]],1)-1)</f>
        <v>Ch 929 (Bp 940 NW)</v>
      </c>
      <c r="C50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929 (Bp 940 NW),LIMPIEZA</v>
      </c>
      <c r="D50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90" s="47" t="s">
        <v>10075</v>
      </c>
      <c r="G5090" t="s">
        <v>10076</v>
      </c>
      <c r="H50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91" spans="1:8" ht="15" customHeight="1" x14ac:dyDescent="0.25">
      <c r="A5091" t="str">
        <f>MID(TB_CECO[[#This Row],[CECO_T]],1,5)</f>
        <v>1D31X</v>
      </c>
      <c r="B5091" t="str">
        <f>MID(TB_CECO[[#This Row],[TRABAJO]],1,SEARCH(",",TB_CECO[[#This Row],[TRABAJO]],1)-1)</f>
        <v>Ch 929 (Bp 940 NW)</v>
      </c>
      <c r="C50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929 (Bp 940 NW),SOSTENIMIENTO</v>
      </c>
      <c r="D50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91" s="47" t="s">
        <v>10077</v>
      </c>
      <c r="G5091" t="s">
        <v>10078</v>
      </c>
      <c r="H50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92" spans="1:8" ht="15" customHeight="1" x14ac:dyDescent="0.25">
      <c r="A5092" t="str">
        <f>MID(TB_CECO[[#This Row],[CECO_T]],1,5)</f>
        <v>1D31X</v>
      </c>
      <c r="B5092" t="str">
        <f>MID(TB_CECO[[#This Row],[TRABAJO]],1,SEARCH(",",TB_CECO[[#This Row],[TRABAJO]],1)-1)</f>
        <v>Ch 929 (Bp 940 NW)</v>
      </c>
      <c r="C50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929 (Bp 940 NW),SERVICIO</v>
      </c>
      <c r="D50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92" s="47" t="s">
        <v>10079</v>
      </c>
      <c r="G5092" t="s">
        <v>10080</v>
      </c>
      <c r="H50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93" spans="1:8" ht="15" customHeight="1" x14ac:dyDescent="0.25">
      <c r="A5093" t="str">
        <f>MID(TB_CECO[[#This Row],[CECO_T]],1,5)</f>
        <v>1D56H</v>
      </c>
      <c r="B5093" t="str">
        <f>MID(TB_CECO[[#This Row],[TRABAJO]],1,SEARCH(",",TB_CECO[[#This Row],[TRABAJO]],1)-1)</f>
        <v>Snv 959 SW (Est 955 NW)</v>
      </c>
      <c r="C50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959 SW (Est 955 NW),PERFORACION</v>
      </c>
      <c r="D50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93" s="47" t="s">
        <v>10081</v>
      </c>
      <c r="G5093" t="s">
        <v>10082</v>
      </c>
      <c r="H50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94" spans="1:8" ht="15" customHeight="1" x14ac:dyDescent="0.25">
      <c r="A5094" t="str">
        <f>MID(TB_CECO[[#This Row],[CECO_T]],1,5)</f>
        <v>1D56H</v>
      </c>
      <c r="B5094" t="str">
        <f>MID(TB_CECO[[#This Row],[TRABAJO]],1,SEARCH(",",TB_CECO[[#This Row],[TRABAJO]],1)-1)</f>
        <v>Snv 959 SW (Est 955 NW)</v>
      </c>
      <c r="C50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959 SW (Est 955 NW),VOLADURA</v>
      </c>
      <c r="D50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94" s="47" t="s">
        <v>10083</v>
      </c>
      <c r="G5094" t="s">
        <v>10084</v>
      </c>
      <c r="H50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95" spans="1:8" ht="15" customHeight="1" x14ac:dyDescent="0.25">
      <c r="A5095" t="str">
        <f>MID(TB_CECO[[#This Row],[CECO_T]],1,5)</f>
        <v>1D56H</v>
      </c>
      <c r="B5095" t="str">
        <f>MID(TB_CECO[[#This Row],[TRABAJO]],1,SEARCH(",",TB_CECO[[#This Row],[TRABAJO]],1)-1)</f>
        <v>Snv 959 SW (Est 955 NW)</v>
      </c>
      <c r="C50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959 SW (Est 955 NW),LIMPIEZA</v>
      </c>
      <c r="D50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95" s="47" t="s">
        <v>10085</v>
      </c>
      <c r="G5095" t="s">
        <v>10086</v>
      </c>
      <c r="H50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96" spans="1:8" ht="15" customHeight="1" x14ac:dyDescent="0.25">
      <c r="A5096" t="str">
        <f>MID(TB_CECO[[#This Row],[CECO_T]],1,5)</f>
        <v>1D56H</v>
      </c>
      <c r="B5096" t="str">
        <f>MID(TB_CECO[[#This Row],[TRABAJO]],1,SEARCH(",",TB_CECO[[#This Row],[TRABAJO]],1)-1)</f>
        <v>Snv 959 SW (Est 955 NW)</v>
      </c>
      <c r="C50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959 SW (Est 955 NW),SOSTENIMIENTO</v>
      </c>
      <c r="D50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96" s="47" t="s">
        <v>10087</v>
      </c>
      <c r="G5096" t="s">
        <v>10088</v>
      </c>
      <c r="H50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97" spans="1:8" ht="15" customHeight="1" x14ac:dyDescent="0.25">
      <c r="A5097" t="str">
        <f>MID(TB_CECO[[#This Row],[CECO_T]],1,5)</f>
        <v>1D56H</v>
      </c>
      <c r="B5097" t="str">
        <f>MID(TB_CECO[[#This Row],[TRABAJO]],1,SEARCH(",",TB_CECO[[#This Row],[TRABAJO]],1)-1)</f>
        <v>Snv 959 SW (Est 955 NW)</v>
      </c>
      <c r="C50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959 SW (Est 955 NW),SERVICIO</v>
      </c>
      <c r="D50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97" s="47" t="s">
        <v>10089</v>
      </c>
      <c r="G5097" t="s">
        <v>10090</v>
      </c>
      <c r="H50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98" spans="1:8" ht="15" customHeight="1" x14ac:dyDescent="0.25">
      <c r="A5098" t="str">
        <f>MID(TB_CECO[[#This Row],[CECO_T]],1,5)</f>
        <v>1D56I</v>
      </c>
      <c r="B5098" t="str">
        <f>MID(TB_CECO[[#This Row],[TRABAJO]],1,SEARCH(",",TB_CECO[[#This Row],[TRABAJO]],1)-1)</f>
        <v>Snv 925 NE (Est 925 NW)</v>
      </c>
      <c r="C50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NE (Est 925 NW),PERFORACION</v>
      </c>
      <c r="D50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98" s="47" t="s">
        <v>10091</v>
      </c>
      <c r="G5098" t="s">
        <v>10092</v>
      </c>
      <c r="H50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099" spans="1:8" ht="15" customHeight="1" x14ac:dyDescent="0.25">
      <c r="A5099" t="str">
        <f>MID(TB_CECO[[#This Row],[CECO_T]],1,5)</f>
        <v>1D56I</v>
      </c>
      <c r="B5099" t="str">
        <f>MID(TB_CECO[[#This Row],[TRABAJO]],1,SEARCH(",",TB_CECO[[#This Row],[TRABAJO]],1)-1)</f>
        <v>Snv 925 NE (Est 925 NW)</v>
      </c>
      <c r="C50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NE (Est 925 NW),VOLADURA</v>
      </c>
      <c r="D50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0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099" s="47" t="s">
        <v>10093</v>
      </c>
      <c r="G5099" t="s">
        <v>10094</v>
      </c>
      <c r="H50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00" spans="1:8" ht="15" customHeight="1" x14ac:dyDescent="0.25">
      <c r="A5100" t="str">
        <f>MID(TB_CECO[[#This Row],[CECO_T]],1,5)</f>
        <v>1D56I</v>
      </c>
      <c r="B5100" t="str">
        <f>MID(TB_CECO[[#This Row],[TRABAJO]],1,SEARCH(",",TB_CECO[[#This Row],[TRABAJO]],1)-1)</f>
        <v>Snv 925 NE (Est 925 NW)</v>
      </c>
      <c r="C51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NE (Est 925 NW),LIMPIEZA</v>
      </c>
      <c r="D51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00" s="47" t="s">
        <v>10095</v>
      </c>
      <c r="G5100" t="s">
        <v>10096</v>
      </c>
      <c r="H51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01" spans="1:8" ht="15" customHeight="1" x14ac:dyDescent="0.25">
      <c r="A5101" t="str">
        <f>MID(TB_CECO[[#This Row],[CECO_T]],1,5)</f>
        <v>1D56I</v>
      </c>
      <c r="B5101" t="str">
        <f>MID(TB_CECO[[#This Row],[TRABAJO]],1,SEARCH(",",TB_CECO[[#This Row],[TRABAJO]],1)-1)</f>
        <v>Snv 925 NE (Est 925 NW)</v>
      </c>
      <c r="C51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NE (Est 925 NW),SOSTENIMIENTO</v>
      </c>
      <c r="D51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01" s="47" t="s">
        <v>10097</v>
      </c>
      <c r="G5101" t="s">
        <v>10098</v>
      </c>
      <c r="H51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02" spans="1:8" ht="15" customHeight="1" x14ac:dyDescent="0.25">
      <c r="A5102" t="str">
        <f>MID(TB_CECO[[#This Row],[CECO_T]],1,5)</f>
        <v>1D56I</v>
      </c>
      <c r="B5102" t="str">
        <f>MID(TB_CECO[[#This Row],[TRABAJO]],1,SEARCH(",",TB_CECO[[#This Row],[TRABAJO]],1)-1)</f>
        <v>Snv 925 NE (Est 925 NW)</v>
      </c>
      <c r="C51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NE (Est 925 NW),SERVICIO</v>
      </c>
      <c r="D51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02" s="47" t="s">
        <v>10099</v>
      </c>
      <c r="G5102" t="s">
        <v>10100</v>
      </c>
      <c r="H51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03" spans="1:8" ht="15" customHeight="1" x14ac:dyDescent="0.25">
      <c r="A5103" t="str">
        <f>MID(TB_CECO[[#This Row],[CECO_T]],1,5)</f>
        <v>1D56J</v>
      </c>
      <c r="B5103" t="str">
        <f>MID(TB_CECO[[#This Row],[TRABAJO]],1,SEARCH(",",TB_CECO[[#This Row],[TRABAJO]],1)-1)</f>
        <v>Snv 925 SW (Est 925 NW)</v>
      </c>
      <c r="C51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SW (Est 925 NW),PERFORACION</v>
      </c>
      <c r="D51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03" s="47" t="s">
        <v>10101</v>
      </c>
      <c r="G5103" t="s">
        <v>10102</v>
      </c>
      <c r="H51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04" spans="1:8" ht="15" customHeight="1" x14ac:dyDescent="0.25">
      <c r="A5104" t="str">
        <f>MID(TB_CECO[[#This Row],[CECO_T]],1,5)</f>
        <v>1D56J</v>
      </c>
      <c r="B5104" t="str">
        <f>MID(TB_CECO[[#This Row],[TRABAJO]],1,SEARCH(",",TB_CECO[[#This Row],[TRABAJO]],1)-1)</f>
        <v>Snv 925 SW (Est 925 NW)</v>
      </c>
      <c r="C51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SW (Est 925 NW),VOLADURA</v>
      </c>
      <c r="D51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04" s="47" t="s">
        <v>10103</v>
      </c>
      <c r="G5104" t="s">
        <v>10104</v>
      </c>
      <c r="H51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05" spans="1:8" ht="15" customHeight="1" x14ac:dyDescent="0.25">
      <c r="A5105" t="str">
        <f>MID(TB_CECO[[#This Row],[CECO_T]],1,5)</f>
        <v>1D56J</v>
      </c>
      <c r="B5105" t="str">
        <f>MID(TB_CECO[[#This Row],[TRABAJO]],1,SEARCH(",",TB_CECO[[#This Row],[TRABAJO]],1)-1)</f>
        <v>Snv 925 SW (Est 925 NW)</v>
      </c>
      <c r="C51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SW (Est 925 NW),LIMPIEZA</v>
      </c>
      <c r="D51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05" s="47" t="s">
        <v>10105</v>
      </c>
      <c r="G5105" t="s">
        <v>10106</v>
      </c>
      <c r="H51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06" spans="1:8" ht="15" customHeight="1" x14ac:dyDescent="0.25">
      <c r="A5106" t="str">
        <f>MID(TB_CECO[[#This Row],[CECO_T]],1,5)</f>
        <v>1D56J</v>
      </c>
      <c r="B5106" t="str">
        <f>MID(TB_CECO[[#This Row],[TRABAJO]],1,SEARCH(",",TB_CECO[[#This Row],[TRABAJO]],1)-1)</f>
        <v>Snv 925 SW (Est 925 NW)</v>
      </c>
      <c r="C51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SW (Est 925 NW),SOSTENIMIENTO</v>
      </c>
      <c r="D51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06" s="47" t="s">
        <v>10107</v>
      </c>
      <c r="G5106" t="s">
        <v>10108</v>
      </c>
      <c r="H51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07" spans="1:8" ht="15" customHeight="1" x14ac:dyDescent="0.25">
      <c r="A5107" t="str">
        <f>MID(TB_CECO[[#This Row],[CECO_T]],1,5)</f>
        <v>1D56J</v>
      </c>
      <c r="B5107" t="str">
        <f>MID(TB_CECO[[#This Row],[TRABAJO]],1,SEARCH(",",TB_CECO[[#This Row],[TRABAJO]],1)-1)</f>
        <v>Snv 925 SW (Est 925 NW)</v>
      </c>
      <c r="C51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SW (Est 925 NW),SERVICIO</v>
      </c>
      <c r="D51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07" s="47" t="s">
        <v>10109</v>
      </c>
      <c r="G5107" t="s">
        <v>10110</v>
      </c>
      <c r="H51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08" spans="1:8" ht="15" customHeight="1" x14ac:dyDescent="0.25">
      <c r="A5108" t="str">
        <f>MID(TB_CECO[[#This Row],[CECO_T]],1,5)</f>
        <v>1D56K</v>
      </c>
      <c r="B5108" t="str">
        <f>MID(TB_CECO[[#This Row],[TRABAJO]],1,SEARCH(",",TB_CECO[[#This Row],[TRABAJO]],1)-1)</f>
        <v>Snv 850 NE (Snv 010 NE)</v>
      </c>
      <c r="C51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850 NE (Snv 010 NE),PERFORACION</v>
      </c>
      <c r="D51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08" s="47" t="s">
        <v>10111</v>
      </c>
      <c r="G5108" t="s">
        <v>10112</v>
      </c>
      <c r="H51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09" spans="1:8" ht="15" customHeight="1" x14ac:dyDescent="0.25">
      <c r="A5109" t="str">
        <f>MID(TB_CECO[[#This Row],[CECO_T]],1,5)</f>
        <v>1D56K</v>
      </c>
      <c r="B5109" t="str">
        <f>MID(TB_CECO[[#This Row],[TRABAJO]],1,SEARCH(",",TB_CECO[[#This Row],[TRABAJO]],1)-1)</f>
        <v>Snv 850 NE (Snv 010 NE)</v>
      </c>
      <c r="C51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850 NE (Snv 010 NE),VOLADURA</v>
      </c>
      <c r="D51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09" s="47" t="s">
        <v>10113</v>
      </c>
      <c r="G5109" t="s">
        <v>10114</v>
      </c>
      <c r="H51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10" spans="1:8" ht="15" customHeight="1" x14ac:dyDescent="0.25">
      <c r="A5110" t="str">
        <f>MID(TB_CECO[[#This Row],[CECO_T]],1,5)</f>
        <v>1D56K</v>
      </c>
      <c r="B5110" t="str">
        <f>MID(TB_CECO[[#This Row],[TRABAJO]],1,SEARCH(",",TB_CECO[[#This Row],[TRABAJO]],1)-1)</f>
        <v>Snv 850 NE (Snv 010 NE)</v>
      </c>
      <c r="C51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850 NE (Snv 010 NE),LIMPIEZA</v>
      </c>
      <c r="D51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10" s="47" t="s">
        <v>10115</v>
      </c>
      <c r="G5110" t="s">
        <v>10116</v>
      </c>
      <c r="H51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11" spans="1:8" ht="15" customHeight="1" x14ac:dyDescent="0.25">
      <c r="A5111" t="str">
        <f>MID(TB_CECO[[#This Row],[CECO_T]],1,5)</f>
        <v>1D56K</v>
      </c>
      <c r="B5111" t="str">
        <f>MID(TB_CECO[[#This Row],[TRABAJO]],1,SEARCH(",",TB_CECO[[#This Row],[TRABAJO]],1)-1)</f>
        <v>Snv 850 NE (Snv 010 NE)</v>
      </c>
      <c r="C51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850 NE (Snv 010 NE),SOSTENIMIENTO</v>
      </c>
      <c r="D51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11" s="47" t="s">
        <v>10117</v>
      </c>
      <c r="G5111" t="s">
        <v>10118</v>
      </c>
      <c r="H51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12" spans="1:8" ht="15" customHeight="1" x14ac:dyDescent="0.25">
      <c r="A5112" t="str">
        <f>MID(TB_CECO[[#This Row],[CECO_T]],1,5)</f>
        <v>1D56K</v>
      </c>
      <c r="B5112" t="str">
        <f>MID(TB_CECO[[#This Row],[TRABAJO]],1,SEARCH(",",TB_CECO[[#This Row],[TRABAJO]],1)-1)</f>
        <v>Snv 850 NE (Snv 010 NE)</v>
      </c>
      <c r="C51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850 NE (Snv 010 NE),SERVICIO</v>
      </c>
      <c r="D51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12" s="47" t="s">
        <v>10119</v>
      </c>
      <c r="G5112" t="s">
        <v>10120</v>
      </c>
      <c r="H51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13" spans="1:8" ht="15" customHeight="1" x14ac:dyDescent="0.25">
      <c r="A5113" t="str">
        <f>MID(TB_CECO[[#This Row],[CECO_T]],1,5)</f>
        <v>3G31Y</v>
      </c>
      <c r="B5113" t="str">
        <f>MID(TB_CECO[[#This Row],[TRABAJO]],1,SEARCH(",",TB_CECO[[#This Row],[TRABAJO]],1)-1)</f>
        <v>Ch 877 (Snv 010 NE)</v>
      </c>
      <c r="C51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010 NE),PERFORACION</v>
      </c>
      <c r="D51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1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13" s="47" t="s">
        <v>10121</v>
      </c>
      <c r="G5113" t="s">
        <v>10122</v>
      </c>
      <c r="H51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14" spans="1:8" ht="15" customHeight="1" x14ac:dyDescent="0.25">
      <c r="A5114" t="str">
        <f>MID(TB_CECO[[#This Row],[CECO_T]],1,5)</f>
        <v>3G31Y</v>
      </c>
      <c r="B5114" t="str">
        <f>MID(TB_CECO[[#This Row],[TRABAJO]],1,SEARCH(",",TB_CECO[[#This Row],[TRABAJO]],1)-1)</f>
        <v>Ch 877 (Snv 010 NE)</v>
      </c>
      <c r="C51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010 NE),VOLADURA</v>
      </c>
      <c r="D51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1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14" s="47" t="s">
        <v>10123</v>
      </c>
      <c r="G5114" t="s">
        <v>10124</v>
      </c>
      <c r="H51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15" spans="1:8" ht="15" customHeight="1" x14ac:dyDescent="0.25">
      <c r="A5115" t="str">
        <f>MID(TB_CECO[[#This Row],[CECO_T]],1,5)</f>
        <v>3G31Y</v>
      </c>
      <c r="B5115" t="str">
        <f>MID(TB_CECO[[#This Row],[TRABAJO]],1,SEARCH(",",TB_CECO[[#This Row],[TRABAJO]],1)-1)</f>
        <v>Ch 877 (Snv 010 NE)</v>
      </c>
      <c r="C51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010 NE),LIMPIEZA</v>
      </c>
      <c r="D51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1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15" s="47" t="s">
        <v>10125</v>
      </c>
      <c r="G5115" t="s">
        <v>10126</v>
      </c>
      <c r="H51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16" spans="1:8" ht="15" customHeight="1" x14ac:dyDescent="0.25">
      <c r="A5116" t="str">
        <f>MID(TB_CECO[[#This Row],[CECO_T]],1,5)</f>
        <v>3G31Y</v>
      </c>
      <c r="B5116" t="str">
        <f>MID(TB_CECO[[#This Row],[TRABAJO]],1,SEARCH(",",TB_CECO[[#This Row],[TRABAJO]],1)-1)</f>
        <v>Ch 877 (Snv 010 NE)</v>
      </c>
      <c r="C51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010 NE),SOSTENIMIENTO</v>
      </c>
      <c r="D51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1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16" s="47" t="s">
        <v>10127</v>
      </c>
      <c r="G5116" t="s">
        <v>10128</v>
      </c>
      <c r="H51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17" spans="1:8" ht="15" customHeight="1" x14ac:dyDescent="0.25">
      <c r="A5117" t="str">
        <f>MID(TB_CECO[[#This Row],[CECO_T]],1,5)</f>
        <v>3G31Y</v>
      </c>
      <c r="B5117" t="str">
        <f>MID(TB_CECO[[#This Row],[TRABAJO]],1,SEARCH(",",TB_CECO[[#This Row],[TRABAJO]],1)-1)</f>
        <v>Ch 877 (Snv 010 NE)</v>
      </c>
      <c r="C51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877 (Snv 010 NE),SERVICIO</v>
      </c>
      <c r="D51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1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17" s="47" t="s">
        <v>10129</v>
      </c>
      <c r="G5117" t="s">
        <v>10130</v>
      </c>
      <c r="H51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18" spans="1:8" ht="15" customHeight="1" x14ac:dyDescent="0.25">
      <c r="A5118" t="str">
        <f>MID(TB_CECO[[#This Row],[CECO_T]],1,5)</f>
        <v>3G31Z</v>
      </c>
      <c r="B5118" t="str">
        <f>MID(TB_CECO[[#This Row],[TRABAJO]],1,SEARCH(",",TB_CECO[[#This Row],[TRABAJO]],1)-1)</f>
        <v>Ch 907 (Snv 850 NE)</v>
      </c>
      <c r="C51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850 NE),PERFORACION</v>
      </c>
      <c r="D51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1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18" s="47" t="s">
        <v>10131</v>
      </c>
      <c r="G5118" t="s">
        <v>10132</v>
      </c>
      <c r="H51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19" spans="1:8" ht="15" customHeight="1" x14ac:dyDescent="0.25">
      <c r="A5119" t="str">
        <f>MID(TB_CECO[[#This Row],[CECO_T]],1,5)</f>
        <v>3G31Z</v>
      </c>
      <c r="B5119" t="str">
        <f>MID(TB_CECO[[#This Row],[TRABAJO]],1,SEARCH(",",TB_CECO[[#This Row],[TRABAJO]],1)-1)</f>
        <v>Ch 907 (Snv 850 NE)</v>
      </c>
      <c r="C51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850 NE),VOLADURA</v>
      </c>
      <c r="D51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1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19" s="47" t="s">
        <v>10133</v>
      </c>
      <c r="G5119" t="s">
        <v>10134</v>
      </c>
      <c r="H51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20" spans="1:8" ht="15" customHeight="1" x14ac:dyDescent="0.25">
      <c r="A5120" t="str">
        <f>MID(TB_CECO[[#This Row],[CECO_T]],1,5)</f>
        <v>3G31Z</v>
      </c>
      <c r="B5120" t="str">
        <f>MID(TB_CECO[[#This Row],[TRABAJO]],1,SEARCH(",",TB_CECO[[#This Row],[TRABAJO]],1)-1)</f>
        <v>Ch 907 (Snv 850 NE)</v>
      </c>
      <c r="C51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850 NE),LIMPIEZA</v>
      </c>
      <c r="D51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1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20" s="47" t="s">
        <v>10135</v>
      </c>
      <c r="G5120" t="s">
        <v>10136</v>
      </c>
      <c r="H51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21" spans="1:8" ht="15" customHeight="1" x14ac:dyDescent="0.25">
      <c r="A5121" t="str">
        <f>MID(TB_CECO[[#This Row],[CECO_T]],1,5)</f>
        <v>3G31Z</v>
      </c>
      <c r="B5121" t="str">
        <f>MID(TB_CECO[[#This Row],[TRABAJO]],1,SEARCH(",",TB_CECO[[#This Row],[TRABAJO]],1)-1)</f>
        <v>Ch 907 (Snv 850 NE)</v>
      </c>
      <c r="C51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850 NE),SOSTENIMIENTO</v>
      </c>
      <c r="D51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1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21" s="47" t="s">
        <v>10137</v>
      </c>
      <c r="G5121" t="s">
        <v>10138</v>
      </c>
      <c r="H51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22" spans="1:8" ht="15" customHeight="1" x14ac:dyDescent="0.25">
      <c r="A5122" t="str">
        <f>MID(TB_CECO[[#This Row],[CECO_T]],1,5)</f>
        <v>3G31Z</v>
      </c>
      <c r="B5122" t="str">
        <f>MID(TB_CECO[[#This Row],[TRABAJO]],1,SEARCH(",",TB_CECO[[#This Row],[TRABAJO]],1)-1)</f>
        <v>Ch 907 (Snv 850 NE)</v>
      </c>
      <c r="C51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907 (Snv 850 NE),SERVICIO</v>
      </c>
      <c r="D51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1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22" s="47" t="s">
        <v>10139</v>
      </c>
      <c r="G5122" t="s">
        <v>10140</v>
      </c>
      <c r="H51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23" spans="1:8" ht="15" customHeight="1" x14ac:dyDescent="0.25">
      <c r="A5123" t="str">
        <f>MID(TB_CECO[[#This Row],[CECO_T]],1,5)</f>
        <v>3D56L</v>
      </c>
      <c r="B5123" t="str">
        <f>MID(TB_CECO[[#This Row],[TRABAJO]],1,SEARCH(",",TB_CECO[[#This Row],[TRABAJO]],1)-1)</f>
        <v xml:space="preserve">Snv 890 SW (Ch 914) </v>
      </c>
      <c r="C51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(Ch 914) ,PERFORACION</v>
      </c>
      <c r="D51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23" s="47" t="s">
        <v>10141</v>
      </c>
      <c r="G5123" t="s">
        <v>10142</v>
      </c>
      <c r="H51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24" spans="1:8" ht="15" customHeight="1" x14ac:dyDescent="0.25">
      <c r="A5124" t="str">
        <f>MID(TB_CECO[[#This Row],[CECO_T]],1,5)</f>
        <v>3D56L</v>
      </c>
      <c r="B5124" t="str">
        <f>MID(TB_CECO[[#This Row],[TRABAJO]],1,SEARCH(",",TB_CECO[[#This Row],[TRABAJO]],1)-1)</f>
        <v xml:space="preserve">Snv 890 SW (Ch 914) </v>
      </c>
      <c r="C51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(Ch 914) ,VOLADURA</v>
      </c>
      <c r="D51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24" s="47" t="s">
        <v>10143</v>
      </c>
      <c r="G5124" t="s">
        <v>10144</v>
      </c>
      <c r="H51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25" spans="1:8" ht="15" customHeight="1" x14ac:dyDescent="0.25">
      <c r="A5125" t="str">
        <f>MID(TB_CECO[[#This Row],[CECO_T]],1,5)</f>
        <v>3D56L</v>
      </c>
      <c r="B5125" t="str">
        <f>MID(TB_CECO[[#This Row],[TRABAJO]],1,SEARCH(",",TB_CECO[[#This Row],[TRABAJO]],1)-1)</f>
        <v xml:space="preserve">Snv 890 SW (Ch 914) </v>
      </c>
      <c r="C51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(Ch 914) ,LIMPIEZA</v>
      </c>
      <c r="D51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25" s="47" t="s">
        <v>10145</v>
      </c>
      <c r="G5125" t="s">
        <v>10146</v>
      </c>
      <c r="H51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26" spans="1:8" ht="15" customHeight="1" x14ac:dyDescent="0.25">
      <c r="A5126" t="str">
        <f>MID(TB_CECO[[#This Row],[CECO_T]],1,5)</f>
        <v>3D56L</v>
      </c>
      <c r="B5126" t="str">
        <f>MID(TB_CECO[[#This Row],[TRABAJO]],1,SEARCH(",",TB_CECO[[#This Row],[TRABAJO]],1)-1)</f>
        <v xml:space="preserve">Snv 890 SW (Ch 914) </v>
      </c>
      <c r="C51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(Ch 914) ,SOSTENIMIENTO</v>
      </c>
      <c r="D51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26" s="47" t="s">
        <v>10147</v>
      </c>
      <c r="G5126" t="s">
        <v>10148</v>
      </c>
      <c r="H51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27" spans="1:8" ht="15" customHeight="1" x14ac:dyDescent="0.25">
      <c r="A5127" t="str">
        <f>MID(TB_CECO[[#This Row],[CECO_T]],1,5)</f>
        <v>3D56L</v>
      </c>
      <c r="B5127" t="str">
        <f>MID(TB_CECO[[#This Row],[TRABAJO]],1,SEARCH(",",TB_CECO[[#This Row],[TRABAJO]],1)-1)</f>
        <v xml:space="preserve">Snv 890 SW (Ch 914) </v>
      </c>
      <c r="C51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(Ch 914) ,SERVICIO</v>
      </c>
      <c r="D51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27" s="47" t="s">
        <v>10149</v>
      </c>
      <c r="G5127" t="s">
        <v>10150</v>
      </c>
      <c r="H51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28" spans="1:8" ht="15" customHeight="1" x14ac:dyDescent="0.25">
      <c r="A5128" t="str">
        <f>MID(TB_CECO[[#This Row],[CECO_T]],1,5)</f>
        <v>3D56M</v>
      </c>
      <c r="B5128" t="str">
        <f>MID(TB_CECO[[#This Row],[TRABAJO]],1,SEARCH(",",TB_CECO[[#This Row],[TRABAJO]],1)-1)</f>
        <v>Snv 944 SW (Ch 929)</v>
      </c>
      <c r="C51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944 SW (Ch 929),PERFORACION</v>
      </c>
      <c r="D51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28" s="47" t="s">
        <v>10151</v>
      </c>
      <c r="G5128" t="s">
        <v>10152</v>
      </c>
      <c r="H51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29" spans="1:8" ht="15" customHeight="1" x14ac:dyDescent="0.25">
      <c r="A5129" t="str">
        <f>MID(TB_CECO[[#This Row],[CECO_T]],1,5)</f>
        <v>3D56M</v>
      </c>
      <c r="B5129" t="str">
        <f>MID(TB_CECO[[#This Row],[TRABAJO]],1,SEARCH(",",TB_CECO[[#This Row],[TRABAJO]],1)-1)</f>
        <v>Snv 944 SW (Ch 929)</v>
      </c>
      <c r="C51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944 SW (Ch 929),VOLADURA</v>
      </c>
      <c r="D51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29" s="47" t="s">
        <v>10153</v>
      </c>
      <c r="G5129" t="s">
        <v>10154</v>
      </c>
      <c r="H51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30" spans="1:8" ht="15" customHeight="1" x14ac:dyDescent="0.25">
      <c r="A5130" t="str">
        <f>MID(TB_CECO[[#This Row],[CECO_T]],1,5)</f>
        <v>3D56M</v>
      </c>
      <c r="B5130" t="str">
        <f>MID(TB_CECO[[#This Row],[TRABAJO]],1,SEARCH(",",TB_CECO[[#This Row],[TRABAJO]],1)-1)</f>
        <v>Snv 944 SW (Ch 929)</v>
      </c>
      <c r="C51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944 SW (Ch 929),LIMPIEZA</v>
      </c>
      <c r="D51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30" s="47" t="s">
        <v>10155</v>
      </c>
      <c r="G5130" t="s">
        <v>10156</v>
      </c>
      <c r="H51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31" spans="1:8" ht="15" customHeight="1" x14ac:dyDescent="0.25">
      <c r="A5131" t="str">
        <f>MID(TB_CECO[[#This Row],[CECO_T]],1,5)</f>
        <v>3D56M</v>
      </c>
      <c r="B5131" t="str">
        <f>MID(TB_CECO[[#This Row],[TRABAJO]],1,SEARCH(",",TB_CECO[[#This Row],[TRABAJO]],1)-1)</f>
        <v>Snv 944 SW (Ch 929)</v>
      </c>
      <c r="C51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944 SW (Ch 929),SOSTENIMIENTO</v>
      </c>
      <c r="D51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31" s="47" t="s">
        <v>10157</v>
      </c>
      <c r="G5131" t="s">
        <v>10158</v>
      </c>
      <c r="H51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32" spans="1:8" ht="15" customHeight="1" x14ac:dyDescent="0.25">
      <c r="A5132" t="str">
        <f>MID(TB_CECO[[#This Row],[CECO_T]],1,5)</f>
        <v>3D56M</v>
      </c>
      <c r="B5132" t="str">
        <f>MID(TB_CECO[[#This Row],[TRABAJO]],1,SEARCH(",",TB_CECO[[#This Row],[TRABAJO]],1)-1)</f>
        <v>Snv 944 SW (Ch 929)</v>
      </c>
      <c r="C51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944 SW (Ch 929),SERVICIO</v>
      </c>
      <c r="D51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32" s="47" t="s">
        <v>10159</v>
      </c>
      <c r="G5132" t="s">
        <v>10160</v>
      </c>
      <c r="H51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33" spans="1:8" ht="15" customHeight="1" x14ac:dyDescent="0.25">
      <c r="A5133" t="str">
        <f>MID(TB_CECO[[#This Row],[CECO_T]],1,5)</f>
        <v>3D32A</v>
      </c>
      <c r="B5133" t="str">
        <f>MID(TB_CECO[[#This Row],[TRABAJO]],1,SEARCH(",",TB_CECO[[#This Row],[TRABAJO]],1)-1)</f>
        <v>Ch 905 (Tj 929 SW)</v>
      </c>
      <c r="C51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905 (Tj 929 SW),PERFORACION</v>
      </c>
      <c r="D51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33" s="47" t="s">
        <v>10161</v>
      </c>
      <c r="G5133" t="s">
        <v>10162</v>
      </c>
      <c r="H51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34" spans="1:8" ht="15" customHeight="1" x14ac:dyDescent="0.25">
      <c r="A5134" t="str">
        <f>MID(TB_CECO[[#This Row],[CECO_T]],1,5)</f>
        <v>3D32A</v>
      </c>
      <c r="B5134" t="str">
        <f>MID(TB_CECO[[#This Row],[TRABAJO]],1,SEARCH(",",TB_CECO[[#This Row],[TRABAJO]],1)-1)</f>
        <v>Ch 905 (Tj 929 SW)</v>
      </c>
      <c r="C513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905 (Tj 929 SW),VOLADURA</v>
      </c>
      <c r="D513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3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34" s="47" t="s">
        <v>10163</v>
      </c>
      <c r="G5134" t="s">
        <v>10164</v>
      </c>
      <c r="H51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35" spans="1:8" ht="15" customHeight="1" x14ac:dyDescent="0.25">
      <c r="A5135" t="str">
        <f>MID(TB_CECO[[#This Row],[CECO_T]],1,5)</f>
        <v>3D32A</v>
      </c>
      <c r="B5135" t="str">
        <f>MID(TB_CECO[[#This Row],[TRABAJO]],1,SEARCH(",",TB_CECO[[#This Row],[TRABAJO]],1)-1)</f>
        <v>Ch 905 (Tj 929 SW)</v>
      </c>
      <c r="C513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905 (Tj 929 SW),LIMPIEZA</v>
      </c>
      <c r="D513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3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35" s="47" t="s">
        <v>10165</v>
      </c>
      <c r="G5135" t="s">
        <v>10166</v>
      </c>
      <c r="H51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36" spans="1:8" ht="15" customHeight="1" x14ac:dyDescent="0.25">
      <c r="A5136" t="str">
        <f>MID(TB_CECO[[#This Row],[CECO_T]],1,5)</f>
        <v>3D32A</v>
      </c>
      <c r="B5136" t="str">
        <f>MID(TB_CECO[[#This Row],[TRABAJO]],1,SEARCH(",",TB_CECO[[#This Row],[TRABAJO]],1)-1)</f>
        <v>Ch 905 (Tj 929 SW)</v>
      </c>
      <c r="C51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905 (Tj 929 SW),SOSTENIMIENTO</v>
      </c>
      <c r="D51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36" s="47" t="s">
        <v>10167</v>
      </c>
      <c r="G5136" t="s">
        <v>10168</v>
      </c>
      <c r="H51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37" spans="1:8" ht="15" customHeight="1" x14ac:dyDescent="0.25">
      <c r="A5137" t="str">
        <f>MID(TB_CECO[[#This Row],[CECO_T]],1,5)</f>
        <v>3D32A</v>
      </c>
      <c r="B5137" t="str">
        <f>MID(TB_CECO[[#This Row],[TRABAJO]],1,SEARCH(",",TB_CECO[[#This Row],[TRABAJO]],1)-1)</f>
        <v>Ch 905 (Tj 929 SW)</v>
      </c>
      <c r="C513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905 (Tj 929 SW),SERVICIO</v>
      </c>
      <c r="D513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3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37" s="47" t="s">
        <v>10169</v>
      </c>
      <c r="G5137" t="s">
        <v>10170</v>
      </c>
      <c r="H51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38" spans="1:8" ht="15" customHeight="1" x14ac:dyDescent="0.25">
      <c r="A5138" t="str">
        <f>MID(TB_CECO[[#This Row],[CECO_T]],1,5)</f>
        <v>3D696</v>
      </c>
      <c r="B5138" t="str">
        <f>MID(TB_CECO[[#This Row],[TRABAJO]],1,SEARCH(",",TB_CECO[[#This Row],[TRABAJO]],1)-1)</f>
        <v>Est 925 NW (Ch 929)</v>
      </c>
      <c r="C513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925 NW (Ch 929),PERFORACION</v>
      </c>
      <c r="D513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3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38" s="47" t="s">
        <v>10171</v>
      </c>
      <c r="G5138" t="s">
        <v>10172</v>
      </c>
      <c r="H51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39" spans="1:8" ht="15" customHeight="1" x14ac:dyDescent="0.25">
      <c r="A5139" t="str">
        <f>MID(TB_CECO[[#This Row],[CECO_T]],1,5)</f>
        <v>3D696</v>
      </c>
      <c r="B5139" t="str">
        <f>MID(TB_CECO[[#This Row],[TRABAJO]],1,SEARCH(",",TB_CECO[[#This Row],[TRABAJO]],1)-1)</f>
        <v>Est 925 NW (Ch 929)</v>
      </c>
      <c r="C513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925 NW (Ch 929),VOLADURA</v>
      </c>
      <c r="D513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3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39" s="47" t="s">
        <v>10173</v>
      </c>
      <c r="G5139" t="s">
        <v>10174</v>
      </c>
      <c r="H51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40" spans="1:8" ht="15" customHeight="1" x14ac:dyDescent="0.25">
      <c r="A5140" t="str">
        <f>MID(TB_CECO[[#This Row],[CECO_T]],1,5)</f>
        <v>3D696</v>
      </c>
      <c r="B5140" t="str">
        <f>MID(TB_CECO[[#This Row],[TRABAJO]],1,SEARCH(",",TB_CECO[[#This Row],[TRABAJO]],1)-1)</f>
        <v>Est 925 NW (Ch 929)</v>
      </c>
      <c r="C514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925 NW (Ch 929),LIMPIEZA</v>
      </c>
      <c r="D514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4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40" s="47" t="s">
        <v>10175</v>
      </c>
      <c r="G5140" t="s">
        <v>10176</v>
      </c>
      <c r="H51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41" spans="1:8" ht="15" customHeight="1" x14ac:dyDescent="0.25">
      <c r="A5141" t="str">
        <f>MID(TB_CECO[[#This Row],[CECO_T]],1,5)</f>
        <v>3D696</v>
      </c>
      <c r="B5141" t="str">
        <f>MID(TB_CECO[[#This Row],[TRABAJO]],1,SEARCH(",",TB_CECO[[#This Row],[TRABAJO]],1)-1)</f>
        <v>Est 925 NW (Ch 929)</v>
      </c>
      <c r="C514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925 NW (Ch 929),SOSTENIMIENTO</v>
      </c>
      <c r="D514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4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41" s="47" t="s">
        <v>10177</v>
      </c>
      <c r="G5141" t="s">
        <v>10178</v>
      </c>
      <c r="H51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42" spans="1:8" ht="15" customHeight="1" x14ac:dyDescent="0.25">
      <c r="A5142" t="str">
        <f>MID(TB_CECO[[#This Row],[CECO_T]],1,5)</f>
        <v>3D696</v>
      </c>
      <c r="B5142" t="str">
        <f>MID(TB_CECO[[#This Row],[TRABAJO]],1,SEARCH(",",TB_CECO[[#This Row],[TRABAJO]],1)-1)</f>
        <v>Est 925 NW (Ch 929)</v>
      </c>
      <c r="C514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925 NW (Ch 929),SERVICIO</v>
      </c>
      <c r="D514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4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42" s="47" t="s">
        <v>10179</v>
      </c>
      <c r="G5142" t="s">
        <v>10180</v>
      </c>
      <c r="H51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43" spans="1:8" ht="15" customHeight="1" x14ac:dyDescent="0.25">
      <c r="A5143" t="str">
        <f>MID(TB_CECO[[#This Row],[CECO_T]],1,5)</f>
        <v>3D56N</v>
      </c>
      <c r="B5143" t="str">
        <f>MID(TB_CECO[[#This Row],[TRABAJO]],1,SEARCH(",",TB_CECO[[#This Row],[TRABAJO]],1)-1)</f>
        <v>Snv 949 SW (Ch 929)</v>
      </c>
      <c r="C514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949 SW (Ch 929),PERFORACION</v>
      </c>
      <c r="D514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4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43" s="47" t="s">
        <v>10181</v>
      </c>
      <c r="G5143" t="s">
        <v>10182</v>
      </c>
      <c r="H51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44" spans="1:8" ht="15" customHeight="1" x14ac:dyDescent="0.25">
      <c r="A5144" t="str">
        <f>MID(TB_CECO[[#This Row],[CECO_T]],1,5)</f>
        <v>3D56N</v>
      </c>
      <c r="B5144" t="str">
        <f>MID(TB_CECO[[#This Row],[TRABAJO]],1,SEARCH(",",TB_CECO[[#This Row],[TRABAJO]],1)-1)</f>
        <v>Snv 949 SW (Ch 929)</v>
      </c>
      <c r="C514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949 SW (Ch 929),VOLADURA</v>
      </c>
      <c r="D514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4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44" s="47" t="s">
        <v>10183</v>
      </c>
      <c r="G5144" t="s">
        <v>10184</v>
      </c>
      <c r="H51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45" spans="1:8" ht="15" customHeight="1" x14ac:dyDescent="0.25">
      <c r="A5145" t="str">
        <f>MID(TB_CECO[[#This Row],[CECO_T]],1,5)</f>
        <v>3D56N</v>
      </c>
      <c r="B5145" t="str">
        <f>MID(TB_CECO[[#This Row],[TRABAJO]],1,SEARCH(",",TB_CECO[[#This Row],[TRABAJO]],1)-1)</f>
        <v>Snv 949 SW (Ch 929)</v>
      </c>
      <c r="C514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949 SW (Ch 929),LIMPIEZA</v>
      </c>
      <c r="D514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4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45" s="47" t="s">
        <v>10185</v>
      </c>
      <c r="G5145" t="s">
        <v>10186</v>
      </c>
      <c r="H51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46" spans="1:8" ht="15" customHeight="1" x14ac:dyDescent="0.25">
      <c r="A5146" t="str">
        <f>MID(TB_CECO[[#This Row],[CECO_T]],1,5)</f>
        <v>3D56N</v>
      </c>
      <c r="B5146" t="str">
        <f>MID(TB_CECO[[#This Row],[TRABAJO]],1,SEARCH(",",TB_CECO[[#This Row],[TRABAJO]],1)-1)</f>
        <v>Snv 949 SW (Ch 929)</v>
      </c>
      <c r="C514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949 SW (Ch 929),SOSTENIMIENTO</v>
      </c>
      <c r="D514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4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46" s="47" t="s">
        <v>10187</v>
      </c>
      <c r="G5146" t="s">
        <v>10188</v>
      </c>
      <c r="H51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47" spans="1:8" ht="15" customHeight="1" x14ac:dyDescent="0.25">
      <c r="A5147" t="str">
        <f>MID(TB_CECO[[#This Row],[CECO_T]],1,5)</f>
        <v>3D56N</v>
      </c>
      <c r="B5147" t="str">
        <f>MID(TB_CECO[[#This Row],[TRABAJO]],1,SEARCH(",",TB_CECO[[#This Row],[TRABAJO]],1)-1)</f>
        <v>Snv 949 SW (Ch 929)</v>
      </c>
      <c r="C514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949 SW (Ch 929),SERVICIO</v>
      </c>
      <c r="D514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4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47" s="47" t="s">
        <v>10189</v>
      </c>
      <c r="G5147" t="s">
        <v>10190</v>
      </c>
      <c r="H51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48" spans="1:8" ht="15" customHeight="1" x14ac:dyDescent="0.25">
      <c r="A5148" t="str">
        <f>MID(TB_CECO[[#This Row],[CECO_T]],1,5)</f>
        <v>3E73E</v>
      </c>
      <c r="B5148" t="str">
        <f>MID(TB_CECO[[#This Row],[TRABAJO]],1,SEARCH(",",TB_CECO[[#This Row],[TRABAJO]],1)-1)</f>
        <v>Tj 063 NE (Ch 066)</v>
      </c>
      <c r="C514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NE (Ch 066),PERFORACION</v>
      </c>
      <c r="D514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4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48" s="47" t="s">
        <v>10191</v>
      </c>
      <c r="G5148" t="s">
        <v>10192</v>
      </c>
      <c r="H51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149" spans="1:8" ht="15" customHeight="1" x14ac:dyDescent="0.25">
      <c r="A5149" t="str">
        <f>MID(TB_CECO[[#This Row],[CECO_T]],1,5)</f>
        <v>3E73E</v>
      </c>
      <c r="B5149" t="str">
        <f>MID(TB_CECO[[#This Row],[TRABAJO]],1,SEARCH(",",TB_CECO[[#This Row],[TRABAJO]],1)-1)</f>
        <v>Tj 063 NE (Ch 066)</v>
      </c>
      <c r="C514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NE (Ch 066),VOLADURA</v>
      </c>
      <c r="D514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4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49" s="47" t="s">
        <v>10193</v>
      </c>
      <c r="G5149" t="s">
        <v>10194</v>
      </c>
      <c r="H51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150" spans="1:8" ht="15" customHeight="1" x14ac:dyDescent="0.25">
      <c r="A5150" t="str">
        <f>MID(TB_CECO[[#This Row],[CECO_T]],1,5)</f>
        <v>3E73E</v>
      </c>
      <c r="B5150" t="str">
        <f>MID(TB_CECO[[#This Row],[TRABAJO]],1,SEARCH(",",TB_CECO[[#This Row],[TRABAJO]],1)-1)</f>
        <v>Tj 063 NE (Ch 066)</v>
      </c>
      <c r="C515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NE (Ch 066),LIMPIEZA</v>
      </c>
      <c r="D515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5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50" s="47" t="s">
        <v>10195</v>
      </c>
      <c r="G5150" t="s">
        <v>10196</v>
      </c>
      <c r="H51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151" spans="1:8" ht="15" customHeight="1" x14ac:dyDescent="0.25">
      <c r="A5151" t="str">
        <f>MID(TB_CECO[[#This Row],[CECO_T]],1,5)</f>
        <v>3E73E</v>
      </c>
      <c r="B5151" t="str">
        <f>MID(TB_CECO[[#This Row],[TRABAJO]],1,SEARCH(",",TB_CECO[[#This Row],[TRABAJO]],1)-1)</f>
        <v>Tj 063 NE (Ch 066)</v>
      </c>
      <c r="C515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NE (Ch 066),SOSTENIMIENTO</v>
      </c>
      <c r="D515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5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51" s="47" t="s">
        <v>10197</v>
      </c>
      <c r="G5151" t="s">
        <v>10198</v>
      </c>
      <c r="H51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152" spans="1:8" ht="15" customHeight="1" x14ac:dyDescent="0.25">
      <c r="A5152" t="str">
        <f>MID(TB_CECO[[#This Row],[CECO_T]],1,5)</f>
        <v>3E73E</v>
      </c>
      <c r="B5152" t="str">
        <f>MID(TB_CECO[[#This Row],[TRABAJO]],1,SEARCH(",",TB_CECO[[#This Row],[TRABAJO]],1)-1)</f>
        <v>Tj 063 NE (Ch 066)</v>
      </c>
      <c r="C515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063 NE (Ch 066),SERVICIO</v>
      </c>
      <c r="D515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5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52" s="47" t="s">
        <v>10199</v>
      </c>
      <c r="G5152" t="s">
        <v>10200</v>
      </c>
      <c r="H51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153" spans="1:8" ht="15" customHeight="1" x14ac:dyDescent="0.25">
      <c r="A5153" t="str">
        <f>MID(TB_CECO[[#This Row],[CECO_T]],1,5)</f>
        <v>2D135</v>
      </c>
      <c r="B5153" t="str">
        <f>MID(TB_CECO[[#This Row],[TRABAJO]],1,SEARCH(",",TB_CECO[[#This Row],[TRABAJO]],1)-1)</f>
        <v>Cx 444 NE (Cx 128 NE)</v>
      </c>
      <c r="C515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444 NE (Cx 128 NE),PERFORACION</v>
      </c>
      <c r="D515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5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53" s="47" t="s">
        <v>10201</v>
      </c>
      <c r="G5153" t="s">
        <v>10202</v>
      </c>
      <c r="H51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54" spans="1:8" ht="15" customHeight="1" x14ac:dyDescent="0.25">
      <c r="A5154" t="str">
        <f>MID(TB_CECO[[#This Row],[CECO_T]],1,5)</f>
        <v>2D135</v>
      </c>
      <c r="B5154" t="str">
        <f>MID(TB_CECO[[#This Row],[TRABAJO]],1,SEARCH(",",TB_CECO[[#This Row],[TRABAJO]],1)-1)</f>
        <v>Cx 444 NE (Cx 128 NE)</v>
      </c>
      <c r="C515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444 NE (Cx 128 NE),VOLADURA</v>
      </c>
      <c r="D515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5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54" s="47" t="s">
        <v>10203</v>
      </c>
      <c r="G5154" t="s">
        <v>10204</v>
      </c>
      <c r="H51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55" spans="1:8" ht="15" customHeight="1" x14ac:dyDescent="0.25">
      <c r="A5155" t="str">
        <f>MID(TB_CECO[[#This Row],[CECO_T]],1,5)</f>
        <v>2D135</v>
      </c>
      <c r="B5155" t="str">
        <f>MID(TB_CECO[[#This Row],[TRABAJO]],1,SEARCH(",",TB_CECO[[#This Row],[TRABAJO]],1)-1)</f>
        <v>Cx 444 NE (Cx 128 NE)</v>
      </c>
      <c r="C515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444 NE (Cx 128 NE),LIMPIEZA</v>
      </c>
      <c r="D515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5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55" s="47" t="s">
        <v>10205</v>
      </c>
      <c r="G5155" t="s">
        <v>10206</v>
      </c>
      <c r="H51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56" spans="1:8" ht="15" customHeight="1" x14ac:dyDescent="0.25">
      <c r="A5156" t="str">
        <f>MID(TB_CECO[[#This Row],[CECO_T]],1,5)</f>
        <v>2D135</v>
      </c>
      <c r="B5156" t="str">
        <f>MID(TB_CECO[[#This Row],[TRABAJO]],1,SEARCH(",",TB_CECO[[#This Row],[TRABAJO]],1)-1)</f>
        <v>Cx 444 NE (Cx 128 NE)</v>
      </c>
      <c r="C515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444 NE (Cx 128 NE),SOSTENIMIENTO</v>
      </c>
      <c r="D515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5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56" s="47" t="s">
        <v>10207</v>
      </c>
      <c r="G5156" t="s">
        <v>10208</v>
      </c>
      <c r="H51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57" spans="1:8" ht="15" customHeight="1" x14ac:dyDescent="0.25">
      <c r="A5157" t="str">
        <f>MID(TB_CECO[[#This Row],[CECO_T]],1,5)</f>
        <v>2D135</v>
      </c>
      <c r="B5157" t="str">
        <f>MID(TB_CECO[[#This Row],[TRABAJO]],1,SEARCH(",",TB_CECO[[#This Row],[TRABAJO]],1)-1)</f>
        <v>Cx 444 NE (Cx 128 NE)</v>
      </c>
      <c r="C515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444 NE (Cx 128 NE),SERVICIO</v>
      </c>
      <c r="D515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5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157" s="47" t="s">
        <v>10209</v>
      </c>
      <c r="G5157" t="s">
        <v>10210</v>
      </c>
      <c r="H51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58" spans="1:8" ht="15" customHeight="1" x14ac:dyDescent="0.25">
      <c r="A5158" t="str">
        <f>MID(TB_CECO[[#This Row],[CECO_T]],1,5)</f>
        <v>1D221</v>
      </c>
      <c r="B5158" t="str">
        <f>MID(TB_CECO[[#This Row],[TRABAJO]],1,SEARCH(",",TB_CECO[[#This Row],[TRABAJO]],1)-1)</f>
        <v>Gal 900 NE (Cx 444 NE)</v>
      </c>
      <c r="C515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900 NE (Cx 444 NE),PERFORACION</v>
      </c>
      <c r="D515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5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58" s="47" t="s">
        <v>10211</v>
      </c>
      <c r="G5158" t="s">
        <v>10212</v>
      </c>
      <c r="H51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59" spans="1:8" ht="15" customHeight="1" x14ac:dyDescent="0.25">
      <c r="A5159" t="str">
        <f>MID(TB_CECO[[#This Row],[CECO_T]],1,5)</f>
        <v>1D221</v>
      </c>
      <c r="B5159" t="str">
        <f>MID(TB_CECO[[#This Row],[TRABAJO]],1,SEARCH(",",TB_CECO[[#This Row],[TRABAJO]],1)-1)</f>
        <v>Gal 900 NE (Cx 444 NE)</v>
      </c>
      <c r="C515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900 NE (Cx 444 NE),VOLADURA</v>
      </c>
      <c r="D515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5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59" s="47" t="s">
        <v>10213</v>
      </c>
      <c r="G5159" t="s">
        <v>10214</v>
      </c>
      <c r="H51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60" spans="1:8" ht="15" customHeight="1" x14ac:dyDescent="0.25">
      <c r="A5160" t="str">
        <f>MID(TB_CECO[[#This Row],[CECO_T]],1,5)</f>
        <v>1D221</v>
      </c>
      <c r="B5160" t="str">
        <f>MID(TB_CECO[[#This Row],[TRABAJO]],1,SEARCH(",",TB_CECO[[#This Row],[TRABAJO]],1)-1)</f>
        <v>Gal 900 NE (Cx 444 NE)</v>
      </c>
      <c r="C516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900 NE (Cx 444 NE),LIMPIEZA</v>
      </c>
      <c r="D516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6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60" s="47" t="s">
        <v>10215</v>
      </c>
      <c r="G5160" t="s">
        <v>10216</v>
      </c>
      <c r="H51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61" spans="1:8" ht="15" customHeight="1" x14ac:dyDescent="0.25">
      <c r="A5161" t="str">
        <f>MID(TB_CECO[[#This Row],[CECO_T]],1,5)</f>
        <v>1D221</v>
      </c>
      <c r="B5161" t="str">
        <f>MID(TB_CECO[[#This Row],[TRABAJO]],1,SEARCH(",",TB_CECO[[#This Row],[TRABAJO]],1)-1)</f>
        <v>Gal 900 NE (Cx 444 NE)</v>
      </c>
      <c r="C516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900 NE (Cx 444 NE),SOSTENIMIENTO</v>
      </c>
      <c r="D516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6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61" s="47" t="s">
        <v>10217</v>
      </c>
      <c r="G5161" t="s">
        <v>10218</v>
      </c>
      <c r="H51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62" spans="1:8" ht="15" customHeight="1" x14ac:dyDescent="0.25">
      <c r="A5162" t="str">
        <f>MID(TB_CECO[[#This Row],[CECO_T]],1,5)</f>
        <v>1D221</v>
      </c>
      <c r="B5162" t="str">
        <f>MID(TB_CECO[[#This Row],[TRABAJO]],1,SEARCH(",",TB_CECO[[#This Row],[TRABAJO]],1)-1)</f>
        <v>Gal 900 NE (Cx 444 NE)</v>
      </c>
      <c r="C516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900 NE (Cx 444 NE),SERVICIO</v>
      </c>
      <c r="D516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6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62" s="47" t="s">
        <v>10219</v>
      </c>
      <c r="G5162" t="s">
        <v>10220</v>
      </c>
      <c r="H51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63" spans="1:8" ht="15" customHeight="1" x14ac:dyDescent="0.25">
      <c r="A5163" t="str">
        <f>MID(TB_CECO[[#This Row],[CECO_T]],1,5)</f>
        <v>1E823</v>
      </c>
      <c r="B5163" t="str">
        <f>MID(TB_CECO[[#This Row],[TRABAJO]],1,SEARCH(",",TB_CECO[[#This Row],[TRABAJO]],1)-1)</f>
        <v>Cam 021 SE (Snv 829 SW)</v>
      </c>
      <c r="C516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021 SE (Snv 829 SW),PERFORACION</v>
      </c>
      <c r="D516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6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63" s="47" t="s">
        <v>10221</v>
      </c>
      <c r="G5163" t="s">
        <v>10222</v>
      </c>
      <c r="H51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64" spans="1:8" ht="15" customHeight="1" x14ac:dyDescent="0.25">
      <c r="A5164" t="str">
        <f>MID(TB_CECO[[#This Row],[CECO_T]],1,5)</f>
        <v>1E823</v>
      </c>
      <c r="B5164" t="str">
        <f>MID(TB_CECO[[#This Row],[TRABAJO]],1,SEARCH(",",TB_CECO[[#This Row],[TRABAJO]],1)-1)</f>
        <v>Cam 021 SE (Snv 829 SW)</v>
      </c>
      <c r="C516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021 SE (Snv 829 SW),VOLADURA</v>
      </c>
      <c r="D516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6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64" s="47" t="s">
        <v>10223</v>
      </c>
      <c r="G5164" t="s">
        <v>10224</v>
      </c>
      <c r="H51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65" spans="1:8" ht="15" customHeight="1" x14ac:dyDescent="0.25">
      <c r="A5165" t="str">
        <f>MID(TB_CECO[[#This Row],[CECO_T]],1,5)</f>
        <v>1E823</v>
      </c>
      <c r="B5165" t="str">
        <f>MID(TB_CECO[[#This Row],[TRABAJO]],1,SEARCH(",",TB_CECO[[#This Row],[TRABAJO]],1)-1)</f>
        <v>Cam 021 SE (Snv 829 SW)</v>
      </c>
      <c r="C516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021 SE (Snv 829 SW),LIMPIEZA</v>
      </c>
      <c r="D516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6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65" s="47" t="s">
        <v>10225</v>
      </c>
      <c r="G5165" t="s">
        <v>10226</v>
      </c>
      <c r="H51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66" spans="1:8" ht="15" customHeight="1" x14ac:dyDescent="0.25">
      <c r="A5166" t="str">
        <f>MID(TB_CECO[[#This Row],[CECO_T]],1,5)</f>
        <v>1E823</v>
      </c>
      <c r="B5166" t="str">
        <f>MID(TB_CECO[[#This Row],[TRABAJO]],1,SEARCH(",",TB_CECO[[#This Row],[TRABAJO]],1)-1)</f>
        <v>Cam 021 SE (Snv 829 SW)</v>
      </c>
      <c r="C516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021 SE (Snv 829 SW),SOSTENIMIENTO</v>
      </c>
      <c r="D516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6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66" s="47" t="s">
        <v>10227</v>
      </c>
      <c r="G5166" t="s">
        <v>10228</v>
      </c>
      <c r="H51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67" spans="1:8" ht="15" customHeight="1" x14ac:dyDescent="0.25">
      <c r="A5167" t="str">
        <f>MID(TB_CECO[[#This Row],[CECO_T]],1,5)</f>
        <v>1E823</v>
      </c>
      <c r="B5167" t="str">
        <f>MID(TB_CECO[[#This Row],[TRABAJO]],1,SEARCH(",",TB_CECO[[#This Row],[TRABAJO]],1)-1)</f>
        <v>Cam 021 SE (Snv 829 SW)</v>
      </c>
      <c r="C516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021 SE (Snv 829 SW),SERVICIO</v>
      </c>
      <c r="D516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6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67" s="47" t="s">
        <v>10229</v>
      </c>
      <c r="G5167" t="s">
        <v>10230</v>
      </c>
      <c r="H51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68" spans="1:8" ht="15" customHeight="1" x14ac:dyDescent="0.25">
      <c r="A5168" t="str">
        <f>MID(TB_CECO[[#This Row],[CECO_T]],1,5)</f>
        <v>3E32B</v>
      </c>
      <c r="B5168" t="str">
        <f>MID(TB_CECO[[#This Row],[TRABAJO]],1,SEARCH(",",TB_CECO[[#This Row],[TRABAJO]],1)-1)</f>
        <v>Ch 091 (Snv 010 NE)</v>
      </c>
      <c r="C516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010 NE),PERFORACION</v>
      </c>
      <c r="D516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6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68" s="47" t="s">
        <v>10231</v>
      </c>
      <c r="G5168" t="s">
        <v>10232</v>
      </c>
      <c r="H51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69" spans="1:8" ht="15" customHeight="1" x14ac:dyDescent="0.25">
      <c r="A5169" t="str">
        <f>MID(TB_CECO[[#This Row],[CECO_T]],1,5)</f>
        <v>3E32B</v>
      </c>
      <c r="B5169" t="str">
        <f>MID(TB_CECO[[#This Row],[TRABAJO]],1,SEARCH(",",TB_CECO[[#This Row],[TRABAJO]],1)-1)</f>
        <v>Ch 091 (Snv 010 NE)</v>
      </c>
      <c r="C516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010 NE),VOLADURA</v>
      </c>
      <c r="D516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6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69" s="47" t="s">
        <v>10233</v>
      </c>
      <c r="G5169" t="s">
        <v>10234</v>
      </c>
      <c r="H51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70" spans="1:8" ht="15" customHeight="1" x14ac:dyDescent="0.25">
      <c r="A5170" t="str">
        <f>MID(TB_CECO[[#This Row],[CECO_T]],1,5)</f>
        <v>3E32B</v>
      </c>
      <c r="B5170" t="str">
        <f>MID(TB_CECO[[#This Row],[TRABAJO]],1,SEARCH(",",TB_CECO[[#This Row],[TRABAJO]],1)-1)</f>
        <v>Ch 091 (Snv 010 NE)</v>
      </c>
      <c r="C517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010 NE),LIMPIEZA</v>
      </c>
      <c r="D517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7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70" s="47" t="s">
        <v>10235</v>
      </c>
      <c r="G5170" t="s">
        <v>10236</v>
      </c>
      <c r="H51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71" spans="1:8" ht="15" customHeight="1" x14ac:dyDescent="0.25">
      <c r="A5171" t="str">
        <f>MID(TB_CECO[[#This Row],[CECO_T]],1,5)</f>
        <v>3E32B</v>
      </c>
      <c r="B5171" t="str">
        <f>MID(TB_CECO[[#This Row],[TRABAJO]],1,SEARCH(",",TB_CECO[[#This Row],[TRABAJO]],1)-1)</f>
        <v>Ch 091 (Snv 010 NE)</v>
      </c>
      <c r="C517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010 NE),SOSTENIMIENTO</v>
      </c>
      <c r="D517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7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71" s="47" t="s">
        <v>10237</v>
      </c>
      <c r="G5171" t="s">
        <v>10238</v>
      </c>
      <c r="H51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72" spans="1:8" ht="15" customHeight="1" x14ac:dyDescent="0.25">
      <c r="A5172" t="str">
        <f>MID(TB_CECO[[#This Row],[CECO_T]],1,5)</f>
        <v>3E32B</v>
      </c>
      <c r="B5172" t="str">
        <f>MID(TB_CECO[[#This Row],[TRABAJO]],1,SEARCH(",",TB_CECO[[#This Row],[TRABAJO]],1)-1)</f>
        <v>Ch 091 (Snv 010 NE)</v>
      </c>
      <c r="C517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091 (Snv 010 NE),SERVICIO</v>
      </c>
      <c r="D517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7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72" s="47" t="s">
        <v>10239</v>
      </c>
      <c r="G5172" t="s">
        <v>10240</v>
      </c>
      <c r="H51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73" spans="1:8" ht="15" customHeight="1" x14ac:dyDescent="0.25">
      <c r="A5173" t="str">
        <f>MID(TB_CECO[[#This Row],[CECO_T]],1,5)</f>
        <v>3D56O</v>
      </c>
      <c r="B5173" t="str">
        <f>MID(TB_CECO[[#This Row],[TRABAJO]],1,SEARCH(",",TB_CECO[[#This Row],[TRABAJO]],1)-1)</f>
        <v>Snv 886 NE (Tj 885 NE)</v>
      </c>
      <c r="C517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886 NE (Tj 885 NE),PERFORACION</v>
      </c>
      <c r="D517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7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73" s="47" t="s">
        <v>10241</v>
      </c>
      <c r="G5173" t="s">
        <v>10242</v>
      </c>
      <c r="H51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74" spans="1:8" ht="15" customHeight="1" x14ac:dyDescent="0.25">
      <c r="A5174" t="str">
        <f>MID(TB_CECO[[#This Row],[CECO_T]],1,5)</f>
        <v>3D56O</v>
      </c>
      <c r="B5174" t="str">
        <f>MID(TB_CECO[[#This Row],[TRABAJO]],1,SEARCH(",",TB_CECO[[#This Row],[TRABAJO]],1)-1)</f>
        <v>Snv 886 NE (Tj 885 NE)</v>
      </c>
      <c r="C517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886 NE (Tj 885 NE),VOLADURA</v>
      </c>
      <c r="D517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7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74" s="47" t="s">
        <v>10243</v>
      </c>
      <c r="G5174" t="s">
        <v>10244</v>
      </c>
      <c r="H51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75" spans="1:8" ht="15" customHeight="1" x14ac:dyDescent="0.25">
      <c r="A5175" t="str">
        <f>MID(TB_CECO[[#This Row],[CECO_T]],1,5)</f>
        <v>3D56O</v>
      </c>
      <c r="B5175" t="str">
        <f>MID(TB_CECO[[#This Row],[TRABAJO]],1,SEARCH(",",TB_CECO[[#This Row],[TRABAJO]],1)-1)</f>
        <v>Snv 886 NE (Tj 885 NE)</v>
      </c>
      <c r="C517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886 NE (Tj 885 NE),LIMPIEZA</v>
      </c>
      <c r="D517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7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75" s="47" t="s">
        <v>10245</v>
      </c>
      <c r="G5175" t="s">
        <v>10246</v>
      </c>
      <c r="H51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76" spans="1:8" ht="15" customHeight="1" x14ac:dyDescent="0.25">
      <c r="A5176" t="str">
        <f>MID(TB_CECO[[#This Row],[CECO_T]],1,5)</f>
        <v>3D56O</v>
      </c>
      <c r="B5176" t="str">
        <f>MID(TB_CECO[[#This Row],[TRABAJO]],1,SEARCH(",",TB_CECO[[#This Row],[TRABAJO]],1)-1)</f>
        <v>Snv 886 NE (Tj 885 NE)</v>
      </c>
      <c r="C517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886 NE (Tj 885 NE),SOSTENIMIENTO</v>
      </c>
      <c r="D517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7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76" s="47" t="s">
        <v>10247</v>
      </c>
      <c r="G5176" t="s">
        <v>10248</v>
      </c>
      <c r="H51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77" spans="1:8" ht="15" customHeight="1" x14ac:dyDescent="0.25">
      <c r="A5177" t="str">
        <f>MID(TB_CECO[[#This Row],[CECO_T]],1,5)</f>
        <v>3D56O</v>
      </c>
      <c r="B5177" t="str">
        <f>MID(TB_CECO[[#This Row],[TRABAJO]],1,SEARCH(",",TB_CECO[[#This Row],[TRABAJO]],1)-1)</f>
        <v>Snv 886 NE (Tj 885 NE)</v>
      </c>
      <c r="C517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886 NE (Tj 885 NE),SERVICIO</v>
      </c>
      <c r="D517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7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77" s="47" t="s">
        <v>10249</v>
      </c>
      <c r="G5177" t="s">
        <v>10250</v>
      </c>
      <c r="H51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78" spans="1:8" ht="15" customHeight="1" x14ac:dyDescent="0.25">
      <c r="A5178" t="str">
        <f>MID(TB_CECO[[#This Row],[CECO_T]],1,5)</f>
        <v>3DA05</v>
      </c>
      <c r="B5178" t="str">
        <f>MID(TB_CECO[[#This Row],[TRABAJO]],1,SEARCH(",",TB_CECO[[#This Row],[TRABAJO]],1)-1)</f>
        <v>Bp 961 NW (Cx 444 NE)</v>
      </c>
      <c r="C517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961 NW (Cx 444 NE),PERFORACION</v>
      </c>
      <c r="D517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7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78" s="47" t="s">
        <v>10251</v>
      </c>
      <c r="G5178" t="s">
        <v>10252</v>
      </c>
      <c r="H51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79" spans="1:8" ht="15" customHeight="1" x14ac:dyDescent="0.25">
      <c r="A5179" t="str">
        <f>MID(TB_CECO[[#This Row],[CECO_T]],1,5)</f>
        <v>3DA05</v>
      </c>
      <c r="B5179" t="str">
        <f>MID(TB_CECO[[#This Row],[TRABAJO]],1,SEARCH(",",TB_CECO[[#This Row],[TRABAJO]],1)-1)</f>
        <v>Bp 961 NW (Cx 444 NE)</v>
      </c>
      <c r="C517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961 NW (Cx 444 NE),VOLADURA</v>
      </c>
      <c r="D517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7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79" s="47" t="s">
        <v>10253</v>
      </c>
      <c r="G5179" t="s">
        <v>10254</v>
      </c>
      <c r="H51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80" spans="1:8" ht="15" customHeight="1" x14ac:dyDescent="0.25">
      <c r="A5180" t="str">
        <f>MID(TB_CECO[[#This Row],[CECO_T]],1,5)</f>
        <v>3DA05</v>
      </c>
      <c r="B5180" t="str">
        <f>MID(TB_CECO[[#This Row],[TRABAJO]],1,SEARCH(",",TB_CECO[[#This Row],[TRABAJO]],1)-1)</f>
        <v>Bp 961 NW (Cx 444 NE)</v>
      </c>
      <c r="C518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961 NW (Cx 444 NE),LIMPIEZA</v>
      </c>
      <c r="D518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8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80" s="47" t="s">
        <v>10255</v>
      </c>
      <c r="G5180" t="s">
        <v>10256</v>
      </c>
      <c r="H51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81" spans="1:8" ht="15" customHeight="1" x14ac:dyDescent="0.25">
      <c r="A5181" t="str">
        <f>MID(TB_CECO[[#This Row],[CECO_T]],1,5)</f>
        <v>3DA05</v>
      </c>
      <c r="B5181" t="str">
        <f>MID(TB_CECO[[#This Row],[TRABAJO]],1,SEARCH(",",TB_CECO[[#This Row],[TRABAJO]],1)-1)</f>
        <v>Bp 961 NW (Cx 444 NE)</v>
      </c>
      <c r="C518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961 NW (Cx 444 NE),SOSTENIMIENTO</v>
      </c>
      <c r="D518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8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81" s="47" t="s">
        <v>10257</v>
      </c>
      <c r="G5181" t="s">
        <v>10258</v>
      </c>
      <c r="H51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82" spans="1:8" ht="15" customHeight="1" x14ac:dyDescent="0.25">
      <c r="A5182" t="str">
        <f>MID(TB_CECO[[#This Row],[CECO_T]],1,5)</f>
        <v>3DA05</v>
      </c>
      <c r="B5182" t="str">
        <f>MID(TB_CECO[[#This Row],[TRABAJO]],1,SEARCH(",",TB_CECO[[#This Row],[TRABAJO]],1)-1)</f>
        <v>Bp 961 NW (Cx 444 NE)</v>
      </c>
      <c r="C518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Bp 961 NW (Cx 444 NE),SERVICIO</v>
      </c>
      <c r="D518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8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182" s="47" t="s">
        <v>10259</v>
      </c>
      <c r="G5182" t="s">
        <v>10260</v>
      </c>
      <c r="H51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83" spans="1:8" ht="15" customHeight="1" x14ac:dyDescent="0.25">
      <c r="A5183" t="str">
        <f>MID(TB_CECO[[#This Row],[CECO_T]],1,5)</f>
        <v>1ED06</v>
      </c>
      <c r="B5183" t="str">
        <f>MID(TB_CECO[[#This Row],[TRABAJO]],1,SEARCH(",",TB_CECO[[#This Row],[TRABAJO]],1)-1)</f>
        <v>Inc 863 SE (Est 075-4 SE)</v>
      </c>
      <c r="C518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863 SE (Est 075-4 SE),PERFORACION</v>
      </c>
      <c r="D518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8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83" s="47" t="s">
        <v>10261</v>
      </c>
      <c r="G5183" t="s">
        <v>10262</v>
      </c>
      <c r="H51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84" spans="1:8" ht="15" customHeight="1" x14ac:dyDescent="0.25">
      <c r="A5184" t="str">
        <f>MID(TB_CECO[[#This Row],[CECO_T]],1,5)</f>
        <v>1ED06</v>
      </c>
      <c r="B5184" t="str">
        <f>MID(TB_CECO[[#This Row],[TRABAJO]],1,SEARCH(",",TB_CECO[[#This Row],[TRABAJO]],1)-1)</f>
        <v>Inc 863 SE (Est 075-4 SE)</v>
      </c>
      <c r="C518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863 SE (Est 075-4 SE),VOLADURA</v>
      </c>
      <c r="D518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8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84" s="47" t="s">
        <v>10263</v>
      </c>
      <c r="G5184" t="s">
        <v>10264</v>
      </c>
      <c r="H51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85" spans="1:8" ht="15" customHeight="1" x14ac:dyDescent="0.25">
      <c r="A5185" t="str">
        <f>MID(TB_CECO[[#This Row],[CECO_T]],1,5)</f>
        <v>1ED06</v>
      </c>
      <c r="B5185" t="str">
        <f>MID(TB_CECO[[#This Row],[TRABAJO]],1,SEARCH(",",TB_CECO[[#This Row],[TRABAJO]],1)-1)</f>
        <v>Inc 863 SE (Est 075-4 SE)</v>
      </c>
      <c r="C518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863 SE (Est 075-4 SE),LIMPIEZA</v>
      </c>
      <c r="D518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8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85" s="47" t="s">
        <v>10265</v>
      </c>
      <c r="G5185" t="s">
        <v>10266</v>
      </c>
      <c r="H51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86" spans="1:8" ht="15" customHeight="1" x14ac:dyDescent="0.25">
      <c r="A5186" t="str">
        <f>MID(TB_CECO[[#This Row],[CECO_T]],1,5)</f>
        <v>1ED06</v>
      </c>
      <c r="B5186" t="str">
        <f>MID(TB_CECO[[#This Row],[TRABAJO]],1,SEARCH(",",TB_CECO[[#This Row],[TRABAJO]],1)-1)</f>
        <v>Inc 863 SE (Est 075-4 SE)</v>
      </c>
      <c r="C518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863 SE (Est 075-4 SE),SOSTENIMIENTO</v>
      </c>
      <c r="D518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8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86" s="47" t="s">
        <v>10267</v>
      </c>
      <c r="G5186" t="s">
        <v>10268</v>
      </c>
      <c r="H51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87" spans="1:8" ht="15" customHeight="1" x14ac:dyDescent="0.25">
      <c r="A5187" t="str">
        <f>MID(TB_CECO[[#This Row],[CECO_T]],1,5)</f>
        <v>1ED06</v>
      </c>
      <c r="B5187" t="str">
        <f>MID(TB_CECO[[#This Row],[TRABAJO]],1,SEARCH(",",TB_CECO[[#This Row],[TRABAJO]],1)-1)</f>
        <v>Inc 863 SE (Est 075-4 SE)</v>
      </c>
      <c r="C518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863 SE (Est 075-4 SE),SERVICIO</v>
      </c>
      <c r="D518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18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87" s="47" t="s">
        <v>10269</v>
      </c>
      <c r="G5187" t="s">
        <v>10270</v>
      </c>
      <c r="H51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88" spans="1:8" ht="15" customHeight="1" x14ac:dyDescent="0.25">
      <c r="A5188" t="str">
        <f>MID(TB_CECO[[#This Row],[CECO_T]],1,5)</f>
        <v>1D56P</v>
      </c>
      <c r="B5188" t="str">
        <f>MID(TB_CECO[[#This Row],[TRABAJO]],1,SEARCH(",",TB_CECO[[#This Row],[TRABAJO]],1)-1)</f>
        <v>Snv 810 SW (Gal 170 SW)</v>
      </c>
      <c r="C518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810 SW (Gal 170 SW),PERFORACION</v>
      </c>
      <c r="D518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8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88" s="47" t="s">
        <v>10271</v>
      </c>
      <c r="G5188" t="s">
        <v>10272</v>
      </c>
      <c r="H51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89" spans="1:8" ht="15" customHeight="1" x14ac:dyDescent="0.25">
      <c r="A5189" t="str">
        <f>MID(TB_CECO[[#This Row],[CECO_T]],1,5)</f>
        <v>1D56P</v>
      </c>
      <c r="B5189" t="str">
        <f>MID(TB_CECO[[#This Row],[TRABAJO]],1,SEARCH(",",TB_CECO[[#This Row],[TRABAJO]],1)-1)</f>
        <v>Snv 810 SW (Gal 170 SW)</v>
      </c>
      <c r="C518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810 SW (Gal 170 SW),VOLADURA</v>
      </c>
      <c r="D518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8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89" s="47" t="s">
        <v>10273</v>
      </c>
      <c r="G5189" t="s">
        <v>10274</v>
      </c>
      <c r="H51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90" spans="1:8" ht="15" customHeight="1" x14ac:dyDescent="0.25">
      <c r="A5190" t="str">
        <f>MID(TB_CECO[[#This Row],[CECO_T]],1,5)</f>
        <v>1D56P</v>
      </c>
      <c r="B5190" t="str">
        <f>MID(TB_CECO[[#This Row],[TRABAJO]],1,SEARCH(",",TB_CECO[[#This Row],[TRABAJO]],1)-1)</f>
        <v>Snv 810 SW (Gal 170 SW)</v>
      </c>
      <c r="C519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810 SW (Gal 170 SW),LIMPIEZA</v>
      </c>
      <c r="D519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9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90" s="47" t="s">
        <v>10275</v>
      </c>
      <c r="G5190" t="s">
        <v>10276</v>
      </c>
      <c r="H51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91" spans="1:8" ht="15" customHeight="1" x14ac:dyDescent="0.25">
      <c r="A5191" t="str">
        <f>MID(TB_CECO[[#This Row],[CECO_T]],1,5)</f>
        <v>1D56P</v>
      </c>
      <c r="B5191" t="str">
        <f>MID(TB_CECO[[#This Row],[TRABAJO]],1,SEARCH(",",TB_CECO[[#This Row],[TRABAJO]],1)-1)</f>
        <v>Snv 810 SW (Gal 170 SW)</v>
      </c>
      <c r="C519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810 SW (Gal 170 SW),SOSTENIMIENTO</v>
      </c>
      <c r="D519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9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91" s="47" t="s">
        <v>10277</v>
      </c>
      <c r="G5191" t="s">
        <v>10278</v>
      </c>
      <c r="H51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92" spans="1:8" ht="15" customHeight="1" x14ac:dyDescent="0.25">
      <c r="A5192" t="str">
        <f>MID(TB_CECO[[#This Row],[CECO_T]],1,5)</f>
        <v>1D56P</v>
      </c>
      <c r="B5192" t="str">
        <f>MID(TB_CECO[[#This Row],[TRABAJO]],1,SEARCH(",",TB_CECO[[#This Row],[TRABAJO]],1)-1)</f>
        <v>Snv 810 SW (Gal 170 SW)</v>
      </c>
      <c r="C519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810 SW (Gal 170 SW),SERVICIO</v>
      </c>
      <c r="D519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9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92" s="47" t="s">
        <v>10279</v>
      </c>
      <c r="G5192" t="s">
        <v>10280</v>
      </c>
      <c r="H51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93" spans="1:8" ht="15" customHeight="1" x14ac:dyDescent="0.25">
      <c r="A5193" t="str">
        <f>MID(TB_CECO[[#This Row],[CECO_T]],1,5)</f>
        <v>1D697</v>
      </c>
      <c r="B5193" t="str">
        <f>MID(TB_CECO[[#This Row],[TRABAJO]],1,SEARCH(",",TB_CECO[[#This Row],[TRABAJO]],1)-1)</f>
        <v>Est 859 SE (Snv 087 SW)</v>
      </c>
      <c r="C519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859 SE (Snv 087 SW),PERFORACION</v>
      </c>
      <c r="D519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9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93" s="47" t="s">
        <v>10281</v>
      </c>
      <c r="G5193" t="s">
        <v>10282</v>
      </c>
      <c r="H51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94" spans="1:8" ht="15" customHeight="1" x14ac:dyDescent="0.25">
      <c r="A5194" t="str">
        <f>MID(TB_CECO[[#This Row],[CECO_T]],1,5)</f>
        <v>1D697</v>
      </c>
      <c r="B5194" t="str">
        <f>MID(TB_CECO[[#This Row],[TRABAJO]],1,SEARCH(",",TB_CECO[[#This Row],[TRABAJO]],1)-1)</f>
        <v>Est 859 SE (Snv 087 SW)</v>
      </c>
      <c r="C519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859 SE (Snv 087 SW),VOLADURA</v>
      </c>
      <c r="D519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9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94" s="47" t="s">
        <v>10283</v>
      </c>
      <c r="G5194" t="s">
        <v>10284</v>
      </c>
      <c r="H51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95" spans="1:8" ht="15" customHeight="1" x14ac:dyDescent="0.25">
      <c r="A5195" t="str">
        <f>MID(TB_CECO[[#This Row],[CECO_T]],1,5)</f>
        <v>1D697</v>
      </c>
      <c r="B5195" t="str">
        <f>MID(TB_CECO[[#This Row],[TRABAJO]],1,SEARCH(",",TB_CECO[[#This Row],[TRABAJO]],1)-1)</f>
        <v>Est 859 SE (Snv 087 SW)</v>
      </c>
      <c r="C519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859 SE (Snv 087 SW),LIMPIEZA</v>
      </c>
      <c r="D519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9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95" s="47" t="s">
        <v>10285</v>
      </c>
      <c r="G5195" t="s">
        <v>10286</v>
      </c>
      <c r="H51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96" spans="1:8" ht="15" customHeight="1" x14ac:dyDescent="0.25">
      <c r="A5196" t="str">
        <f>MID(TB_CECO[[#This Row],[CECO_T]],1,5)</f>
        <v>1D697</v>
      </c>
      <c r="B5196" t="str">
        <f>MID(TB_CECO[[#This Row],[TRABAJO]],1,SEARCH(",",TB_CECO[[#This Row],[TRABAJO]],1)-1)</f>
        <v>Est 859 SE (Snv 087 SW)</v>
      </c>
      <c r="C519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859 SE (Snv 087 SW),SOSTENIMIENTO</v>
      </c>
      <c r="D519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9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96" s="47" t="s">
        <v>10287</v>
      </c>
      <c r="G5196" t="s">
        <v>10288</v>
      </c>
      <c r="H51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97" spans="1:8" ht="15" customHeight="1" x14ac:dyDescent="0.25">
      <c r="A5197" t="str">
        <f>MID(TB_CECO[[#This Row],[CECO_T]],1,5)</f>
        <v>1D697</v>
      </c>
      <c r="B5197" t="str">
        <f>MID(TB_CECO[[#This Row],[TRABAJO]],1,SEARCH(",",TB_CECO[[#This Row],[TRABAJO]],1)-1)</f>
        <v>Est 859 SE (Snv 087 SW)</v>
      </c>
      <c r="C519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859 SE (Snv 087 SW),SERVICIO</v>
      </c>
      <c r="D519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19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97" s="47" t="s">
        <v>10289</v>
      </c>
      <c r="G5197" t="s">
        <v>10290</v>
      </c>
      <c r="H51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98" spans="1:8" ht="15" customHeight="1" x14ac:dyDescent="0.25">
      <c r="A5198" t="str">
        <f>MID(TB_CECO[[#This Row],[CECO_T]],1,5)</f>
        <v>1L56Q</v>
      </c>
      <c r="B5198" t="str">
        <f>MID(TB_CECO[[#This Row],[TRABAJO]],1,SEARCH(",",TB_CECO[[#This Row],[TRABAJO]],1)-1)</f>
        <v>Snv 943 NE (Cx 169 NE)</v>
      </c>
      <c r="C519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943 NE (Cx 169 NE),PERFORACION</v>
      </c>
      <c r="D519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19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98" s="47" t="s">
        <v>10291</v>
      </c>
      <c r="G5198" t="s">
        <v>10292</v>
      </c>
      <c r="H51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199" spans="1:8" ht="15" customHeight="1" x14ac:dyDescent="0.25">
      <c r="A5199" t="str">
        <f>MID(TB_CECO[[#This Row],[CECO_T]],1,5)</f>
        <v>1L56Q</v>
      </c>
      <c r="B5199" t="str">
        <f>MID(TB_CECO[[#This Row],[TRABAJO]],1,SEARCH(",",TB_CECO[[#This Row],[TRABAJO]],1)-1)</f>
        <v>Snv 943 NE (Cx 169 NE)</v>
      </c>
      <c r="C519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943 NE (Cx 169 NE),VOLADURA</v>
      </c>
      <c r="D519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19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199" s="47" t="s">
        <v>10293</v>
      </c>
      <c r="G5199" t="s">
        <v>10294</v>
      </c>
      <c r="H51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00" spans="1:8" ht="15" customHeight="1" x14ac:dyDescent="0.25">
      <c r="A5200" t="str">
        <f>MID(TB_CECO[[#This Row],[CECO_T]],1,5)</f>
        <v>1L56Q</v>
      </c>
      <c r="B5200" t="str">
        <f>MID(TB_CECO[[#This Row],[TRABAJO]],1,SEARCH(",",TB_CECO[[#This Row],[TRABAJO]],1)-1)</f>
        <v>Snv 943 NE (Cx 169 NE)</v>
      </c>
      <c r="C520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943 NE (Cx 169 NE),LIMPIEZA</v>
      </c>
      <c r="D520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0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00" s="47" t="s">
        <v>10295</v>
      </c>
      <c r="G5200" t="s">
        <v>10296</v>
      </c>
      <c r="H52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01" spans="1:8" ht="15" customHeight="1" x14ac:dyDescent="0.25">
      <c r="A5201" t="str">
        <f>MID(TB_CECO[[#This Row],[CECO_T]],1,5)</f>
        <v>1L56Q</v>
      </c>
      <c r="B5201" t="str">
        <f>MID(TB_CECO[[#This Row],[TRABAJO]],1,SEARCH(",",TB_CECO[[#This Row],[TRABAJO]],1)-1)</f>
        <v>Snv 943 NE (Cx 169 NE)</v>
      </c>
      <c r="C520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943 NE (Cx 169 NE),SOSTENIMIENTO</v>
      </c>
      <c r="D520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0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01" s="47" t="s">
        <v>10297</v>
      </c>
      <c r="G5201" t="s">
        <v>10298</v>
      </c>
      <c r="H52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02" spans="1:8" ht="15" customHeight="1" x14ac:dyDescent="0.25">
      <c r="A5202" t="str">
        <f>MID(TB_CECO[[#This Row],[CECO_T]],1,5)</f>
        <v>1L56Q</v>
      </c>
      <c r="B5202" t="str">
        <f>MID(TB_CECO[[#This Row],[TRABAJO]],1,SEARCH(",",TB_CECO[[#This Row],[TRABAJO]],1)-1)</f>
        <v>Snv 943 NE (Cx 169 NE)</v>
      </c>
      <c r="C520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943 NE (Cx 169 NE),SERVICIO</v>
      </c>
      <c r="D520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0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02" s="47" t="s">
        <v>10299</v>
      </c>
      <c r="G5202" t="s">
        <v>10300</v>
      </c>
      <c r="H52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03" spans="1:8" ht="15" customHeight="1" x14ac:dyDescent="0.25">
      <c r="A5203" t="str">
        <f>MID(TB_CECO[[#This Row],[CECO_T]],1,5)</f>
        <v>3E32C</v>
      </c>
      <c r="B5203" t="str">
        <f>MID(TB_CECO[[#This Row],[TRABAJO]],1,SEARCH(",",TB_CECO[[#This Row],[TRABAJO]],1)-1)</f>
        <v>Ch 863 (Est 075-4 SE)</v>
      </c>
      <c r="C520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863 (Est 075-4 SE),PERFORACION</v>
      </c>
      <c r="D520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0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03" s="47" t="s">
        <v>10301</v>
      </c>
      <c r="G5203" t="s">
        <v>10302</v>
      </c>
      <c r="H52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04" spans="1:8" ht="15" customHeight="1" x14ac:dyDescent="0.25">
      <c r="A5204" t="str">
        <f>MID(TB_CECO[[#This Row],[CECO_T]],1,5)</f>
        <v>3E32C</v>
      </c>
      <c r="B5204" t="str">
        <f>MID(TB_CECO[[#This Row],[TRABAJO]],1,SEARCH(",",TB_CECO[[#This Row],[TRABAJO]],1)-1)</f>
        <v>Ch 863 (Est 075-4 SE)</v>
      </c>
      <c r="C520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863 (Est 075-4 SE),VOLADURA</v>
      </c>
      <c r="D520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0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04" s="47" t="s">
        <v>10303</v>
      </c>
      <c r="G5204" t="s">
        <v>10304</v>
      </c>
      <c r="H52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05" spans="1:8" ht="15" customHeight="1" x14ac:dyDescent="0.25">
      <c r="A5205" t="str">
        <f>MID(TB_CECO[[#This Row],[CECO_T]],1,5)</f>
        <v>3E32C</v>
      </c>
      <c r="B5205" t="str">
        <f>MID(TB_CECO[[#This Row],[TRABAJO]],1,SEARCH(",",TB_CECO[[#This Row],[TRABAJO]],1)-1)</f>
        <v>Ch 863 (Est 075-4 SE)</v>
      </c>
      <c r="C520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863 (Est 075-4 SE),LIMPIEZA</v>
      </c>
      <c r="D520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0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05" s="47" t="s">
        <v>10305</v>
      </c>
      <c r="G5205" t="s">
        <v>10306</v>
      </c>
      <c r="H52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06" spans="1:8" ht="15" customHeight="1" x14ac:dyDescent="0.25">
      <c r="A5206" t="str">
        <f>MID(TB_CECO[[#This Row],[CECO_T]],1,5)</f>
        <v>3E32C</v>
      </c>
      <c r="B5206" t="str">
        <f>MID(TB_CECO[[#This Row],[TRABAJO]],1,SEARCH(",",TB_CECO[[#This Row],[TRABAJO]],1)-1)</f>
        <v>Ch 863 (Est 075-4 SE)</v>
      </c>
      <c r="C520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863 (Est 075-4 SE),SOSTENIMIENTO</v>
      </c>
      <c r="D520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0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06" s="47" t="s">
        <v>10307</v>
      </c>
      <c r="G5206" t="s">
        <v>10308</v>
      </c>
      <c r="H52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07" spans="1:8" ht="15" customHeight="1" x14ac:dyDescent="0.25">
      <c r="A5207" t="str">
        <f>MID(TB_CECO[[#This Row],[CECO_T]],1,5)</f>
        <v>3E32C</v>
      </c>
      <c r="B5207" t="str">
        <f>MID(TB_CECO[[#This Row],[TRABAJO]],1,SEARCH(",",TB_CECO[[#This Row],[TRABAJO]],1)-1)</f>
        <v>Ch 863 (Est 075-4 SE)</v>
      </c>
      <c r="C520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863 (Est 075-4 SE),SERVICIO</v>
      </c>
      <c r="D520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0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07" s="47" t="s">
        <v>10309</v>
      </c>
      <c r="G5207" t="s">
        <v>10310</v>
      </c>
      <c r="H52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08" spans="1:8" ht="15" customHeight="1" x14ac:dyDescent="0.25">
      <c r="A5208" t="str">
        <f>MID(TB_CECO[[#This Row],[CECO_T]],1,5)</f>
        <v>5E73E</v>
      </c>
      <c r="B5208" t="str">
        <f>MID(TB_CECO[[#This Row],[TRABAJO]],1,SEARCH(",",TB_CECO[[#This Row],[TRABAJO]],1)-1)</f>
        <v>Tj 810 SW (Snv 810 SW)</v>
      </c>
      <c r="C520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810 SW (Snv 810 SW),PERFORACION</v>
      </c>
      <c r="D520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0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08" s="47" t="s">
        <v>10311</v>
      </c>
      <c r="G5208" t="s">
        <v>10312</v>
      </c>
      <c r="H52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09" spans="1:8" ht="15" customHeight="1" x14ac:dyDescent="0.25">
      <c r="A5209" t="str">
        <f>MID(TB_CECO[[#This Row],[CECO_T]],1,5)</f>
        <v>5E73E</v>
      </c>
      <c r="B5209" t="str">
        <f>MID(TB_CECO[[#This Row],[TRABAJO]],1,SEARCH(",",TB_CECO[[#This Row],[TRABAJO]],1)-1)</f>
        <v>Tj 810 SW (Snv 810 SW)</v>
      </c>
      <c r="C520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810 SW (Snv 810 SW),VOLADURA</v>
      </c>
      <c r="D520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0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09" s="47" t="s">
        <v>10313</v>
      </c>
      <c r="G5209" t="s">
        <v>10314</v>
      </c>
      <c r="H52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10" spans="1:8" ht="15" customHeight="1" x14ac:dyDescent="0.25">
      <c r="A5210" t="str">
        <f>MID(TB_CECO[[#This Row],[CECO_T]],1,5)</f>
        <v>5E73E</v>
      </c>
      <c r="B5210" t="str">
        <f>MID(TB_CECO[[#This Row],[TRABAJO]],1,SEARCH(",",TB_CECO[[#This Row],[TRABAJO]],1)-1)</f>
        <v>Tj 810 SW (Snv 810 SW)</v>
      </c>
      <c r="C521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810 SW (Snv 810 SW),LIMPIEZA</v>
      </c>
      <c r="D521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1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10" s="47" t="s">
        <v>10315</v>
      </c>
      <c r="G5210" t="s">
        <v>10316</v>
      </c>
      <c r="H52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11" spans="1:8" ht="15" customHeight="1" x14ac:dyDescent="0.25">
      <c r="A5211" t="str">
        <f>MID(TB_CECO[[#This Row],[CECO_T]],1,5)</f>
        <v>5E73E</v>
      </c>
      <c r="B5211" t="str">
        <f>MID(TB_CECO[[#This Row],[TRABAJO]],1,SEARCH(",",TB_CECO[[#This Row],[TRABAJO]],1)-1)</f>
        <v>Tj 810 SW (Snv 810 SW)</v>
      </c>
      <c r="C521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810 SW (Snv 810 SW),SOSTENIMIENTO</v>
      </c>
      <c r="D521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1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11" s="47" t="s">
        <v>10317</v>
      </c>
      <c r="G5211" t="s">
        <v>10318</v>
      </c>
      <c r="H52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12" spans="1:8" ht="15" customHeight="1" x14ac:dyDescent="0.25">
      <c r="A5212" t="str">
        <f>MID(TB_CECO[[#This Row],[CECO_T]],1,5)</f>
        <v>5E73E</v>
      </c>
      <c r="B5212" t="str">
        <f>MID(TB_CECO[[#This Row],[TRABAJO]],1,SEARCH(",",TB_CECO[[#This Row],[TRABAJO]],1)-1)</f>
        <v>Tj 810 SW (Snv 810 SW)</v>
      </c>
      <c r="C521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810 SW (Snv 810 SW),SERVICIO</v>
      </c>
      <c r="D521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1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12" s="47" t="s">
        <v>10319</v>
      </c>
      <c r="G5212" t="s">
        <v>10320</v>
      </c>
      <c r="H52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13" spans="1:8" ht="15" customHeight="1" x14ac:dyDescent="0.25">
      <c r="A5213" t="str">
        <f>MID(TB_CECO[[#This Row],[CECO_T]],1,5)</f>
        <v>5E73E</v>
      </c>
      <c r="B5213" t="str">
        <f>MID(TB_CECO[[#This Row],[TRABAJO]],1,SEARCH(",",TB_CECO[[#This Row],[TRABAJO]],1)-1)</f>
        <v>Tj 810 SW (Snv 810 SW)</v>
      </c>
      <c r="C521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810 SW (Snv 810 SW),RELLENO</v>
      </c>
      <c r="D521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1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13" s="47" t="s">
        <v>10321</v>
      </c>
      <c r="G5213" t="s">
        <v>10322</v>
      </c>
      <c r="H52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14" spans="1:8" ht="15" customHeight="1" x14ac:dyDescent="0.25">
      <c r="A5214" t="str">
        <f>MID(TB_CECO[[#This Row],[CECO_T]],1,5)</f>
        <v>1E698</v>
      </c>
      <c r="B5214" t="str">
        <f>MID(TB_CECO[[#This Row],[TRABAJO]],1,SEARCH(",",TB_CECO[[#This Row],[TRABAJO]],1)-1)</f>
        <v>Est 784 NW (Gal 170 SW)</v>
      </c>
      <c r="C521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784 NW (Gal 170 SW),PERFORACION</v>
      </c>
      <c r="D521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1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14" s="47" t="s">
        <v>10323</v>
      </c>
      <c r="G5214" t="s">
        <v>10324</v>
      </c>
      <c r="H52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15" spans="1:8" ht="15" customHeight="1" x14ac:dyDescent="0.25">
      <c r="A5215" t="str">
        <f>MID(TB_CECO[[#This Row],[CECO_T]],1,5)</f>
        <v>1E698</v>
      </c>
      <c r="B5215" t="str">
        <f>MID(TB_CECO[[#This Row],[TRABAJO]],1,SEARCH(",",TB_CECO[[#This Row],[TRABAJO]],1)-1)</f>
        <v>Est 784 NW (Gal 170 SW)</v>
      </c>
      <c r="C521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784 NW (Gal 170 SW),VOLADURA</v>
      </c>
      <c r="D521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1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15" s="47" t="s">
        <v>10325</v>
      </c>
      <c r="G5215" t="s">
        <v>10326</v>
      </c>
      <c r="H52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16" spans="1:8" ht="15" customHeight="1" x14ac:dyDescent="0.25">
      <c r="A5216" t="str">
        <f>MID(TB_CECO[[#This Row],[CECO_T]],1,5)</f>
        <v>1E698</v>
      </c>
      <c r="B5216" t="str">
        <f>MID(TB_CECO[[#This Row],[TRABAJO]],1,SEARCH(",",TB_CECO[[#This Row],[TRABAJO]],1)-1)</f>
        <v>Est 784 NW (Gal 170 SW)</v>
      </c>
      <c r="C521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784 NW (Gal 170 SW),LIMPIEZA</v>
      </c>
      <c r="D521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1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16" s="47" t="s">
        <v>10327</v>
      </c>
      <c r="G5216" t="s">
        <v>10328</v>
      </c>
      <c r="H52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17" spans="1:8" ht="15" customHeight="1" x14ac:dyDescent="0.25">
      <c r="A5217" t="str">
        <f>MID(TB_CECO[[#This Row],[CECO_T]],1,5)</f>
        <v>1E698</v>
      </c>
      <c r="B5217" t="str">
        <f>MID(TB_CECO[[#This Row],[TRABAJO]],1,SEARCH(",",TB_CECO[[#This Row],[TRABAJO]],1)-1)</f>
        <v>Est 784 NW (Gal 170 SW)</v>
      </c>
      <c r="C521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784 NW (Gal 170 SW),SOSTENIMIENTO</v>
      </c>
      <c r="D521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1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17" s="47" t="s">
        <v>10329</v>
      </c>
      <c r="G5217" t="s">
        <v>10330</v>
      </c>
      <c r="H52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18" spans="1:8" ht="15" customHeight="1" x14ac:dyDescent="0.25">
      <c r="A5218" t="str">
        <f>MID(TB_CECO[[#This Row],[CECO_T]],1,5)</f>
        <v>1E698</v>
      </c>
      <c r="B5218" t="str">
        <f>MID(TB_CECO[[#This Row],[TRABAJO]],1,SEARCH(",",TB_CECO[[#This Row],[TRABAJO]],1)-1)</f>
        <v>Est 784 NW (Gal 170 SW)</v>
      </c>
      <c r="C521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784 NW (Gal 170 SW),SERVICIO</v>
      </c>
      <c r="D521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1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18" s="47" t="s">
        <v>10331</v>
      </c>
      <c r="G5218" t="s">
        <v>10332</v>
      </c>
      <c r="H52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19" spans="1:8" ht="15" customHeight="1" x14ac:dyDescent="0.25">
      <c r="A5219" t="str">
        <f>MID(TB_CECO[[#This Row],[CECO_T]],1,5)</f>
        <v>1L699</v>
      </c>
      <c r="B5219" t="str">
        <f>MID(TB_CECO[[#This Row],[TRABAJO]],1,SEARCH(",",TB_CECO[[#This Row],[TRABAJO]],1)-1)</f>
        <v>Est 985 SE(Snv 255 SW)</v>
      </c>
      <c r="C521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985 SE(Snv 255 SW),PERFORACION</v>
      </c>
      <c r="D521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1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19" s="47" t="s">
        <v>10333</v>
      </c>
      <c r="G5219" t="s">
        <v>10334</v>
      </c>
      <c r="H52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20" spans="1:8" ht="15" customHeight="1" x14ac:dyDescent="0.25">
      <c r="A5220" t="str">
        <f>MID(TB_CECO[[#This Row],[CECO_T]],1,5)</f>
        <v>1L699</v>
      </c>
      <c r="B5220" t="str">
        <f>MID(TB_CECO[[#This Row],[TRABAJO]],1,SEARCH(",",TB_CECO[[#This Row],[TRABAJO]],1)-1)</f>
        <v>Est 985 SE(Snv 255 SW)</v>
      </c>
      <c r="C522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985 SE(Snv 255 SW),VOLADURA</v>
      </c>
      <c r="D522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2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20" s="47" t="s">
        <v>10335</v>
      </c>
      <c r="G5220" t="s">
        <v>10336</v>
      </c>
      <c r="H52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21" spans="1:8" ht="15" customHeight="1" x14ac:dyDescent="0.25">
      <c r="A5221" t="str">
        <f>MID(TB_CECO[[#This Row],[CECO_T]],1,5)</f>
        <v>1L699</v>
      </c>
      <c r="B5221" t="str">
        <f>MID(TB_CECO[[#This Row],[TRABAJO]],1,SEARCH(",",TB_CECO[[#This Row],[TRABAJO]],1)-1)</f>
        <v>Est 985 SE(Snv 255 SW)</v>
      </c>
      <c r="C522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985 SE(Snv 255 SW),LIMPIEZA</v>
      </c>
      <c r="D522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2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21" s="47" t="s">
        <v>10337</v>
      </c>
      <c r="G5221" t="s">
        <v>10338</v>
      </c>
      <c r="H52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22" spans="1:8" ht="15" customHeight="1" x14ac:dyDescent="0.25">
      <c r="A5222" t="str">
        <f>MID(TB_CECO[[#This Row],[CECO_T]],1,5)</f>
        <v>1L699</v>
      </c>
      <c r="B5222" t="str">
        <f>MID(TB_CECO[[#This Row],[TRABAJO]],1,SEARCH(",",TB_CECO[[#This Row],[TRABAJO]],1)-1)</f>
        <v>Est 985 SE(Snv 255 SW)</v>
      </c>
      <c r="C522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985 SE(Snv 255 SW),SOSTENIMIENTO</v>
      </c>
      <c r="D522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2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22" s="47" t="s">
        <v>10339</v>
      </c>
      <c r="G5222" t="s">
        <v>10340</v>
      </c>
      <c r="H52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23" spans="1:8" ht="15" customHeight="1" x14ac:dyDescent="0.25">
      <c r="A5223" t="str">
        <f>MID(TB_CECO[[#This Row],[CECO_T]],1,5)</f>
        <v>1L699</v>
      </c>
      <c r="B5223" t="str">
        <f>MID(TB_CECO[[#This Row],[TRABAJO]],1,SEARCH(",",TB_CECO[[#This Row],[TRABAJO]],1)-1)</f>
        <v>Est 985 SE(Snv 255 SW)</v>
      </c>
      <c r="C522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985 SE(Snv 255 SW),SERVICIO</v>
      </c>
      <c r="D522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2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23" s="47" t="s">
        <v>10341</v>
      </c>
      <c r="G5223" t="s">
        <v>10342</v>
      </c>
      <c r="H52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24" spans="1:8" ht="15" customHeight="1" x14ac:dyDescent="0.25">
      <c r="A5224" t="str">
        <f>MID(TB_CECO[[#This Row],[CECO_T]],1,5)</f>
        <v>3L56R</v>
      </c>
      <c r="B5224" t="str">
        <f>MID(TB_CECO[[#This Row],[TRABAJO]],1,SEARCH(",",TB_CECO[[#This Row],[TRABAJO]],1)-1)</f>
        <v>Snv 985 SW(Est 985 SE)</v>
      </c>
      <c r="C5224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985 SW(Est 985 SE),PERFORACION</v>
      </c>
      <c r="D5224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24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24" s="47" t="s">
        <v>10343</v>
      </c>
      <c r="G5224" t="s">
        <v>10344</v>
      </c>
      <c r="H52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25" spans="1:8" ht="15" customHeight="1" x14ac:dyDescent="0.25">
      <c r="A5225" t="str">
        <f>MID(TB_CECO[[#This Row],[CECO_T]],1,5)</f>
        <v>3L56R</v>
      </c>
      <c r="B5225" t="str">
        <f>MID(TB_CECO[[#This Row],[TRABAJO]],1,SEARCH(",",TB_CECO[[#This Row],[TRABAJO]],1)-1)</f>
        <v>Snv 985 SW(Est 985 SE)</v>
      </c>
      <c r="C5225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985 SW(Est 985 SE),VOLADURA</v>
      </c>
      <c r="D5225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25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25" s="47" t="s">
        <v>10345</v>
      </c>
      <c r="G5225" t="s">
        <v>10346</v>
      </c>
      <c r="H52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26" spans="1:8" ht="15" customHeight="1" x14ac:dyDescent="0.25">
      <c r="A5226" t="str">
        <f>MID(TB_CECO[[#This Row],[CECO_T]],1,5)</f>
        <v>3L56R</v>
      </c>
      <c r="B5226" t="str">
        <f>MID(TB_CECO[[#This Row],[TRABAJO]],1,SEARCH(",",TB_CECO[[#This Row],[TRABAJO]],1)-1)</f>
        <v>Snv 985 SW(Est 985 SE)</v>
      </c>
      <c r="C522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985 SW(Est 985 SE),LIMPIEZA</v>
      </c>
      <c r="D522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2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26" s="47" t="s">
        <v>10347</v>
      </c>
      <c r="G5226" t="s">
        <v>10348</v>
      </c>
      <c r="H52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27" spans="1:8" ht="15" customHeight="1" x14ac:dyDescent="0.25">
      <c r="A5227" t="str">
        <f>MID(TB_CECO[[#This Row],[CECO_T]],1,5)</f>
        <v>3L56R</v>
      </c>
      <c r="B5227" t="str">
        <f>MID(TB_CECO[[#This Row],[TRABAJO]],1,SEARCH(",",TB_CECO[[#This Row],[TRABAJO]],1)-1)</f>
        <v>Snv 985 SW(Est 985 SE)</v>
      </c>
      <c r="C5227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985 SW(Est 985 SE),SOSTENIMIENTO</v>
      </c>
      <c r="D5227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27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27" s="47" t="s">
        <v>10349</v>
      </c>
      <c r="G5227" t="s">
        <v>10350</v>
      </c>
      <c r="H52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28" spans="1:8" ht="15" customHeight="1" x14ac:dyDescent="0.25">
      <c r="A5228" t="str">
        <f>MID(TB_CECO[[#This Row],[CECO_T]],1,5)</f>
        <v>3L56R</v>
      </c>
      <c r="B5228" t="str">
        <f>MID(TB_CECO[[#This Row],[TRABAJO]],1,SEARCH(",",TB_CECO[[#This Row],[TRABAJO]],1)-1)</f>
        <v>Snv 985 SW(Est 985 SE)</v>
      </c>
      <c r="C5228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985 SW(Est 985 SE),SERVICIO</v>
      </c>
      <c r="D5228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28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28" s="47" t="s">
        <v>10351</v>
      </c>
      <c r="G5228" t="s">
        <v>10352</v>
      </c>
      <c r="H52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29" spans="1:8" ht="15" customHeight="1" x14ac:dyDescent="0.25">
      <c r="A5229" t="str">
        <f>MID(TB_CECO[[#This Row],[CECO_T]],1,5)</f>
        <v>3L56S</v>
      </c>
      <c r="B5229" t="str">
        <f>MID(TB_CECO[[#This Row],[TRABAJO]],1,SEARCH(",",TB_CECO[[#This Row],[TRABAJO]],1)-1)</f>
        <v>Snv 985 NE(Est 985 SE)</v>
      </c>
      <c r="C5229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985 NE(Est 985 SE),PERFORACION</v>
      </c>
      <c r="D5229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29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29" s="47" t="s">
        <v>10353</v>
      </c>
      <c r="G5229" t="s">
        <v>10354</v>
      </c>
      <c r="H52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30" spans="1:8" ht="15" customHeight="1" x14ac:dyDescent="0.25">
      <c r="A5230" t="str">
        <f>MID(TB_CECO[[#This Row],[CECO_T]],1,5)</f>
        <v>3L56S</v>
      </c>
      <c r="B5230" t="str">
        <f>MID(TB_CECO[[#This Row],[TRABAJO]],1,SEARCH(",",TB_CECO[[#This Row],[TRABAJO]],1)-1)</f>
        <v>Snv 985 NE(Est 985 SE)</v>
      </c>
      <c r="C5230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985 NE(Est 985 SE),VOLADURA</v>
      </c>
      <c r="D5230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30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30" s="47" t="s">
        <v>10355</v>
      </c>
      <c r="G5230" t="s">
        <v>10356</v>
      </c>
      <c r="H52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31" spans="1:8" ht="15" customHeight="1" x14ac:dyDescent="0.25">
      <c r="A5231" t="str">
        <f>MID(TB_CECO[[#This Row],[CECO_T]],1,5)</f>
        <v>3L56S</v>
      </c>
      <c r="B5231" t="str">
        <f>MID(TB_CECO[[#This Row],[TRABAJO]],1,SEARCH(",",TB_CECO[[#This Row],[TRABAJO]],1)-1)</f>
        <v>Snv 985 NE(Est 985 SE)</v>
      </c>
      <c r="C523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985 NE(Est 985 SE),LIMPIEZA</v>
      </c>
      <c r="D523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3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31" s="47" t="s">
        <v>10357</v>
      </c>
      <c r="G5231" t="s">
        <v>10358</v>
      </c>
      <c r="H52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32" spans="1:8" ht="15" customHeight="1" x14ac:dyDescent="0.25">
      <c r="A5232" t="str">
        <f>MID(TB_CECO[[#This Row],[CECO_T]],1,5)</f>
        <v>3L56S</v>
      </c>
      <c r="B5232" t="str">
        <f>MID(TB_CECO[[#This Row],[TRABAJO]],1,SEARCH(",",TB_CECO[[#This Row],[TRABAJO]],1)-1)</f>
        <v>Snv 985 NE(Est 985 SE)</v>
      </c>
      <c r="C5232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985 NE(Est 985 SE),SOSTENIMIENTO</v>
      </c>
      <c r="D5232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32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32" s="47" t="s">
        <v>10359</v>
      </c>
      <c r="G5232" t="s">
        <v>10360</v>
      </c>
      <c r="H52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33" spans="1:8" ht="15" customHeight="1" x14ac:dyDescent="0.25">
      <c r="A5233" t="str">
        <f>MID(TB_CECO[[#This Row],[CECO_T]],1,5)</f>
        <v>3L56S</v>
      </c>
      <c r="B5233" t="str">
        <f>MID(TB_CECO[[#This Row],[TRABAJO]],1,SEARCH(",",TB_CECO[[#This Row],[TRABAJO]],1)-1)</f>
        <v>Snv 985 NE(Est 985 SE)</v>
      </c>
      <c r="C5233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985 NE(Est 985 SE),SERVICIO</v>
      </c>
      <c r="D5233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33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33" s="47" t="s">
        <v>10361</v>
      </c>
      <c r="G5233" t="s">
        <v>10362</v>
      </c>
      <c r="H52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34" spans="1:8" ht="15" customHeight="1" x14ac:dyDescent="0.25">
      <c r="A5234" s="1" t="str">
        <f>MID(TB_CECO[[#This Row],[CECO_T]],1,5)</f>
        <v>3D56T</v>
      </c>
      <c r="B5234" s="1" t="str">
        <f>MID(TB_CECO[[#This Row],[TRABAJO]],1,SEARCH(",",TB_CECO[[#This Row],[TRABAJO]],1)-1)</f>
        <v>Snv 859 SW (Est 859 SE)</v>
      </c>
      <c r="C523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859 SW (Est 859 SE),PERFORACION</v>
      </c>
      <c r="D523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3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34" s="47" t="s">
        <v>10363</v>
      </c>
      <c r="G5234" t="s">
        <v>10364</v>
      </c>
      <c r="H52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35" spans="1:8" ht="15" customHeight="1" x14ac:dyDescent="0.25">
      <c r="A5235" s="1" t="str">
        <f>MID(TB_CECO[[#This Row],[CECO_T]],1,5)</f>
        <v>3D56T</v>
      </c>
      <c r="B5235" s="1" t="str">
        <f>MID(TB_CECO[[#This Row],[TRABAJO]],1,SEARCH(",",TB_CECO[[#This Row],[TRABAJO]],1)-1)</f>
        <v>Snv 859 SW (Est 859 SE)</v>
      </c>
      <c r="C523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859 SW (Est 859 SE),VOLADURA</v>
      </c>
      <c r="D523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3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35" s="47" t="s">
        <v>10365</v>
      </c>
      <c r="G5235" t="s">
        <v>10366</v>
      </c>
      <c r="H52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36" spans="1:8" ht="15" customHeight="1" x14ac:dyDescent="0.25">
      <c r="A5236" s="1" t="str">
        <f>MID(TB_CECO[[#This Row],[CECO_T]],1,5)</f>
        <v>3D56T</v>
      </c>
      <c r="B5236" s="1" t="str">
        <f>MID(TB_CECO[[#This Row],[TRABAJO]],1,SEARCH(",",TB_CECO[[#This Row],[TRABAJO]],1)-1)</f>
        <v>Snv 859 SW (Est 859 SE)</v>
      </c>
      <c r="C523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859 SW (Est 859 SE),LIMPIEZA</v>
      </c>
      <c r="D523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3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36" s="47" t="s">
        <v>10367</v>
      </c>
      <c r="G5236" t="s">
        <v>10368</v>
      </c>
      <c r="H52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37" spans="1:8" ht="15" customHeight="1" x14ac:dyDescent="0.25">
      <c r="A5237" s="1" t="str">
        <f>MID(TB_CECO[[#This Row],[CECO_T]],1,5)</f>
        <v>3D56T</v>
      </c>
      <c r="B5237" s="1" t="str">
        <f>MID(TB_CECO[[#This Row],[TRABAJO]],1,SEARCH(",",TB_CECO[[#This Row],[TRABAJO]],1)-1)</f>
        <v>Snv 859 SW (Est 859 SE)</v>
      </c>
      <c r="C523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859 SW (Est 859 SE),SOSTENIMIENTO</v>
      </c>
      <c r="D523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3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37" s="47" t="s">
        <v>10369</v>
      </c>
      <c r="G5237" t="s">
        <v>10370</v>
      </c>
      <c r="H52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38" spans="1:8" ht="15" customHeight="1" x14ac:dyDescent="0.25">
      <c r="A5238" s="1" t="str">
        <f>MID(TB_CECO[[#This Row],[CECO_T]],1,5)</f>
        <v>3D56T</v>
      </c>
      <c r="B5238" s="1" t="str">
        <f>MID(TB_CECO[[#This Row],[TRABAJO]],1,SEARCH(",",TB_CECO[[#This Row],[TRABAJO]],1)-1)</f>
        <v>Snv 859 SW (Est 859 SE)</v>
      </c>
      <c r="C523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859 SW (Est 859 SE),SERVICIO</v>
      </c>
      <c r="D523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3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38" s="47" t="s">
        <v>10371</v>
      </c>
      <c r="G5238" t="s">
        <v>10372</v>
      </c>
      <c r="H52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39" spans="1:8" ht="15" customHeight="1" x14ac:dyDescent="0.25">
      <c r="A5239" s="1" t="str">
        <f>MID(TB_CECO[[#This Row],[CECO_T]],1,5)</f>
        <v>3D56U</v>
      </c>
      <c r="B5239" s="1" t="str">
        <f>MID(TB_CECO[[#This Row],[TRABAJO]],1,SEARCH(",",TB_CECO[[#This Row],[TRABAJO]],1)-1)</f>
        <v>Snv 859 NE (Est 859 SE)</v>
      </c>
      <c r="C523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859 NE (Est 859 SE),PERFORACION</v>
      </c>
      <c r="D523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3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39" s="47" t="s">
        <v>10373</v>
      </c>
      <c r="G5239" t="s">
        <v>10374</v>
      </c>
      <c r="H52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40" spans="1:8" ht="15" customHeight="1" x14ac:dyDescent="0.25">
      <c r="A5240" s="1" t="str">
        <f>MID(TB_CECO[[#This Row],[CECO_T]],1,5)</f>
        <v>3D56U</v>
      </c>
      <c r="B5240" s="1" t="str">
        <f>MID(TB_CECO[[#This Row],[TRABAJO]],1,SEARCH(",",TB_CECO[[#This Row],[TRABAJO]],1)-1)</f>
        <v>Snv 859 NE (Est 859 SE)</v>
      </c>
      <c r="C524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859 NE (Est 859 SE),VOLADURA</v>
      </c>
      <c r="D524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4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40" s="47" t="s">
        <v>10375</v>
      </c>
      <c r="G5240" t="s">
        <v>10376</v>
      </c>
      <c r="H52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41" spans="1:8" ht="15" customHeight="1" x14ac:dyDescent="0.25">
      <c r="A5241" s="1" t="str">
        <f>MID(TB_CECO[[#This Row],[CECO_T]],1,5)</f>
        <v>3D56U</v>
      </c>
      <c r="B5241" s="1" t="str">
        <f>MID(TB_CECO[[#This Row],[TRABAJO]],1,SEARCH(",",TB_CECO[[#This Row],[TRABAJO]],1)-1)</f>
        <v>Snv 859 NE (Est 859 SE)</v>
      </c>
      <c r="C524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859 NE (Est 859 SE),LIMPIEZA</v>
      </c>
      <c r="D524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4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41" s="47" t="s">
        <v>10377</v>
      </c>
      <c r="G5241" t="s">
        <v>10378</v>
      </c>
      <c r="H52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42" spans="1:8" ht="15" customHeight="1" x14ac:dyDescent="0.25">
      <c r="A5242" s="1" t="str">
        <f>MID(TB_CECO[[#This Row],[CECO_T]],1,5)</f>
        <v>3D56U</v>
      </c>
      <c r="B5242" s="1" t="str">
        <f>MID(TB_CECO[[#This Row],[TRABAJO]],1,SEARCH(",",TB_CECO[[#This Row],[TRABAJO]],1)-1)</f>
        <v>Snv 859 NE (Est 859 SE)</v>
      </c>
      <c r="C524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859 NE (Est 859 SE),SOSTENIMIENTO</v>
      </c>
      <c r="D524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4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42" s="47" t="s">
        <v>10379</v>
      </c>
      <c r="G5242" t="s">
        <v>10380</v>
      </c>
      <c r="H52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43" spans="1:8" ht="15" customHeight="1" x14ac:dyDescent="0.25">
      <c r="A5243" s="1" t="str">
        <f>MID(TB_CECO[[#This Row],[CECO_T]],1,5)</f>
        <v>3D56U</v>
      </c>
      <c r="B5243" s="1" t="str">
        <f>MID(TB_CECO[[#This Row],[TRABAJO]],1,SEARCH(",",TB_CECO[[#This Row],[TRABAJO]],1)-1)</f>
        <v>Snv 859 NE (Est 859 SE)</v>
      </c>
      <c r="C524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859 NE (Est 859 SE),SERVICIO</v>
      </c>
      <c r="D524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4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43" s="47" t="s">
        <v>10381</v>
      </c>
      <c r="G5243" t="s">
        <v>10382</v>
      </c>
      <c r="H52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44" spans="1:8" ht="15" customHeight="1" x14ac:dyDescent="0.25">
      <c r="A5244" s="1" t="str">
        <f>MID(TB_CECO[[#This Row],[CECO_T]],1,5)</f>
        <v>1L56V</v>
      </c>
      <c r="B5244" s="1" t="str">
        <f>MID(TB_CECO[[#This Row],[TRABAJO]],1,SEARCH(",",TB_CECO[[#This Row],[TRABAJO]],1)-1)</f>
        <v>Snv 980 NE (Cx 169 NE)</v>
      </c>
      <c r="C524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980 NE (Cx 169 NE),PERFORACION</v>
      </c>
      <c r="D524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4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44" s="47" t="s">
        <v>10383</v>
      </c>
      <c r="G5244" t="s">
        <v>10384</v>
      </c>
      <c r="H52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45" spans="1:8" ht="15" customHeight="1" x14ac:dyDescent="0.25">
      <c r="A5245" s="1" t="str">
        <f>MID(TB_CECO[[#This Row],[CECO_T]],1,5)</f>
        <v>1L56V</v>
      </c>
      <c r="B5245" s="1" t="str">
        <f>MID(TB_CECO[[#This Row],[TRABAJO]],1,SEARCH(",",TB_CECO[[#This Row],[TRABAJO]],1)-1)</f>
        <v>Snv 980 NE (Cx 169 NE)</v>
      </c>
      <c r="C524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980 NE (Cx 169 NE),VOLADURA</v>
      </c>
      <c r="D524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4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45" s="47" t="s">
        <v>10385</v>
      </c>
      <c r="G5245" t="s">
        <v>10386</v>
      </c>
      <c r="H52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46" spans="1:8" ht="15" customHeight="1" x14ac:dyDescent="0.25">
      <c r="A5246" s="1" t="str">
        <f>MID(TB_CECO[[#This Row],[CECO_T]],1,5)</f>
        <v>1L56V</v>
      </c>
      <c r="B5246" s="1" t="str">
        <f>MID(TB_CECO[[#This Row],[TRABAJO]],1,SEARCH(",",TB_CECO[[#This Row],[TRABAJO]],1)-1)</f>
        <v>Snv 980 NE (Cx 169 NE)</v>
      </c>
      <c r="C524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980 NE (Cx 169 NE),LIMPIEZA</v>
      </c>
      <c r="D524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4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46" s="47" t="s">
        <v>10387</v>
      </c>
      <c r="G5246" t="s">
        <v>10388</v>
      </c>
      <c r="H52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47" spans="1:8" ht="15" customHeight="1" x14ac:dyDescent="0.25">
      <c r="A5247" s="1" t="str">
        <f>MID(TB_CECO[[#This Row],[CECO_T]],1,5)</f>
        <v>1L56V</v>
      </c>
      <c r="B5247" s="1" t="str">
        <f>MID(TB_CECO[[#This Row],[TRABAJO]],1,SEARCH(",",TB_CECO[[#This Row],[TRABAJO]],1)-1)</f>
        <v>Snv 980 NE (Cx 169 NE)</v>
      </c>
      <c r="C524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980 NE (Cx 169 NE),SOSTENIMIENTO</v>
      </c>
      <c r="D524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4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47" s="47" t="s">
        <v>10389</v>
      </c>
      <c r="G5247" t="s">
        <v>10390</v>
      </c>
      <c r="H52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48" spans="1:8" ht="15" customHeight="1" x14ac:dyDescent="0.25">
      <c r="A5248" s="1" t="str">
        <f>MID(TB_CECO[[#This Row],[CECO_T]],1,5)</f>
        <v>1L56V</v>
      </c>
      <c r="B5248" s="1" t="str">
        <f>MID(TB_CECO[[#This Row],[TRABAJO]],1,SEARCH(",",TB_CECO[[#This Row],[TRABAJO]],1)-1)</f>
        <v>Snv 980 NE (Cx 169 NE)</v>
      </c>
      <c r="C524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980 NE (Cx 169 NE),SERVICIO</v>
      </c>
      <c r="D524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4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48" s="47" t="s">
        <v>10391</v>
      </c>
      <c r="G5248" t="s">
        <v>10392</v>
      </c>
      <c r="H52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49" spans="1:8" ht="15" customHeight="1" x14ac:dyDescent="0.25">
      <c r="A5249" s="1" t="str">
        <f>MID(TB_CECO[[#This Row],[CECO_T]],1,5)</f>
        <v>1D222</v>
      </c>
      <c r="B5249" s="1" t="str">
        <f>MID(TB_CECO[[#This Row],[TRABAJO]],1,SEARCH(",",TB_CECO[[#This Row],[TRABAJO]],1)-1)</f>
        <v>Gal 962 SE (Cx 444 NE)</v>
      </c>
      <c r="C524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962 SE (Cx 444 NE),PERFORACION</v>
      </c>
      <c r="D524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4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49" s="47" t="s">
        <v>10393</v>
      </c>
      <c r="G5249" t="s">
        <v>10394</v>
      </c>
      <c r="H52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50" spans="1:8" ht="15" customHeight="1" x14ac:dyDescent="0.25">
      <c r="A5250" s="1" t="str">
        <f>MID(TB_CECO[[#This Row],[CECO_T]],1,5)</f>
        <v>1D222</v>
      </c>
      <c r="B5250" s="1" t="str">
        <f>MID(TB_CECO[[#This Row],[TRABAJO]],1,SEARCH(",",TB_CECO[[#This Row],[TRABAJO]],1)-1)</f>
        <v>Gal 962 SE (Cx 444 NE)</v>
      </c>
      <c r="C525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962 SE (Cx 444 NE),VOLADURA</v>
      </c>
      <c r="D525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5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50" s="47" t="s">
        <v>10395</v>
      </c>
      <c r="G5250" t="s">
        <v>10396</v>
      </c>
      <c r="H52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51" spans="1:8" ht="15" customHeight="1" x14ac:dyDescent="0.25">
      <c r="A5251" s="1" t="str">
        <f>MID(TB_CECO[[#This Row],[CECO_T]],1,5)</f>
        <v>1D222</v>
      </c>
      <c r="B5251" s="1" t="str">
        <f>MID(TB_CECO[[#This Row],[TRABAJO]],1,SEARCH(",",TB_CECO[[#This Row],[TRABAJO]],1)-1)</f>
        <v>Gal 962 SE (Cx 444 NE)</v>
      </c>
      <c r="C525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962 SE (Cx 444 NE),LIMPIEZA</v>
      </c>
      <c r="D525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5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51" s="47" t="s">
        <v>10397</v>
      </c>
      <c r="G5251" t="s">
        <v>10398</v>
      </c>
      <c r="H52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52" spans="1:8" ht="15" customHeight="1" x14ac:dyDescent="0.25">
      <c r="A5252" s="1" t="str">
        <f>MID(TB_CECO[[#This Row],[CECO_T]],1,5)</f>
        <v>1D222</v>
      </c>
      <c r="B5252" s="1" t="str">
        <f>MID(TB_CECO[[#This Row],[TRABAJO]],1,SEARCH(",",TB_CECO[[#This Row],[TRABAJO]],1)-1)</f>
        <v>Gal 962 SE (Cx 444 NE)</v>
      </c>
      <c r="C525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962 SE (Cx 444 NE),SOSTENIMIENTO</v>
      </c>
      <c r="D525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5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52" s="47" t="s">
        <v>10399</v>
      </c>
      <c r="G5252" t="s">
        <v>10400</v>
      </c>
      <c r="H52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53" spans="1:8" ht="15" customHeight="1" x14ac:dyDescent="0.25">
      <c r="A5253" s="1" t="str">
        <f>MID(TB_CECO[[#This Row],[CECO_T]],1,5)</f>
        <v>1D222</v>
      </c>
      <c r="B5253" s="1" t="str">
        <f>MID(TB_CECO[[#This Row],[TRABAJO]],1,SEARCH(",",TB_CECO[[#This Row],[TRABAJO]],1)-1)</f>
        <v>Gal 962 SE (Cx 444 NE)</v>
      </c>
      <c r="C525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962 SE (Cx 444 NE),SERVICIO</v>
      </c>
      <c r="D525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5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53" s="47" t="s">
        <v>10401</v>
      </c>
      <c r="G5253" t="s">
        <v>10402</v>
      </c>
      <c r="H52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54" spans="1:8" ht="15" customHeight="1" x14ac:dyDescent="0.25">
      <c r="A5254" s="1" t="str">
        <f>MID(TB_CECO[[#This Row],[CECO_T]],1,5)</f>
        <v>1D223</v>
      </c>
      <c r="B5254" s="1" t="str">
        <f>MID(TB_CECO[[#This Row],[TRABAJO]],1,SEARCH(",",TB_CECO[[#This Row],[TRABAJO]],1)-1)</f>
        <v>Gal 962 NW (Cx 444 NE)</v>
      </c>
      <c r="C525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962 NW (Cx 444 NE),PERFORACION</v>
      </c>
      <c r="D525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5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54" s="47" t="s">
        <v>10403</v>
      </c>
      <c r="G5254" t="s">
        <v>10404</v>
      </c>
      <c r="H52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55" spans="1:8" ht="15" customHeight="1" x14ac:dyDescent="0.25">
      <c r="A5255" s="1" t="str">
        <f>MID(TB_CECO[[#This Row],[CECO_T]],1,5)</f>
        <v>1D223</v>
      </c>
      <c r="B5255" s="1" t="str">
        <f>MID(TB_CECO[[#This Row],[TRABAJO]],1,SEARCH(",",TB_CECO[[#This Row],[TRABAJO]],1)-1)</f>
        <v>Gal 962 NW (Cx 444 NE)</v>
      </c>
      <c r="C525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962 NW (Cx 444 NE),VOLADURA</v>
      </c>
      <c r="D525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5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55" s="47" t="s">
        <v>10405</v>
      </c>
      <c r="G5255" t="s">
        <v>10406</v>
      </c>
      <c r="H52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56" spans="1:8" ht="15" customHeight="1" x14ac:dyDescent="0.25">
      <c r="A5256" s="1" t="str">
        <f>MID(TB_CECO[[#This Row],[CECO_T]],1,5)</f>
        <v>1D223</v>
      </c>
      <c r="B5256" s="1" t="str">
        <f>MID(TB_CECO[[#This Row],[TRABAJO]],1,SEARCH(",",TB_CECO[[#This Row],[TRABAJO]],1)-1)</f>
        <v>Gal 962 NW (Cx 444 NE)</v>
      </c>
      <c r="C525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962 NW (Cx 444 NE),LIMPIEZA</v>
      </c>
      <c r="D525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5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56" s="47" t="s">
        <v>10407</v>
      </c>
      <c r="G5256" t="s">
        <v>10408</v>
      </c>
      <c r="H52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57" spans="1:8" ht="15" customHeight="1" x14ac:dyDescent="0.25">
      <c r="A5257" s="1" t="str">
        <f>MID(TB_CECO[[#This Row],[CECO_T]],1,5)</f>
        <v>1D223</v>
      </c>
      <c r="B5257" s="1" t="str">
        <f>MID(TB_CECO[[#This Row],[TRABAJO]],1,SEARCH(",",TB_CECO[[#This Row],[TRABAJO]],1)-1)</f>
        <v>Gal 962 NW (Cx 444 NE)</v>
      </c>
      <c r="C525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962 NW (Cx 444 NE),SOSTENIMIENTO</v>
      </c>
      <c r="D525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5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57" s="47" t="s">
        <v>10409</v>
      </c>
      <c r="G5257" t="s">
        <v>10410</v>
      </c>
      <c r="H52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58" spans="1:8" ht="15" customHeight="1" x14ac:dyDescent="0.25">
      <c r="A5258" s="1" t="str">
        <f>MID(TB_CECO[[#This Row],[CECO_T]],1,5)</f>
        <v>1D223</v>
      </c>
      <c r="B5258" s="1" t="str">
        <f>MID(TB_CECO[[#This Row],[TRABAJO]],1,SEARCH(",",TB_CECO[[#This Row],[TRABAJO]],1)-1)</f>
        <v>Gal 962 NW (Cx 444 NE)</v>
      </c>
      <c r="C525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962 NW (Cx 444 NE),SERVICIO</v>
      </c>
      <c r="D525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5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58" s="47" t="s">
        <v>10411</v>
      </c>
      <c r="G5258" t="s">
        <v>10412</v>
      </c>
      <c r="H52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59" spans="1:8" ht="15" customHeight="1" x14ac:dyDescent="0.25">
      <c r="A5259" s="1" t="str">
        <f>MID(TB_CECO[[#This Row],[CECO_T]],1,5)</f>
        <v>5L73F</v>
      </c>
      <c r="B5259" s="1" t="str">
        <f>MID(TB_CECO[[#This Row],[TRABAJO]],1,SEARCH(",",TB_CECO[[#This Row],[TRABAJO]],1)-1)</f>
        <v>Tj 985 NE (Snv 985 SW)</v>
      </c>
      <c r="C525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985 NE (Snv 985 SW),PERFORACION</v>
      </c>
      <c r="D525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5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59" s="47" t="s">
        <v>10413</v>
      </c>
      <c r="G5259" t="s">
        <v>10414</v>
      </c>
      <c r="H52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60" spans="1:8" ht="15" customHeight="1" x14ac:dyDescent="0.25">
      <c r="A5260" s="1" t="str">
        <f>MID(TB_CECO[[#This Row],[CECO_T]],1,5)</f>
        <v>5L73F</v>
      </c>
      <c r="B5260" s="1" t="str">
        <f>MID(TB_CECO[[#This Row],[TRABAJO]],1,SEARCH(",",TB_CECO[[#This Row],[TRABAJO]],1)-1)</f>
        <v>Tj 985 NE (Snv 985 SW)</v>
      </c>
      <c r="C526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985 NE (Snv 985 SW),VOLADURA</v>
      </c>
      <c r="D526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6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60" s="47" t="s">
        <v>10415</v>
      </c>
      <c r="G5260" t="s">
        <v>10416</v>
      </c>
      <c r="H52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61" spans="1:8" ht="15" customHeight="1" x14ac:dyDescent="0.25">
      <c r="A5261" s="1" t="str">
        <f>MID(TB_CECO[[#This Row],[CECO_T]],1,5)</f>
        <v>5L73F</v>
      </c>
      <c r="B5261" s="1" t="str">
        <f>MID(TB_CECO[[#This Row],[TRABAJO]],1,SEARCH(",",TB_CECO[[#This Row],[TRABAJO]],1)-1)</f>
        <v>Tj 985 NE (Snv 985 SW)</v>
      </c>
      <c r="C526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985 NE (Snv 985 SW),LIMPIEZA</v>
      </c>
      <c r="D526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6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61" s="47" t="s">
        <v>10417</v>
      </c>
      <c r="G5261" t="s">
        <v>10418</v>
      </c>
      <c r="H52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62" spans="1:8" ht="15" customHeight="1" x14ac:dyDescent="0.25">
      <c r="A5262" s="1" t="str">
        <f>MID(TB_CECO[[#This Row],[CECO_T]],1,5)</f>
        <v>5L73F</v>
      </c>
      <c r="B5262" s="1" t="str">
        <f>MID(TB_CECO[[#This Row],[TRABAJO]],1,SEARCH(",",TB_CECO[[#This Row],[TRABAJO]],1)-1)</f>
        <v>Tj 985 NE (Snv 985 SW)</v>
      </c>
      <c r="C526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985 NE (Snv 985 SW),SOSTENIMIENTO</v>
      </c>
      <c r="D526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6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62" s="47" t="s">
        <v>10419</v>
      </c>
      <c r="G5262" t="s">
        <v>10420</v>
      </c>
      <c r="H52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63" spans="1:8" ht="15" customHeight="1" x14ac:dyDescent="0.25">
      <c r="A5263" s="1" t="str">
        <f>MID(TB_CECO[[#This Row],[CECO_T]],1,5)</f>
        <v>5L73F</v>
      </c>
      <c r="B5263" s="1" t="str">
        <f>MID(TB_CECO[[#This Row],[TRABAJO]],1,SEARCH(",",TB_CECO[[#This Row],[TRABAJO]],1)-1)</f>
        <v>Tj 985 NE (Snv 985 SW)</v>
      </c>
      <c r="C526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985 NE (Snv 985 SW),SERVICIO</v>
      </c>
      <c r="D526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6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63" s="47" t="s">
        <v>10421</v>
      </c>
      <c r="G5263" t="s">
        <v>10422</v>
      </c>
      <c r="H52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64" spans="1:8" ht="15" customHeight="1" x14ac:dyDescent="0.25">
      <c r="A5264" s="1" t="str">
        <f>MID(TB_CECO[[#This Row],[CECO_T]],1,5)</f>
        <v>5L73F</v>
      </c>
      <c r="B5264" s="1" t="str">
        <f>MID(TB_CECO[[#This Row],[TRABAJO]],1,SEARCH(",",TB_CECO[[#This Row],[TRABAJO]],1)-1)</f>
        <v>Tj 985 NE (Snv 985 SW)</v>
      </c>
      <c r="C526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985 NE (Snv 985 SW),RELLENO</v>
      </c>
      <c r="D526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6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64" s="47" t="s">
        <v>10423</v>
      </c>
      <c r="G5264" t="s">
        <v>10424</v>
      </c>
      <c r="H52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65" spans="1:8" ht="15" customHeight="1" x14ac:dyDescent="0.25">
      <c r="A5265" s="1" t="str">
        <f>MID(TB_CECO[[#This Row],[CECO_T]],1,5)</f>
        <v>5G73G</v>
      </c>
      <c r="B5265" s="1" t="str">
        <f>MID(TB_CECO[[#This Row],[TRABAJO]],1,SEARCH(",",TB_CECO[[#This Row],[TRABAJO]],1)-1)</f>
        <v>Tj 015 NE (Snv 015 NE)</v>
      </c>
      <c r="C526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015 NE (Snv 015 NE),PERFORACION</v>
      </c>
      <c r="D526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6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65" s="47" t="s">
        <v>10806</v>
      </c>
      <c r="G5265" t="s">
        <v>10807</v>
      </c>
      <c r="H52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66" spans="1:8" ht="15" customHeight="1" x14ac:dyDescent="0.25">
      <c r="A5266" s="1" t="str">
        <f>MID(TB_CECO[[#This Row],[CECO_T]],1,5)</f>
        <v>5G73G</v>
      </c>
      <c r="B5266" s="1" t="str">
        <f>MID(TB_CECO[[#This Row],[TRABAJO]],1,SEARCH(",",TB_CECO[[#This Row],[TRABAJO]],1)-1)</f>
        <v>Tj 015 NE (Snv 015 NE)</v>
      </c>
      <c r="C526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015 NE (Snv 015 NE),VOLADURA</v>
      </c>
      <c r="D526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6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66" s="47" t="s">
        <v>10808</v>
      </c>
      <c r="G5266" t="s">
        <v>10809</v>
      </c>
      <c r="H52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67" spans="1:8" ht="15" customHeight="1" x14ac:dyDescent="0.25">
      <c r="A5267" s="1" t="str">
        <f>MID(TB_CECO[[#This Row],[CECO_T]],1,5)</f>
        <v>5G73G</v>
      </c>
      <c r="B5267" s="1" t="str">
        <f>MID(TB_CECO[[#This Row],[TRABAJO]],1,SEARCH(",",TB_CECO[[#This Row],[TRABAJO]],1)-1)</f>
        <v>Tj 015 NE (Snv 015 NE)</v>
      </c>
      <c r="C526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015 NE (Snv 015 NE),LIMPIEZA</v>
      </c>
      <c r="D526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6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67" s="47" t="s">
        <v>10810</v>
      </c>
      <c r="G5267" t="s">
        <v>10811</v>
      </c>
      <c r="H52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68" spans="1:8" ht="15" customHeight="1" x14ac:dyDescent="0.25">
      <c r="A5268" s="1" t="str">
        <f>MID(TB_CECO[[#This Row],[CECO_T]],1,5)</f>
        <v>5G73G</v>
      </c>
      <c r="B5268" s="1" t="str">
        <f>MID(TB_CECO[[#This Row],[TRABAJO]],1,SEARCH(",",TB_CECO[[#This Row],[TRABAJO]],1)-1)</f>
        <v>Tj 015 NE (Snv 015 NE)</v>
      </c>
      <c r="C526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015 NE (Snv 015 NE),SOSTENIMIENTO</v>
      </c>
      <c r="D526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6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68" s="47" t="s">
        <v>10812</v>
      </c>
      <c r="G5268" t="s">
        <v>10813</v>
      </c>
      <c r="H52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69" spans="1:8" ht="15" customHeight="1" x14ac:dyDescent="0.25">
      <c r="A5269" s="1" t="str">
        <f>MID(TB_CECO[[#This Row],[CECO_T]],1,5)</f>
        <v>5G73G</v>
      </c>
      <c r="B5269" s="1" t="str">
        <f>MID(TB_CECO[[#This Row],[TRABAJO]],1,SEARCH(",",TB_CECO[[#This Row],[TRABAJO]],1)-1)</f>
        <v>Tj 015 NE (Snv 015 NE)</v>
      </c>
      <c r="C526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015 NE (Snv 015 NE),SERVICIO</v>
      </c>
      <c r="D526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6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69" s="47" t="s">
        <v>10814</v>
      </c>
      <c r="G5269" t="s">
        <v>10815</v>
      </c>
      <c r="H52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70" spans="1:8" ht="15" customHeight="1" x14ac:dyDescent="0.25">
      <c r="A5270" s="1" t="str">
        <f>MID(TB_CECO[[#This Row],[CECO_T]],1,5)</f>
        <v>5G73G</v>
      </c>
      <c r="B5270" s="1" t="str">
        <f>MID(TB_CECO[[#This Row],[TRABAJO]],1,SEARCH(",",TB_CECO[[#This Row],[TRABAJO]],1)-1)</f>
        <v>Tj 015 NE (Snv 015 NE)</v>
      </c>
      <c r="C527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015 NE (Snv 015 NE),RELLENO</v>
      </c>
      <c r="D527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7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270" s="47" t="s">
        <v>10816</v>
      </c>
      <c r="G5270" t="s">
        <v>10817</v>
      </c>
      <c r="H52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271" spans="1:8" ht="15" customHeight="1" x14ac:dyDescent="0.25">
      <c r="A5271" s="1" t="str">
        <f>MID(TB_CECO[[#This Row],[CECO_T]],1,5)</f>
        <v>3G56X</v>
      </c>
      <c r="B5271" s="1" t="str">
        <f>MID(TB_CECO[[#This Row],[TRABAJO]],1,SEARCH(",",TB_CECO[[#This Row],[TRABAJO]],1)-1)</f>
        <v>Snv 015 NE (Snv 010 NE)</v>
      </c>
      <c r="C527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NE (Snv 010 NE),PERFORACION</v>
      </c>
      <c r="D527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7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71" s="47" t="s">
        <v>10818</v>
      </c>
      <c r="G5271" t="s">
        <v>10819</v>
      </c>
      <c r="H52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72" spans="1:8" ht="15" customHeight="1" x14ac:dyDescent="0.25">
      <c r="A5272" s="1" t="str">
        <f>MID(TB_CECO[[#This Row],[CECO_T]],1,5)</f>
        <v>3G56X</v>
      </c>
      <c r="B5272" s="1" t="str">
        <f>MID(TB_CECO[[#This Row],[TRABAJO]],1,SEARCH(",",TB_CECO[[#This Row],[TRABAJO]],1)-1)</f>
        <v>Snv 015 NE (Snv 010 NE)</v>
      </c>
      <c r="C527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NE (Snv 010 NE),VOLADURA</v>
      </c>
      <c r="D527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7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72" s="47" t="s">
        <v>10820</v>
      </c>
      <c r="G5272" t="s">
        <v>10821</v>
      </c>
      <c r="H52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73" spans="1:8" ht="15" customHeight="1" x14ac:dyDescent="0.25">
      <c r="A5273" s="1" t="str">
        <f>MID(TB_CECO[[#This Row],[CECO_T]],1,5)</f>
        <v>3G56X</v>
      </c>
      <c r="B5273" s="1" t="str">
        <f>MID(TB_CECO[[#This Row],[TRABAJO]],1,SEARCH(",",TB_CECO[[#This Row],[TRABAJO]],1)-1)</f>
        <v>Snv 015 NE (Snv 010 NE)</v>
      </c>
      <c r="C527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NE (Snv 010 NE),LIMPIEZA</v>
      </c>
      <c r="D527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7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73" s="47" t="s">
        <v>10822</v>
      </c>
      <c r="G5273" t="s">
        <v>10823</v>
      </c>
      <c r="H52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74" spans="1:8" ht="15" customHeight="1" x14ac:dyDescent="0.25">
      <c r="A5274" s="1" t="str">
        <f>MID(TB_CECO[[#This Row],[CECO_T]],1,5)</f>
        <v>3G56X</v>
      </c>
      <c r="B5274" s="1" t="str">
        <f>MID(TB_CECO[[#This Row],[TRABAJO]],1,SEARCH(",",TB_CECO[[#This Row],[TRABAJO]],1)-1)</f>
        <v>Snv 015 NE (Snv 010 NE)</v>
      </c>
      <c r="C527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NE (Snv 010 NE),SOSTENIMIENTO</v>
      </c>
      <c r="D527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7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74" s="47" t="s">
        <v>10824</v>
      </c>
      <c r="G5274" t="s">
        <v>10825</v>
      </c>
      <c r="H52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75" spans="1:8" ht="15" customHeight="1" x14ac:dyDescent="0.25">
      <c r="A5275" s="1" t="str">
        <f>MID(TB_CECO[[#This Row],[CECO_T]],1,5)</f>
        <v>3G56X</v>
      </c>
      <c r="B5275" s="1" t="str">
        <f>MID(TB_CECO[[#This Row],[TRABAJO]],1,SEARCH(",",TB_CECO[[#This Row],[TRABAJO]],1)-1)</f>
        <v>Snv 015 NE (Snv 010 NE)</v>
      </c>
      <c r="C527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015 NE (Snv 010 NE),SERVICIO</v>
      </c>
      <c r="D527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7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75" s="47" t="s">
        <v>10826</v>
      </c>
      <c r="G5275" t="s">
        <v>10827</v>
      </c>
      <c r="H52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76" spans="1:8" ht="15" customHeight="1" x14ac:dyDescent="0.25">
      <c r="A5276" s="1" t="str">
        <f>MID(TB_CECO[[#This Row],[CECO_T]],1,5)</f>
        <v>3E32D</v>
      </c>
      <c r="B5276" s="1" t="str">
        <f>MID(TB_CECO[[#This Row],[TRABAJO]],1,SEARCH(",",TB_CECO[[#This Row],[TRABAJO]],1)-1)</f>
        <v>Ch  032 (Tj 020 NE)</v>
      </c>
      <c r="C527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 032 (Tj 020 NE),PERFORACION</v>
      </c>
      <c r="D527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7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76" s="47" t="s">
        <v>10828</v>
      </c>
      <c r="G5276" t="s">
        <v>10829</v>
      </c>
      <c r="H52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77" spans="1:8" ht="15" customHeight="1" x14ac:dyDescent="0.25">
      <c r="A5277" s="1" t="str">
        <f>MID(TB_CECO[[#This Row],[CECO_T]],1,5)</f>
        <v>3E32D</v>
      </c>
      <c r="B5277" s="1" t="str">
        <f>MID(TB_CECO[[#This Row],[TRABAJO]],1,SEARCH(",",TB_CECO[[#This Row],[TRABAJO]],1)-1)</f>
        <v>Ch  032 (Tj 020 NE)</v>
      </c>
      <c r="C527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 032 (Tj 020 NE),VOLADURA</v>
      </c>
      <c r="D527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7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77" s="47" t="s">
        <v>10830</v>
      </c>
      <c r="G5277" t="s">
        <v>10831</v>
      </c>
      <c r="H52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78" spans="1:8" ht="15" customHeight="1" x14ac:dyDescent="0.25">
      <c r="A5278" s="1" t="str">
        <f>MID(TB_CECO[[#This Row],[CECO_T]],1,5)</f>
        <v>3E32D</v>
      </c>
      <c r="B5278" s="1" t="str">
        <f>MID(TB_CECO[[#This Row],[TRABAJO]],1,SEARCH(",",TB_CECO[[#This Row],[TRABAJO]],1)-1)</f>
        <v>Ch  032 (Tj 020 NE)</v>
      </c>
      <c r="C527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 032 (Tj 020 NE),LIMPIEZA</v>
      </c>
      <c r="D527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7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78" s="47" t="s">
        <v>10832</v>
      </c>
      <c r="G5278" t="s">
        <v>10833</v>
      </c>
      <c r="H52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79" spans="1:8" ht="15" customHeight="1" x14ac:dyDescent="0.25">
      <c r="A5279" s="1" t="str">
        <f>MID(TB_CECO[[#This Row],[CECO_T]],1,5)</f>
        <v>3E32D</v>
      </c>
      <c r="B5279" s="1" t="str">
        <f>MID(TB_CECO[[#This Row],[TRABAJO]],1,SEARCH(",",TB_CECO[[#This Row],[TRABAJO]],1)-1)</f>
        <v>Ch  032 (Tj 020 NE)</v>
      </c>
      <c r="C527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 032 (Tj 020 NE),SOSTENIMIENTO</v>
      </c>
      <c r="D527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7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79" s="47" t="s">
        <v>10834</v>
      </c>
      <c r="G5279" t="s">
        <v>10835</v>
      </c>
      <c r="H52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80" spans="1:8" ht="15" customHeight="1" x14ac:dyDescent="0.25">
      <c r="A5280" s="1" t="str">
        <f>MID(TB_CECO[[#This Row],[CECO_T]],1,5)</f>
        <v>3E32D</v>
      </c>
      <c r="B5280" s="1" t="str">
        <f>MID(TB_CECO[[#This Row],[TRABAJO]],1,SEARCH(",",TB_CECO[[#This Row],[TRABAJO]],1)-1)</f>
        <v>Ch  032 (Tj 020 NE)</v>
      </c>
      <c r="C528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 032 (Tj 020 NE),SERVICIO</v>
      </c>
      <c r="D528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28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80" s="47" t="s">
        <v>10836</v>
      </c>
      <c r="G5280" t="s">
        <v>10837</v>
      </c>
      <c r="H52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81" spans="1:8" ht="15" customHeight="1" x14ac:dyDescent="0.25">
      <c r="A5281" s="1" t="str">
        <f>MID(TB_CECO[[#This Row],[CECO_T]],1,5)</f>
        <v>3L32E</v>
      </c>
      <c r="B5281" s="1" t="str">
        <f>MID(TB_CECO[[#This Row],[TRABAJO]],1,SEARCH(",",TB_CECO[[#This Row],[TRABAJO]],1)-1)</f>
        <v>Ch 079 (Cx 199 NE)</v>
      </c>
      <c r="C528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079 (Cx 199 NE),PERFORACION</v>
      </c>
      <c r="D528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8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81" s="47" t="s">
        <v>10838</v>
      </c>
      <c r="G5281" t="s">
        <v>10839</v>
      </c>
      <c r="H52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82" spans="1:8" ht="15" customHeight="1" x14ac:dyDescent="0.25">
      <c r="A5282" s="1" t="str">
        <f>MID(TB_CECO[[#This Row],[CECO_T]],1,5)</f>
        <v>3L32E</v>
      </c>
      <c r="B5282" s="1" t="str">
        <f>MID(TB_CECO[[#This Row],[TRABAJO]],1,SEARCH(",",TB_CECO[[#This Row],[TRABAJO]],1)-1)</f>
        <v>Ch 079 (Cx 199 NE)</v>
      </c>
      <c r="C528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079 (Cx 199 NE),VOLADURA</v>
      </c>
      <c r="D528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8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82" s="47" t="s">
        <v>10840</v>
      </c>
      <c r="G5282" t="s">
        <v>10841</v>
      </c>
      <c r="H52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83" spans="1:8" ht="15" customHeight="1" x14ac:dyDescent="0.25">
      <c r="A5283" s="1" t="str">
        <f>MID(TB_CECO[[#This Row],[CECO_T]],1,5)</f>
        <v>3L32E</v>
      </c>
      <c r="B5283" s="1" t="str">
        <f>MID(TB_CECO[[#This Row],[TRABAJO]],1,SEARCH(",",TB_CECO[[#This Row],[TRABAJO]],1)-1)</f>
        <v>Ch 079 (Cx 199 NE)</v>
      </c>
      <c r="C528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079 (Cx 199 NE),LIMPIEZA</v>
      </c>
      <c r="D528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8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83" s="47" t="s">
        <v>10842</v>
      </c>
      <c r="G5283" t="s">
        <v>10843</v>
      </c>
      <c r="H52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84" spans="1:8" ht="15" customHeight="1" x14ac:dyDescent="0.25">
      <c r="A5284" s="1" t="str">
        <f>MID(TB_CECO[[#This Row],[CECO_T]],1,5)</f>
        <v>3L32E</v>
      </c>
      <c r="B5284" s="1" t="str">
        <f>MID(TB_CECO[[#This Row],[TRABAJO]],1,SEARCH(",",TB_CECO[[#This Row],[TRABAJO]],1)-1)</f>
        <v>Ch 079 (Cx 199 NE)</v>
      </c>
      <c r="C528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079 (Cx 199 NE),SOSTENIMIENTO</v>
      </c>
      <c r="D528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8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84" s="47" t="s">
        <v>10844</v>
      </c>
      <c r="G5284" t="s">
        <v>10845</v>
      </c>
      <c r="H52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85" spans="1:8" ht="15" customHeight="1" x14ac:dyDescent="0.25">
      <c r="A5285" s="1" t="str">
        <f>MID(TB_CECO[[#This Row],[CECO_T]],1,5)</f>
        <v>3L32E</v>
      </c>
      <c r="B5285" s="1" t="str">
        <f>MID(TB_CECO[[#This Row],[TRABAJO]],1,SEARCH(",",TB_CECO[[#This Row],[TRABAJO]],1)-1)</f>
        <v>Ch 079 (Cx 199 NE)</v>
      </c>
      <c r="C528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079 (Cx 199 NE),SERVICIO</v>
      </c>
      <c r="D528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8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85" s="47" t="s">
        <v>10846</v>
      </c>
      <c r="G5285" t="s">
        <v>10847</v>
      </c>
      <c r="H52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86" spans="1:8" ht="15" customHeight="1" x14ac:dyDescent="0.25">
      <c r="A5286" s="1" t="str">
        <f>MID(TB_CECO[[#This Row],[CECO_T]],1,5)</f>
        <v>1D32F</v>
      </c>
      <c r="B5286" s="1" t="str">
        <f>MID(TB_CECO[[#This Row],[TRABAJO]],1,SEARCH(",",TB_CECO[[#This Row],[TRABAJO]],1)-1)</f>
        <v>Ch 972 (Gal 962 NE)</v>
      </c>
      <c r="C528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972 (Gal 962 NE),PERFORACION</v>
      </c>
      <c r="D528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8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86" s="47" t="s">
        <v>10848</v>
      </c>
      <c r="G5286" t="s">
        <v>10849</v>
      </c>
      <c r="H52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87" spans="1:8" ht="15" customHeight="1" x14ac:dyDescent="0.25">
      <c r="A5287" s="1" t="str">
        <f>MID(TB_CECO[[#This Row],[CECO_T]],1,5)</f>
        <v>1D32F</v>
      </c>
      <c r="B5287" s="1" t="str">
        <f>MID(TB_CECO[[#This Row],[TRABAJO]],1,SEARCH(",",TB_CECO[[#This Row],[TRABAJO]],1)-1)</f>
        <v>Ch 972 (Gal 962 NE)</v>
      </c>
      <c r="C528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972 (Gal 962 NE),VOLADURA</v>
      </c>
      <c r="D528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8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87" s="47" t="s">
        <v>10850</v>
      </c>
      <c r="G5287" t="s">
        <v>10851</v>
      </c>
      <c r="H52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88" spans="1:8" ht="15" customHeight="1" x14ac:dyDescent="0.25">
      <c r="A5288" s="1" t="str">
        <f>MID(TB_CECO[[#This Row],[CECO_T]],1,5)</f>
        <v>1D32F</v>
      </c>
      <c r="B5288" s="1" t="str">
        <f>MID(TB_CECO[[#This Row],[TRABAJO]],1,SEARCH(",",TB_CECO[[#This Row],[TRABAJO]],1)-1)</f>
        <v>Ch 972 (Gal 962 NE)</v>
      </c>
      <c r="C528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972 (Gal 962 NE),LIMPIEZA</v>
      </c>
      <c r="D528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8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88" s="47" t="s">
        <v>10852</v>
      </c>
      <c r="G5288" t="s">
        <v>10853</v>
      </c>
      <c r="H52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89" spans="1:8" ht="15" customHeight="1" x14ac:dyDescent="0.25">
      <c r="A5289" s="1" t="str">
        <f>MID(TB_CECO[[#This Row],[CECO_T]],1,5)</f>
        <v>1D32F</v>
      </c>
      <c r="B5289" s="1" t="str">
        <f>MID(TB_CECO[[#This Row],[TRABAJO]],1,SEARCH(",",TB_CECO[[#This Row],[TRABAJO]],1)-1)</f>
        <v>Ch 972 (Gal 962 NE)</v>
      </c>
      <c r="C528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972 (Gal 962 NE),SOSTENIMIENTO</v>
      </c>
      <c r="D528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8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89" s="47" t="s">
        <v>10854</v>
      </c>
      <c r="G5289" t="s">
        <v>10855</v>
      </c>
      <c r="H52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90" spans="1:8" ht="15" customHeight="1" x14ac:dyDescent="0.25">
      <c r="A5290" s="1" t="str">
        <f>MID(TB_CECO[[#This Row],[CECO_T]],1,5)</f>
        <v>1D32F</v>
      </c>
      <c r="B5290" s="1" t="str">
        <f>MID(TB_CECO[[#This Row],[TRABAJO]],1,SEARCH(",",TB_CECO[[#This Row],[TRABAJO]],1)-1)</f>
        <v>Ch 972 (Gal 962 NE)</v>
      </c>
      <c r="C529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972 (Gal 962 NE),SERVICIO</v>
      </c>
      <c r="D529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29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290" s="47" t="s">
        <v>10856</v>
      </c>
      <c r="G5290" t="s">
        <v>10857</v>
      </c>
      <c r="H52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91" spans="1:8" ht="15" customHeight="1" x14ac:dyDescent="0.25">
      <c r="A5291" s="1" t="str">
        <f>MID(TB_CECO[[#This Row],[CECO_T]],1,5)</f>
        <v>3G56Y</v>
      </c>
      <c r="B5291" s="1" t="str">
        <f>MID(TB_CECO[[#This Row],[TRABAJO]],1,SEARCH(",",TB_CECO[[#This Row],[TRABAJO]],1)-1)</f>
        <v>Snv 947 NE (Cx 128 NE)</v>
      </c>
      <c r="C529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947 NE (Cx 128 NE),PERFORACION</v>
      </c>
      <c r="D529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9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91" s="47" t="s">
        <v>10858</v>
      </c>
      <c r="G5291" t="s">
        <v>10859</v>
      </c>
      <c r="H52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92" spans="1:8" ht="15" customHeight="1" x14ac:dyDescent="0.25">
      <c r="A5292" s="1" t="str">
        <f>MID(TB_CECO[[#This Row],[CECO_T]],1,5)</f>
        <v>3G56Y</v>
      </c>
      <c r="B5292" s="1" t="str">
        <f>MID(TB_CECO[[#This Row],[TRABAJO]],1,SEARCH(",",TB_CECO[[#This Row],[TRABAJO]],1)-1)</f>
        <v>Snv 947 NE (Cx 128 NE)</v>
      </c>
      <c r="C529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947 NE (Cx 128 NE),VOLADURA</v>
      </c>
      <c r="D529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9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92" s="47" t="s">
        <v>10860</v>
      </c>
      <c r="G5292" t="s">
        <v>10861</v>
      </c>
      <c r="H52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93" spans="1:8" ht="15" customHeight="1" x14ac:dyDescent="0.25">
      <c r="A5293" s="1" t="str">
        <f>MID(TB_CECO[[#This Row],[CECO_T]],1,5)</f>
        <v>3G56Y</v>
      </c>
      <c r="B5293" s="1" t="str">
        <f>MID(TB_CECO[[#This Row],[TRABAJO]],1,SEARCH(",",TB_CECO[[#This Row],[TRABAJO]],1)-1)</f>
        <v>Snv 947 NE (Cx 128 NE)</v>
      </c>
      <c r="C529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947 NE (Cx 128 NE),LIMPIEZA</v>
      </c>
      <c r="D529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9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93" s="47" t="s">
        <v>10862</v>
      </c>
      <c r="G5293" t="s">
        <v>10863</v>
      </c>
      <c r="H52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94" spans="1:8" ht="15" customHeight="1" x14ac:dyDescent="0.25">
      <c r="A5294" s="1" t="str">
        <f>MID(TB_CECO[[#This Row],[CECO_T]],1,5)</f>
        <v>3G56Y</v>
      </c>
      <c r="B5294" s="1" t="str">
        <f>MID(TB_CECO[[#This Row],[TRABAJO]],1,SEARCH(",",TB_CECO[[#This Row],[TRABAJO]],1)-1)</f>
        <v>Snv 947 NE (Cx 128 NE)</v>
      </c>
      <c r="C529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947 NE (Cx 128 NE),SOSTENIMIENTO</v>
      </c>
      <c r="D529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9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94" s="47" t="s">
        <v>10864</v>
      </c>
      <c r="G5294" t="s">
        <v>10865</v>
      </c>
      <c r="H52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95" spans="1:8" ht="15" customHeight="1" x14ac:dyDescent="0.25">
      <c r="A5295" s="1" t="str">
        <f>MID(TB_CECO[[#This Row],[CECO_T]],1,5)</f>
        <v>3G56Y</v>
      </c>
      <c r="B5295" s="1" t="str">
        <f>MID(TB_CECO[[#This Row],[TRABAJO]],1,SEARCH(",",TB_CECO[[#This Row],[TRABAJO]],1)-1)</f>
        <v>Snv 947 NE (Cx 128 NE)</v>
      </c>
      <c r="C529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947 NE (Cx 128 NE),SERVICIO</v>
      </c>
      <c r="D529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MANUEL</v>
      </c>
      <c r="E529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95" s="47" t="s">
        <v>10866</v>
      </c>
      <c r="G5295" t="s">
        <v>10867</v>
      </c>
      <c r="H52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96" spans="1:8" ht="15" customHeight="1" x14ac:dyDescent="0.25">
      <c r="A5296" s="1" t="str">
        <f>MID(TB_CECO[[#This Row],[CECO_T]],1,5)</f>
        <v>3L56Z</v>
      </c>
      <c r="B5296" s="1" t="str">
        <f>MID(TB_CECO[[#This Row],[TRABAJO]],1,SEARCH(",",TB_CECO[[#This Row],[TRABAJO]],1)-1)</f>
        <v>Snv 989 NE (Tj 985 NE)</v>
      </c>
      <c r="C529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989 NE (Tj 985 NE),PERFORACION</v>
      </c>
      <c r="D529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9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96" s="47" t="s">
        <v>10868</v>
      </c>
      <c r="G5296" t="s">
        <v>10869</v>
      </c>
      <c r="H52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97" spans="1:8" ht="15" customHeight="1" x14ac:dyDescent="0.25">
      <c r="A5297" s="1" t="str">
        <f>MID(TB_CECO[[#This Row],[CECO_T]],1,5)</f>
        <v>3L56Z</v>
      </c>
      <c r="B5297" s="1" t="str">
        <f>MID(TB_CECO[[#This Row],[TRABAJO]],1,SEARCH(",",TB_CECO[[#This Row],[TRABAJO]],1)-1)</f>
        <v>Snv 989 NE (Tj 985 NE)</v>
      </c>
      <c r="C529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989 NE (Tj 985 NE),VOLADURA</v>
      </c>
      <c r="D529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9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97" s="47" t="s">
        <v>10870</v>
      </c>
      <c r="G5297" t="s">
        <v>10871</v>
      </c>
      <c r="H52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98" spans="1:8" ht="15" customHeight="1" x14ac:dyDescent="0.25">
      <c r="A5298" s="1" t="str">
        <f>MID(TB_CECO[[#This Row],[CECO_T]],1,5)</f>
        <v>3L56Z</v>
      </c>
      <c r="B5298" s="1" t="str">
        <f>MID(TB_CECO[[#This Row],[TRABAJO]],1,SEARCH(",",TB_CECO[[#This Row],[TRABAJO]],1)-1)</f>
        <v>Snv 989 NE (Tj 985 NE)</v>
      </c>
      <c r="C529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989 NE (Tj 985 NE),LIMPIEZA</v>
      </c>
      <c r="D529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9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98" s="47" t="s">
        <v>10872</v>
      </c>
      <c r="G5298" t="s">
        <v>10873</v>
      </c>
      <c r="H52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299" spans="1:8" ht="15" customHeight="1" x14ac:dyDescent="0.25">
      <c r="A5299" s="1" t="str">
        <f>MID(TB_CECO[[#This Row],[CECO_T]],1,5)</f>
        <v>3L56Z</v>
      </c>
      <c r="B5299" s="1" t="str">
        <f>MID(TB_CECO[[#This Row],[TRABAJO]],1,SEARCH(",",TB_CECO[[#This Row],[TRABAJO]],1)-1)</f>
        <v>Snv 989 NE (Tj 985 NE)</v>
      </c>
      <c r="C529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989 NE (Tj 985 NE),SOSTENIMIENTO</v>
      </c>
      <c r="D529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29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299" s="47" t="s">
        <v>10874</v>
      </c>
      <c r="G5299" t="s">
        <v>10875</v>
      </c>
      <c r="H52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00" spans="1:8" ht="15" customHeight="1" x14ac:dyDescent="0.25">
      <c r="A5300" s="1" t="str">
        <f>MID(TB_CECO[[#This Row],[CECO_T]],1,5)</f>
        <v>3L56Z</v>
      </c>
      <c r="B5300" s="1" t="str">
        <f>MID(TB_CECO[[#This Row],[TRABAJO]],1,SEARCH(",",TB_CECO[[#This Row],[TRABAJO]],1)-1)</f>
        <v>Snv 989 NE (Tj 985 NE)</v>
      </c>
      <c r="C530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989 NE (Tj 985 NE),SERVICIO</v>
      </c>
      <c r="D530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0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300" s="47" t="s">
        <v>10876</v>
      </c>
      <c r="G5300" t="s">
        <v>10877</v>
      </c>
      <c r="H53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01" spans="1:8" ht="15" customHeight="1" x14ac:dyDescent="0.25">
      <c r="A5301" s="1" t="str">
        <f>MID(TB_CECO[[#This Row],[CECO_T]],1,5)</f>
        <v>1D57A</v>
      </c>
      <c r="B5301" s="1" t="str">
        <f>MID(TB_CECO[[#This Row],[TRABAJO]],1,SEARCH(",",TB_CECO[[#This Row],[TRABAJO]],1)-1)</f>
        <v>Snv 968 NW (Ch 972)</v>
      </c>
      <c r="C530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968 NW (Ch 972),PERFORACION</v>
      </c>
      <c r="D530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0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01" s="47" t="s">
        <v>10878</v>
      </c>
      <c r="G5301" t="s">
        <v>10879</v>
      </c>
      <c r="H53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02" spans="1:8" ht="15" customHeight="1" x14ac:dyDescent="0.25">
      <c r="A5302" s="1" t="str">
        <f>MID(TB_CECO[[#This Row],[CECO_T]],1,5)</f>
        <v>1D57A</v>
      </c>
      <c r="B5302" s="1" t="str">
        <f>MID(TB_CECO[[#This Row],[TRABAJO]],1,SEARCH(",",TB_CECO[[#This Row],[TRABAJO]],1)-1)</f>
        <v>Snv 968 NW (Ch 972)</v>
      </c>
      <c r="C530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968 NW (Ch 972),VOLADURA</v>
      </c>
      <c r="D530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0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02" s="47" t="s">
        <v>10880</v>
      </c>
      <c r="G5302" t="s">
        <v>10881</v>
      </c>
      <c r="H53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03" spans="1:8" ht="15" customHeight="1" x14ac:dyDescent="0.25">
      <c r="A5303" s="1" t="str">
        <f>MID(TB_CECO[[#This Row],[CECO_T]],1,5)</f>
        <v>1D57A</v>
      </c>
      <c r="B5303" s="1" t="str">
        <f>MID(TB_CECO[[#This Row],[TRABAJO]],1,SEARCH(",",TB_CECO[[#This Row],[TRABAJO]],1)-1)</f>
        <v>Snv 968 NW (Ch 972)</v>
      </c>
      <c r="C530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968 NW (Ch 972),LIMPIEZA</v>
      </c>
      <c r="D530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0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03" s="47" t="s">
        <v>10882</v>
      </c>
      <c r="G5303" t="s">
        <v>10883</v>
      </c>
      <c r="H53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04" spans="1:8" ht="15" customHeight="1" x14ac:dyDescent="0.25">
      <c r="A5304" s="1" t="str">
        <f>MID(TB_CECO[[#This Row],[CECO_T]],1,5)</f>
        <v>1D57A</v>
      </c>
      <c r="B5304" s="1" t="str">
        <f>MID(TB_CECO[[#This Row],[TRABAJO]],1,SEARCH(",",TB_CECO[[#This Row],[TRABAJO]],1)-1)</f>
        <v>Snv 968 NW (Ch 972)</v>
      </c>
      <c r="C530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968 NW (Ch 972),SOSTENIMIENTO</v>
      </c>
      <c r="D530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0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04" s="47" t="s">
        <v>10884</v>
      </c>
      <c r="G5304" t="s">
        <v>10885</v>
      </c>
      <c r="H53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05" spans="1:8" ht="15" customHeight="1" x14ac:dyDescent="0.25">
      <c r="A5305" s="1" t="str">
        <f>MID(TB_CECO[[#This Row],[CECO_T]],1,5)</f>
        <v>1D57A</v>
      </c>
      <c r="B5305" s="1" t="str">
        <f>MID(TB_CECO[[#This Row],[TRABAJO]],1,SEARCH(",",TB_CECO[[#This Row],[TRABAJO]],1)-1)</f>
        <v>Snv 968 NW (Ch 972)</v>
      </c>
      <c r="C530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968 NW (Ch 972),SERVICIO</v>
      </c>
      <c r="D530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0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05" s="47" t="s">
        <v>10886</v>
      </c>
      <c r="G5305" t="s">
        <v>10887</v>
      </c>
      <c r="H53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06" spans="1:8" ht="15" customHeight="1" x14ac:dyDescent="0.25">
      <c r="A5306" s="1" t="str">
        <f>MID(TB_CECO[[#This Row],[CECO_T]],1,5)</f>
        <v>1D57B</v>
      </c>
      <c r="B5306" s="1" t="str">
        <f>MID(TB_CECO[[#This Row],[TRABAJO]],1,SEARCH(",",TB_CECO[[#This Row],[TRABAJO]],1)-1)</f>
        <v>Snv 968 SE (Ch 972)</v>
      </c>
      <c r="C530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968 SE (Ch 972),PERFORACION</v>
      </c>
      <c r="D530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0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06" s="47" t="s">
        <v>10888</v>
      </c>
      <c r="G5306" t="s">
        <v>10889</v>
      </c>
      <c r="H53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07" spans="1:8" ht="15" customHeight="1" x14ac:dyDescent="0.25">
      <c r="A5307" s="1" t="str">
        <f>MID(TB_CECO[[#This Row],[CECO_T]],1,5)</f>
        <v>1D57B</v>
      </c>
      <c r="B5307" s="1" t="str">
        <f>MID(TB_CECO[[#This Row],[TRABAJO]],1,SEARCH(",",TB_CECO[[#This Row],[TRABAJO]],1)-1)</f>
        <v>Snv 968 SE (Ch 972)</v>
      </c>
      <c r="C530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968 SE (Ch 972),VOLADURA</v>
      </c>
      <c r="D530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0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07" s="47" t="s">
        <v>10890</v>
      </c>
      <c r="G5307" t="s">
        <v>10891</v>
      </c>
      <c r="H53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08" spans="1:8" ht="15" customHeight="1" x14ac:dyDescent="0.25">
      <c r="A5308" s="1" t="str">
        <f>MID(TB_CECO[[#This Row],[CECO_T]],1,5)</f>
        <v>1D57B</v>
      </c>
      <c r="B5308" s="1" t="str">
        <f>MID(TB_CECO[[#This Row],[TRABAJO]],1,SEARCH(",",TB_CECO[[#This Row],[TRABAJO]],1)-1)</f>
        <v>Snv 968 SE (Ch 972)</v>
      </c>
      <c r="C530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968 SE (Ch 972),LIMPIEZA</v>
      </c>
      <c r="D530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0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08" s="47" t="s">
        <v>10892</v>
      </c>
      <c r="G5308" t="s">
        <v>10893</v>
      </c>
      <c r="H53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09" spans="1:8" ht="15" customHeight="1" x14ac:dyDescent="0.25">
      <c r="A5309" s="1" t="str">
        <f>MID(TB_CECO[[#This Row],[CECO_T]],1,5)</f>
        <v>1D57B</v>
      </c>
      <c r="B5309" s="1" t="str">
        <f>MID(TB_CECO[[#This Row],[TRABAJO]],1,SEARCH(",",TB_CECO[[#This Row],[TRABAJO]],1)-1)</f>
        <v>Snv 968 SE (Ch 972)</v>
      </c>
      <c r="C530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968 SE (Ch 972),SOSTENIMIENTO</v>
      </c>
      <c r="D530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0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09" s="47" t="s">
        <v>10894</v>
      </c>
      <c r="G5309" t="s">
        <v>10895</v>
      </c>
      <c r="H53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10" spans="1:8" ht="15" customHeight="1" x14ac:dyDescent="0.25">
      <c r="A5310" s="1" t="str">
        <f>MID(TB_CECO[[#This Row],[CECO_T]],1,5)</f>
        <v>1D57B</v>
      </c>
      <c r="B5310" s="1" t="str">
        <f>MID(TB_CECO[[#This Row],[TRABAJO]],1,SEARCH(",",TB_CECO[[#This Row],[TRABAJO]],1)-1)</f>
        <v>Snv 968 SE (Ch 972)</v>
      </c>
      <c r="C531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968 SE (Ch 972),SERVICIO</v>
      </c>
      <c r="D531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1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10" s="47" t="s">
        <v>10896</v>
      </c>
      <c r="G5310" t="s">
        <v>10897</v>
      </c>
      <c r="H53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11" spans="1:8" ht="15" customHeight="1" x14ac:dyDescent="0.25">
      <c r="A5311" s="1" t="str">
        <f>MID(TB_CECO[[#This Row],[CECO_T]],1,5)</f>
        <v>5D73H</v>
      </c>
      <c r="B5311" s="1" t="str">
        <f>MID(TB_CECO[[#This Row],[TRABAJO]],1,SEARCH(",",TB_CECO[[#This Row],[TRABAJO]],1)-1)</f>
        <v>Tj 949 SW (Snv 949 SW)</v>
      </c>
      <c r="C531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949 SW (Snv 949 SW),PERFORACION</v>
      </c>
      <c r="D531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1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11" s="47" t="s">
        <v>10898</v>
      </c>
      <c r="G5311" t="s">
        <v>10899</v>
      </c>
      <c r="H53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312" spans="1:8" ht="15" customHeight="1" x14ac:dyDescent="0.25">
      <c r="A5312" s="1" t="str">
        <f>MID(TB_CECO[[#This Row],[CECO_T]],1,5)</f>
        <v>5D73H</v>
      </c>
      <c r="B5312" s="1" t="str">
        <f>MID(TB_CECO[[#This Row],[TRABAJO]],1,SEARCH(",",TB_CECO[[#This Row],[TRABAJO]],1)-1)</f>
        <v>Tj 949 SW (Snv 949 SW)</v>
      </c>
      <c r="C531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949 SW (Snv 949 SW),VOLADURA</v>
      </c>
      <c r="D531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1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12" s="47" t="s">
        <v>10900</v>
      </c>
      <c r="G5312" t="s">
        <v>10901</v>
      </c>
      <c r="H53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313" spans="1:8" ht="15" customHeight="1" x14ac:dyDescent="0.25">
      <c r="A5313" s="1" t="str">
        <f>MID(TB_CECO[[#This Row],[CECO_T]],1,5)</f>
        <v>5D73H</v>
      </c>
      <c r="B5313" s="1" t="str">
        <f>MID(TB_CECO[[#This Row],[TRABAJO]],1,SEARCH(",",TB_CECO[[#This Row],[TRABAJO]],1)-1)</f>
        <v>Tj 949 SW (Snv 949 SW)</v>
      </c>
      <c r="C531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949 SW (Snv 949 SW),LIMPIEZA</v>
      </c>
      <c r="D531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1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13" s="47" t="s">
        <v>10902</v>
      </c>
      <c r="G5313" t="s">
        <v>10903</v>
      </c>
      <c r="H53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314" spans="1:8" ht="15" customHeight="1" x14ac:dyDescent="0.25">
      <c r="A5314" s="1" t="str">
        <f>MID(TB_CECO[[#This Row],[CECO_T]],1,5)</f>
        <v>5D73H</v>
      </c>
      <c r="B5314" s="1" t="str">
        <f>MID(TB_CECO[[#This Row],[TRABAJO]],1,SEARCH(",",TB_CECO[[#This Row],[TRABAJO]],1)-1)</f>
        <v>Tj 949 SW (Snv 949 SW)</v>
      </c>
      <c r="C531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949 SW (Snv 949 SW),SOSTENIMIENTO</v>
      </c>
      <c r="D531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1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14" s="47" t="s">
        <v>10904</v>
      </c>
      <c r="G5314" t="s">
        <v>10905</v>
      </c>
      <c r="H53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315" spans="1:8" ht="15" customHeight="1" x14ac:dyDescent="0.25">
      <c r="A5315" s="1" t="str">
        <f>MID(TB_CECO[[#This Row],[CECO_T]],1,5)</f>
        <v>5D73H</v>
      </c>
      <c r="B5315" s="1" t="str">
        <f>MID(TB_CECO[[#This Row],[TRABAJO]],1,SEARCH(",",TB_CECO[[#This Row],[TRABAJO]],1)-1)</f>
        <v>Tj 949 SW (Snv 949 SW)</v>
      </c>
      <c r="C531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949 SW (Snv 949 SW),SERVICIO</v>
      </c>
      <c r="D531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1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15" s="47" t="s">
        <v>10906</v>
      </c>
      <c r="G5315" t="s">
        <v>10907</v>
      </c>
      <c r="H53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316" spans="1:8" ht="15" customHeight="1" x14ac:dyDescent="0.25">
      <c r="A5316" s="1" t="str">
        <f>MID(TB_CECO[[#This Row],[CECO_T]],1,5)</f>
        <v>5D73H</v>
      </c>
      <c r="B5316" s="1" t="str">
        <f>MID(TB_CECO[[#This Row],[TRABAJO]],1,SEARCH(",",TB_CECO[[#This Row],[TRABAJO]],1)-1)</f>
        <v>Tj 949 SW (Snv 949 SW)</v>
      </c>
      <c r="C531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949 SW (Snv 949 SW),RELLENO</v>
      </c>
      <c r="D531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1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316" s="47" t="s">
        <v>10908</v>
      </c>
      <c r="G5316" t="s">
        <v>10909</v>
      </c>
      <c r="H53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317" spans="1:8" ht="15" customHeight="1" x14ac:dyDescent="0.25">
      <c r="A5317" s="1" t="str">
        <f>MID(TB_CECO[[#This Row],[CECO_T]],1,5)</f>
        <v>1D57C</v>
      </c>
      <c r="B5317" s="1" t="str">
        <f>MID(TB_CECO[[#This Row],[TRABAJO]],1,SEARCH(",",TB_CECO[[#This Row],[TRABAJO]],1)-1)</f>
        <v>Snv 969 SW (Ch 929)</v>
      </c>
      <c r="C531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969 SW (Ch 929),PERFORACION</v>
      </c>
      <c r="D531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1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17" s="47" t="s">
        <v>10910</v>
      </c>
      <c r="G5317" t="s">
        <v>10911</v>
      </c>
      <c r="H53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18" spans="1:8" ht="15" customHeight="1" x14ac:dyDescent="0.25">
      <c r="A5318" s="1" t="str">
        <f>MID(TB_CECO[[#This Row],[CECO_T]],1,5)</f>
        <v>1D57C</v>
      </c>
      <c r="B5318" s="1" t="str">
        <f>MID(TB_CECO[[#This Row],[TRABAJO]],1,SEARCH(",",TB_CECO[[#This Row],[TRABAJO]],1)-1)</f>
        <v>Snv 969 SW (Ch 929)</v>
      </c>
      <c r="C531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969 SW (Ch 929),VOLADURA</v>
      </c>
      <c r="D531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1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18" s="47" t="s">
        <v>10912</v>
      </c>
      <c r="G5318" t="s">
        <v>10913</v>
      </c>
      <c r="H53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19" spans="1:8" ht="15" customHeight="1" x14ac:dyDescent="0.25">
      <c r="A5319" s="1" t="str">
        <f>MID(TB_CECO[[#This Row],[CECO_T]],1,5)</f>
        <v>1D57C</v>
      </c>
      <c r="B5319" s="1" t="str">
        <f>MID(TB_CECO[[#This Row],[TRABAJO]],1,SEARCH(",",TB_CECO[[#This Row],[TRABAJO]],1)-1)</f>
        <v>Snv 969 SW (Ch 929)</v>
      </c>
      <c r="C531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969 SW (Ch 929),LIMPIEZA</v>
      </c>
      <c r="D531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1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19" s="47" t="s">
        <v>10914</v>
      </c>
      <c r="G5319" t="s">
        <v>10915</v>
      </c>
      <c r="H53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20" spans="1:8" ht="15" customHeight="1" x14ac:dyDescent="0.25">
      <c r="A5320" s="1" t="str">
        <f>MID(TB_CECO[[#This Row],[CECO_T]],1,5)</f>
        <v>1D57C</v>
      </c>
      <c r="B5320" s="1" t="str">
        <f>MID(TB_CECO[[#This Row],[TRABAJO]],1,SEARCH(",",TB_CECO[[#This Row],[TRABAJO]],1)-1)</f>
        <v>Snv 969 SW (Ch 929)</v>
      </c>
      <c r="C532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969 SW (Ch 929),SOSTENIMIENTO</v>
      </c>
      <c r="D532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2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20" s="47" t="s">
        <v>10916</v>
      </c>
      <c r="G5320" t="s">
        <v>10917</v>
      </c>
      <c r="H53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21" spans="1:8" ht="15" customHeight="1" x14ac:dyDescent="0.25">
      <c r="A5321" s="1" t="str">
        <f>MID(TB_CECO[[#This Row],[CECO_T]],1,5)</f>
        <v>1D57C</v>
      </c>
      <c r="B5321" s="1" t="str">
        <f>MID(TB_CECO[[#This Row],[TRABAJO]],1,SEARCH(",",TB_CECO[[#This Row],[TRABAJO]],1)-1)</f>
        <v>Snv 969 SW (Ch 929)</v>
      </c>
      <c r="C532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969 SW (Ch 929),SERVICIO</v>
      </c>
      <c r="D532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2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21" s="47" t="s">
        <v>10918</v>
      </c>
      <c r="G5321" t="s">
        <v>10919</v>
      </c>
      <c r="H53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22" spans="1:8" ht="15" customHeight="1" x14ac:dyDescent="0.25">
      <c r="A5322" s="1" t="str">
        <f>MID(TB_CECO[[#This Row],[CECO_T]],1,5)</f>
        <v>1L610</v>
      </c>
      <c r="B5322" s="1" t="str">
        <f>MID(TB_CECO[[#This Row],[TRABAJO]],1,SEARCH(",",TB_CECO[[#This Row],[TRABAJO]],1)-1)</f>
        <v>Est 888 SE (Snv 172 SW)</v>
      </c>
      <c r="C532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888 SE (Snv 172 SW),PERFORACION</v>
      </c>
      <c r="D532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2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22" s="47" t="s">
        <v>10920</v>
      </c>
      <c r="G5322" t="s">
        <v>10921</v>
      </c>
      <c r="H53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23" spans="1:8" ht="15" customHeight="1" x14ac:dyDescent="0.25">
      <c r="A5323" s="1" t="str">
        <f>MID(TB_CECO[[#This Row],[CECO_T]],1,5)</f>
        <v>1L610</v>
      </c>
      <c r="B5323" s="1" t="str">
        <f>MID(TB_CECO[[#This Row],[TRABAJO]],1,SEARCH(",",TB_CECO[[#This Row],[TRABAJO]],1)-1)</f>
        <v>Est 888 SE (Snv 172 SW)</v>
      </c>
      <c r="C532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888 SE (Snv 172 SW),VOLADURA</v>
      </c>
      <c r="D532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2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23" s="47" t="s">
        <v>10922</v>
      </c>
      <c r="G5323" t="s">
        <v>10923</v>
      </c>
      <c r="H53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24" spans="1:8" ht="15" customHeight="1" x14ac:dyDescent="0.25">
      <c r="A5324" s="1" t="str">
        <f>MID(TB_CECO[[#This Row],[CECO_T]],1,5)</f>
        <v>1L610</v>
      </c>
      <c r="B5324" s="1" t="str">
        <f>MID(TB_CECO[[#This Row],[TRABAJO]],1,SEARCH(",",TB_CECO[[#This Row],[TRABAJO]],1)-1)</f>
        <v>Est 888 SE (Snv 172 SW)</v>
      </c>
      <c r="C532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888 SE (Snv 172 SW),LIMPIEZA</v>
      </c>
      <c r="D532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2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24" s="47" t="s">
        <v>10924</v>
      </c>
      <c r="G5324" t="s">
        <v>10925</v>
      </c>
      <c r="H53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25" spans="1:8" ht="15" customHeight="1" x14ac:dyDescent="0.25">
      <c r="A5325" s="1" t="str">
        <f>MID(TB_CECO[[#This Row],[CECO_T]],1,5)</f>
        <v>1L610</v>
      </c>
      <c r="B5325" s="1" t="str">
        <f>MID(TB_CECO[[#This Row],[TRABAJO]],1,SEARCH(",",TB_CECO[[#This Row],[TRABAJO]],1)-1)</f>
        <v>Est 888 SE (Snv 172 SW)</v>
      </c>
      <c r="C532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888 SE (Snv 172 SW),SOSTENIMIENTO</v>
      </c>
      <c r="D532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2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25" s="47" t="s">
        <v>10926</v>
      </c>
      <c r="G5325" t="s">
        <v>10927</v>
      </c>
      <c r="H53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26" spans="1:8" ht="15" customHeight="1" x14ac:dyDescent="0.25">
      <c r="A5326" s="1" t="str">
        <f>MID(TB_CECO[[#This Row],[CECO_T]],1,5)</f>
        <v>1L610</v>
      </c>
      <c r="B5326" s="1" t="str">
        <f>MID(TB_CECO[[#This Row],[TRABAJO]],1,SEARCH(",",TB_CECO[[#This Row],[TRABAJO]],1)-1)</f>
        <v>Est 888 SE (Snv 172 SW)</v>
      </c>
      <c r="C532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888 SE (Snv 172 SW),SERVICIO</v>
      </c>
      <c r="D532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2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26" s="47" t="s">
        <v>10928</v>
      </c>
      <c r="G5326" t="s">
        <v>10929</v>
      </c>
      <c r="H53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27" spans="1:8" ht="15" customHeight="1" x14ac:dyDescent="0.25">
      <c r="A5327" s="1" t="str">
        <f>MID(TB_CECO[[#This Row],[CECO_T]],1,5)</f>
        <v>1L57D</v>
      </c>
      <c r="B5327" s="1" t="str">
        <f>MID(TB_CECO[[#This Row],[TRABAJO]],1,SEARCH(",",TB_CECO[[#This Row],[TRABAJO]],1)-1)</f>
        <v>Snv 979 SW (Tj 985 NE)</v>
      </c>
      <c r="C532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979 SW (Tj 985 NE),PERFORACION</v>
      </c>
      <c r="D532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2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27" s="47" t="s">
        <v>10940</v>
      </c>
      <c r="G5327" t="s">
        <v>10941</v>
      </c>
      <c r="H53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28" spans="1:8" ht="15" customHeight="1" x14ac:dyDescent="0.25">
      <c r="A5328" s="1" t="str">
        <f>MID(TB_CECO[[#This Row],[CECO_T]],1,5)</f>
        <v>1L57D</v>
      </c>
      <c r="B5328" s="1" t="str">
        <f>MID(TB_CECO[[#This Row],[TRABAJO]],1,SEARCH(",",TB_CECO[[#This Row],[TRABAJO]],1)-1)</f>
        <v>Snv 979 SW (Tj 985 NE)</v>
      </c>
      <c r="C532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979 SW (Tj 985 NE),VOLADURA</v>
      </c>
      <c r="D532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2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28" s="47" t="s">
        <v>10942</v>
      </c>
      <c r="G5328" t="s">
        <v>10943</v>
      </c>
      <c r="H53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29" spans="1:8" ht="15" customHeight="1" x14ac:dyDescent="0.25">
      <c r="A5329" s="1" t="str">
        <f>MID(TB_CECO[[#This Row],[CECO_T]],1,5)</f>
        <v>1L57D</v>
      </c>
      <c r="B5329" s="1" t="str">
        <f>MID(TB_CECO[[#This Row],[TRABAJO]],1,SEARCH(",",TB_CECO[[#This Row],[TRABAJO]],1)-1)</f>
        <v>Snv 979 SW (Tj 985 NE)</v>
      </c>
      <c r="C532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979 SW (Tj 985 NE),LIMPIEZA</v>
      </c>
      <c r="D532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2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29" s="47" t="s">
        <v>10944</v>
      </c>
      <c r="G5329" t="s">
        <v>10945</v>
      </c>
      <c r="H53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30" spans="1:8" ht="15" customHeight="1" x14ac:dyDescent="0.25">
      <c r="A5330" s="1" t="str">
        <f>MID(TB_CECO[[#This Row],[CECO_T]],1,5)</f>
        <v>1L57D</v>
      </c>
      <c r="B5330" s="1" t="str">
        <f>MID(TB_CECO[[#This Row],[TRABAJO]],1,SEARCH(",",TB_CECO[[#This Row],[TRABAJO]],1)-1)</f>
        <v>Snv 979 SW (Tj 985 NE)</v>
      </c>
      <c r="C533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979 SW (Tj 985 NE),SOSTENIMIENTO</v>
      </c>
      <c r="D533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3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30" s="47" t="s">
        <v>10946</v>
      </c>
      <c r="G5330" t="s">
        <v>10947</v>
      </c>
      <c r="H53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31" spans="1:8" ht="15" customHeight="1" x14ac:dyDescent="0.25">
      <c r="A5331" s="36" t="str">
        <f>MID(TB_CECO[[#This Row],[CECO_T]],1,5)</f>
        <v>1L57D</v>
      </c>
      <c r="B5331" s="36" t="str">
        <f>MID(TB_CECO[[#This Row],[TRABAJO]],1,SEARCH(",",TB_CECO[[#This Row],[TRABAJO]],1)-1)</f>
        <v>Snv 979 SW (Tj 985 NE)</v>
      </c>
      <c r="C5331" s="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979 SW (Tj 985 NE),SERVICIO</v>
      </c>
      <c r="D5331" s="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31" s="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31" s="47" t="s">
        <v>10948</v>
      </c>
      <c r="G5331" t="s">
        <v>10949</v>
      </c>
      <c r="H53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32" spans="1:8" ht="15" customHeight="1" x14ac:dyDescent="0.25">
      <c r="A5332" s="1" t="str">
        <f>MID(TB_CECO[[#This Row],[CECO_T]],1,5)</f>
        <v>1L57D</v>
      </c>
      <c r="B5332" s="1" t="str">
        <f>MID(TB_CECO[[#This Row],[TRABAJO]],1,SEARCH(",",TB_CECO[[#This Row],[TRABAJO]],1)-1)</f>
        <v>Snv 979 SW (Tj 985 NE)</v>
      </c>
      <c r="C533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979 SW (Tj 985 NE),SERVICIO</v>
      </c>
      <c r="D533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3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32" s="47" t="s">
        <v>10948</v>
      </c>
      <c r="G5332" t="s">
        <v>10949</v>
      </c>
      <c r="H53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33" spans="1:8" ht="15" customHeight="1" x14ac:dyDescent="0.25">
      <c r="A5333" s="1" t="str">
        <f>MID(TB_CECO[[#This Row],[CECO_T]],1,5)</f>
        <v>1L61B</v>
      </c>
      <c r="B5333" s="1" t="str">
        <f>MID(TB_CECO[[#This Row],[TRABAJO]],1,SEARCH(",",TB_CECO[[#This Row],[TRABAJO]],1)-1)</f>
        <v>Est 998 SW (Est 224 SW)</v>
      </c>
      <c r="C533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998 SW (Est 224 SW),PERFORACION</v>
      </c>
      <c r="D533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3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33" s="47" t="s">
        <v>10988</v>
      </c>
      <c r="G5333" t="s">
        <v>10989</v>
      </c>
      <c r="H53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34" spans="1:8" ht="15" customHeight="1" x14ac:dyDescent="0.25">
      <c r="A5334" s="1" t="str">
        <f>MID(TB_CECO[[#This Row],[CECO_T]],1,5)</f>
        <v>1L61B</v>
      </c>
      <c r="B5334" s="1" t="str">
        <f>MID(TB_CECO[[#This Row],[TRABAJO]],1,SEARCH(",",TB_CECO[[#This Row],[TRABAJO]],1)-1)</f>
        <v>Est 998 SW (Est 224 SW)</v>
      </c>
      <c r="C533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998 SW (Est 224 SW),VOLADURA</v>
      </c>
      <c r="D533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3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34" s="47" t="s">
        <v>10990</v>
      </c>
      <c r="G5334" t="s">
        <v>10991</v>
      </c>
      <c r="H53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35" spans="1:8" ht="15" customHeight="1" x14ac:dyDescent="0.25">
      <c r="A5335" s="1" t="str">
        <f>MID(TB_CECO[[#This Row],[CECO_T]],1,5)</f>
        <v>1L61B</v>
      </c>
      <c r="B5335" s="1" t="str">
        <f>MID(TB_CECO[[#This Row],[TRABAJO]],1,SEARCH(",",TB_CECO[[#This Row],[TRABAJO]],1)-1)</f>
        <v>Est 998 SW (Est 224 SW)</v>
      </c>
      <c r="C533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998 SW (Est 224 SW),LIMPIEZA</v>
      </c>
      <c r="D533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3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35" s="47" t="s">
        <v>10992</v>
      </c>
      <c r="G5335" t="s">
        <v>10993</v>
      </c>
      <c r="H53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36" spans="1:8" ht="15" customHeight="1" x14ac:dyDescent="0.25">
      <c r="A5336" s="1" t="str">
        <f>MID(TB_CECO[[#This Row],[CECO_T]],1,5)</f>
        <v>1L61B</v>
      </c>
      <c r="B5336" s="1" t="str">
        <f>MID(TB_CECO[[#This Row],[TRABAJO]],1,SEARCH(",",TB_CECO[[#This Row],[TRABAJO]],1)-1)</f>
        <v>Est 998 SW (Est 224 SW)</v>
      </c>
      <c r="C533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998 SW (Est 224 SW),SOSTENIMIENTO</v>
      </c>
      <c r="D533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3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36" s="47" t="s">
        <v>10994</v>
      </c>
      <c r="G5336" t="s">
        <v>10995</v>
      </c>
      <c r="H53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37" spans="1:8" ht="15" customHeight="1" x14ac:dyDescent="0.25">
      <c r="A5337" s="1" t="str">
        <f>MID(TB_CECO[[#This Row],[CECO_T]],1,5)</f>
        <v>1L61B</v>
      </c>
      <c r="B5337" s="1" t="str">
        <f>MID(TB_CECO[[#This Row],[TRABAJO]],1,SEARCH(",",TB_CECO[[#This Row],[TRABAJO]],1)-1)</f>
        <v>Est 998 SW (Est 224 SW)</v>
      </c>
      <c r="C533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998 SW (Est 224 SW),SERVICIO</v>
      </c>
      <c r="D533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3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37" s="47" t="s">
        <v>10996</v>
      </c>
      <c r="G5337" t="s">
        <v>10997</v>
      </c>
      <c r="H53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38" spans="1:8" ht="15" customHeight="1" x14ac:dyDescent="0.25">
      <c r="A5338" s="1" t="str">
        <f>MID(TB_CECO[[#This Row],[CECO_T]],1,5)</f>
        <v>1E61C</v>
      </c>
      <c r="B5338" s="1" t="str">
        <f>MID(TB_CECO[[#This Row],[TRABAJO]],1,SEARCH(",",TB_CECO[[#This Row],[TRABAJO]],1)-1)</f>
        <v>Est 872 SW (Inc 863 SE)</v>
      </c>
      <c r="C533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872 SW (Inc 863 SE),PERFORACION</v>
      </c>
      <c r="D533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3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38" s="47" t="s">
        <v>10998</v>
      </c>
      <c r="G5338" t="s">
        <v>10999</v>
      </c>
      <c r="H53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39" spans="1:8" ht="15" customHeight="1" x14ac:dyDescent="0.25">
      <c r="A5339" s="1" t="str">
        <f>MID(TB_CECO[[#This Row],[CECO_T]],1,5)</f>
        <v>1E61C</v>
      </c>
      <c r="B5339" s="1" t="str">
        <f>MID(TB_CECO[[#This Row],[TRABAJO]],1,SEARCH(",",TB_CECO[[#This Row],[TRABAJO]],1)-1)</f>
        <v>Est 872 SW (Inc 863 SE)</v>
      </c>
      <c r="C533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872 SW (Inc 863 SE),VOLADURA</v>
      </c>
      <c r="D533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3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39" s="47" t="s">
        <v>11000</v>
      </c>
      <c r="G5339" t="s">
        <v>11001</v>
      </c>
      <c r="H53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40" spans="1:8" ht="15" customHeight="1" x14ac:dyDescent="0.25">
      <c r="A5340" s="1" t="str">
        <f>MID(TB_CECO[[#This Row],[CECO_T]],1,5)</f>
        <v>1E61C</v>
      </c>
      <c r="B5340" s="1" t="str">
        <f>MID(TB_CECO[[#This Row],[TRABAJO]],1,SEARCH(",",TB_CECO[[#This Row],[TRABAJO]],1)-1)</f>
        <v>Est 872 SW (Inc 863 SE)</v>
      </c>
      <c r="C534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872 SW (Inc 863 SE),LIMPIEZA</v>
      </c>
      <c r="D534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4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40" s="47" t="s">
        <v>11002</v>
      </c>
      <c r="G5340" t="s">
        <v>11003</v>
      </c>
      <c r="H53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41" spans="1:8" ht="15" customHeight="1" x14ac:dyDescent="0.25">
      <c r="A5341" s="1" t="str">
        <f>MID(TB_CECO[[#This Row],[CECO_T]],1,5)</f>
        <v>1E61C</v>
      </c>
      <c r="B5341" s="1" t="str">
        <f>MID(TB_CECO[[#This Row],[TRABAJO]],1,SEARCH(",",TB_CECO[[#This Row],[TRABAJO]],1)-1)</f>
        <v>Est 872 SW (Inc 863 SE)</v>
      </c>
      <c r="C534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872 SW (Inc 863 SE),SOSTENIMIENTO</v>
      </c>
      <c r="D534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4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41" s="47" t="s">
        <v>11004</v>
      </c>
      <c r="G5341" t="s">
        <v>11005</v>
      </c>
      <c r="H53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42" spans="1:8" ht="15" customHeight="1" x14ac:dyDescent="0.25">
      <c r="A5342" s="1" t="str">
        <f>MID(TB_CECO[[#This Row],[CECO_T]],1,5)</f>
        <v>1E61C</v>
      </c>
      <c r="B5342" s="1" t="str">
        <f>MID(TB_CECO[[#This Row],[TRABAJO]],1,SEARCH(",",TB_CECO[[#This Row],[TRABAJO]],1)-1)</f>
        <v>Est 872 SW (Inc 863 SE)</v>
      </c>
      <c r="C534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872 SW (Inc 863 SE),SERVICIO</v>
      </c>
      <c r="D534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4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42" s="47" t="s">
        <v>11006</v>
      </c>
      <c r="G5342" t="s">
        <v>11007</v>
      </c>
      <c r="H53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43" spans="1:8" ht="15" customHeight="1" x14ac:dyDescent="0.25">
      <c r="A5343" s="1" t="str">
        <f>MID(TB_CECO[[#This Row],[CECO_T]],1,5)</f>
        <v>1E61D</v>
      </c>
      <c r="B5343" s="1" t="str">
        <f>MID(TB_CECO[[#This Row],[TRABAJO]],1,SEARCH(",",TB_CECO[[#This Row],[TRABAJO]],1)-1)</f>
        <v>Est 867 SW (Inc 863 SE)</v>
      </c>
      <c r="C534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867 SW (Inc 863 SE),PERFORACION</v>
      </c>
      <c r="D534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4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43" s="47" t="s">
        <v>11008</v>
      </c>
      <c r="G5343" t="s">
        <v>11009</v>
      </c>
      <c r="H53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44" spans="1:8" ht="15" customHeight="1" x14ac:dyDescent="0.25">
      <c r="A5344" s="1" t="str">
        <f>MID(TB_CECO[[#This Row],[CECO_T]],1,5)</f>
        <v>1E61D</v>
      </c>
      <c r="B5344" s="1" t="str">
        <f>MID(TB_CECO[[#This Row],[TRABAJO]],1,SEARCH(",",TB_CECO[[#This Row],[TRABAJO]],1)-1)</f>
        <v>Est 867 SW (Inc 863 SE)</v>
      </c>
      <c r="C534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867 SW (Inc 863 SE),VOLADURA</v>
      </c>
      <c r="D534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4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44" s="47" t="s">
        <v>11010</v>
      </c>
      <c r="G5344" t="s">
        <v>11011</v>
      </c>
      <c r="H53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45" spans="1:8" ht="15" customHeight="1" x14ac:dyDescent="0.25">
      <c r="A5345" s="1" t="str">
        <f>MID(TB_CECO[[#This Row],[CECO_T]],1,5)</f>
        <v>1E61D</v>
      </c>
      <c r="B5345" s="1" t="str">
        <f>MID(TB_CECO[[#This Row],[TRABAJO]],1,SEARCH(",",TB_CECO[[#This Row],[TRABAJO]],1)-1)</f>
        <v>Est 867 SW (Inc 863 SE)</v>
      </c>
      <c r="C534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867 SW (Inc 863 SE),LIMPIEZA</v>
      </c>
      <c r="D534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4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45" s="47" t="s">
        <v>11012</v>
      </c>
      <c r="G5345" t="s">
        <v>11013</v>
      </c>
      <c r="H53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46" spans="1:8" ht="15" customHeight="1" x14ac:dyDescent="0.25">
      <c r="A5346" s="1" t="str">
        <f>MID(TB_CECO[[#This Row],[CECO_T]],1,5)</f>
        <v>1E61D</v>
      </c>
      <c r="B5346" s="1" t="str">
        <f>MID(TB_CECO[[#This Row],[TRABAJO]],1,SEARCH(",",TB_CECO[[#This Row],[TRABAJO]],1)-1)</f>
        <v>Est 867 SW (Inc 863 SE)</v>
      </c>
      <c r="C534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867 SW (Inc 863 SE),SOSTENIMIENTO</v>
      </c>
      <c r="D534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4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46" s="47" t="s">
        <v>11014</v>
      </c>
      <c r="G5346" t="s">
        <v>11015</v>
      </c>
      <c r="H53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47" spans="1:8" ht="15" customHeight="1" x14ac:dyDescent="0.25">
      <c r="A5347" s="1" t="str">
        <f>MID(TB_CECO[[#This Row],[CECO_T]],1,5)</f>
        <v>1E61D</v>
      </c>
      <c r="B5347" s="1" t="str">
        <f>MID(TB_CECO[[#This Row],[TRABAJO]],1,SEARCH(",",TB_CECO[[#This Row],[TRABAJO]],1)-1)</f>
        <v>Est 867 SW (Inc 863 SE)</v>
      </c>
      <c r="C534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867 SW (Inc 863 SE),SERVICIO</v>
      </c>
      <c r="D534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4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47" s="47" t="s">
        <v>11016</v>
      </c>
      <c r="G5347" t="s">
        <v>11017</v>
      </c>
      <c r="H53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48" spans="1:8" ht="15" customHeight="1" x14ac:dyDescent="0.25">
      <c r="A5348" s="1" t="str">
        <f>MID(TB_CECO[[#This Row],[CECO_T]],1,5)</f>
        <v>1L57E</v>
      </c>
      <c r="B5348" s="1" t="str">
        <f>MID(TB_CECO[[#This Row],[TRABAJO]],1,SEARCH(",",TB_CECO[[#This Row],[TRABAJO]],1)-1)</f>
        <v>Snv 998 SW (Est 998 SW)</v>
      </c>
      <c r="C534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998 SW (Est 998 SW),PERFORACION</v>
      </c>
      <c r="D534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4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48" s="47" t="s">
        <v>11018</v>
      </c>
      <c r="G5348" t="s">
        <v>11019</v>
      </c>
      <c r="H53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49" spans="1:8" ht="15" customHeight="1" x14ac:dyDescent="0.25">
      <c r="A5349" s="1" t="str">
        <f>MID(TB_CECO[[#This Row],[CECO_T]],1,5)</f>
        <v>1L57E</v>
      </c>
      <c r="B5349" s="1" t="str">
        <f>MID(TB_CECO[[#This Row],[TRABAJO]],1,SEARCH(",",TB_CECO[[#This Row],[TRABAJO]],1)-1)</f>
        <v>Snv 998 SW (Est 998 SW)</v>
      </c>
      <c r="C534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998 SW (Est 998 SW),VOLADURA</v>
      </c>
      <c r="D534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4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49" s="47" t="s">
        <v>11020</v>
      </c>
      <c r="G5349" t="s">
        <v>11021</v>
      </c>
      <c r="H53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50" spans="1:8" ht="15" customHeight="1" x14ac:dyDescent="0.25">
      <c r="A5350" s="1" t="str">
        <f>MID(TB_CECO[[#This Row],[CECO_T]],1,5)</f>
        <v>1L57E</v>
      </c>
      <c r="B5350" s="1" t="str">
        <f>MID(TB_CECO[[#This Row],[TRABAJO]],1,SEARCH(",",TB_CECO[[#This Row],[TRABAJO]],1)-1)</f>
        <v>Snv 998 SW (Est 998 SW)</v>
      </c>
      <c r="C535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998 SW (Est 998 SW),LIMPIEZA</v>
      </c>
      <c r="D535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5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50" s="47" t="s">
        <v>11022</v>
      </c>
      <c r="G5350" t="s">
        <v>11023</v>
      </c>
      <c r="H53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51" spans="1:8" ht="15" customHeight="1" x14ac:dyDescent="0.25">
      <c r="A5351" s="1" t="str">
        <f>MID(TB_CECO[[#This Row],[CECO_T]],1,5)</f>
        <v>1L57E</v>
      </c>
      <c r="B5351" s="1" t="str">
        <f>MID(TB_CECO[[#This Row],[TRABAJO]],1,SEARCH(",",TB_CECO[[#This Row],[TRABAJO]],1)-1)</f>
        <v>Snv 998 SW (Est 998 SW)</v>
      </c>
      <c r="C535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998 SW (Est 998 SW),SOSTENIMIENTO</v>
      </c>
      <c r="D535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5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51" s="47" t="s">
        <v>11024</v>
      </c>
      <c r="G5351" t="s">
        <v>11025</v>
      </c>
      <c r="H53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52" spans="1:8" ht="15" customHeight="1" x14ac:dyDescent="0.25">
      <c r="A5352" s="1" t="str">
        <f>MID(TB_CECO[[#This Row],[CECO_T]],1,5)</f>
        <v>1L57E</v>
      </c>
      <c r="B5352" s="1" t="str">
        <f>MID(TB_CECO[[#This Row],[TRABAJO]],1,SEARCH(",",TB_CECO[[#This Row],[TRABAJO]],1)-1)</f>
        <v>Snv 998 SW (Est 998 SW)</v>
      </c>
      <c r="C535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998 SW (Est 998 SW),SERVICIO</v>
      </c>
      <c r="D535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5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52" s="47" t="s">
        <v>11026</v>
      </c>
      <c r="G5352" t="s">
        <v>11027</v>
      </c>
      <c r="H53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53" spans="1:8" ht="15" customHeight="1" x14ac:dyDescent="0.25">
      <c r="A5353" s="1" t="str">
        <f>MID(TB_CECO[[#This Row],[CECO_T]],1,5)</f>
        <v>2DP05</v>
      </c>
      <c r="B5353" s="1" t="str">
        <f>MID(TB_CECO[[#This Row],[TRABAJO]],1,SEARCH(",",TB_CECO[[#This Row],[TRABAJO]],1)-1)</f>
        <v>Pz 943 (Snv 885 SW)</v>
      </c>
      <c r="C535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943 (Snv 885 SW),PERFORACION</v>
      </c>
      <c r="D535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5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353" s="47" t="s">
        <v>11028</v>
      </c>
      <c r="G5353" t="s">
        <v>11029</v>
      </c>
      <c r="H53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54" spans="1:8" ht="15" customHeight="1" x14ac:dyDescent="0.25">
      <c r="A5354" s="1" t="str">
        <f>MID(TB_CECO[[#This Row],[CECO_T]],1,5)</f>
        <v>2DP05</v>
      </c>
      <c r="B5354" s="1" t="str">
        <f>MID(TB_CECO[[#This Row],[TRABAJO]],1,SEARCH(",",TB_CECO[[#This Row],[TRABAJO]],1)-1)</f>
        <v>Pz 943 (Snv 885 SW)</v>
      </c>
      <c r="C535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943 (Snv 885 SW),VOLADURA</v>
      </c>
      <c r="D535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5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354" s="47" t="s">
        <v>11030</v>
      </c>
      <c r="G5354" t="s">
        <v>11031</v>
      </c>
      <c r="H53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55" spans="1:8" ht="15" customHeight="1" x14ac:dyDescent="0.25">
      <c r="A5355" s="1" t="str">
        <f>MID(TB_CECO[[#This Row],[CECO_T]],1,5)</f>
        <v>2DP05</v>
      </c>
      <c r="B5355" s="1" t="str">
        <f>MID(TB_CECO[[#This Row],[TRABAJO]],1,SEARCH(",",TB_CECO[[#This Row],[TRABAJO]],1)-1)</f>
        <v>Pz 943 (Snv 885 SW)</v>
      </c>
      <c r="C535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943 (Snv 885 SW),LIMPIEZA</v>
      </c>
      <c r="D535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5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355" s="47" t="s">
        <v>11032</v>
      </c>
      <c r="G5355" t="s">
        <v>11033</v>
      </c>
      <c r="H53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56" spans="1:8" ht="15" customHeight="1" x14ac:dyDescent="0.25">
      <c r="A5356" s="1" t="str">
        <f>MID(TB_CECO[[#This Row],[CECO_T]],1,5)</f>
        <v>2DP05</v>
      </c>
      <c r="B5356" s="1" t="str">
        <f>MID(TB_CECO[[#This Row],[TRABAJO]],1,SEARCH(",",TB_CECO[[#This Row],[TRABAJO]],1)-1)</f>
        <v>Pz 943 (Snv 885 SW)</v>
      </c>
      <c r="C535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943 (Snv 885 SW),SOSTENIMIENTO</v>
      </c>
      <c r="D535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5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356" s="47" t="s">
        <v>11034</v>
      </c>
      <c r="G5356" t="s">
        <v>11035</v>
      </c>
      <c r="H53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57" spans="1:8" ht="15" customHeight="1" x14ac:dyDescent="0.25">
      <c r="A5357" s="1" t="str">
        <f>MID(TB_CECO[[#This Row],[CECO_T]],1,5)</f>
        <v>2DP05</v>
      </c>
      <c r="B5357" s="1" t="str">
        <f>MID(TB_CECO[[#This Row],[TRABAJO]],1,SEARCH(",",TB_CECO[[#This Row],[TRABAJO]],1)-1)</f>
        <v>Pz 943 (Snv 885 SW)</v>
      </c>
      <c r="C535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943 (Snv 885 SW),SERVICIO</v>
      </c>
      <c r="D535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5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357" s="47" t="s">
        <v>11036</v>
      </c>
      <c r="G5357" t="s">
        <v>11037</v>
      </c>
      <c r="H53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58" spans="1:8" ht="15" customHeight="1" x14ac:dyDescent="0.25">
      <c r="A5358" s="1" t="str">
        <f>MID(TB_CECO[[#This Row],[CECO_T]],1,5)</f>
        <v>2E414</v>
      </c>
      <c r="B5358" s="1" t="str">
        <f>MID(TB_CECO[[#This Row],[TRABAJO]],1,SEARCH(",",TB_CECO[[#This Row],[TRABAJO]],1)-1)</f>
        <v xml:space="preserve">Pq 877 (Snv 030 NE) </v>
      </c>
      <c r="C535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877 (Snv 030 NE) ,PERFORACION</v>
      </c>
      <c r="D535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5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358" s="47" t="s">
        <v>11038</v>
      </c>
      <c r="G5358" t="s">
        <v>11039</v>
      </c>
      <c r="H53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59" spans="1:8" ht="15" customHeight="1" x14ac:dyDescent="0.25">
      <c r="A5359" s="1" t="str">
        <f>MID(TB_CECO[[#This Row],[CECO_T]],1,5)</f>
        <v>2E414</v>
      </c>
      <c r="B5359" s="1" t="str">
        <f>MID(TB_CECO[[#This Row],[TRABAJO]],1,SEARCH(",",TB_CECO[[#This Row],[TRABAJO]],1)-1)</f>
        <v xml:space="preserve">Pq 877 (Snv 030 NE) </v>
      </c>
      <c r="C535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877 (Snv 030 NE) ,VOLADURA</v>
      </c>
      <c r="D535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5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359" s="47" t="s">
        <v>11040</v>
      </c>
      <c r="G5359" t="s">
        <v>11041</v>
      </c>
      <c r="H53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60" spans="1:8" ht="15" customHeight="1" x14ac:dyDescent="0.25">
      <c r="A5360" s="1" t="str">
        <f>MID(TB_CECO[[#This Row],[CECO_T]],1,5)</f>
        <v>2E414</v>
      </c>
      <c r="B5360" s="1" t="str">
        <f>MID(TB_CECO[[#This Row],[TRABAJO]],1,SEARCH(",",TB_CECO[[#This Row],[TRABAJO]],1)-1)</f>
        <v xml:space="preserve">Pq 877 (Snv 030 NE) </v>
      </c>
      <c r="C536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877 (Snv 030 NE) ,LIMPIEZA</v>
      </c>
      <c r="D536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6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360" s="47" t="s">
        <v>11042</v>
      </c>
      <c r="G5360" t="s">
        <v>11043</v>
      </c>
      <c r="H53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61" spans="1:8" ht="15" customHeight="1" x14ac:dyDescent="0.25">
      <c r="A5361" s="1" t="str">
        <f>MID(TB_CECO[[#This Row],[CECO_T]],1,5)</f>
        <v>2E414</v>
      </c>
      <c r="B5361" s="1" t="str">
        <f>MID(TB_CECO[[#This Row],[TRABAJO]],1,SEARCH(",",TB_CECO[[#This Row],[TRABAJO]],1)-1)</f>
        <v xml:space="preserve">Pq 877 (Snv 030 NE) </v>
      </c>
      <c r="C536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877 (Snv 030 NE) ,SOSTENIMIENTO</v>
      </c>
      <c r="D536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6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361" s="47" t="s">
        <v>11044</v>
      </c>
      <c r="G5361" t="s">
        <v>11045</v>
      </c>
      <c r="H53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62" spans="1:8" ht="15" customHeight="1" x14ac:dyDescent="0.25">
      <c r="A5362" s="1" t="str">
        <f>MID(TB_CECO[[#This Row],[CECO_T]],1,5)</f>
        <v>2E414</v>
      </c>
      <c r="B5362" s="1" t="str">
        <f>MID(TB_CECO[[#This Row],[TRABAJO]],1,SEARCH(",",TB_CECO[[#This Row],[TRABAJO]],1)-1)</f>
        <v xml:space="preserve">Pq 877 (Snv 030 NE) </v>
      </c>
      <c r="C536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877 (Snv 030 NE) ,SERVICIO</v>
      </c>
      <c r="D536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6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362" s="47" t="s">
        <v>11046</v>
      </c>
      <c r="G5362" t="s">
        <v>11047</v>
      </c>
      <c r="H53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63" spans="1:8" ht="15" customHeight="1" x14ac:dyDescent="0.25">
      <c r="A5363" s="1" t="str">
        <f>MID(TB_CECO[[#This Row],[CECO_T]],1,5)</f>
        <v>1D61E</v>
      </c>
      <c r="B5363" s="1" t="str">
        <f>MID(TB_CECO[[#This Row],[TRABAJO]],1,SEARCH(",",TB_CECO[[#This Row],[TRABAJO]],1)-1)</f>
        <v>Est 954 SE (Inc 822 NE)</v>
      </c>
      <c r="C536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954 SE (Inc 822 NE),PERFORACION</v>
      </c>
      <c r="D536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6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63" s="47" t="s">
        <v>11048</v>
      </c>
      <c r="G5363" t="s">
        <v>11049</v>
      </c>
      <c r="H53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64" spans="1:8" ht="15" customHeight="1" x14ac:dyDescent="0.25">
      <c r="A5364" s="1" t="str">
        <f>MID(TB_CECO[[#This Row],[CECO_T]],1,5)</f>
        <v>1D61E</v>
      </c>
      <c r="B5364" s="1" t="str">
        <f>MID(TB_CECO[[#This Row],[TRABAJO]],1,SEARCH(",",TB_CECO[[#This Row],[TRABAJO]],1)-1)</f>
        <v>Est 954 SE (Inc 822 NE)</v>
      </c>
      <c r="C536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954 SE (Inc 822 NE),VOLADURA</v>
      </c>
      <c r="D536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6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64" s="47" t="s">
        <v>11050</v>
      </c>
      <c r="G5364" t="s">
        <v>11051</v>
      </c>
      <c r="H53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65" spans="1:8" ht="15" customHeight="1" x14ac:dyDescent="0.25">
      <c r="A5365" s="1" t="str">
        <f>MID(TB_CECO[[#This Row],[CECO_T]],1,5)</f>
        <v>1D61E</v>
      </c>
      <c r="B5365" s="1" t="str">
        <f>MID(TB_CECO[[#This Row],[TRABAJO]],1,SEARCH(",",TB_CECO[[#This Row],[TRABAJO]],1)-1)</f>
        <v>Est 954 SE (Inc 822 NE)</v>
      </c>
      <c r="C536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954 SE (Inc 822 NE),LIMPIEZA</v>
      </c>
      <c r="D536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6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65" s="47" t="s">
        <v>11052</v>
      </c>
      <c r="G5365" t="s">
        <v>11053</v>
      </c>
      <c r="H53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66" spans="1:8" ht="15" customHeight="1" x14ac:dyDescent="0.25">
      <c r="A5366" s="1" t="str">
        <f>MID(TB_CECO[[#This Row],[CECO_T]],1,5)</f>
        <v>1D61E</v>
      </c>
      <c r="B5366" s="1" t="str">
        <f>MID(TB_CECO[[#This Row],[TRABAJO]],1,SEARCH(",",TB_CECO[[#This Row],[TRABAJO]],1)-1)</f>
        <v>Est 954 SE (Inc 822 NE)</v>
      </c>
      <c r="C536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954 SE (Inc 822 NE),SOSTENIMIENTO</v>
      </c>
      <c r="D536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6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66" s="47" t="s">
        <v>11054</v>
      </c>
      <c r="G5366" t="s">
        <v>11055</v>
      </c>
      <c r="H53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67" spans="1:8" ht="15" customHeight="1" x14ac:dyDescent="0.25">
      <c r="A5367" s="1" t="str">
        <f>MID(TB_CECO[[#This Row],[CECO_T]],1,5)</f>
        <v>1D61E</v>
      </c>
      <c r="B5367" s="1" t="str">
        <f>MID(TB_CECO[[#This Row],[TRABAJO]],1,SEARCH(",",TB_CECO[[#This Row],[TRABAJO]],1)-1)</f>
        <v>Est 954 SE (Inc 822 NE)</v>
      </c>
      <c r="C536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954 SE (Inc 822 NE),SERVICIO</v>
      </c>
      <c r="D536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6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67" s="47" t="s">
        <v>11056</v>
      </c>
      <c r="G5367" t="s">
        <v>11057</v>
      </c>
      <c r="H53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68" spans="1:8" ht="15" customHeight="1" x14ac:dyDescent="0.25">
      <c r="A5368" s="1" t="str">
        <f>MID(TB_CECO[[#This Row],[CECO_T]],1,5)</f>
        <v>1E61F</v>
      </c>
      <c r="B5368" s="1" t="str">
        <f>MID(TB_CECO[[#This Row],[TRABAJO]],1,SEARCH(",",TB_CECO[[#This Row],[TRABAJO]],1)-1)</f>
        <v xml:space="preserve">Est 868 SW (Inc 863 SE) </v>
      </c>
      <c r="C536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868 SW (Inc 863 SE) ,PERFORACION</v>
      </c>
      <c r="D536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6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68" s="47" t="s">
        <v>11058</v>
      </c>
      <c r="G5368" t="s">
        <v>11059</v>
      </c>
      <c r="H53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69" spans="1:8" ht="15" customHeight="1" x14ac:dyDescent="0.25">
      <c r="A5369" s="1" t="str">
        <f>MID(TB_CECO[[#This Row],[CECO_T]],1,5)</f>
        <v>1E61F</v>
      </c>
      <c r="B5369" s="1" t="str">
        <f>MID(TB_CECO[[#This Row],[TRABAJO]],1,SEARCH(",",TB_CECO[[#This Row],[TRABAJO]],1)-1)</f>
        <v xml:space="preserve">Est 868 SW (Inc 863 SE) </v>
      </c>
      <c r="C536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868 SW (Inc 863 SE) ,VOLADURA</v>
      </c>
      <c r="D536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6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69" s="47" t="s">
        <v>11060</v>
      </c>
      <c r="G5369" t="s">
        <v>11061</v>
      </c>
      <c r="H53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70" spans="1:8" ht="15" customHeight="1" x14ac:dyDescent="0.25">
      <c r="A5370" s="1" t="str">
        <f>MID(TB_CECO[[#This Row],[CECO_T]],1,5)</f>
        <v>1E61F</v>
      </c>
      <c r="B5370" s="1" t="str">
        <f>MID(TB_CECO[[#This Row],[TRABAJO]],1,SEARCH(",",TB_CECO[[#This Row],[TRABAJO]],1)-1)</f>
        <v xml:space="preserve">Est 868 SW (Inc 863 SE) </v>
      </c>
      <c r="C537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868 SW (Inc 863 SE) ,LIMPIEZA</v>
      </c>
      <c r="D537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7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70" s="47" t="s">
        <v>11062</v>
      </c>
      <c r="G5370" t="s">
        <v>11063</v>
      </c>
      <c r="H53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71" spans="1:8" ht="15" customHeight="1" x14ac:dyDescent="0.25">
      <c r="A5371" s="1" t="str">
        <f>MID(TB_CECO[[#This Row],[CECO_T]],1,5)</f>
        <v>1E61F</v>
      </c>
      <c r="B5371" s="1" t="str">
        <f>MID(TB_CECO[[#This Row],[TRABAJO]],1,SEARCH(",",TB_CECO[[#This Row],[TRABAJO]],1)-1)</f>
        <v xml:space="preserve">Est 868 SW (Inc 863 SE) </v>
      </c>
      <c r="C537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868 SW (Inc 863 SE) ,SOSTENIMIENTO</v>
      </c>
      <c r="D537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7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71" s="47" t="s">
        <v>11064</v>
      </c>
      <c r="G5371" t="s">
        <v>11065</v>
      </c>
      <c r="H53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72" spans="1:8" ht="15" customHeight="1" x14ac:dyDescent="0.25">
      <c r="A5372" s="1" t="str">
        <f>MID(TB_CECO[[#This Row],[CECO_T]],1,5)</f>
        <v>1E61F</v>
      </c>
      <c r="B5372" s="1" t="str">
        <f>MID(TB_CECO[[#This Row],[TRABAJO]],1,SEARCH(",",TB_CECO[[#This Row],[TRABAJO]],1)-1)</f>
        <v xml:space="preserve">Est 868 SW (Inc 863 SE) </v>
      </c>
      <c r="C537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868 SW (Inc 863 SE) ,SERVICIO</v>
      </c>
      <c r="D537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7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72" s="47" t="s">
        <v>11066</v>
      </c>
      <c r="G5372" t="s">
        <v>11067</v>
      </c>
      <c r="H53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73" spans="1:8" ht="15" customHeight="1" x14ac:dyDescent="0.25">
      <c r="A5373" s="1" t="str">
        <f>MID(TB_CECO[[#This Row],[CECO_T]],1,5)</f>
        <v>3L61G</v>
      </c>
      <c r="B5373" s="1" t="str">
        <f>MID(TB_CECO[[#This Row],[TRABAJO]],1,SEARCH(",",TB_CECO[[#This Row],[TRABAJO]],1)-1)</f>
        <v>Est 994 SW (Tj 985 NE) </v>
      </c>
      <c r="C537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994 SW (Tj 985 NE) ,PERFORACION</v>
      </c>
      <c r="D537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7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373" s="47" t="s">
        <v>11068</v>
      </c>
      <c r="G5373" t="s">
        <v>11069</v>
      </c>
      <c r="H53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74" spans="1:8" ht="15" customHeight="1" x14ac:dyDescent="0.25">
      <c r="A5374" s="1" t="str">
        <f>MID(TB_CECO[[#This Row],[CECO_T]],1,5)</f>
        <v>3L61G</v>
      </c>
      <c r="B5374" s="1" t="str">
        <f>MID(TB_CECO[[#This Row],[TRABAJO]],1,SEARCH(",",TB_CECO[[#This Row],[TRABAJO]],1)-1)</f>
        <v>Est 994 SW (Tj 985 NE) </v>
      </c>
      <c r="C537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994 SW (Tj 985 NE) ,VOLADURA</v>
      </c>
      <c r="D537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7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374" s="47" t="s">
        <v>11070</v>
      </c>
      <c r="G5374" t="s">
        <v>11071</v>
      </c>
      <c r="H53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75" spans="1:8" ht="15" customHeight="1" x14ac:dyDescent="0.25">
      <c r="A5375" s="1" t="str">
        <f>MID(TB_CECO[[#This Row],[CECO_T]],1,5)</f>
        <v>3L61G</v>
      </c>
      <c r="B5375" s="1" t="str">
        <f>MID(TB_CECO[[#This Row],[TRABAJO]],1,SEARCH(",",TB_CECO[[#This Row],[TRABAJO]],1)-1)</f>
        <v>Est 994 SW (Tj 985 NE) </v>
      </c>
      <c r="C537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994 SW (Tj 985 NE) ,LIMPIEZA</v>
      </c>
      <c r="D537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7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375" s="47" t="s">
        <v>11072</v>
      </c>
      <c r="G5375" t="s">
        <v>11073</v>
      </c>
      <c r="H53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76" spans="1:8" ht="15" customHeight="1" x14ac:dyDescent="0.25">
      <c r="A5376" s="1" t="str">
        <f>MID(TB_CECO[[#This Row],[CECO_T]],1,5)</f>
        <v>3L61G</v>
      </c>
      <c r="B5376" s="1" t="str">
        <f>MID(TB_CECO[[#This Row],[TRABAJO]],1,SEARCH(",",TB_CECO[[#This Row],[TRABAJO]],1)-1)</f>
        <v>Est 994 SW (Tj 985 NE) </v>
      </c>
      <c r="C537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994 SW (Tj 985 NE) ,SOSTENIMIENTO</v>
      </c>
      <c r="D537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7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376" s="47" t="s">
        <v>11074</v>
      </c>
      <c r="G5376" t="s">
        <v>11075</v>
      </c>
      <c r="H53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77" spans="1:8" ht="15" customHeight="1" x14ac:dyDescent="0.25">
      <c r="A5377" s="1" t="str">
        <f>MID(TB_CECO[[#This Row],[CECO_T]],1,5)</f>
        <v>3L61G</v>
      </c>
      <c r="B5377" s="1" t="str">
        <f>MID(TB_CECO[[#This Row],[TRABAJO]],1,SEARCH(",",TB_CECO[[#This Row],[TRABAJO]],1)-1)</f>
        <v>Est 994 SW (Tj 985 NE) </v>
      </c>
      <c r="C537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994 SW (Tj 985 NE) ,SERVICIO</v>
      </c>
      <c r="D537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7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377" s="47" t="s">
        <v>11076</v>
      </c>
      <c r="G5377" t="s">
        <v>11077</v>
      </c>
      <c r="H53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78" spans="1:8" ht="15" customHeight="1" x14ac:dyDescent="0.25">
      <c r="A5378" s="1" t="str">
        <f>MID(TB_CECO[[#This Row],[CECO_T]],1,5)</f>
        <v>1L32G</v>
      </c>
      <c r="B5378" s="1" t="str">
        <f>MID(TB_CECO[[#This Row],[TRABAJO]],1,SEARCH(",",TB_CECO[[#This Row],[TRABAJO]],1)-1)</f>
        <v>Ch 953 (Tj 938 NE)</v>
      </c>
      <c r="C537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953 (Tj 938 NE),PERFORACION</v>
      </c>
      <c r="D537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7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78" s="47" t="s">
        <v>11078</v>
      </c>
      <c r="G5378" t="s">
        <v>11079</v>
      </c>
      <c r="H53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79" spans="1:8" ht="15" customHeight="1" x14ac:dyDescent="0.25">
      <c r="A5379" s="1" t="str">
        <f>MID(TB_CECO[[#This Row],[CECO_T]],1,5)</f>
        <v>1L32G</v>
      </c>
      <c r="B5379" s="1" t="str">
        <f>MID(TB_CECO[[#This Row],[TRABAJO]],1,SEARCH(",",TB_CECO[[#This Row],[TRABAJO]],1)-1)</f>
        <v>Ch 953 (Tj 938 NE)</v>
      </c>
      <c r="C537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953 (Tj 938 NE),VOLADURA</v>
      </c>
      <c r="D537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7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79" s="47" t="s">
        <v>11080</v>
      </c>
      <c r="G5379" t="s">
        <v>11081</v>
      </c>
      <c r="H53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80" spans="1:8" ht="15" customHeight="1" x14ac:dyDescent="0.25">
      <c r="A5380" s="1" t="str">
        <f>MID(TB_CECO[[#This Row],[CECO_T]],1,5)</f>
        <v>1L32G</v>
      </c>
      <c r="B5380" s="1" t="str">
        <f>MID(TB_CECO[[#This Row],[TRABAJO]],1,SEARCH(",",TB_CECO[[#This Row],[TRABAJO]],1)-1)</f>
        <v>Ch 953 (Tj 938 NE)</v>
      </c>
      <c r="C538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953 (Tj 938 NE),LIMPIEZA</v>
      </c>
      <c r="D538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8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80" s="47" t="s">
        <v>11082</v>
      </c>
      <c r="G5380" t="s">
        <v>11083</v>
      </c>
      <c r="H53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81" spans="1:8" ht="15" customHeight="1" x14ac:dyDescent="0.25">
      <c r="A5381" s="1" t="str">
        <f>MID(TB_CECO[[#This Row],[CECO_T]],1,5)</f>
        <v>1L32G</v>
      </c>
      <c r="B5381" s="1" t="str">
        <f>MID(TB_CECO[[#This Row],[TRABAJO]],1,SEARCH(",",TB_CECO[[#This Row],[TRABAJO]],1)-1)</f>
        <v>Ch 953 (Tj 938 NE)</v>
      </c>
      <c r="C538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953 (Tj 938 NE),SOSTENIMIENTO</v>
      </c>
      <c r="D538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8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81" s="47" t="s">
        <v>11084</v>
      </c>
      <c r="G5381" t="s">
        <v>11085</v>
      </c>
      <c r="H53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82" spans="1:8" ht="15" customHeight="1" x14ac:dyDescent="0.25">
      <c r="A5382" s="1" t="str">
        <f>MID(TB_CECO[[#This Row],[CECO_T]],1,5)</f>
        <v>1L32G</v>
      </c>
      <c r="B5382" s="1" t="str">
        <f>MID(TB_CECO[[#This Row],[TRABAJO]],1,SEARCH(",",TB_CECO[[#This Row],[TRABAJO]],1)-1)</f>
        <v>Ch 953 (Tj 938 NE)</v>
      </c>
      <c r="C538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953 (Tj 938 NE),SERVICIO</v>
      </c>
      <c r="D538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38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82" s="47" t="s">
        <v>11086</v>
      </c>
      <c r="G5382" t="s">
        <v>11087</v>
      </c>
      <c r="H53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83" spans="1:8" ht="15" customHeight="1" x14ac:dyDescent="0.25">
      <c r="A5383" s="1" t="str">
        <f>MID(TB_CECO[[#This Row],[CECO_T]],1,5)</f>
        <v>3D57F</v>
      </c>
      <c r="B5383" s="1" t="str">
        <f>MID(TB_CECO[[#This Row],[TRABAJO]],1,SEARCH(",",TB_CECO[[#This Row],[TRABAJO]],1)-1)</f>
        <v>Snv  865 SW (Est 945 SE)</v>
      </c>
      <c r="C538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945 SE),PERFORACION</v>
      </c>
      <c r="D538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8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383" s="47" t="s">
        <v>11088</v>
      </c>
      <c r="G5383" t="s">
        <v>11089</v>
      </c>
      <c r="H53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84" spans="1:8" ht="15" customHeight="1" x14ac:dyDescent="0.25">
      <c r="A5384" s="1" t="str">
        <f>MID(TB_CECO[[#This Row],[CECO_T]],1,5)</f>
        <v>3D57F</v>
      </c>
      <c r="B5384" s="1" t="str">
        <f>MID(TB_CECO[[#This Row],[TRABAJO]],1,SEARCH(",",TB_CECO[[#This Row],[TRABAJO]],1)-1)</f>
        <v>Snv  865 SW (Est 945 SE)</v>
      </c>
      <c r="C538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945 SE),VOLADURA</v>
      </c>
      <c r="D538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8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384" s="47" t="s">
        <v>11090</v>
      </c>
      <c r="G5384" t="s">
        <v>11091</v>
      </c>
      <c r="H53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85" spans="1:8" ht="15" customHeight="1" x14ac:dyDescent="0.25">
      <c r="A5385" s="1" t="str">
        <f>MID(TB_CECO[[#This Row],[CECO_T]],1,5)</f>
        <v>3D57F</v>
      </c>
      <c r="B5385" s="1" t="str">
        <f>MID(TB_CECO[[#This Row],[TRABAJO]],1,SEARCH(",",TB_CECO[[#This Row],[TRABAJO]],1)-1)</f>
        <v>Snv  865 SW (Est 945 SE)</v>
      </c>
      <c r="C538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945 SE),LIMPIEZA</v>
      </c>
      <c r="D538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8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385" s="47" t="s">
        <v>11092</v>
      </c>
      <c r="G5385" t="s">
        <v>11093</v>
      </c>
      <c r="H53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86" spans="1:8" ht="15" customHeight="1" x14ac:dyDescent="0.25">
      <c r="A5386" s="1" t="str">
        <f>MID(TB_CECO[[#This Row],[CECO_T]],1,5)</f>
        <v>3D57F</v>
      </c>
      <c r="B5386" s="1" t="str">
        <f>MID(TB_CECO[[#This Row],[TRABAJO]],1,SEARCH(",",TB_CECO[[#This Row],[TRABAJO]],1)-1)</f>
        <v>Snv  865 SW (Est 945 SE)</v>
      </c>
      <c r="C538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945 SE),SOSTENIMIENTO</v>
      </c>
      <c r="D538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8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386" s="47" t="s">
        <v>11094</v>
      </c>
      <c r="G5386" t="s">
        <v>11095</v>
      </c>
      <c r="H53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87" spans="1:8" ht="15" customHeight="1" x14ac:dyDescent="0.25">
      <c r="A5387" s="1" t="str">
        <f>MID(TB_CECO[[#This Row],[CECO_T]],1,5)</f>
        <v>3D57F</v>
      </c>
      <c r="B5387" s="1" t="str">
        <f>MID(TB_CECO[[#This Row],[TRABAJO]],1,SEARCH(",",TB_CECO[[#This Row],[TRABAJO]],1)-1)</f>
        <v>Snv  865 SW (Est 945 SE)</v>
      </c>
      <c r="C538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945 SE),SERVICIO</v>
      </c>
      <c r="D538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8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387" s="47" t="s">
        <v>11096</v>
      </c>
      <c r="G5387" t="s">
        <v>11097</v>
      </c>
      <c r="H53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88" spans="1:8" ht="15" customHeight="1" x14ac:dyDescent="0.25">
      <c r="A5388" s="1" t="str">
        <f>MID(TB_CECO[[#This Row],[CECO_T]],1,5)</f>
        <v>1D61H</v>
      </c>
      <c r="B5388" s="1" t="str">
        <f>MID(TB_CECO[[#This Row],[TRABAJO]],1,SEARCH(",",TB_CECO[[#This Row],[TRABAJO]],1)-1)</f>
        <v>Est 966 S (Inc 822 NE)</v>
      </c>
      <c r="C538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966 S (Inc 822 NE),PERFORACION</v>
      </c>
      <c r="D538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8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88" s="47" t="s">
        <v>11098</v>
      </c>
      <c r="G5388" t="s">
        <v>11099</v>
      </c>
      <c r="H53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89" spans="1:8" ht="15" customHeight="1" x14ac:dyDescent="0.25">
      <c r="A5389" s="1" t="str">
        <f>MID(TB_CECO[[#This Row],[CECO_T]],1,5)</f>
        <v>1D61H</v>
      </c>
      <c r="B5389" s="1" t="str">
        <f>MID(TB_CECO[[#This Row],[TRABAJO]],1,SEARCH(",",TB_CECO[[#This Row],[TRABAJO]],1)-1)</f>
        <v>Est 966 S (Inc 822 NE)</v>
      </c>
      <c r="C538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966 S (Inc 822 NE),VOLADURA</v>
      </c>
      <c r="D538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8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89" s="47" t="s">
        <v>11100</v>
      </c>
      <c r="G5389" t="s">
        <v>11101</v>
      </c>
      <c r="H53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90" spans="1:8" ht="15" customHeight="1" x14ac:dyDescent="0.25">
      <c r="A5390" s="1" t="str">
        <f>MID(TB_CECO[[#This Row],[CECO_T]],1,5)</f>
        <v>1D61H</v>
      </c>
      <c r="B5390" s="1" t="str">
        <f>MID(TB_CECO[[#This Row],[TRABAJO]],1,SEARCH(",",TB_CECO[[#This Row],[TRABAJO]],1)-1)</f>
        <v>Est 966 S (Inc 822 NE)</v>
      </c>
      <c r="C539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966 S (Inc 822 NE),LIMPIEZA</v>
      </c>
      <c r="D539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9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90" s="47" t="s">
        <v>11102</v>
      </c>
      <c r="G5390" t="s">
        <v>11103</v>
      </c>
      <c r="H53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91" spans="1:8" ht="15" customHeight="1" x14ac:dyDescent="0.25">
      <c r="A5391" s="1" t="str">
        <f>MID(TB_CECO[[#This Row],[CECO_T]],1,5)</f>
        <v>1D61H</v>
      </c>
      <c r="B5391" s="1" t="str">
        <f>MID(TB_CECO[[#This Row],[TRABAJO]],1,SEARCH(",",TB_CECO[[#This Row],[TRABAJO]],1)-1)</f>
        <v>Est 966 S (Inc 822 NE)</v>
      </c>
      <c r="C539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966 S (Inc 822 NE),SOSTENIMIENTO</v>
      </c>
      <c r="D539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9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91" s="47" t="s">
        <v>11104</v>
      </c>
      <c r="G5391" t="s">
        <v>11105</v>
      </c>
      <c r="H53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92" spans="1:8" ht="15" customHeight="1" x14ac:dyDescent="0.25">
      <c r="A5392" s="1" t="str">
        <f>MID(TB_CECO[[#This Row],[CECO_T]],1,5)</f>
        <v>1D61H</v>
      </c>
      <c r="B5392" s="1" t="str">
        <f>MID(TB_CECO[[#This Row],[TRABAJO]],1,SEARCH(",",TB_CECO[[#This Row],[TRABAJO]],1)-1)</f>
        <v>Est 966 S (Inc 822 NE)</v>
      </c>
      <c r="C539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966 S (Inc 822 NE),SERVICIO</v>
      </c>
      <c r="D539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9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92" s="47" t="s">
        <v>11106</v>
      </c>
      <c r="G5392" t="s">
        <v>11107</v>
      </c>
      <c r="H53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93" spans="1:8" ht="15" customHeight="1" x14ac:dyDescent="0.25">
      <c r="A5393" s="1" t="str">
        <f>MID(TB_CECO[[#This Row],[CECO_T]],1,5)</f>
        <v>1E61I</v>
      </c>
      <c r="B5393" s="1" t="str">
        <f>MID(TB_CECO[[#This Row],[TRABAJO]],1,SEARCH(",",TB_CECO[[#This Row],[TRABAJO]],1)-1)</f>
        <v>Est 816 SE (Snv 030 SW)</v>
      </c>
      <c r="C539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816 SE (Snv 030 SW),PERFORACION</v>
      </c>
      <c r="D539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9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93" s="47" t="s">
        <v>11108</v>
      </c>
      <c r="G5393" t="s">
        <v>11109</v>
      </c>
      <c r="H53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94" spans="1:8" ht="15" customHeight="1" x14ac:dyDescent="0.25">
      <c r="A5394" s="1" t="str">
        <f>MID(TB_CECO[[#This Row],[CECO_T]],1,5)</f>
        <v>1E61I</v>
      </c>
      <c r="B5394" s="1" t="str">
        <f>MID(TB_CECO[[#This Row],[TRABAJO]],1,SEARCH(",",TB_CECO[[#This Row],[TRABAJO]],1)-1)</f>
        <v>Est 816 SE (Snv 030 SW)</v>
      </c>
      <c r="C539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816 SE (Snv 030 SW),VOLADURA</v>
      </c>
      <c r="D539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9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94" s="47" t="s">
        <v>11110</v>
      </c>
      <c r="G5394" t="s">
        <v>11111</v>
      </c>
      <c r="H53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95" spans="1:8" ht="15" customHeight="1" x14ac:dyDescent="0.25">
      <c r="A5395" s="1" t="str">
        <f>MID(TB_CECO[[#This Row],[CECO_T]],1,5)</f>
        <v>1E61I</v>
      </c>
      <c r="B5395" s="1" t="str">
        <f>MID(TB_CECO[[#This Row],[TRABAJO]],1,SEARCH(",",TB_CECO[[#This Row],[TRABAJO]],1)-1)</f>
        <v>Est 816 SE (Snv 030 SW)</v>
      </c>
      <c r="C539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816 SE (Snv 030 SW),LIMPIEZA</v>
      </c>
      <c r="D539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9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95" s="47" t="s">
        <v>11112</v>
      </c>
      <c r="G5395" t="s">
        <v>11113</v>
      </c>
      <c r="H53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96" spans="1:8" ht="15" customHeight="1" x14ac:dyDescent="0.25">
      <c r="A5396" s="1" t="str">
        <f>MID(TB_CECO[[#This Row],[CECO_T]],1,5)</f>
        <v>1E61I</v>
      </c>
      <c r="B5396" s="1" t="str">
        <f>MID(TB_CECO[[#This Row],[TRABAJO]],1,SEARCH(",",TB_CECO[[#This Row],[TRABAJO]],1)-1)</f>
        <v>Est 816 SE (Snv 030 SW)</v>
      </c>
      <c r="C539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816 SE (Snv 030 SW),SOSTENIMIENTO</v>
      </c>
      <c r="D539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9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96" s="47" t="s">
        <v>11114</v>
      </c>
      <c r="G5396" t="s">
        <v>11115</v>
      </c>
      <c r="H53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97" spans="1:8" ht="15" customHeight="1" x14ac:dyDescent="0.25">
      <c r="A5397" s="1" t="str">
        <f>MID(TB_CECO[[#This Row],[CECO_T]],1,5)</f>
        <v>1E61I</v>
      </c>
      <c r="B5397" s="1" t="str">
        <f>MID(TB_CECO[[#This Row],[TRABAJO]],1,SEARCH(",",TB_CECO[[#This Row],[TRABAJO]],1)-1)</f>
        <v>Est 816 SE (Snv 030 SW)</v>
      </c>
      <c r="C539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816 SE (Snv 030 SW),SERVICIO</v>
      </c>
      <c r="D539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39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97" s="47" t="s">
        <v>11116</v>
      </c>
      <c r="G5397" t="s">
        <v>11117</v>
      </c>
      <c r="H53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98" spans="1:8" ht="15" customHeight="1" x14ac:dyDescent="0.25">
      <c r="A5398" s="1" t="str">
        <f>MID(TB_CECO[[#This Row],[CECO_T]],1,5)</f>
        <v>1D57G</v>
      </c>
      <c r="B5398" s="1" t="str">
        <f>MID(TB_CECO[[#This Row],[TRABAJO]],1,SEARCH(",",TB_CECO[[#This Row],[TRABAJO]],1)-1)</f>
        <v>Snv  865 SW (Est 966 S)</v>
      </c>
      <c r="C539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966 S),PERFORACION</v>
      </c>
      <c r="D539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9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98" s="47" t="s">
        <v>11118</v>
      </c>
      <c r="G5398" t="s">
        <v>11119</v>
      </c>
      <c r="H53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399" spans="1:8" ht="15" customHeight="1" x14ac:dyDescent="0.25">
      <c r="A5399" s="1" t="str">
        <f>MID(TB_CECO[[#This Row],[CECO_T]],1,5)</f>
        <v>1D57G</v>
      </c>
      <c r="B5399" s="1" t="str">
        <f>MID(TB_CECO[[#This Row],[TRABAJO]],1,SEARCH(",",TB_CECO[[#This Row],[TRABAJO]],1)-1)</f>
        <v>Snv  865 SW (Est 966 S)</v>
      </c>
      <c r="C539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966 S),VOLADURA</v>
      </c>
      <c r="D539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39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399" s="47" t="s">
        <v>11120</v>
      </c>
      <c r="G5399" t="s">
        <v>11121</v>
      </c>
      <c r="H53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00" spans="1:8" ht="15" customHeight="1" x14ac:dyDescent="0.25">
      <c r="A5400" s="1" t="str">
        <f>MID(TB_CECO[[#This Row],[CECO_T]],1,5)</f>
        <v>1D57G</v>
      </c>
      <c r="B5400" s="1" t="str">
        <f>MID(TB_CECO[[#This Row],[TRABAJO]],1,SEARCH(",",TB_CECO[[#This Row],[TRABAJO]],1)-1)</f>
        <v>Snv  865 SW (Est 966 S)</v>
      </c>
      <c r="C540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966 S),LIMPIEZA</v>
      </c>
      <c r="D540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0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00" s="47" t="s">
        <v>11122</v>
      </c>
      <c r="G5400" t="s">
        <v>11123</v>
      </c>
      <c r="H54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01" spans="1:8" ht="15" customHeight="1" x14ac:dyDescent="0.25">
      <c r="A5401" s="1" t="str">
        <f>MID(TB_CECO[[#This Row],[CECO_T]],1,5)</f>
        <v>1D57G</v>
      </c>
      <c r="B5401" s="1" t="str">
        <f>MID(TB_CECO[[#This Row],[TRABAJO]],1,SEARCH(",",TB_CECO[[#This Row],[TRABAJO]],1)-1)</f>
        <v>Snv  865 SW (Est 966 S)</v>
      </c>
      <c r="C540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966 S),SOSTENIMIENTO</v>
      </c>
      <c r="D540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0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01" s="47" t="s">
        <v>11124</v>
      </c>
      <c r="G5401" t="s">
        <v>11125</v>
      </c>
      <c r="H54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02" spans="1:8" ht="15" customHeight="1" x14ac:dyDescent="0.25">
      <c r="A5402" s="1" t="str">
        <f>MID(TB_CECO[[#This Row],[CECO_T]],1,5)</f>
        <v>1D57G</v>
      </c>
      <c r="B5402" s="1" t="str">
        <f>MID(TB_CECO[[#This Row],[TRABAJO]],1,SEARCH(",",TB_CECO[[#This Row],[TRABAJO]],1)-1)</f>
        <v>Snv  865 SW (Est 966 S)</v>
      </c>
      <c r="C540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966 S),SERVICIO</v>
      </c>
      <c r="D540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0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02" s="47" t="s">
        <v>11126</v>
      </c>
      <c r="G5402" t="s">
        <v>11127</v>
      </c>
      <c r="H54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03" spans="1:8" ht="15" customHeight="1" x14ac:dyDescent="0.25">
      <c r="A5403" s="1" t="str">
        <f>MID(TB_CECO[[#This Row],[CECO_T]],1,5)</f>
        <v>1D57H</v>
      </c>
      <c r="B5403" s="1" t="str">
        <f>MID(TB_CECO[[#This Row],[TRABAJO]],1,SEARCH(",",TB_CECO[[#This Row],[TRABAJO]],1)-1)</f>
        <v>Snv  865 NE (Est 966 S)</v>
      </c>
      <c r="C540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NE (Est 966 S),PERFORACION</v>
      </c>
      <c r="D540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0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03" s="47" t="s">
        <v>11128</v>
      </c>
      <c r="G5403" t="s">
        <v>11129</v>
      </c>
      <c r="H54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04" spans="1:8" ht="15" customHeight="1" x14ac:dyDescent="0.25">
      <c r="A5404" s="1" t="str">
        <f>MID(TB_CECO[[#This Row],[CECO_T]],1,5)</f>
        <v>1D57H</v>
      </c>
      <c r="B5404" s="1" t="str">
        <f>MID(TB_CECO[[#This Row],[TRABAJO]],1,SEARCH(",",TB_CECO[[#This Row],[TRABAJO]],1)-1)</f>
        <v>Snv  865 NE (Est 966 S)</v>
      </c>
      <c r="C540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NE (Est 966 S),VOLADURA</v>
      </c>
      <c r="D540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0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04" s="47" t="s">
        <v>11130</v>
      </c>
      <c r="G5404" t="s">
        <v>11131</v>
      </c>
      <c r="H54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05" spans="1:8" ht="15" customHeight="1" x14ac:dyDescent="0.25">
      <c r="A5405" s="1" t="str">
        <f>MID(TB_CECO[[#This Row],[CECO_T]],1,5)</f>
        <v>1D57H</v>
      </c>
      <c r="B5405" s="1" t="str">
        <f>MID(TB_CECO[[#This Row],[TRABAJO]],1,SEARCH(",",TB_CECO[[#This Row],[TRABAJO]],1)-1)</f>
        <v>Snv  865 NE (Est 966 S)</v>
      </c>
      <c r="C540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NE (Est 966 S),LIMPIEZA</v>
      </c>
      <c r="D540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0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05" s="47" t="s">
        <v>11132</v>
      </c>
      <c r="G5405" t="s">
        <v>11133</v>
      </c>
      <c r="H54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06" spans="1:8" ht="15" customHeight="1" x14ac:dyDescent="0.25">
      <c r="A5406" s="1" t="str">
        <f>MID(TB_CECO[[#This Row],[CECO_T]],1,5)</f>
        <v>1D57H</v>
      </c>
      <c r="B5406" s="1" t="str">
        <f>MID(TB_CECO[[#This Row],[TRABAJO]],1,SEARCH(",",TB_CECO[[#This Row],[TRABAJO]],1)-1)</f>
        <v>Snv  865 NE (Est 966 S)</v>
      </c>
      <c r="C540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NE (Est 966 S),SOSTENIMIENTO</v>
      </c>
      <c r="D540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0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06" s="47" t="s">
        <v>11134</v>
      </c>
      <c r="G5406" t="s">
        <v>11135</v>
      </c>
      <c r="H54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07" spans="1:8" ht="15" customHeight="1" x14ac:dyDescent="0.25">
      <c r="A5407" s="1" t="str">
        <f>MID(TB_CECO[[#This Row],[CECO_T]],1,5)</f>
        <v>1D57H</v>
      </c>
      <c r="B5407" s="1" t="str">
        <f>MID(TB_CECO[[#This Row],[TRABAJO]],1,SEARCH(",",TB_CECO[[#This Row],[TRABAJO]],1)-1)</f>
        <v>Snv  865 NE (Est 966 S)</v>
      </c>
      <c r="C540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NE (Est 966 S),SERVICIO</v>
      </c>
      <c r="D540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0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07" s="47" t="s">
        <v>11136</v>
      </c>
      <c r="G5407" t="s">
        <v>11137</v>
      </c>
      <c r="H54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08" spans="1:8" ht="15" customHeight="1" x14ac:dyDescent="0.25">
      <c r="A5408" s="1" t="str">
        <f>MID(TB_CECO[[#This Row],[CECO_T]],1,5)</f>
        <v>2E61J</v>
      </c>
      <c r="B5408" s="1" t="str">
        <f>MID(TB_CECO[[#This Row],[TRABAJO]],1,SEARCH(",",TB_CECO[[#This Row],[TRABAJO]],1)-1)</f>
        <v>Est 869 SW (Inc 863 SE)</v>
      </c>
      <c r="C540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869 SW (Inc 863 SE),PERFORACION</v>
      </c>
      <c r="D540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0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408" s="47" t="s">
        <v>11138</v>
      </c>
      <c r="G5408" t="s">
        <v>11139</v>
      </c>
      <c r="H54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09" spans="1:8" ht="15" customHeight="1" x14ac:dyDescent="0.25">
      <c r="A5409" s="1" t="str">
        <f>MID(TB_CECO[[#This Row],[CECO_T]],1,5)</f>
        <v>2E61J</v>
      </c>
      <c r="B5409" s="1" t="str">
        <f>MID(TB_CECO[[#This Row],[TRABAJO]],1,SEARCH(",",TB_CECO[[#This Row],[TRABAJO]],1)-1)</f>
        <v>Est 869 SW (Inc 863 SE)</v>
      </c>
      <c r="C540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869 SW (Inc 863 SE),VOLADURA</v>
      </c>
      <c r="D540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0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409" s="47" t="s">
        <v>11140</v>
      </c>
      <c r="G5409" t="s">
        <v>11141</v>
      </c>
      <c r="H54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10" spans="1:8" ht="15" customHeight="1" x14ac:dyDescent="0.25">
      <c r="A5410" s="1" t="str">
        <f>MID(TB_CECO[[#This Row],[CECO_T]],1,5)</f>
        <v>2E61J</v>
      </c>
      <c r="B5410" s="1" t="str">
        <f>MID(TB_CECO[[#This Row],[TRABAJO]],1,SEARCH(",",TB_CECO[[#This Row],[TRABAJO]],1)-1)</f>
        <v>Est 869 SW (Inc 863 SE)</v>
      </c>
      <c r="C541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869 SW (Inc 863 SE),LIMPIEZA</v>
      </c>
      <c r="D541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1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410" s="47" t="s">
        <v>11142</v>
      </c>
      <c r="G5410" t="s">
        <v>11143</v>
      </c>
      <c r="H54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11" spans="1:8" ht="15" customHeight="1" x14ac:dyDescent="0.25">
      <c r="A5411" s="1" t="str">
        <f>MID(TB_CECO[[#This Row],[CECO_T]],1,5)</f>
        <v>2E61J</v>
      </c>
      <c r="B5411" s="1" t="str">
        <f>MID(TB_CECO[[#This Row],[TRABAJO]],1,SEARCH(",",TB_CECO[[#This Row],[TRABAJO]],1)-1)</f>
        <v>Est 869 SW (Inc 863 SE)</v>
      </c>
      <c r="C541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869 SW (Inc 863 SE),SOSTENIMIENTO</v>
      </c>
      <c r="D541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1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411" s="47" t="s">
        <v>11144</v>
      </c>
      <c r="G5411" t="s">
        <v>11145</v>
      </c>
      <c r="H54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12" spans="1:8" ht="15" customHeight="1" x14ac:dyDescent="0.25">
      <c r="A5412" s="1" t="str">
        <f>MID(TB_CECO[[#This Row],[CECO_T]],1,5)</f>
        <v>2E61J</v>
      </c>
      <c r="B5412" s="1" t="str">
        <f>MID(TB_CECO[[#This Row],[TRABAJO]],1,SEARCH(",",TB_CECO[[#This Row],[TRABAJO]],1)-1)</f>
        <v>Est 869 SW (Inc 863 SE)</v>
      </c>
      <c r="C541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869 SW (Inc 863 SE),SERVICIO</v>
      </c>
      <c r="D541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1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412" s="47" t="s">
        <v>11146</v>
      </c>
      <c r="G5412" t="s">
        <v>11147</v>
      </c>
      <c r="H54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13" spans="1:8" ht="15" customHeight="1" x14ac:dyDescent="0.25">
      <c r="A5413" s="1" t="str">
        <f>MID(TB_CECO[[#This Row],[CECO_T]],1,5)</f>
        <v>1D61K</v>
      </c>
      <c r="B5413" s="1" t="str">
        <f>MID(TB_CECO[[#This Row],[TRABAJO]],1,SEARCH(",",TB_CECO[[#This Row],[TRABAJO]],1)-1)</f>
        <v>Est 966 N (Inc 822 SE)</v>
      </c>
      <c r="C541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966 N (Inc 822 SE),PERFORACION</v>
      </c>
      <c r="D541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1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13" s="47" t="s">
        <v>11184</v>
      </c>
      <c r="G5413" t="s">
        <v>11185</v>
      </c>
      <c r="H54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14" spans="1:8" ht="15" customHeight="1" x14ac:dyDescent="0.25">
      <c r="A5414" s="1" t="str">
        <f>MID(TB_CECO[[#This Row],[CECO_T]],1,5)</f>
        <v>1D61K</v>
      </c>
      <c r="B5414" s="1" t="str">
        <f>MID(TB_CECO[[#This Row],[TRABAJO]],1,SEARCH(",",TB_CECO[[#This Row],[TRABAJO]],1)-1)</f>
        <v>Est 966 N (Inc 822 SE)</v>
      </c>
      <c r="C541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966 N (Inc 822 SE),VOLADURA</v>
      </c>
      <c r="D541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1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14" s="47" t="s">
        <v>11186</v>
      </c>
      <c r="G5414" t="s">
        <v>11187</v>
      </c>
      <c r="H54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15" spans="1:8" ht="15" customHeight="1" x14ac:dyDescent="0.25">
      <c r="A5415" s="1" t="str">
        <f>MID(TB_CECO[[#This Row],[CECO_T]],1,5)</f>
        <v>1D61K</v>
      </c>
      <c r="B5415" s="1" t="str">
        <f>MID(TB_CECO[[#This Row],[TRABAJO]],1,SEARCH(",",TB_CECO[[#This Row],[TRABAJO]],1)-1)</f>
        <v>Est 966 N (Inc 822 SE)</v>
      </c>
      <c r="C541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966 N (Inc 822 SE),LIMPIEZA</v>
      </c>
      <c r="D541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1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15" s="47" t="s">
        <v>11188</v>
      </c>
      <c r="G5415" t="s">
        <v>11189</v>
      </c>
      <c r="H54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16" spans="1:8" ht="15" customHeight="1" x14ac:dyDescent="0.25">
      <c r="A5416" s="1" t="str">
        <f>MID(TB_CECO[[#This Row],[CECO_T]],1,5)</f>
        <v>1D61K</v>
      </c>
      <c r="B5416" s="1" t="str">
        <f>MID(TB_CECO[[#This Row],[TRABAJO]],1,SEARCH(",",TB_CECO[[#This Row],[TRABAJO]],1)-1)</f>
        <v>Est 966 N (Inc 822 SE)</v>
      </c>
      <c r="C541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966 N (Inc 822 SE),SOSTENIMIENTO</v>
      </c>
      <c r="D541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1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16" s="47" t="s">
        <v>11190</v>
      </c>
      <c r="G5416" t="s">
        <v>11191</v>
      </c>
      <c r="H54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17" spans="1:8" ht="15" customHeight="1" x14ac:dyDescent="0.25">
      <c r="A5417" s="1" t="str">
        <f>MID(TB_CECO[[#This Row],[CECO_T]],1,5)</f>
        <v>1D61K</v>
      </c>
      <c r="B5417" s="1" t="str">
        <f>MID(TB_CECO[[#This Row],[TRABAJO]],1,SEARCH(",",TB_CECO[[#This Row],[TRABAJO]],1)-1)</f>
        <v>Est 966 N (Inc 822 SE)</v>
      </c>
      <c r="C541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966 N (Inc 822 SE),SERVICIO</v>
      </c>
      <c r="D541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1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17" s="47" t="s">
        <v>11192</v>
      </c>
      <c r="G5417" t="s">
        <v>11193</v>
      </c>
      <c r="H54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18" spans="1:8" ht="15" customHeight="1" x14ac:dyDescent="0.25">
      <c r="A5418" s="1" t="str">
        <f>MID(TB_CECO[[#This Row],[CECO_T]],1,5)</f>
        <v>1L32H</v>
      </c>
      <c r="B5418" s="1" t="str">
        <f>MID(TB_CECO[[#This Row],[TRABAJO]],1,SEARCH(",",TB_CECO[[#This Row],[TRABAJO]],1)-1)</f>
        <v>Ch 980 (Tj 985 NE)</v>
      </c>
      <c r="C541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980 (Tj 985 NE),PERFORACION</v>
      </c>
      <c r="D541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1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18" s="47" t="s">
        <v>11194</v>
      </c>
      <c r="G5418" t="s">
        <v>11195</v>
      </c>
      <c r="H54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19" spans="1:8" ht="15" customHeight="1" x14ac:dyDescent="0.25">
      <c r="A5419" s="1" t="str">
        <f>MID(TB_CECO[[#This Row],[CECO_T]],1,5)</f>
        <v>1L32H</v>
      </c>
      <c r="B5419" s="1" t="str">
        <f>MID(TB_CECO[[#This Row],[TRABAJO]],1,SEARCH(",",TB_CECO[[#This Row],[TRABAJO]],1)-1)</f>
        <v>Ch 980 (Tj 985 NE)</v>
      </c>
      <c r="C541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980 (Tj 985 NE),VOLADURA</v>
      </c>
      <c r="D541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1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19" s="47" t="s">
        <v>11196</v>
      </c>
      <c r="G5419" t="s">
        <v>11197</v>
      </c>
      <c r="H54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20" spans="1:8" ht="15" customHeight="1" x14ac:dyDescent="0.25">
      <c r="A5420" s="1" t="str">
        <f>MID(TB_CECO[[#This Row],[CECO_T]],1,5)</f>
        <v>1L32H</v>
      </c>
      <c r="B5420" s="1" t="str">
        <f>MID(TB_CECO[[#This Row],[TRABAJO]],1,SEARCH(",",TB_CECO[[#This Row],[TRABAJO]],1)-1)</f>
        <v>Ch 980 (Tj 985 NE)</v>
      </c>
      <c r="C542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980 (Tj 985 NE),LIMPIEZA</v>
      </c>
      <c r="D542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2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20" s="47" t="s">
        <v>11198</v>
      </c>
      <c r="G5420" t="s">
        <v>11199</v>
      </c>
      <c r="H54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21" spans="1:8" ht="15" customHeight="1" x14ac:dyDescent="0.25">
      <c r="A5421" s="1" t="str">
        <f>MID(TB_CECO[[#This Row],[CECO_T]],1,5)</f>
        <v>1L32H</v>
      </c>
      <c r="B5421" s="1" t="str">
        <f>MID(TB_CECO[[#This Row],[TRABAJO]],1,SEARCH(",",TB_CECO[[#This Row],[TRABAJO]],1)-1)</f>
        <v>Ch 980 (Tj 985 NE)</v>
      </c>
      <c r="C542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980 (Tj 985 NE),SOSTENIMIENTO</v>
      </c>
      <c r="D542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2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21" s="47" t="s">
        <v>11200</v>
      </c>
      <c r="G5421" t="s">
        <v>11201</v>
      </c>
      <c r="H54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22" spans="1:8" ht="15" customHeight="1" x14ac:dyDescent="0.25">
      <c r="A5422" s="1" t="str">
        <f>MID(TB_CECO[[#This Row],[CECO_T]],1,5)</f>
        <v>1L32H</v>
      </c>
      <c r="B5422" s="1" t="str">
        <f>MID(TB_CECO[[#This Row],[TRABAJO]],1,SEARCH(",",TB_CECO[[#This Row],[TRABAJO]],1)-1)</f>
        <v>Ch 980 (Tj 985 NE)</v>
      </c>
      <c r="C542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980 (Tj 985 NE),SERVICIO</v>
      </c>
      <c r="D542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2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22" s="47" t="s">
        <v>11202</v>
      </c>
      <c r="G5422" t="s">
        <v>11203</v>
      </c>
      <c r="H54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23" spans="1:8" ht="15" customHeight="1" x14ac:dyDescent="0.25">
      <c r="A5423" s="1" t="str">
        <f>MID(TB_CECO[[#This Row],[CECO_T]],1,5)</f>
        <v>1L32I</v>
      </c>
      <c r="B5423" s="1" t="str">
        <f>MID(TB_CECO[[#This Row],[TRABAJO]],1,SEARCH(",",TB_CECO[[#This Row],[TRABAJO]],1)-1)</f>
        <v>Ch 993 (Tj 985 NE)</v>
      </c>
      <c r="C542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993 (Tj 985 NE),PERFORACION</v>
      </c>
      <c r="D542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2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23" s="47" t="s">
        <v>11204</v>
      </c>
      <c r="G5423" t="s">
        <v>11205</v>
      </c>
      <c r="H54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24" spans="1:8" ht="15" customHeight="1" x14ac:dyDescent="0.25">
      <c r="A5424" s="1" t="str">
        <f>MID(TB_CECO[[#This Row],[CECO_T]],1,5)</f>
        <v>1L32I</v>
      </c>
      <c r="B5424" s="1" t="str">
        <f>MID(TB_CECO[[#This Row],[TRABAJO]],1,SEARCH(",",TB_CECO[[#This Row],[TRABAJO]],1)-1)</f>
        <v>Ch 993 (Tj 985 NE)</v>
      </c>
      <c r="C542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993 (Tj 985 NE),VOLADURA</v>
      </c>
      <c r="D542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2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24" s="47" t="s">
        <v>11206</v>
      </c>
      <c r="G5424" t="s">
        <v>11207</v>
      </c>
      <c r="H54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25" spans="1:8" ht="15" customHeight="1" x14ac:dyDescent="0.25">
      <c r="A5425" s="1" t="str">
        <f>MID(TB_CECO[[#This Row],[CECO_T]],1,5)</f>
        <v>1L32I</v>
      </c>
      <c r="B5425" s="1" t="str">
        <f>MID(TB_CECO[[#This Row],[TRABAJO]],1,SEARCH(",",TB_CECO[[#This Row],[TRABAJO]],1)-1)</f>
        <v>Ch 993 (Tj 985 NE)</v>
      </c>
      <c r="C542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993 (Tj 985 NE),LIMPIEZA</v>
      </c>
      <c r="D542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2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25" s="47" t="s">
        <v>11208</v>
      </c>
      <c r="G5425" t="s">
        <v>11209</v>
      </c>
      <c r="H54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26" spans="1:8" ht="15" customHeight="1" x14ac:dyDescent="0.25">
      <c r="A5426" s="1" t="str">
        <f>MID(TB_CECO[[#This Row],[CECO_T]],1,5)</f>
        <v>1L32I</v>
      </c>
      <c r="B5426" s="1" t="str">
        <f>MID(TB_CECO[[#This Row],[TRABAJO]],1,SEARCH(",",TB_CECO[[#This Row],[TRABAJO]],1)-1)</f>
        <v>Ch 993 (Tj 985 NE)</v>
      </c>
      <c r="C542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993 (Tj 985 NE),SOSTENIMIENTO</v>
      </c>
      <c r="D542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2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26" s="47" t="s">
        <v>11210</v>
      </c>
      <c r="G5426" t="s">
        <v>11211</v>
      </c>
      <c r="H54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27" spans="1:8" ht="15" customHeight="1" x14ac:dyDescent="0.25">
      <c r="A5427" s="1" t="str">
        <f>MID(TB_CECO[[#This Row],[CECO_T]],1,5)</f>
        <v>1L32I</v>
      </c>
      <c r="B5427" s="1" t="str">
        <f>MID(TB_CECO[[#This Row],[TRABAJO]],1,SEARCH(",",TB_CECO[[#This Row],[TRABAJO]],1)-1)</f>
        <v>Ch 993 (Tj 985 NE)</v>
      </c>
      <c r="C542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993 (Tj 985 NE),SERVICIO</v>
      </c>
      <c r="D542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2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27" s="47" t="s">
        <v>11212</v>
      </c>
      <c r="G5427" t="s">
        <v>11213</v>
      </c>
      <c r="H54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28" spans="1:8" ht="15" customHeight="1" x14ac:dyDescent="0.25">
      <c r="A5428" s="1" t="str">
        <f>MID(TB_CECO[[#This Row],[CECO_T]],1,5)</f>
        <v>1L32J</v>
      </c>
      <c r="B5428" s="1" t="str">
        <f>MID(TB_CECO[[#This Row],[TRABAJO]],1,SEARCH(",",TB_CECO[[#This Row],[TRABAJO]],1)-1)</f>
        <v>Ch 936 (Tj 938 SW)</v>
      </c>
      <c r="C542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936 (Tj 938 SW),PERFORACION</v>
      </c>
      <c r="D542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2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28" s="47" t="s">
        <v>11214</v>
      </c>
      <c r="G5428" t="s">
        <v>11215</v>
      </c>
      <c r="H54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29" spans="1:8" ht="15" customHeight="1" x14ac:dyDescent="0.25">
      <c r="A5429" s="1" t="str">
        <f>MID(TB_CECO[[#This Row],[CECO_T]],1,5)</f>
        <v>1L32J</v>
      </c>
      <c r="B5429" s="1" t="str">
        <f>MID(TB_CECO[[#This Row],[TRABAJO]],1,SEARCH(",",TB_CECO[[#This Row],[TRABAJO]],1)-1)</f>
        <v>Ch 936 (Tj 938 SW)</v>
      </c>
      <c r="C542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936 (Tj 938 SW),VOLADURA</v>
      </c>
      <c r="D542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2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29" s="47" t="s">
        <v>11216</v>
      </c>
      <c r="G5429" t="s">
        <v>11217</v>
      </c>
      <c r="H54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30" spans="1:8" ht="15" customHeight="1" x14ac:dyDescent="0.25">
      <c r="A5430" s="1" t="str">
        <f>MID(TB_CECO[[#This Row],[CECO_T]],1,5)</f>
        <v>1L32J</v>
      </c>
      <c r="B5430" s="1" t="str">
        <f>MID(TB_CECO[[#This Row],[TRABAJO]],1,SEARCH(",",TB_CECO[[#This Row],[TRABAJO]],1)-1)</f>
        <v>Ch 936 (Tj 938 SW)</v>
      </c>
      <c r="C543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936 (Tj 938 SW),LIMPIEZA</v>
      </c>
      <c r="D543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3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30" s="47" t="s">
        <v>11218</v>
      </c>
      <c r="G5430" t="s">
        <v>11219</v>
      </c>
      <c r="H54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31" spans="1:8" ht="15" customHeight="1" x14ac:dyDescent="0.25">
      <c r="A5431" s="1" t="str">
        <f>MID(TB_CECO[[#This Row],[CECO_T]],1,5)</f>
        <v>1L32J</v>
      </c>
      <c r="B5431" s="1" t="str">
        <f>MID(TB_CECO[[#This Row],[TRABAJO]],1,SEARCH(",",TB_CECO[[#This Row],[TRABAJO]],1)-1)</f>
        <v>Ch 936 (Tj 938 SW)</v>
      </c>
      <c r="C543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936 (Tj 938 SW),SOSTENIMIENTO</v>
      </c>
      <c r="D543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3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31" s="47" t="s">
        <v>11220</v>
      </c>
      <c r="G5431" t="s">
        <v>11221</v>
      </c>
      <c r="H54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32" spans="1:8" ht="15" customHeight="1" x14ac:dyDescent="0.25">
      <c r="A5432" s="1" t="str">
        <f>MID(TB_CECO[[#This Row],[CECO_T]],1,5)</f>
        <v>1L32J</v>
      </c>
      <c r="B5432" s="1" t="str">
        <f>MID(TB_CECO[[#This Row],[TRABAJO]],1,SEARCH(",",TB_CECO[[#This Row],[TRABAJO]],1)-1)</f>
        <v>Ch 936 (Tj 938 SW)</v>
      </c>
      <c r="C543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936 (Tj 938 SW),SERVICIO</v>
      </c>
      <c r="D543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3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32" s="47" t="s">
        <v>11222</v>
      </c>
      <c r="G5432" t="s">
        <v>11223</v>
      </c>
      <c r="H54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33" spans="1:8" ht="15" customHeight="1" x14ac:dyDescent="0.25">
      <c r="A5433" s="1" t="str">
        <f>MID(TB_CECO[[#This Row],[CECO_T]],1,5)</f>
        <v>1L32K</v>
      </c>
      <c r="B5433" s="1" t="str">
        <f>MID(TB_CECO[[#This Row],[TRABAJO]],1,SEARCH(",",TB_CECO[[#This Row],[TRABAJO]],1)-1)</f>
        <v>Ch 960 (Tj 938 NE)</v>
      </c>
      <c r="C543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960 (Tj 938 NE),PERFORACION</v>
      </c>
      <c r="D543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3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33" s="47" t="s">
        <v>11224</v>
      </c>
      <c r="G5433" t="s">
        <v>11225</v>
      </c>
      <c r="H54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34" spans="1:8" ht="15" customHeight="1" x14ac:dyDescent="0.25">
      <c r="A5434" s="1" t="str">
        <f>MID(TB_CECO[[#This Row],[CECO_T]],1,5)</f>
        <v>1L32K</v>
      </c>
      <c r="B5434" s="1" t="str">
        <f>MID(TB_CECO[[#This Row],[TRABAJO]],1,SEARCH(",",TB_CECO[[#This Row],[TRABAJO]],1)-1)</f>
        <v>Ch 960 (Tj 938 NE)</v>
      </c>
      <c r="C543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960 (Tj 938 NE),VOLADURA</v>
      </c>
      <c r="D543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3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34" s="47" t="s">
        <v>11226</v>
      </c>
      <c r="G5434" t="s">
        <v>11227</v>
      </c>
      <c r="H54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35" spans="1:8" ht="15" customHeight="1" x14ac:dyDescent="0.25">
      <c r="A5435" s="1" t="str">
        <f>MID(TB_CECO[[#This Row],[CECO_T]],1,5)</f>
        <v>1L32K</v>
      </c>
      <c r="B5435" s="1" t="str">
        <f>MID(TB_CECO[[#This Row],[TRABAJO]],1,SEARCH(",",TB_CECO[[#This Row],[TRABAJO]],1)-1)</f>
        <v>Ch 960 (Tj 938 NE)</v>
      </c>
      <c r="C543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960 (Tj 938 NE),LIMPIEZA</v>
      </c>
      <c r="D543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3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35" s="47" t="s">
        <v>11228</v>
      </c>
      <c r="G5435" t="s">
        <v>11229</v>
      </c>
      <c r="H54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36" spans="1:8" ht="15" customHeight="1" x14ac:dyDescent="0.25">
      <c r="A5436" s="1" t="str">
        <f>MID(TB_CECO[[#This Row],[CECO_T]],1,5)</f>
        <v>1L32K</v>
      </c>
      <c r="B5436" s="1" t="str">
        <f>MID(TB_CECO[[#This Row],[TRABAJO]],1,SEARCH(",",TB_CECO[[#This Row],[TRABAJO]],1)-1)</f>
        <v>Ch 960 (Tj 938 NE)</v>
      </c>
      <c r="C543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960 (Tj 938 NE),SOSTENIMIENTO</v>
      </c>
      <c r="D543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3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36" s="47" t="s">
        <v>11230</v>
      </c>
      <c r="G5436" t="s">
        <v>11231</v>
      </c>
      <c r="H54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37" spans="1:8" ht="15" customHeight="1" x14ac:dyDescent="0.25">
      <c r="A5437" s="1" t="str">
        <f>MID(TB_CECO[[#This Row],[CECO_T]],1,5)</f>
        <v>1L32K</v>
      </c>
      <c r="B5437" s="1" t="str">
        <f>MID(TB_CECO[[#This Row],[TRABAJO]],1,SEARCH(",",TB_CECO[[#This Row],[TRABAJO]],1)-1)</f>
        <v>Ch 960 (Tj 938 NE)</v>
      </c>
      <c r="C543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960 (Tj 938 NE),SERVICIO</v>
      </c>
      <c r="D543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43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37" s="47" t="s">
        <v>11232</v>
      </c>
      <c r="G5437" t="s">
        <v>11233</v>
      </c>
      <c r="H54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38" spans="1:8" ht="15" customHeight="1" x14ac:dyDescent="0.25">
      <c r="A5438" s="1" t="str">
        <f>MID(TB_CECO[[#This Row],[CECO_T]],1,5)</f>
        <v>2EP06</v>
      </c>
      <c r="B5438" s="1" t="str">
        <f>MID(TB_CECO[[#This Row],[TRABAJO]],1,SEARCH(",",TB_CECO[[#This Row],[TRABAJO]],1)-1)</f>
        <v xml:space="preserve">Pz 872 (Est 872 SW) </v>
      </c>
      <c r="C543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872 (Est 872 SW) ,PERFORACION</v>
      </c>
      <c r="D543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3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438" s="47" t="s">
        <v>11234</v>
      </c>
      <c r="G5438" t="s">
        <v>11235</v>
      </c>
      <c r="H54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39" spans="1:8" ht="15" customHeight="1" x14ac:dyDescent="0.25">
      <c r="A5439" s="1" t="str">
        <f>MID(TB_CECO[[#This Row],[CECO_T]],1,5)</f>
        <v>2EP06</v>
      </c>
      <c r="B5439" s="1" t="str">
        <f>MID(TB_CECO[[#This Row],[TRABAJO]],1,SEARCH(",",TB_CECO[[#This Row],[TRABAJO]],1)-1)</f>
        <v xml:space="preserve">Pz 872 (Est 872 SW) </v>
      </c>
      <c r="C543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872 (Est 872 SW) ,VOLADURA</v>
      </c>
      <c r="D543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3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439" s="47" t="s">
        <v>11236</v>
      </c>
      <c r="G5439" t="s">
        <v>11237</v>
      </c>
      <c r="H54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40" spans="1:8" ht="15" customHeight="1" x14ac:dyDescent="0.25">
      <c r="A5440" s="1" t="str">
        <f>MID(TB_CECO[[#This Row],[CECO_T]],1,5)</f>
        <v>2EP06</v>
      </c>
      <c r="B5440" s="1" t="str">
        <f>MID(TB_CECO[[#This Row],[TRABAJO]],1,SEARCH(",",TB_CECO[[#This Row],[TRABAJO]],1)-1)</f>
        <v xml:space="preserve">Pz 872 (Est 872 SW) </v>
      </c>
      <c r="C544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872 (Est 872 SW) ,LIMPIEZA</v>
      </c>
      <c r="D544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4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440" s="47" t="s">
        <v>11238</v>
      </c>
      <c r="G5440" t="s">
        <v>11239</v>
      </c>
      <c r="H54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41" spans="1:8" ht="15" customHeight="1" x14ac:dyDescent="0.25">
      <c r="A5441" s="1" t="str">
        <f>MID(TB_CECO[[#This Row],[CECO_T]],1,5)</f>
        <v>2EP06</v>
      </c>
      <c r="B5441" s="1" t="str">
        <f>MID(TB_CECO[[#This Row],[TRABAJO]],1,SEARCH(",",TB_CECO[[#This Row],[TRABAJO]],1)-1)</f>
        <v xml:space="preserve">Pz 872 (Est 872 SW) </v>
      </c>
      <c r="C544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872 (Est 872 SW) ,SOSTENIMIENTO</v>
      </c>
      <c r="D544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4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441" s="47" t="s">
        <v>11240</v>
      </c>
      <c r="G5441" t="s">
        <v>11241</v>
      </c>
      <c r="H54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42" spans="1:8" ht="15" customHeight="1" x14ac:dyDescent="0.25">
      <c r="A5442" s="1" t="str">
        <f>MID(TB_CECO[[#This Row],[CECO_T]],1,5)</f>
        <v>2EP06</v>
      </c>
      <c r="B5442" s="1" t="str">
        <f>MID(TB_CECO[[#This Row],[TRABAJO]],1,SEARCH(",",TB_CECO[[#This Row],[TRABAJO]],1)-1)</f>
        <v xml:space="preserve">Pz 872 (Est 872 SW) </v>
      </c>
      <c r="C544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872 (Est 872 SW) ,SERVICIO</v>
      </c>
      <c r="D544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4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442" s="47" t="s">
        <v>11242</v>
      </c>
      <c r="G5442" t="s">
        <v>11243</v>
      </c>
      <c r="H54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43" spans="1:8" ht="15" customHeight="1" x14ac:dyDescent="0.25">
      <c r="A5443" s="1" t="str">
        <f>MID(TB_CECO[[#This Row],[CECO_T]],1,5)</f>
        <v>1D32L</v>
      </c>
      <c r="B5443" s="1" t="str">
        <f>MID(TB_CECO[[#This Row],[TRABAJO]],1,SEARCH(",",TB_CECO[[#This Row],[TRABAJO]],1)-1)</f>
        <v xml:space="preserve">Ch 909 (Est 905 SE) </v>
      </c>
      <c r="C544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909 (Est 905 SE) ,PERFORACION</v>
      </c>
      <c r="D544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4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43" s="47" t="s">
        <v>11244</v>
      </c>
      <c r="G5443" t="s">
        <v>11245</v>
      </c>
      <c r="H54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44" spans="1:8" ht="15" customHeight="1" x14ac:dyDescent="0.25">
      <c r="A5444" s="1" t="str">
        <f>MID(TB_CECO[[#This Row],[CECO_T]],1,5)</f>
        <v>1D32L</v>
      </c>
      <c r="B5444" s="1" t="str">
        <f>MID(TB_CECO[[#This Row],[TRABAJO]],1,SEARCH(",",TB_CECO[[#This Row],[TRABAJO]],1)-1)</f>
        <v xml:space="preserve">Ch 909 (Est 905 SE) </v>
      </c>
      <c r="C544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909 (Est 905 SE) ,VOLADURA</v>
      </c>
      <c r="D544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4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44" s="47" t="s">
        <v>11246</v>
      </c>
      <c r="G5444" t="s">
        <v>11247</v>
      </c>
      <c r="H54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45" spans="1:8" ht="15" customHeight="1" x14ac:dyDescent="0.25">
      <c r="A5445" s="1" t="str">
        <f>MID(TB_CECO[[#This Row],[CECO_T]],1,5)</f>
        <v>1D32L</v>
      </c>
      <c r="B5445" s="1" t="str">
        <f>MID(TB_CECO[[#This Row],[TRABAJO]],1,SEARCH(",",TB_CECO[[#This Row],[TRABAJO]],1)-1)</f>
        <v xml:space="preserve">Ch 909 (Est 905 SE) </v>
      </c>
      <c r="C544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909 (Est 905 SE) ,LIMPIEZA</v>
      </c>
      <c r="D544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4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45" s="47" t="s">
        <v>11248</v>
      </c>
      <c r="G5445" t="s">
        <v>11249</v>
      </c>
      <c r="H54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46" spans="1:8" ht="15" customHeight="1" x14ac:dyDescent="0.25">
      <c r="A5446" s="1" t="str">
        <f>MID(TB_CECO[[#This Row],[CECO_T]],1,5)</f>
        <v>1D32L</v>
      </c>
      <c r="B5446" s="1" t="str">
        <f>MID(TB_CECO[[#This Row],[TRABAJO]],1,SEARCH(",",TB_CECO[[#This Row],[TRABAJO]],1)-1)</f>
        <v xml:space="preserve">Ch 909 (Est 905 SE) </v>
      </c>
      <c r="C544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909 (Est 905 SE) ,SOSTENIMIENTO</v>
      </c>
      <c r="D544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4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46" s="47" t="s">
        <v>11250</v>
      </c>
      <c r="G5446" t="s">
        <v>11251</v>
      </c>
      <c r="H54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47" spans="1:8" ht="15" customHeight="1" x14ac:dyDescent="0.25">
      <c r="A5447" s="1" t="str">
        <f>MID(TB_CECO[[#This Row],[CECO_T]],1,5)</f>
        <v>1D32L</v>
      </c>
      <c r="B5447" s="1" t="str">
        <f>MID(TB_CECO[[#This Row],[TRABAJO]],1,SEARCH(",",TB_CECO[[#This Row],[TRABAJO]],1)-1)</f>
        <v xml:space="preserve">Ch 909 (Est 905 SE) </v>
      </c>
      <c r="C544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909 (Est 905 SE) ,SERVICIO</v>
      </c>
      <c r="D544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4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47" s="47" t="s">
        <v>11252</v>
      </c>
      <c r="G5447" t="s">
        <v>11253</v>
      </c>
      <c r="H54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48" spans="1:8" ht="15" customHeight="1" x14ac:dyDescent="0.25">
      <c r="A5448" s="1" t="str">
        <f>MID(TB_CECO[[#This Row],[CECO_T]],1,5)</f>
        <v>1L815</v>
      </c>
      <c r="B5448" s="1" t="str">
        <f>MID(TB_CECO[[#This Row],[TRABAJO]],1,SEARCH(",",TB_CECO[[#This Row],[TRABAJO]],1)-1)</f>
        <v>Cam 14 (Cx 225 SE)</v>
      </c>
      <c r="C544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14 (Cx 225 SE),SUMINISTROS</v>
      </c>
      <c r="D544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4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448" s="47" t="s">
        <v>3455</v>
      </c>
      <c r="G5448" t="s">
        <v>3456</v>
      </c>
      <c r="H54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49" spans="1:8" ht="15" customHeight="1" x14ac:dyDescent="0.25">
      <c r="A5449" s="1" t="str">
        <f>MID(TB_CECO[[#This Row],[CECO_T]],1,5)</f>
        <v>1L815</v>
      </c>
      <c r="B5449" s="1" t="str">
        <f>MID(TB_CECO[[#This Row],[TRABAJO]],1,SEARCH(",",TB_CECO[[#This Row],[TRABAJO]],1)-1)</f>
        <v>Cam 14 (Cx 225 SE)</v>
      </c>
      <c r="C544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14 (Cx 225 SE),SOSTENIMIENTO</v>
      </c>
      <c r="D544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4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449" s="47" t="s">
        <v>3457</v>
      </c>
      <c r="G5449" t="s">
        <v>3458</v>
      </c>
      <c r="H54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50" spans="1:8" ht="15" customHeight="1" x14ac:dyDescent="0.25">
      <c r="A5450" s="1" t="str">
        <f>MID(TB_CECO[[#This Row],[CECO_T]],1,5)</f>
        <v>1L815</v>
      </c>
      <c r="B5450" s="1" t="str">
        <f>MID(TB_CECO[[#This Row],[TRABAJO]],1,SEARCH(",",TB_CECO[[#This Row],[TRABAJO]],1)-1)</f>
        <v>Cam 14 (Cx 225 SE)</v>
      </c>
      <c r="C545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14 (Cx 225 SE),SERVICIO</v>
      </c>
      <c r="D545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5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450" s="47" t="s">
        <v>3459</v>
      </c>
      <c r="G5450" t="s">
        <v>3460</v>
      </c>
      <c r="H54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51" spans="1:8" ht="15" customHeight="1" x14ac:dyDescent="0.25">
      <c r="A5451" s="1" t="str">
        <f>MID(TB_CECO[[#This Row],[CECO_T]],1,5)</f>
        <v>1L815</v>
      </c>
      <c r="B5451" s="1" t="str">
        <f>MID(TB_CECO[[#This Row],[TRABAJO]],1,SEARCH(",",TB_CECO[[#This Row],[TRABAJO]],1)-1)</f>
        <v>Cam 14 (Cx 225 SE)</v>
      </c>
      <c r="C545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Cam 14 (Cx 225 SE),REHABILITACION</v>
      </c>
      <c r="D545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45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451" s="47" t="s">
        <v>3461</v>
      </c>
      <c r="G5451" t="s">
        <v>3462</v>
      </c>
      <c r="H54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52" spans="1:8" ht="15" customHeight="1" x14ac:dyDescent="0.25">
      <c r="A5452" s="1" t="str">
        <f>MID(TB_CECO[[#This Row],[CECO_T]],1,5)</f>
        <v>1E61C</v>
      </c>
      <c r="B5452" s="1" t="str">
        <f>MID(TB_CECO[[#This Row],[TRABAJO]],1,SEARCH(",",TB_CECO[[#This Row],[TRABAJO]],1)-1)</f>
        <v>Est 872 SW (Inc 863 SE)</v>
      </c>
      <c r="C545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872 SW (Inc 863 SE),PERFORACION</v>
      </c>
      <c r="D545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5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52" s="47" t="s">
        <v>10998</v>
      </c>
      <c r="G5452" t="s">
        <v>10999</v>
      </c>
      <c r="H54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53" spans="1:8" ht="15" customHeight="1" x14ac:dyDescent="0.25">
      <c r="A5453" s="1" t="str">
        <f>MID(TB_CECO[[#This Row],[CECO_T]],1,5)</f>
        <v>1E61C</v>
      </c>
      <c r="B5453" s="1" t="str">
        <f>MID(TB_CECO[[#This Row],[TRABAJO]],1,SEARCH(",",TB_CECO[[#This Row],[TRABAJO]],1)-1)</f>
        <v>Est 872 SW (Inc 863 SE)</v>
      </c>
      <c r="C545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872 SW (Inc 863 SE),VOLADURA</v>
      </c>
      <c r="D545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5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53" s="47" t="s">
        <v>11000</v>
      </c>
      <c r="G5453" t="s">
        <v>11001</v>
      </c>
      <c r="H54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54" spans="1:8" ht="15" customHeight="1" x14ac:dyDescent="0.25">
      <c r="A5454" s="1" t="str">
        <f>MID(TB_CECO[[#This Row],[CECO_T]],1,5)</f>
        <v>1E61C</v>
      </c>
      <c r="B5454" s="1" t="str">
        <f>MID(TB_CECO[[#This Row],[TRABAJO]],1,SEARCH(",",TB_CECO[[#This Row],[TRABAJO]],1)-1)</f>
        <v>Est 872 SW (Inc 863 SE)</v>
      </c>
      <c r="C545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872 SW (Inc 863 SE),LIMPIEZA</v>
      </c>
      <c r="D545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5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54" s="47" t="s">
        <v>11002</v>
      </c>
      <c r="G5454" t="s">
        <v>11003</v>
      </c>
      <c r="H54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55" spans="1:8" ht="15" customHeight="1" x14ac:dyDescent="0.25">
      <c r="A5455" s="1" t="str">
        <f>MID(TB_CECO[[#This Row],[CECO_T]],1,5)</f>
        <v>1E61C</v>
      </c>
      <c r="B5455" s="1" t="str">
        <f>MID(TB_CECO[[#This Row],[TRABAJO]],1,SEARCH(",",TB_CECO[[#This Row],[TRABAJO]],1)-1)</f>
        <v>Est 872 SW (Inc 863 SE)</v>
      </c>
      <c r="C545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872 SW (Inc 863 SE),SOSTENIMIENTO</v>
      </c>
      <c r="D545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5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55" s="47" t="s">
        <v>11004</v>
      </c>
      <c r="G5455" t="s">
        <v>11005</v>
      </c>
      <c r="H54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56" spans="1:8" ht="15" customHeight="1" x14ac:dyDescent="0.25">
      <c r="A5456" s="1" t="str">
        <f>MID(TB_CECO[[#This Row],[CECO_T]],1,5)</f>
        <v>1E61C</v>
      </c>
      <c r="B5456" s="1" t="str">
        <f>MID(TB_CECO[[#This Row],[TRABAJO]],1,SEARCH(",",TB_CECO[[#This Row],[TRABAJO]],1)-1)</f>
        <v>Est 872 SW (Inc 863 SE)</v>
      </c>
      <c r="C545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872 SW (Inc 863 SE),SERVICIO</v>
      </c>
      <c r="D545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5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56" s="47" t="s">
        <v>11006</v>
      </c>
      <c r="G5456" t="s">
        <v>11007</v>
      </c>
      <c r="H54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57" spans="1:8" ht="15" customHeight="1" x14ac:dyDescent="0.25">
      <c r="A5457" s="1" t="str">
        <f>MID(TB_CECO[[#This Row],[CECO_T]],1,5)</f>
        <v>5E61L</v>
      </c>
      <c r="B5457" s="1" t="str">
        <f>MID(TB_CECO[[#This Row],[TRABAJO]],1,SEARCH(",",TB_CECO[[#This Row],[TRABAJO]],1)-1)</f>
        <v xml:space="preserve">Est 804 NE (Snv 829 SW) </v>
      </c>
      <c r="C545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804 NE (Snv 829 SW) ,PERFORACION</v>
      </c>
      <c r="D545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5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457" s="47" t="s">
        <v>11254</v>
      </c>
      <c r="G5457" t="s">
        <v>11255</v>
      </c>
      <c r="H54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58" spans="1:8" ht="15" customHeight="1" x14ac:dyDescent="0.25">
      <c r="A5458" s="1" t="str">
        <f>MID(TB_CECO[[#This Row],[CECO_T]],1,5)</f>
        <v>5E61L</v>
      </c>
      <c r="B5458" s="1" t="str">
        <f>MID(TB_CECO[[#This Row],[TRABAJO]],1,SEARCH(",",TB_CECO[[#This Row],[TRABAJO]],1)-1)</f>
        <v xml:space="preserve">Est 804 NE (Snv 829 SW) </v>
      </c>
      <c r="C545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804 NE (Snv 829 SW) ,VOLADURA</v>
      </c>
      <c r="D545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5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458" s="47" t="s">
        <v>11256</v>
      </c>
      <c r="G5458" t="s">
        <v>11257</v>
      </c>
      <c r="H54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59" spans="1:8" ht="15" customHeight="1" x14ac:dyDescent="0.25">
      <c r="A5459" s="1" t="str">
        <f>MID(TB_CECO[[#This Row],[CECO_T]],1,5)</f>
        <v>5E61L</v>
      </c>
      <c r="B5459" s="1" t="str">
        <f>MID(TB_CECO[[#This Row],[TRABAJO]],1,SEARCH(",",TB_CECO[[#This Row],[TRABAJO]],1)-1)</f>
        <v xml:space="preserve">Est 804 NE (Snv 829 SW) </v>
      </c>
      <c r="C545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804 NE (Snv 829 SW) ,LIMPIEZA</v>
      </c>
      <c r="D545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5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459" s="47" t="s">
        <v>11258</v>
      </c>
      <c r="G5459" t="s">
        <v>11259</v>
      </c>
      <c r="H54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60" spans="1:8" ht="15" customHeight="1" x14ac:dyDescent="0.25">
      <c r="A5460" s="1" t="str">
        <f>MID(TB_CECO[[#This Row],[CECO_T]],1,5)</f>
        <v>5E61L</v>
      </c>
      <c r="B5460" s="1" t="str">
        <f>MID(TB_CECO[[#This Row],[TRABAJO]],1,SEARCH(",",TB_CECO[[#This Row],[TRABAJO]],1)-1)</f>
        <v xml:space="preserve">Est 804 NE (Snv 829 SW) </v>
      </c>
      <c r="C546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804 NE (Snv 829 SW) ,SOSTENIMIENTO</v>
      </c>
      <c r="D546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6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460" s="47" t="s">
        <v>11260</v>
      </c>
      <c r="G5460" t="s">
        <v>11261</v>
      </c>
      <c r="H54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61" spans="1:8" ht="15" customHeight="1" x14ac:dyDescent="0.25">
      <c r="A5461" s="1" t="str">
        <f>MID(TB_CECO[[#This Row],[CECO_T]],1,5)</f>
        <v>5E61L</v>
      </c>
      <c r="B5461" s="1" t="str">
        <f>MID(TB_CECO[[#This Row],[TRABAJO]],1,SEARCH(",",TB_CECO[[#This Row],[TRABAJO]],1)-1)</f>
        <v xml:space="preserve">Est 804 NE (Snv 829 SW) </v>
      </c>
      <c r="C546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804 NE (Snv 829 SW) ,SERVICIO</v>
      </c>
      <c r="D546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6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461" s="47" t="s">
        <v>11262</v>
      </c>
      <c r="G5461" t="s">
        <v>11263</v>
      </c>
      <c r="H54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62" spans="1:8" ht="15" customHeight="1" x14ac:dyDescent="0.25">
      <c r="A5462" s="1" t="str">
        <f>MID(TB_CECO[[#This Row],[CECO_T]],1,5)</f>
        <v>1D61M</v>
      </c>
      <c r="B5462" s="1" t="str">
        <f>MID(TB_CECO[[#This Row],[TRABAJO]],1,SEARCH(",",TB_CECO[[#This Row],[TRABAJO]],1)-1)</f>
        <v>Est 907 NW (Ch 909)</v>
      </c>
      <c r="C546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907 NW (Ch 909),PERFORACION</v>
      </c>
      <c r="D546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6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62" s="47" t="s">
        <v>11264</v>
      </c>
      <c r="G5462" t="s">
        <v>11265</v>
      </c>
      <c r="H54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63" spans="1:8" ht="15" customHeight="1" x14ac:dyDescent="0.25">
      <c r="A5463" s="1" t="str">
        <f>MID(TB_CECO[[#This Row],[CECO_T]],1,5)</f>
        <v>1D61M</v>
      </c>
      <c r="B5463" s="1" t="str">
        <f>MID(TB_CECO[[#This Row],[TRABAJO]],1,SEARCH(",",TB_CECO[[#This Row],[TRABAJO]],1)-1)</f>
        <v>Est 907 NW (Ch 909)</v>
      </c>
      <c r="C546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907 NW (Ch 909),VOLADURA</v>
      </c>
      <c r="D546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6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63" s="47" t="s">
        <v>11266</v>
      </c>
      <c r="G5463" t="s">
        <v>11267</v>
      </c>
      <c r="H54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64" spans="1:8" ht="15" customHeight="1" x14ac:dyDescent="0.25">
      <c r="A5464" s="1" t="str">
        <f>MID(TB_CECO[[#This Row],[CECO_T]],1,5)</f>
        <v>1D61M</v>
      </c>
      <c r="B5464" s="1" t="str">
        <f>MID(TB_CECO[[#This Row],[TRABAJO]],1,SEARCH(",",TB_CECO[[#This Row],[TRABAJO]],1)-1)</f>
        <v>Est 907 NW (Ch 909)</v>
      </c>
      <c r="C546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907 NW (Ch 909),LIMPIEZA</v>
      </c>
      <c r="D546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6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64" s="47" t="s">
        <v>11268</v>
      </c>
      <c r="G5464" t="s">
        <v>11269</v>
      </c>
      <c r="H54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65" spans="1:8" ht="15" customHeight="1" x14ac:dyDescent="0.25">
      <c r="A5465" s="1" t="str">
        <f>MID(TB_CECO[[#This Row],[CECO_T]],1,5)</f>
        <v>1D61M</v>
      </c>
      <c r="B5465" s="1" t="str">
        <f>MID(TB_CECO[[#This Row],[TRABAJO]],1,SEARCH(",",TB_CECO[[#This Row],[TRABAJO]],1)-1)</f>
        <v>Est 907 NW (Ch 909)</v>
      </c>
      <c r="C546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907 NW (Ch 909),SOSTENIMIENTO</v>
      </c>
      <c r="D546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6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65" s="47" t="s">
        <v>11270</v>
      </c>
      <c r="G5465" t="s">
        <v>11271</v>
      </c>
      <c r="H54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66" spans="1:8" ht="15" customHeight="1" x14ac:dyDescent="0.25">
      <c r="A5466" s="1" t="str">
        <f>MID(TB_CECO[[#This Row],[CECO_T]],1,5)</f>
        <v>1D61M</v>
      </c>
      <c r="B5466" s="1" t="str">
        <f>MID(TB_CECO[[#This Row],[TRABAJO]],1,SEARCH(",",TB_CECO[[#This Row],[TRABAJO]],1)-1)</f>
        <v>Est 907 NW (Ch 909)</v>
      </c>
      <c r="C546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907 NW (Ch 909),SERVICIO</v>
      </c>
      <c r="D546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6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66" s="47" t="s">
        <v>11272</v>
      </c>
      <c r="G5466" t="s">
        <v>11273</v>
      </c>
      <c r="H54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67" spans="1:8" ht="15" customHeight="1" x14ac:dyDescent="0.25">
      <c r="A5467" s="1" t="str">
        <f>MID(TB_CECO[[#This Row],[CECO_T]],1,5)</f>
        <v>1D61N</v>
      </c>
      <c r="B5467" s="1" t="str">
        <f>MID(TB_CECO[[#This Row],[TRABAJO]],1,SEARCH(",",TB_CECO[[#This Row],[TRABAJO]],1)-1)</f>
        <v>Est 907 SE (Ch 909)</v>
      </c>
      <c r="C546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907 SE (Ch 909),PERFORACION</v>
      </c>
      <c r="D546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6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67" s="47" t="s">
        <v>11274</v>
      </c>
      <c r="G5467" t="s">
        <v>11275</v>
      </c>
      <c r="H54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68" spans="1:8" ht="15" customHeight="1" x14ac:dyDescent="0.25">
      <c r="A5468" s="1" t="str">
        <f>MID(TB_CECO[[#This Row],[CECO_T]],1,5)</f>
        <v>1D61N</v>
      </c>
      <c r="B5468" s="1" t="str">
        <f>MID(TB_CECO[[#This Row],[TRABAJO]],1,SEARCH(",",TB_CECO[[#This Row],[TRABAJO]],1)-1)</f>
        <v>Est 907 SE (Ch 909)</v>
      </c>
      <c r="C546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907 SE (Ch 909),VOLADURA</v>
      </c>
      <c r="D546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6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68" s="47" t="s">
        <v>11276</v>
      </c>
      <c r="G5468" t="s">
        <v>11277</v>
      </c>
      <c r="H54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69" spans="1:8" ht="15" customHeight="1" x14ac:dyDescent="0.25">
      <c r="A5469" s="1" t="str">
        <f>MID(TB_CECO[[#This Row],[CECO_T]],1,5)</f>
        <v>1D61N</v>
      </c>
      <c r="B5469" s="1" t="str">
        <f>MID(TB_CECO[[#This Row],[TRABAJO]],1,SEARCH(",",TB_CECO[[#This Row],[TRABAJO]],1)-1)</f>
        <v>Est 907 SE (Ch 909)</v>
      </c>
      <c r="C546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907 SE (Ch 909),LIMPIEZA</v>
      </c>
      <c r="D546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6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69" s="47" t="s">
        <v>11278</v>
      </c>
      <c r="G5469" t="s">
        <v>11279</v>
      </c>
      <c r="H54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70" spans="1:8" ht="15" customHeight="1" x14ac:dyDescent="0.25">
      <c r="A5470" s="1" t="str">
        <f>MID(TB_CECO[[#This Row],[CECO_T]],1,5)</f>
        <v>1D61N</v>
      </c>
      <c r="B5470" s="1" t="str">
        <f>MID(TB_CECO[[#This Row],[TRABAJO]],1,SEARCH(",",TB_CECO[[#This Row],[TRABAJO]],1)-1)</f>
        <v>Est 907 SE (Ch 909)</v>
      </c>
      <c r="C547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907 SE (Ch 909),SOSTENIMIENTO</v>
      </c>
      <c r="D547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7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70" s="47" t="s">
        <v>11280</v>
      </c>
      <c r="G5470" t="s">
        <v>11281</v>
      </c>
      <c r="H54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71" spans="1:8" ht="15" customHeight="1" x14ac:dyDescent="0.25">
      <c r="A5471" s="1" t="str">
        <f>MID(TB_CECO[[#This Row],[CECO_T]],1,5)</f>
        <v>1D61N</v>
      </c>
      <c r="B5471" s="1" t="str">
        <f>MID(TB_CECO[[#This Row],[TRABAJO]],1,SEARCH(",",TB_CECO[[#This Row],[TRABAJO]],1)-1)</f>
        <v>Est 907 SE (Ch 909)</v>
      </c>
      <c r="C547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907 SE (Ch 909),SERVICIO</v>
      </c>
      <c r="D547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47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71" s="47" t="s">
        <v>11282</v>
      </c>
      <c r="G5471" t="s">
        <v>11283</v>
      </c>
      <c r="H54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72" spans="1:8" ht="15" customHeight="1" x14ac:dyDescent="0.25">
      <c r="A5472" s="1" t="str">
        <f>MID(TB_CECO[[#This Row],[CECO_T]],1,5)</f>
        <v>1E61O</v>
      </c>
      <c r="B5472" s="1" t="str">
        <f>MID(TB_CECO[[#This Row],[TRABAJO]],1,SEARCH(",",TB_CECO[[#This Row],[TRABAJO]],1)-1)</f>
        <v> Est 854 NW (Snv 070 SW) </v>
      </c>
      <c r="C547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 Est 854 NW (Snv 070 SW) ,PERFORACION</v>
      </c>
      <c r="D547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7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72" s="47" t="s">
        <v>11284</v>
      </c>
      <c r="G5472" t="s">
        <v>11285</v>
      </c>
      <c r="H54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73" spans="1:8" ht="15" customHeight="1" x14ac:dyDescent="0.25">
      <c r="A5473" s="1" t="str">
        <f>MID(TB_CECO[[#This Row],[CECO_T]],1,5)</f>
        <v>1E61O</v>
      </c>
      <c r="B5473" s="1" t="str">
        <f>MID(TB_CECO[[#This Row],[TRABAJO]],1,SEARCH(",",TB_CECO[[#This Row],[TRABAJO]],1)-1)</f>
        <v> Est 854 NW (Snv 070 SW) </v>
      </c>
      <c r="C547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 Est 854 NW (Snv 070 SW) ,VOLADURA</v>
      </c>
      <c r="D547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7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73" s="47" t="s">
        <v>11286</v>
      </c>
      <c r="G5473" t="s">
        <v>11287</v>
      </c>
      <c r="H54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74" spans="1:8" ht="15" customHeight="1" x14ac:dyDescent="0.25">
      <c r="A5474" s="1" t="str">
        <f>MID(TB_CECO[[#This Row],[CECO_T]],1,5)</f>
        <v>1E61O</v>
      </c>
      <c r="B5474" s="1" t="str">
        <f>MID(TB_CECO[[#This Row],[TRABAJO]],1,SEARCH(",",TB_CECO[[#This Row],[TRABAJO]],1)-1)</f>
        <v> Est 854 NW (Snv 070 SW) </v>
      </c>
      <c r="C547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 Est 854 NW (Snv 070 SW) ,LIMPIEZA</v>
      </c>
      <c r="D547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7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74" s="47" t="s">
        <v>11288</v>
      </c>
      <c r="G5474" t="s">
        <v>11289</v>
      </c>
      <c r="H54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75" spans="1:8" ht="15" customHeight="1" x14ac:dyDescent="0.25">
      <c r="A5475" s="1" t="str">
        <f>MID(TB_CECO[[#This Row],[CECO_T]],1,5)</f>
        <v>1E61O</v>
      </c>
      <c r="B5475" s="1" t="str">
        <f>MID(TB_CECO[[#This Row],[TRABAJO]],1,SEARCH(",",TB_CECO[[#This Row],[TRABAJO]],1)-1)</f>
        <v> Est 854 NW (Snv 070 SW) </v>
      </c>
      <c r="C547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 Est 854 NW (Snv 070 SW) ,SOSTENIMIENTO</v>
      </c>
      <c r="D547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7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75" s="47" t="s">
        <v>11290</v>
      </c>
      <c r="G5475" t="s">
        <v>11291</v>
      </c>
      <c r="H54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76" spans="1:8" ht="15" customHeight="1" x14ac:dyDescent="0.25">
      <c r="A5476" s="1" t="str">
        <f>MID(TB_CECO[[#This Row],[CECO_T]],1,5)</f>
        <v>1E61O</v>
      </c>
      <c r="B5476" s="1" t="str">
        <f>MID(TB_CECO[[#This Row],[TRABAJO]],1,SEARCH(",",TB_CECO[[#This Row],[TRABAJO]],1)-1)</f>
        <v> Est 854 NW (Snv 070 SW) </v>
      </c>
      <c r="C547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 Est 854 NW (Snv 070 SW) ,SERVICIO</v>
      </c>
      <c r="D547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7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76" s="47" t="s">
        <v>11292</v>
      </c>
      <c r="G5476" t="s">
        <v>11293</v>
      </c>
      <c r="H54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77" spans="1:8" ht="15" customHeight="1" x14ac:dyDescent="0.25">
      <c r="A5477" s="1" t="str">
        <f>MID(TB_CECO[[#This Row],[CECO_T]],1,5)</f>
        <v>1E57I</v>
      </c>
      <c r="B5477" s="1" t="str">
        <f>MID(TB_CECO[[#This Row],[TRABAJO]],1,SEARCH(",",TB_CECO[[#This Row],[TRABAJO]],1)-1)</f>
        <v>Snv 836 SW (Est 854 NW)</v>
      </c>
      <c r="C547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SW (Est 854 NW),PERFORACION</v>
      </c>
      <c r="D547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7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77" s="47" t="s">
        <v>11294</v>
      </c>
      <c r="G5477" t="s">
        <v>11295</v>
      </c>
      <c r="H54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78" spans="1:8" ht="15" customHeight="1" x14ac:dyDescent="0.25">
      <c r="A5478" s="1" t="str">
        <f>MID(TB_CECO[[#This Row],[CECO_T]],1,5)</f>
        <v>1E57I</v>
      </c>
      <c r="B5478" s="1" t="str">
        <f>MID(TB_CECO[[#This Row],[TRABAJO]],1,SEARCH(",",TB_CECO[[#This Row],[TRABAJO]],1)-1)</f>
        <v>Snv 836 SW (Est 854 NW)</v>
      </c>
      <c r="C547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SW (Est 854 NW),VOLADURA</v>
      </c>
      <c r="D547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7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78" s="47" t="s">
        <v>11296</v>
      </c>
      <c r="G5478" t="s">
        <v>11297</v>
      </c>
      <c r="H54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79" spans="1:8" ht="15" customHeight="1" x14ac:dyDescent="0.25">
      <c r="A5479" s="1" t="str">
        <f>MID(TB_CECO[[#This Row],[CECO_T]],1,5)</f>
        <v>1E57I</v>
      </c>
      <c r="B5479" s="1" t="str">
        <f>MID(TB_CECO[[#This Row],[TRABAJO]],1,SEARCH(",",TB_CECO[[#This Row],[TRABAJO]],1)-1)</f>
        <v>Snv 836 SW (Est 854 NW)</v>
      </c>
      <c r="C547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SW (Est 854 NW),LIMPIEZA</v>
      </c>
      <c r="D547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7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79" s="47" t="s">
        <v>11298</v>
      </c>
      <c r="G5479" t="s">
        <v>11299</v>
      </c>
      <c r="H54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80" spans="1:8" ht="15" customHeight="1" x14ac:dyDescent="0.25">
      <c r="A5480" s="1" t="str">
        <f>MID(TB_CECO[[#This Row],[CECO_T]],1,5)</f>
        <v>1E57I</v>
      </c>
      <c r="B5480" s="1" t="str">
        <f>MID(TB_CECO[[#This Row],[TRABAJO]],1,SEARCH(",",TB_CECO[[#This Row],[TRABAJO]],1)-1)</f>
        <v>Snv 836 SW (Est 854 NW)</v>
      </c>
      <c r="C548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SW (Est 854 NW),SOSTENIMIENTO</v>
      </c>
      <c r="D548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8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80" s="47" t="s">
        <v>11300</v>
      </c>
      <c r="G5480" t="s">
        <v>11301</v>
      </c>
      <c r="H54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81" spans="1:8" ht="15" customHeight="1" x14ac:dyDescent="0.25">
      <c r="A5481" s="1" t="str">
        <f>MID(TB_CECO[[#This Row],[CECO_T]],1,5)</f>
        <v>1E57I</v>
      </c>
      <c r="B5481" s="1" t="str">
        <f>MID(TB_CECO[[#This Row],[TRABAJO]],1,SEARCH(",",TB_CECO[[#This Row],[TRABAJO]],1)-1)</f>
        <v>Snv 836 SW (Est 854 NW)</v>
      </c>
      <c r="C548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SW (Est 854 NW),SERVICIO</v>
      </c>
      <c r="D548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8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81" s="47" t="s">
        <v>11302</v>
      </c>
      <c r="G5481" t="s">
        <v>11303</v>
      </c>
      <c r="H54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82" spans="1:8" ht="15" customHeight="1" x14ac:dyDescent="0.25">
      <c r="A5482" s="1" t="str">
        <f>MID(TB_CECO[[#This Row],[CECO_T]],1,5)</f>
        <v>1E57J</v>
      </c>
      <c r="B5482" s="1" t="str">
        <f>MID(TB_CECO[[#This Row],[TRABAJO]],1,SEARCH(",",TB_CECO[[#This Row],[TRABAJO]],1)-1)</f>
        <v>Snv 836 NE (Est 854 NW)</v>
      </c>
      <c r="C548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NE (Est 854 NW),PERFORACION</v>
      </c>
      <c r="D548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8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82" s="47" t="s">
        <v>11304</v>
      </c>
      <c r="G5482" t="s">
        <v>11305</v>
      </c>
      <c r="H54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83" spans="1:8" ht="15" customHeight="1" x14ac:dyDescent="0.25">
      <c r="A5483" s="1" t="str">
        <f>MID(TB_CECO[[#This Row],[CECO_T]],1,5)</f>
        <v>1E57J</v>
      </c>
      <c r="B5483" s="1" t="str">
        <f>MID(TB_CECO[[#This Row],[TRABAJO]],1,SEARCH(",",TB_CECO[[#This Row],[TRABAJO]],1)-1)</f>
        <v>Snv 836 NE (Est 854 NW)</v>
      </c>
      <c r="C548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NE (Est 854 NW),VOLADURA</v>
      </c>
      <c r="D548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8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83" s="47" t="s">
        <v>11306</v>
      </c>
      <c r="G5483" t="s">
        <v>11307</v>
      </c>
      <c r="H54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84" spans="1:8" ht="15" customHeight="1" x14ac:dyDescent="0.25">
      <c r="A5484" s="1" t="str">
        <f>MID(TB_CECO[[#This Row],[CECO_T]],1,5)</f>
        <v>1E57J</v>
      </c>
      <c r="B5484" s="1" t="str">
        <f>MID(TB_CECO[[#This Row],[TRABAJO]],1,SEARCH(",",TB_CECO[[#This Row],[TRABAJO]],1)-1)</f>
        <v>Snv 836 NE (Est 854 NW)</v>
      </c>
      <c r="C548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NE (Est 854 NW),LIMPIEZA</v>
      </c>
      <c r="D548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8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84" s="47" t="s">
        <v>11308</v>
      </c>
      <c r="G5484" t="s">
        <v>11309</v>
      </c>
      <c r="H54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85" spans="1:8" ht="15" customHeight="1" x14ac:dyDescent="0.25">
      <c r="A5485" s="1" t="str">
        <f>MID(TB_CECO[[#This Row],[CECO_T]],1,5)</f>
        <v>1E57J</v>
      </c>
      <c r="B5485" s="1" t="str">
        <f>MID(TB_CECO[[#This Row],[TRABAJO]],1,SEARCH(",",TB_CECO[[#This Row],[TRABAJO]],1)-1)</f>
        <v>Snv 836 NE (Est 854 NW)</v>
      </c>
      <c r="C548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NE (Est 854 NW),SOSTENIMIENTO</v>
      </c>
      <c r="D548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8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85" s="47" t="s">
        <v>11310</v>
      </c>
      <c r="G5485" t="s">
        <v>11311</v>
      </c>
      <c r="H54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86" spans="1:8" ht="15" customHeight="1" x14ac:dyDescent="0.25">
      <c r="A5486" s="1" t="str">
        <f>MID(TB_CECO[[#This Row],[CECO_T]],1,5)</f>
        <v>1E57J</v>
      </c>
      <c r="B5486" s="1" t="str">
        <f>MID(TB_CECO[[#This Row],[TRABAJO]],1,SEARCH(",",TB_CECO[[#This Row],[TRABAJO]],1)-1)</f>
        <v>Snv 836 NE (Est 854 NW)</v>
      </c>
      <c r="C548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836 NE (Est 854 NW),SERVICIO</v>
      </c>
      <c r="D548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8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86" s="47" t="s">
        <v>11312</v>
      </c>
      <c r="G5486" t="s">
        <v>11313</v>
      </c>
      <c r="H54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87" spans="1:8" ht="15" customHeight="1" x14ac:dyDescent="0.25">
      <c r="A5487" s="1" t="str">
        <f>MID(TB_CECO[[#This Row],[CECO_T]],1,5)</f>
        <v>1E57K</v>
      </c>
      <c r="B5487" s="1" t="str">
        <f>MID(TB_CECO[[#This Row],[TRABAJO]],1,SEARCH(",",TB_CECO[[#This Row],[TRABAJO]],1)-1)</f>
        <v>Snv 883 SW (Est 877 SE)</v>
      </c>
      <c r="C548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883 SW (Est 877 SE),PERFORACION</v>
      </c>
      <c r="D548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8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87" s="47" t="s">
        <v>11316</v>
      </c>
      <c r="G5487" t="s">
        <v>11317</v>
      </c>
      <c r="H54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88" spans="1:8" ht="15" customHeight="1" x14ac:dyDescent="0.25">
      <c r="A5488" s="1" t="str">
        <f>MID(TB_CECO[[#This Row],[CECO_T]],1,5)</f>
        <v>1E57K</v>
      </c>
      <c r="B5488" s="1" t="str">
        <f>MID(TB_CECO[[#This Row],[TRABAJO]],1,SEARCH(",",TB_CECO[[#This Row],[TRABAJO]],1)-1)</f>
        <v>Snv 883 SW (Est 877 SE)</v>
      </c>
      <c r="C548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883 SW (Est 877 SE),VOLADURA</v>
      </c>
      <c r="D548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8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88" s="47" t="s">
        <v>11318</v>
      </c>
      <c r="G5488" t="s">
        <v>11319</v>
      </c>
      <c r="H54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89" spans="1:8" ht="15" customHeight="1" x14ac:dyDescent="0.25">
      <c r="A5489" s="1" t="str">
        <f>MID(TB_CECO[[#This Row],[CECO_T]],1,5)</f>
        <v>1E57K</v>
      </c>
      <c r="B5489" s="1" t="str">
        <f>MID(TB_CECO[[#This Row],[TRABAJO]],1,SEARCH(",",TB_CECO[[#This Row],[TRABAJO]],1)-1)</f>
        <v>Snv 883 SW (Est 877 SE)</v>
      </c>
      <c r="C548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883 SW (Est 877 SE),LIMPIEZA</v>
      </c>
      <c r="D548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8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89" s="47" t="s">
        <v>11320</v>
      </c>
      <c r="G5489" t="s">
        <v>11321</v>
      </c>
      <c r="H54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90" spans="1:8" ht="15" customHeight="1" x14ac:dyDescent="0.25">
      <c r="A5490" s="1" t="str">
        <f>MID(TB_CECO[[#This Row],[CECO_T]],1,5)</f>
        <v>1E57K</v>
      </c>
      <c r="B5490" s="1" t="str">
        <f>MID(TB_CECO[[#This Row],[TRABAJO]],1,SEARCH(",",TB_CECO[[#This Row],[TRABAJO]],1)-1)</f>
        <v>Snv 883 SW (Est 877 SE)</v>
      </c>
      <c r="C549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883 SW (Est 877 SE),SOSTENIMIENTO</v>
      </c>
      <c r="D549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9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90" s="47" t="s">
        <v>11322</v>
      </c>
      <c r="G5490" t="s">
        <v>11323</v>
      </c>
      <c r="H54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91" spans="1:8" ht="15" customHeight="1" x14ac:dyDescent="0.25">
      <c r="A5491" s="1" t="str">
        <f>MID(TB_CECO[[#This Row],[CECO_T]],1,5)</f>
        <v>1E57K</v>
      </c>
      <c r="B5491" s="1" t="str">
        <f>MID(TB_CECO[[#This Row],[TRABAJO]],1,SEARCH(",",TB_CECO[[#This Row],[TRABAJO]],1)-1)</f>
        <v>Snv 883 SW (Est 877 SE)</v>
      </c>
      <c r="C549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883 SW (Est 877 SE),SERVICIO</v>
      </c>
      <c r="D549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9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91" s="47" t="s">
        <v>11324</v>
      </c>
      <c r="G5491" t="s">
        <v>11325</v>
      </c>
      <c r="H54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92" spans="1:8" ht="15" customHeight="1" x14ac:dyDescent="0.25">
      <c r="A5492" s="1" t="str">
        <f>MID(TB_CECO[[#This Row],[CECO_T]],1,5)</f>
        <v>1E57L</v>
      </c>
      <c r="B5492" s="1" t="str">
        <f>MID(TB_CECO[[#This Row],[TRABAJO]],1,SEARCH(",",TB_CECO[[#This Row],[TRABAJO]],1)-1)</f>
        <v>Snv 883 NE (Est 877 SE)</v>
      </c>
      <c r="C549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883 NE (Est 877 SE),PERFORACION</v>
      </c>
      <c r="D549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9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92" s="47" t="s">
        <v>11326</v>
      </c>
      <c r="G5492" t="s">
        <v>11327</v>
      </c>
      <c r="H54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93" spans="1:8" ht="15" customHeight="1" x14ac:dyDescent="0.25">
      <c r="A5493" s="1" t="str">
        <f>MID(TB_CECO[[#This Row],[CECO_T]],1,5)</f>
        <v>1E57L</v>
      </c>
      <c r="B5493" s="1" t="str">
        <f>MID(TB_CECO[[#This Row],[TRABAJO]],1,SEARCH(",",TB_CECO[[#This Row],[TRABAJO]],1)-1)</f>
        <v>Snv 883 NE (Est 877 SE)</v>
      </c>
      <c r="C549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883 NE (Est 877 SE),VOLADURA</v>
      </c>
      <c r="D549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9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93" s="47" t="s">
        <v>11328</v>
      </c>
      <c r="G5493" t="s">
        <v>11329</v>
      </c>
      <c r="H54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94" spans="1:8" ht="15" customHeight="1" x14ac:dyDescent="0.25">
      <c r="A5494" s="1" t="str">
        <f>MID(TB_CECO[[#This Row],[CECO_T]],1,5)</f>
        <v>1E57L</v>
      </c>
      <c r="B5494" s="1" t="str">
        <f>MID(TB_CECO[[#This Row],[TRABAJO]],1,SEARCH(",",TB_CECO[[#This Row],[TRABAJO]],1)-1)</f>
        <v>Snv 883 NE (Est 877 SE)</v>
      </c>
      <c r="C549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883 NE (Est 877 SE),LIMPIEZA</v>
      </c>
      <c r="D549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9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94" s="47" t="s">
        <v>11330</v>
      </c>
      <c r="G5494" t="s">
        <v>11331</v>
      </c>
      <c r="H54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95" spans="1:8" ht="15" customHeight="1" x14ac:dyDescent="0.25">
      <c r="A5495" s="1" t="str">
        <f>MID(TB_CECO[[#This Row],[CECO_T]],1,5)</f>
        <v>1E57L</v>
      </c>
      <c r="B5495" s="1" t="str">
        <f>MID(TB_CECO[[#This Row],[TRABAJO]],1,SEARCH(",",TB_CECO[[#This Row],[TRABAJO]],1)-1)</f>
        <v>Snv 883 NE (Est 877 SE)</v>
      </c>
      <c r="C549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883 NE (Est 877 SE),SOSTENIMIENTO</v>
      </c>
      <c r="D549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9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95" s="47" t="s">
        <v>11332</v>
      </c>
      <c r="G5495" t="s">
        <v>11333</v>
      </c>
      <c r="H54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96" spans="1:8" ht="15" customHeight="1" x14ac:dyDescent="0.25">
      <c r="A5496" s="1" t="str">
        <f>MID(TB_CECO[[#This Row],[CECO_T]],1,5)</f>
        <v>1E57L</v>
      </c>
      <c r="B5496" s="1" t="str">
        <f>MID(TB_CECO[[#This Row],[TRABAJO]],1,SEARCH(",",TB_CECO[[#This Row],[TRABAJO]],1)-1)</f>
        <v>Snv 883 NE (Est 877 SE)</v>
      </c>
      <c r="C549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883 NE (Est 877 SE),SERVICIO</v>
      </c>
      <c r="D549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9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96" s="47" t="s">
        <v>11334</v>
      </c>
      <c r="G5496" t="s">
        <v>11335</v>
      </c>
      <c r="H54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97" spans="1:8" ht="15" customHeight="1" x14ac:dyDescent="0.25">
      <c r="A5497" s="1" t="str">
        <f>MID(TB_CECO[[#This Row],[CECO_T]],1,5)</f>
        <v>1E61P</v>
      </c>
      <c r="B5497" s="1" t="str">
        <f>MID(TB_CECO[[#This Row],[TRABAJO]],1,SEARCH(",",TB_CECO[[#This Row],[TRABAJO]],1)-1)</f>
        <v>Est 877 SE (Est 873 NE)</v>
      </c>
      <c r="C549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877 SE (Est 873 NE),PERFORACION</v>
      </c>
      <c r="D549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9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97" s="47" t="s">
        <v>11336</v>
      </c>
      <c r="G5497" t="s">
        <v>11337</v>
      </c>
      <c r="H54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98" spans="1:8" ht="15" customHeight="1" x14ac:dyDescent="0.25">
      <c r="A5498" s="1" t="str">
        <f>MID(TB_CECO[[#This Row],[CECO_T]],1,5)</f>
        <v>1E61P</v>
      </c>
      <c r="B5498" s="1" t="str">
        <f>MID(TB_CECO[[#This Row],[TRABAJO]],1,SEARCH(",",TB_CECO[[#This Row],[TRABAJO]],1)-1)</f>
        <v>Est 877 SE (Est 873 NE)</v>
      </c>
      <c r="C549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877 SE (Est 873 NE),VOLADURA</v>
      </c>
      <c r="D549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9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98" s="47" t="s">
        <v>11338</v>
      </c>
      <c r="G5498" t="s">
        <v>11339</v>
      </c>
      <c r="H54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499" spans="1:8" ht="15" customHeight="1" x14ac:dyDescent="0.25">
      <c r="A5499" s="1" t="str">
        <f>MID(TB_CECO[[#This Row],[CECO_T]],1,5)</f>
        <v>1E61P</v>
      </c>
      <c r="B5499" s="1" t="str">
        <f>MID(TB_CECO[[#This Row],[TRABAJO]],1,SEARCH(",",TB_CECO[[#This Row],[TRABAJO]],1)-1)</f>
        <v>Est 877 SE (Est 873 NE)</v>
      </c>
      <c r="C549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877 SE (Est 873 NE),LIMPIEZA</v>
      </c>
      <c r="D549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49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499" s="47" t="s">
        <v>11340</v>
      </c>
      <c r="G5499" t="s">
        <v>11341</v>
      </c>
      <c r="H54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00" spans="1:8" ht="15" customHeight="1" x14ac:dyDescent="0.25">
      <c r="A5500" s="1" t="str">
        <f>MID(TB_CECO[[#This Row],[CECO_T]],1,5)</f>
        <v>1E61P</v>
      </c>
      <c r="B5500" s="1" t="str">
        <f>MID(TB_CECO[[#This Row],[TRABAJO]],1,SEARCH(",",TB_CECO[[#This Row],[TRABAJO]],1)-1)</f>
        <v>Est 877 SE (Est 873 NE)</v>
      </c>
      <c r="C550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877 SE (Est 873 NE),SOSTENIMIENTO</v>
      </c>
      <c r="D550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0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00" s="47" t="s">
        <v>11342</v>
      </c>
      <c r="G5500" t="s">
        <v>11343</v>
      </c>
      <c r="H55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01" spans="1:8" ht="15" customHeight="1" x14ac:dyDescent="0.25">
      <c r="A5501" s="1" t="str">
        <f>MID(TB_CECO[[#This Row],[CECO_T]],1,5)</f>
        <v>1E61P</v>
      </c>
      <c r="B5501" s="1" t="str">
        <f>MID(TB_CECO[[#This Row],[TRABAJO]],1,SEARCH(",",TB_CECO[[#This Row],[TRABAJO]],1)-1)</f>
        <v>Est 877 SE (Est 873 NE)</v>
      </c>
      <c r="C550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877 SE (Est 873 NE),SERVICIO</v>
      </c>
      <c r="D550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0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01" s="47" t="s">
        <v>11344</v>
      </c>
      <c r="G5501" t="s">
        <v>11345</v>
      </c>
      <c r="H55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02" spans="1:8" ht="15" customHeight="1" x14ac:dyDescent="0.25">
      <c r="A5502" s="1" t="str">
        <f>MID(TB_CECO[[#This Row],[CECO_T]],1,5)</f>
        <v>1E61Q</v>
      </c>
      <c r="B5502" s="1" t="str">
        <f>MID(TB_CECO[[#This Row],[TRABAJO]],1,SEARCH(",",TB_CECO[[#This Row],[TRABAJO]],1)-1)</f>
        <v>Est 877 NW (Est 873 NE)</v>
      </c>
      <c r="C550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877 NW (Est 873 NE),PERFORACION</v>
      </c>
      <c r="D550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0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02" s="47" t="s">
        <v>11346</v>
      </c>
      <c r="G5502" t="s">
        <v>11347</v>
      </c>
      <c r="H55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03" spans="1:8" ht="15" customHeight="1" x14ac:dyDescent="0.25">
      <c r="A5503" s="1" t="str">
        <f>MID(TB_CECO[[#This Row],[CECO_T]],1,5)</f>
        <v>1E61Q</v>
      </c>
      <c r="B5503" s="1" t="str">
        <f>MID(TB_CECO[[#This Row],[TRABAJO]],1,SEARCH(",",TB_CECO[[#This Row],[TRABAJO]],1)-1)</f>
        <v>Est 877 NW (Est 873 NE)</v>
      </c>
      <c r="C550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877 NW (Est 873 NE),VOLADURA</v>
      </c>
      <c r="D550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0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03" s="47" t="s">
        <v>11348</v>
      </c>
      <c r="G5503" t="s">
        <v>11349</v>
      </c>
      <c r="H55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04" spans="1:8" ht="15" customHeight="1" x14ac:dyDescent="0.25">
      <c r="A5504" s="1" t="str">
        <f>MID(TB_CECO[[#This Row],[CECO_T]],1,5)</f>
        <v>1E61Q</v>
      </c>
      <c r="B5504" s="1" t="str">
        <f>MID(TB_CECO[[#This Row],[TRABAJO]],1,SEARCH(",",TB_CECO[[#This Row],[TRABAJO]],1)-1)</f>
        <v>Est 877 NW (Est 873 NE)</v>
      </c>
      <c r="C550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877 NW (Est 873 NE),LIMPIEZA</v>
      </c>
      <c r="D550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0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04" s="47" t="s">
        <v>11350</v>
      </c>
      <c r="G5504" t="s">
        <v>11351</v>
      </c>
      <c r="H55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05" spans="1:8" ht="15" customHeight="1" x14ac:dyDescent="0.25">
      <c r="A5505" s="1" t="str">
        <f>MID(TB_CECO[[#This Row],[CECO_T]],1,5)</f>
        <v>1E61Q</v>
      </c>
      <c r="B5505" s="1" t="str">
        <f>MID(TB_CECO[[#This Row],[TRABAJO]],1,SEARCH(",",TB_CECO[[#This Row],[TRABAJO]],1)-1)</f>
        <v>Est 877 NW (Est 873 NE)</v>
      </c>
      <c r="C550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877 NW (Est 873 NE),SOSTENIMIENTO</v>
      </c>
      <c r="D550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0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05" s="47" t="s">
        <v>11352</v>
      </c>
      <c r="G5505" t="s">
        <v>11353</v>
      </c>
      <c r="H55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06" spans="1:8" ht="15" customHeight="1" x14ac:dyDescent="0.25">
      <c r="A5506" s="1" t="str">
        <f>MID(TB_CECO[[#This Row],[CECO_T]],1,5)</f>
        <v>1E61Q</v>
      </c>
      <c r="B5506" s="1" t="str">
        <f>MID(TB_CECO[[#This Row],[TRABAJO]],1,SEARCH(",",TB_CECO[[#This Row],[TRABAJO]],1)-1)</f>
        <v>Est 877 NW (Est 873 NE)</v>
      </c>
      <c r="C550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877 NW (Est 873 NE),SERVICIO</v>
      </c>
      <c r="D550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0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06" s="47" t="s">
        <v>11354</v>
      </c>
      <c r="G5506" t="s">
        <v>11355</v>
      </c>
      <c r="H55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07" spans="1:8" ht="15" customHeight="1" x14ac:dyDescent="0.25">
      <c r="A5507" s="1" t="str">
        <f>MID(TB_CECO[[#This Row],[CECO_T]],1,5)</f>
        <v>1E61R</v>
      </c>
      <c r="B5507" s="1" t="str">
        <f>MID(TB_CECO[[#This Row],[TRABAJO]],1,SEARCH(",",TB_CECO[[#This Row],[TRABAJO]],1)-1)</f>
        <v>Est 873 NE (Inc 863 SE)</v>
      </c>
      <c r="C550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873 NE (Inc 863 SE),PERFORACION</v>
      </c>
      <c r="D550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0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07" s="47" t="s">
        <v>11356</v>
      </c>
      <c r="G5507" t="s">
        <v>11357</v>
      </c>
      <c r="H55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08" spans="1:8" ht="15" customHeight="1" x14ac:dyDescent="0.25">
      <c r="A5508" s="1" t="str">
        <f>MID(TB_CECO[[#This Row],[CECO_T]],1,5)</f>
        <v>1E61R</v>
      </c>
      <c r="B5508" s="1" t="str">
        <f>MID(TB_CECO[[#This Row],[TRABAJO]],1,SEARCH(",",TB_CECO[[#This Row],[TRABAJO]],1)-1)</f>
        <v>Est 873 NE (Inc 863 SE)</v>
      </c>
      <c r="C550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873 NE (Inc 863 SE),VOLADURA</v>
      </c>
      <c r="D550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0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08" s="47" t="s">
        <v>11358</v>
      </c>
      <c r="G5508" t="s">
        <v>11359</v>
      </c>
      <c r="H55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09" spans="1:8" ht="15" customHeight="1" x14ac:dyDescent="0.25">
      <c r="A5509" s="1" t="str">
        <f>MID(TB_CECO[[#This Row],[CECO_T]],1,5)</f>
        <v>1E61R</v>
      </c>
      <c r="B5509" s="1" t="str">
        <f>MID(TB_CECO[[#This Row],[TRABAJO]],1,SEARCH(",",TB_CECO[[#This Row],[TRABAJO]],1)-1)</f>
        <v>Est 873 NE (Inc 863 SE)</v>
      </c>
      <c r="C550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873 NE (Inc 863 SE),LIMPIEZA</v>
      </c>
      <c r="D550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0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09" s="47" t="s">
        <v>11360</v>
      </c>
      <c r="G5509" t="s">
        <v>11361</v>
      </c>
      <c r="H55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10" spans="1:8" ht="15" customHeight="1" x14ac:dyDescent="0.25">
      <c r="A5510" s="1" t="str">
        <f>MID(TB_CECO[[#This Row],[CECO_T]],1,5)</f>
        <v>1E61R</v>
      </c>
      <c r="B5510" s="1" t="str">
        <f>MID(TB_CECO[[#This Row],[TRABAJO]],1,SEARCH(",",TB_CECO[[#This Row],[TRABAJO]],1)-1)</f>
        <v>Est 873 NE (Inc 863 SE)</v>
      </c>
      <c r="C551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873 NE (Inc 863 SE),SOSTENIMIENTO</v>
      </c>
      <c r="D551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1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10" s="47" t="s">
        <v>11362</v>
      </c>
      <c r="G5510" t="s">
        <v>11363</v>
      </c>
      <c r="H55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11" spans="1:8" ht="15" customHeight="1" x14ac:dyDescent="0.25">
      <c r="A5511" s="1" t="str">
        <f>MID(TB_CECO[[#This Row],[CECO_T]],1,5)</f>
        <v>1E61R</v>
      </c>
      <c r="B5511" s="1" t="str">
        <f>MID(TB_CECO[[#This Row],[TRABAJO]],1,SEARCH(",",TB_CECO[[#This Row],[TRABAJO]],1)-1)</f>
        <v>Est 873 NE (Inc 863 SE)</v>
      </c>
      <c r="C551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873 NE (Inc 863 SE),SERVICIO</v>
      </c>
      <c r="D551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1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11" s="47" t="s">
        <v>11364</v>
      </c>
      <c r="G5511" t="s">
        <v>11365</v>
      </c>
      <c r="H55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12" spans="1:8" ht="15" customHeight="1" x14ac:dyDescent="0.25">
      <c r="A5512" s="1" t="str">
        <f>MID(TB_CECO[[#This Row],[CECO_T]],1,5)</f>
        <v>1E57M</v>
      </c>
      <c r="B5512" s="1" t="str">
        <f>MID(TB_CECO[[#This Row],[TRABAJO]],1,SEARCH(",",TB_CECO[[#This Row],[TRABAJO]],1)-1)</f>
        <v>Snv 820 NE (Est 820 SE)</v>
      </c>
      <c r="C551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(Est 820 SE),PERFORACION</v>
      </c>
      <c r="D551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1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12" s="47" t="s">
        <v>11366</v>
      </c>
      <c r="G5512" t="s">
        <v>11367</v>
      </c>
      <c r="H55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13" spans="1:8" ht="15" customHeight="1" x14ac:dyDescent="0.25">
      <c r="A5513" s="1" t="str">
        <f>MID(TB_CECO[[#This Row],[CECO_T]],1,5)</f>
        <v>1E57M</v>
      </c>
      <c r="B5513" s="1" t="str">
        <f>MID(TB_CECO[[#This Row],[TRABAJO]],1,SEARCH(",",TB_CECO[[#This Row],[TRABAJO]],1)-1)</f>
        <v>Snv 820 NE (Est 820 SE)</v>
      </c>
      <c r="C551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(Est 820 SE),VOLADURA</v>
      </c>
      <c r="D551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1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13" s="47" t="s">
        <v>11368</v>
      </c>
      <c r="G5513" t="s">
        <v>11369</v>
      </c>
      <c r="H55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14" spans="1:8" ht="15" customHeight="1" x14ac:dyDescent="0.25">
      <c r="A5514" s="1" t="str">
        <f>MID(TB_CECO[[#This Row],[CECO_T]],1,5)</f>
        <v>1E57M</v>
      </c>
      <c r="B5514" s="1" t="str">
        <f>MID(TB_CECO[[#This Row],[TRABAJO]],1,SEARCH(",",TB_CECO[[#This Row],[TRABAJO]],1)-1)</f>
        <v>Snv 820 NE (Est 820 SE)</v>
      </c>
      <c r="C551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(Est 820 SE),LIMPIEZA</v>
      </c>
      <c r="D551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1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14" s="47" t="s">
        <v>11370</v>
      </c>
      <c r="G5514" t="s">
        <v>11371</v>
      </c>
      <c r="H55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15" spans="1:8" ht="15" customHeight="1" x14ac:dyDescent="0.25">
      <c r="A5515" s="1" t="str">
        <f>MID(TB_CECO[[#This Row],[CECO_T]],1,5)</f>
        <v>1E57M</v>
      </c>
      <c r="B5515" s="1" t="str">
        <f>MID(TB_CECO[[#This Row],[TRABAJO]],1,SEARCH(",",TB_CECO[[#This Row],[TRABAJO]],1)-1)</f>
        <v>Snv 820 NE (Est 820 SE)</v>
      </c>
      <c r="C551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(Est 820 SE),SOSTENIMIENTO</v>
      </c>
      <c r="D551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1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15" s="47" t="s">
        <v>11372</v>
      </c>
      <c r="G5515" t="s">
        <v>11373</v>
      </c>
      <c r="H55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16" spans="1:8" ht="15" customHeight="1" x14ac:dyDescent="0.25">
      <c r="A5516" s="1" t="str">
        <f>MID(TB_CECO[[#This Row],[CECO_T]],1,5)</f>
        <v>1E57M</v>
      </c>
      <c r="B5516" s="1" t="str">
        <f>MID(TB_CECO[[#This Row],[TRABAJO]],1,SEARCH(",",TB_CECO[[#This Row],[TRABAJO]],1)-1)</f>
        <v>Snv 820 NE (Est 820 SE)</v>
      </c>
      <c r="C551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(Est 820 SE),SERVICIO</v>
      </c>
      <c r="D551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1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16" s="47" t="s">
        <v>11374</v>
      </c>
      <c r="G5516" t="s">
        <v>11375</v>
      </c>
      <c r="H55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17" spans="1:8" ht="15" customHeight="1" x14ac:dyDescent="0.25">
      <c r="A5517" s="1" t="str">
        <f>MID(TB_CECO[[#This Row],[CECO_T]],1,5)</f>
        <v>1E57N</v>
      </c>
      <c r="B5517" s="1" t="str">
        <f>MID(TB_CECO[[#This Row],[TRABAJO]],1,SEARCH(",",TB_CECO[[#This Row],[TRABAJO]],1)-1)</f>
        <v>Snv 820 SW (Est 820 SE)</v>
      </c>
      <c r="C551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(Est 820 SE),PERFORACION</v>
      </c>
      <c r="D551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1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17" s="47" t="s">
        <v>11376</v>
      </c>
      <c r="G5517" t="s">
        <v>11377</v>
      </c>
      <c r="H55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18" spans="1:8" ht="15" customHeight="1" x14ac:dyDescent="0.25">
      <c r="A5518" s="1" t="str">
        <f>MID(TB_CECO[[#This Row],[CECO_T]],1,5)</f>
        <v>1E57N</v>
      </c>
      <c r="B5518" s="1" t="str">
        <f>MID(TB_CECO[[#This Row],[TRABAJO]],1,SEARCH(",",TB_CECO[[#This Row],[TRABAJO]],1)-1)</f>
        <v>Snv 820 SW (Est 820 SE)</v>
      </c>
      <c r="C551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(Est 820 SE),VOLADURA</v>
      </c>
      <c r="D551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1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18" s="47" t="s">
        <v>11378</v>
      </c>
      <c r="G5518" t="s">
        <v>11379</v>
      </c>
      <c r="H55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19" spans="1:8" ht="15" customHeight="1" x14ac:dyDescent="0.25">
      <c r="A5519" s="1" t="str">
        <f>MID(TB_CECO[[#This Row],[CECO_T]],1,5)</f>
        <v>1E57N</v>
      </c>
      <c r="B5519" s="1" t="str">
        <f>MID(TB_CECO[[#This Row],[TRABAJO]],1,SEARCH(",",TB_CECO[[#This Row],[TRABAJO]],1)-1)</f>
        <v>Snv 820 SW (Est 820 SE)</v>
      </c>
      <c r="C551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(Est 820 SE),LIMPIEZA</v>
      </c>
      <c r="D551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1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19" s="47" t="s">
        <v>11380</v>
      </c>
      <c r="G5519" t="s">
        <v>11381</v>
      </c>
      <c r="H55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20" spans="1:8" ht="15" customHeight="1" x14ac:dyDescent="0.25">
      <c r="A5520" s="1" t="str">
        <f>MID(TB_CECO[[#This Row],[CECO_T]],1,5)</f>
        <v>1E57N</v>
      </c>
      <c r="B5520" s="1" t="str">
        <f>MID(TB_CECO[[#This Row],[TRABAJO]],1,SEARCH(",",TB_CECO[[#This Row],[TRABAJO]],1)-1)</f>
        <v>Snv 820 SW (Est 820 SE)</v>
      </c>
      <c r="C552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(Est 820 SE),SOSTENIMIENTO</v>
      </c>
      <c r="D552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2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20" s="47" t="s">
        <v>11382</v>
      </c>
      <c r="G5520" t="s">
        <v>11383</v>
      </c>
      <c r="H55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21" spans="1:8" ht="15" customHeight="1" x14ac:dyDescent="0.25">
      <c r="A5521" s="1" t="str">
        <f>MID(TB_CECO[[#This Row],[CECO_T]],1,5)</f>
        <v>1E57N</v>
      </c>
      <c r="B5521" s="1" t="str">
        <f>MID(TB_CECO[[#This Row],[TRABAJO]],1,SEARCH(",",TB_CECO[[#This Row],[TRABAJO]],1)-1)</f>
        <v>Snv 820 SW (Est 820 SE)</v>
      </c>
      <c r="C552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(Est 820 SE),SERVICIO</v>
      </c>
      <c r="D552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2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21" s="47" t="s">
        <v>11384</v>
      </c>
      <c r="G5521" t="s">
        <v>11385</v>
      </c>
      <c r="H55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22" spans="1:8" ht="15" customHeight="1" x14ac:dyDescent="0.25">
      <c r="A5522" s="1" t="str">
        <f>MID(TB_CECO[[#This Row],[CECO_T]],1,5)</f>
        <v>1E61S</v>
      </c>
      <c r="B5522" s="1" t="str">
        <f>MID(TB_CECO[[#This Row],[TRABAJO]],1,SEARCH(",",TB_CECO[[#This Row],[TRABAJO]],1)-1)</f>
        <v>Est 820 NW (Ch 044)</v>
      </c>
      <c r="C552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(Ch 044),PERFORACION</v>
      </c>
      <c r="D552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2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22" s="47" t="s">
        <v>11386</v>
      </c>
      <c r="G5522" t="s">
        <v>3194</v>
      </c>
      <c r="H55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23" spans="1:8" ht="15" customHeight="1" x14ac:dyDescent="0.25">
      <c r="A5523" s="1" t="str">
        <f>MID(TB_CECO[[#This Row],[CECO_T]],1,5)</f>
        <v>1E61S</v>
      </c>
      <c r="B5523" s="1" t="str">
        <f>MID(TB_CECO[[#This Row],[TRABAJO]],1,SEARCH(",",TB_CECO[[#This Row],[TRABAJO]],1)-1)</f>
        <v>Est 820 NW (Ch 044)</v>
      </c>
      <c r="C552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(Ch 044),VOLADURA</v>
      </c>
      <c r="D552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2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23" s="47" t="s">
        <v>11387</v>
      </c>
      <c r="G5523" t="s">
        <v>3198</v>
      </c>
      <c r="H55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24" spans="1:8" ht="15" customHeight="1" x14ac:dyDescent="0.25">
      <c r="A5524" s="1" t="str">
        <f>MID(TB_CECO[[#This Row],[CECO_T]],1,5)</f>
        <v>1E61S</v>
      </c>
      <c r="B5524" s="1" t="str">
        <f>MID(TB_CECO[[#This Row],[TRABAJO]],1,SEARCH(",",TB_CECO[[#This Row],[TRABAJO]],1)-1)</f>
        <v>Est 820 NW (Ch 044)</v>
      </c>
      <c r="C552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(Ch 044),LIMPIEZA</v>
      </c>
      <c r="D552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2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24" s="47" t="s">
        <v>11388</v>
      </c>
      <c r="G5524" t="s">
        <v>3190</v>
      </c>
      <c r="H55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25" spans="1:8" ht="15" customHeight="1" x14ac:dyDescent="0.25">
      <c r="A5525" s="1" t="str">
        <f>MID(TB_CECO[[#This Row],[CECO_T]],1,5)</f>
        <v>1E61S</v>
      </c>
      <c r="B5525" s="1" t="str">
        <f>MID(TB_CECO[[#This Row],[TRABAJO]],1,SEARCH(",",TB_CECO[[#This Row],[TRABAJO]],1)-1)</f>
        <v>Est 820 NW (Ch 044)</v>
      </c>
      <c r="C552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(Ch 044),SOSTENIMIENTO</v>
      </c>
      <c r="D552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2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25" s="47" t="s">
        <v>11389</v>
      </c>
      <c r="G5525" t="s">
        <v>3196</v>
      </c>
      <c r="H55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26" spans="1:8" ht="15" customHeight="1" x14ac:dyDescent="0.25">
      <c r="A5526" s="1" t="str">
        <f>MID(TB_CECO[[#This Row],[CECO_T]],1,5)</f>
        <v>1E61S</v>
      </c>
      <c r="B5526" s="1" t="str">
        <f>MID(TB_CECO[[#This Row],[TRABAJO]],1,SEARCH(",",TB_CECO[[#This Row],[TRABAJO]],1)-1)</f>
        <v>Est 820 NW (Ch 044)</v>
      </c>
      <c r="C552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NW (Ch 044),SERVICIO</v>
      </c>
      <c r="D552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2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26" s="47" t="s">
        <v>11390</v>
      </c>
      <c r="G5526" t="s">
        <v>3192</v>
      </c>
      <c r="H55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27" spans="1:8" ht="15" customHeight="1" x14ac:dyDescent="0.25">
      <c r="A5527" s="1" t="str">
        <f>MID(TB_CECO[[#This Row],[CECO_T]],1,5)</f>
        <v>1E61T</v>
      </c>
      <c r="B5527" s="1" t="str">
        <f>MID(TB_CECO[[#This Row],[TRABAJO]],1,SEARCH(",",TB_CECO[[#This Row],[TRABAJO]],1)-1)</f>
        <v>Est 820 SE (Ch 044)</v>
      </c>
      <c r="C552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SE (Ch 044),PERFORACION</v>
      </c>
      <c r="D552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2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27" s="47" t="s">
        <v>11391</v>
      </c>
      <c r="G5527" t="s">
        <v>11392</v>
      </c>
      <c r="H55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28" spans="1:8" ht="15" customHeight="1" x14ac:dyDescent="0.25">
      <c r="A5528" s="1" t="str">
        <f>MID(TB_CECO[[#This Row],[CECO_T]],1,5)</f>
        <v>1E61T</v>
      </c>
      <c r="B5528" s="1" t="str">
        <f>MID(TB_CECO[[#This Row],[TRABAJO]],1,SEARCH(",",TB_CECO[[#This Row],[TRABAJO]],1)-1)</f>
        <v>Est 820 SE (Ch 044)</v>
      </c>
      <c r="C552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SE (Ch 044),VOLADURA</v>
      </c>
      <c r="D552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2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28" s="47" t="s">
        <v>11393</v>
      </c>
      <c r="G5528" t="s">
        <v>11394</v>
      </c>
      <c r="H55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29" spans="1:8" ht="15" customHeight="1" x14ac:dyDescent="0.25">
      <c r="A5529" s="1" t="str">
        <f>MID(TB_CECO[[#This Row],[CECO_T]],1,5)</f>
        <v>1E61T</v>
      </c>
      <c r="B5529" s="1" t="str">
        <f>MID(TB_CECO[[#This Row],[TRABAJO]],1,SEARCH(",",TB_CECO[[#This Row],[TRABAJO]],1)-1)</f>
        <v>Est 820 SE (Ch 044)</v>
      </c>
      <c r="C552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SE (Ch 044),LIMPIEZA</v>
      </c>
      <c r="D552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2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29" s="47" t="s">
        <v>11395</v>
      </c>
      <c r="G5529" t="s">
        <v>11396</v>
      </c>
      <c r="H55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30" spans="1:8" ht="15" customHeight="1" x14ac:dyDescent="0.25">
      <c r="A5530" s="1" t="str">
        <f>MID(TB_CECO[[#This Row],[CECO_T]],1,5)</f>
        <v>1E61T</v>
      </c>
      <c r="B5530" s="1" t="str">
        <f>MID(TB_CECO[[#This Row],[TRABAJO]],1,SEARCH(",",TB_CECO[[#This Row],[TRABAJO]],1)-1)</f>
        <v>Est 820 SE (Ch 044)</v>
      </c>
      <c r="C553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SE (Ch 044),SOSTENIMIENTO</v>
      </c>
      <c r="D553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3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30" s="47" t="s">
        <v>11397</v>
      </c>
      <c r="G5530" t="s">
        <v>11398</v>
      </c>
      <c r="H55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31" spans="1:8" ht="15" customHeight="1" x14ac:dyDescent="0.25">
      <c r="A5531" s="1" t="str">
        <f>MID(TB_CECO[[#This Row],[CECO_T]],1,5)</f>
        <v>1E61T</v>
      </c>
      <c r="B5531" s="1" t="str">
        <f>MID(TB_CECO[[#This Row],[TRABAJO]],1,SEARCH(",",TB_CECO[[#This Row],[TRABAJO]],1)-1)</f>
        <v>Est 820 SE (Ch 044)</v>
      </c>
      <c r="C553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820 SE (Ch 044),SERVICIO</v>
      </c>
      <c r="D553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3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31" s="47" t="s">
        <v>11399</v>
      </c>
      <c r="G5531" t="s">
        <v>11400</v>
      </c>
      <c r="H55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32" spans="1:8" ht="15" customHeight="1" x14ac:dyDescent="0.25">
      <c r="A5532" s="1" t="str">
        <f>MID(TB_CECO[[#This Row],[CECO_T]],1,5)</f>
        <v>1E32M</v>
      </c>
      <c r="B5532" s="1" t="str">
        <f>MID(TB_CECO[[#This Row],[TRABAJO]],1,SEARCH(",",TB_CECO[[#This Row],[TRABAJO]],1)-1)</f>
        <v>Ch 044 (Cam 021)</v>
      </c>
      <c r="C553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(Cam 021),PERFORACION</v>
      </c>
      <c r="D553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3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32" s="47" t="s">
        <v>11401</v>
      </c>
      <c r="G5532" t="s">
        <v>11402</v>
      </c>
      <c r="H55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33" spans="1:8" ht="15" customHeight="1" x14ac:dyDescent="0.25">
      <c r="A5533" s="1" t="str">
        <f>MID(TB_CECO[[#This Row],[CECO_T]],1,5)</f>
        <v>1E32M</v>
      </c>
      <c r="B5533" s="1" t="str">
        <f>MID(TB_CECO[[#This Row],[TRABAJO]],1,SEARCH(",",TB_CECO[[#This Row],[TRABAJO]],1)-1)</f>
        <v>Ch 044 (Cam 021)</v>
      </c>
      <c r="C553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(Cam 021),VOLADURA</v>
      </c>
      <c r="D553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3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33" s="47" t="s">
        <v>11403</v>
      </c>
      <c r="G5533" t="s">
        <v>11404</v>
      </c>
      <c r="H55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34" spans="1:8" ht="15" customHeight="1" x14ac:dyDescent="0.25">
      <c r="A5534" s="1" t="str">
        <f>MID(TB_CECO[[#This Row],[CECO_T]],1,5)</f>
        <v>1E32M</v>
      </c>
      <c r="B5534" s="1" t="str">
        <f>MID(TB_CECO[[#This Row],[TRABAJO]],1,SEARCH(",",TB_CECO[[#This Row],[TRABAJO]],1)-1)</f>
        <v>Ch 044 (Cam 021)</v>
      </c>
      <c r="C553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(Cam 021),LIMPIEZA</v>
      </c>
      <c r="D553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3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34" s="47" t="s">
        <v>11405</v>
      </c>
      <c r="G5534" t="s">
        <v>11406</v>
      </c>
      <c r="H55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35" spans="1:8" ht="15" customHeight="1" x14ac:dyDescent="0.25">
      <c r="A5535" s="1" t="str">
        <f>MID(TB_CECO[[#This Row],[CECO_T]],1,5)</f>
        <v>1E32M</v>
      </c>
      <c r="B5535" s="1" t="str">
        <f>MID(TB_CECO[[#This Row],[TRABAJO]],1,SEARCH(",",TB_CECO[[#This Row],[TRABAJO]],1)-1)</f>
        <v>Ch 044 (Cam 021)</v>
      </c>
      <c r="C553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(Cam 021),SOSTENIMIENTO</v>
      </c>
      <c r="D553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3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35" s="47" t="s">
        <v>11407</v>
      </c>
      <c r="G5535" t="s">
        <v>11408</v>
      </c>
      <c r="H55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36" spans="1:8" ht="15" customHeight="1" x14ac:dyDescent="0.25">
      <c r="A5536" s="1" t="str">
        <f>MID(TB_CECO[[#This Row],[CECO_T]],1,5)</f>
        <v>1E32M</v>
      </c>
      <c r="B5536" s="1" t="str">
        <f>MID(TB_CECO[[#This Row],[TRABAJO]],1,SEARCH(",",TB_CECO[[#This Row],[TRABAJO]],1)-1)</f>
        <v>Ch 044 (Cam 021)</v>
      </c>
      <c r="C553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044 (Cam 021),SERVICIO</v>
      </c>
      <c r="D553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3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36" s="47" t="s">
        <v>11409</v>
      </c>
      <c r="G5536" t="s">
        <v>11410</v>
      </c>
      <c r="H55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37" spans="1:8" ht="15" customHeight="1" x14ac:dyDescent="0.25">
      <c r="A5537" s="1" t="str">
        <f>MID(TB_CECO[[#This Row],[CECO_T]],1,5)</f>
        <v>1E57O</v>
      </c>
      <c r="B5537" s="1" t="str">
        <f>MID(TB_CECO[[#This Row],[TRABAJO]],1,SEARCH(",",TB_CECO[[#This Row],[TRABAJO]],1)-1)</f>
        <v>Snv 876 NE (Est 877 NW)</v>
      </c>
      <c r="C553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876 NE (Est 877 NW),PERFORACION</v>
      </c>
      <c r="D553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3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37" s="47" t="s">
        <v>11412</v>
      </c>
      <c r="G5537" t="s">
        <v>11413</v>
      </c>
      <c r="H55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38" spans="1:8" ht="15" customHeight="1" x14ac:dyDescent="0.25">
      <c r="A5538" s="1" t="str">
        <f>MID(TB_CECO[[#This Row],[CECO_T]],1,5)</f>
        <v>1E57O</v>
      </c>
      <c r="B5538" s="1" t="str">
        <f>MID(TB_CECO[[#This Row],[TRABAJO]],1,SEARCH(",",TB_CECO[[#This Row],[TRABAJO]],1)-1)</f>
        <v>Snv 876 NE (Est 877 NW)</v>
      </c>
      <c r="C553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876 NE (Est 877 NW),VOLADURA</v>
      </c>
      <c r="D553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3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38" s="47" t="s">
        <v>11414</v>
      </c>
      <c r="G5538" t="s">
        <v>11415</v>
      </c>
      <c r="H55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39" spans="1:8" ht="15" customHeight="1" x14ac:dyDescent="0.25">
      <c r="A5539" s="1" t="str">
        <f>MID(TB_CECO[[#This Row],[CECO_T]],1,5)</f>
        <v>1E57O</v>
      </c>
      <c r="B5539" s="1" t="str">
        <f>MID(TB_CECO[[#This Row],[TRABAJO]],1,SEARCH(",",TB_CECO[[#This Row],[TRABAJO]],1)-1)</f>
        <v>Snv 876 NE (Est 877 NW)</v>
      </c>
      <c r="C553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876 NE (Est 877 NW),LIMPIEZA</v>
      </c>
      <c r="D553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3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39" s="47" t="s">
        <v>11416</v>
      </c>
      <c r="G5539" t="s">
        <v>11417</v>
      </c>
      <c r="H55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40" spans="1:8" ht="15" customHeight="1" x14ac:dyDescent="0.25">
      <c r="A5540" s="1" t="str">
        <f>MID(TB_CECO[[#This Row],[CECO_T]],1,5)</f>
        <v>1E57O</v>
      </c>
      <c r="B5540" s="1" t="str">
        <f>MID(TB_CECO[[#This Row],[TRABAJO]],1,SEARCH(",",TB_CECO[[#This Row],[TRABAJO]],1)-1)</f>
        <v>Snv 876 NE (Est 877 NW)</v>
      </c>
      <c r="C554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876 NE (Est 877 NW),SOSTENIMIENTO</v>
      </c>
      <c r="D554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4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40" s="47" t="s">
        <v>11418</v>
      </c>
      <c r="G5540" t="s">
        <v>11419</v>
      </c>
      <c r="H55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41" spans="1:8" ht="15" customHeight="1" x14ac:dyDescent="0.25">
      <c r="A5541" s="1" t="str">
        <f>MID(TB_CECO[[#This Row],[CECO_T]],1,5)</f>
        <v>1E57O</v>
      </c>
      <c r="B5541" s="1" t="str">
        <f>MID(TB_CECO[[#This Row],[TRABAJO]],1,SEARCH(",",TB_CECO[[#This Row],[TRABAJO]],1)-1)</f>
        <v>Snv 876 NE (Est 877 NW)</v>
      </c>
      <c r="C554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876 NE (Est 877 NW),SERVICIO</v>
      </c>
      <c r="D554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4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41" s="47" t="s">
        <v>11420</v>
      </c>
      <c r="G5541" t="s">
        <v>11421</v>
      </c>
      <c r="H55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42" spans="1:8" ht="15" customHeight="1" x14ac:dyDescent="0.25">
      <c r="A5542" s="1" t="str">
        <f>MID(TB_CECO[[#This Row],[CECO_T]],1,5)</f>
        <v>1D61U</v>
      </c>
      <c r="B5542" s="1" t="str">
        <f>MID(TB_CECO[[#This Row],[TRABAJO]],1,SEARCH(",",TB_CECO[[#This Row],[TRABAJO]],1)-1)</f>
        <v>Est 928 NW (Snv 865 SW)</v>
      </c>
      <c r="C554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928 NW (Snv 865 SW),PERFORACION</v>
      </c>
      <c r="D554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4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42" s="65" t="s">
        <v>11422</v>
      </c>
      <c r="G5542" s="64" t="s">
        <v>11423</v>
      </c>
      <c r="H55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43" spans="1:8" ht="15" customHeight="1" x14ac:dyDescent="0.25">
      <c r="A5543" s="1" t="str">
        <f>MID(TB_CECO[[#This Row],[CECO_T]],1,5)</f>
        <v>1D61U</v>
      </c>
      <c r="B5543" s="1" t="str">
        <f>MID(TB_CECO[[#This Row],[TRABAJO]],1,SEARCH(",",TB_CECO[[#This Row],[TRABAJO]],1)-1)</f>
        <v>Est 928 NW (Snv 865 SW)</v>
      </c>
      <c r="C554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928 NW (Snv 865 SW),VOLADURA</v>
      </c>
      <c r="D554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4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43" s="65" t="s">
        <v>11424</v>
      </c>
      <c r="G5543" s="64" t="s">
        <v>11425</v>
      </c>
      <c r="H55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44" spans="1:8" ht="15" customHeight="1" x14ac:dyDescent="0.25">
      <c r="A5544" s="1" t="str">
        <f>MID(TB_CECO[[#This Row],[CECO_T]],1,5)</f>
        <v>1D61U</v>
      </c>
      <c r="B5544" s="1" t="str">
        <f>MID(TB_CECO[[#This Row],[TRABAJO]],1,SEARCH(",",TB_CECO[[#This Row],[TRABAJO]],1)-1)</f>
        <v>Est 928 NW (Snv 865 SW)</v>
      </c>
      <c r="C554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928 NW (Snv 865 SW),LIMPIEZA</v>
      </c>
      <c r="D554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4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44" s="65" t="s">
        <v>11426</v>
      </c>
      <c r="G5544" s="64" t="s">
        <v>11427</v>
      </c>
      <c r="H55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45" spans="1:8" ht="15" customHeight="1" x14ac:dyDescent="0.25">
      <c r="A5545" s="1" t="str">
        <f>MID(TB_CECO[[#This Row],[CECO_T]],1,5)</f>
        <v>1D61U</v>
      </c>
      <c r="B5545" s="1" t="str">
        <f>MID(TB_CECO[[#This Row],[TRABAJO]],1,SEARCH(",",TB_CECO[[#This Row],[TRABAJO]],1)-1)</f>
        <v>Est 928 NW (Snv 865 SW)</v>
      </c>
      <c r="C554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928 NW (Snv 865 SW),SOSTENIMIENTO</v>
      </c>
      <c r="D554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4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45" s="65" t="s">
        <v>11428</v>
      </c>
      <c r="G5545" s="64" t="s">
        <v>11429</v>
      </c>
      <c r="H55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46" spans="1:8" ht="15" customHeight="1" x14ac:dyDescent="0.25">
      <c r="A5546" s="1" t="str">
        <f>MID(TB_CECO[[#This Row],[CECO_T]],1,5)</f>
        <v>1D61U</v>
      </c>
      <c r="B5546" s="1" t="str">
        <f>MID(TB_CECO[[#This Row],[TRABAJO]],1,SEARCH(",",TB_CECO[[#This Row],[TRABAJO]],1)-1)</f>
        <v>Est 928 NW (Snv 865 SW)</v>
      </c>
      <c r="C554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928 NW (Snv 865 SW),SERVICIO</v>
      </c>
      <c r="D554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4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46" s="65" t="s">
        <v>11430</v>
      </c>
      <c r="G5546" s="64" t="s">
        <v>11431</v>
      </c>
      <c r="H55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47" spans="1:8" ht="15" customHeight="1" x14ac:dyDescent="0.25">
      <c r="A5547" s="1" t="str">
        <f>MID(TB_CECO[[#This Row],[CECO_T]],1,5)</f>
        <v>3E57P</v>
      </c>
      <c r="B5547" s="1" t="str">
        <f>MID(TB_CECO[[#This Row],[TRABAJO]],1,SEARCH(",",TB_CECO[[#This Row],[TRABAJO]],1)-1)</f>
        <v>Snv 820 SW (Ch 044) </v>
      </c>
      <c r="C554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(Ch 044) ,PERFORACION</v>
      </c>
      <c r="D554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4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547" s="65" t="s">
        <v>11432</v>
      </c>
      <c r="G5547" s="64" t="s">
        <v>11433</v>
      </c>
      <c r="H55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48" spans="1:8" ht="15" customHeight="1" x14ac:dyDescent="0.25">
      <c r="A5548" s="1" t="str">
        <f>MID(TB_CECO[[#This Row],[CECO_T]],1,5)</f>
        <v>3E57P</v>
      </c>
      <c r="B5548" s="1" t="str">
        <f>MID(TB_CECO[[#This Row],[TRABAJO]],1,SEARCH(",",TB_CECO[[#This Row],[TRABAJO]],1)-1)</f>
        <v>Snv 820 SW (Ch 044) </v>
      </c>
      <c r="C554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(Ch 044) ,VOLADURA</v>
      </c>
      <c r="D554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4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548" s="65" t="s">
        <v>11434</v>
      </c>
      <c r="G5548" s="64" t="s">
        <v>11435</v>
      </c>
      <c r="H55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49" spans="1:8" ht="15" customHeight="1" x14ac:dyDescent="0.25">
      <c r="A5549" s="1" t="str">
        <f>MID(TB_CECO[[#This Row],[CECO_T]],1,5)</f>
        <v>3E57P</v>
      </c>
      <c r="B5549" s="1" t="str">
        <f>MID(TB_CECO[[#This Row],[TRABAJO]],1,SEARCH(",",TB_CECO[[#This Row],[TRABAJO]],1)-1)</f>
        <v>Snv 820 SW (Ch 044) </v>
      </c>
      <c r="C554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(Ch 044) ,LIMPIEZA</v>
      </c>
      <c r="D554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4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549" s="65" t="s">
        <v>11436</v>
      </c>
      <c r="G5549" s="64" t="s">
        <v>11437</v>
      </c>
      <c r="H55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50" spans="1:8" ht="15" customHeight="1" x14ac:dyDescent="0.25">
      <c r="A5550" s="1" t="str">
        <f>MID(TB_CECO[[#This Row],[CECO_T]],1,5)</f>
        <v>3E57P</v>
      </c>
      <c r="B5550" s="1" t="str">
        <f>MID(TB_CECO[[#This Row],[TRABAJO]],1,SEARCH(",",TB_CECO[[#This Row],[TRABAJO]],1)-1)</f>
        <v>Snv 820 SW (Ch 044) </v>
      </c>
      <c r="C555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(Ch 044) ,SOSTENIMIENTO</v>
      </c>
      <c r="D555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5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550" s="65" t="s">
        <v>11438</v>
      </c>
      <c r="G5550" s="64" t="s">
        <v>11439</v>
      </c>
      <c r="H55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51" spans="1:8" ht="15" customHeight="1" x14ac:dyDescent="0.25">
      <c r="A5551" s="1" t="str">
        <f>MID(TB_CECO[[#This Row],[CECO_T]],1,5)</f>
        <v>3E57P</v>
      </c>
      <c r="B5551" s="1" t="str">
        <f>MID(TB_CECO[[#This Row],[TRABAJO]],1,SEARCH(",",TB_CECO[[#This Row],[TRABAJO]],1)-1)</f>
        <v>Snv 820 SW (Ch 044) </v>
      </c>
      <c r="C555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SW (Ch 044) ,SERVICIO</v>
      </c>
      <c r="D555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5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551" s="65" t="s">
        <v>11440</v>
      </c>
      <c r="G5551" s="64" t="s">
        <v>11441</v>
      </c>
      <c r="H55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52" spans="1:8" ht="15" customHeight="1" x14ac:dyDescent="0.25">
      <c r="A5552" s="1" t="str">
        <f>MID(TB_CECO[[#This Row],[CECO_T]],1,5)</f>
        <v>3E57Q</v>
      </c>
      <c r="B5552" s="1" t="str">
        <f>MID(TB_CECO[[#This Row],[TRABAJO]],1,SEARCH(",",TB_CECO[[#This Row],[TRABAJO]],1)-1)</f>
        <v>Snv 820 NE (Ch 044)</v>
      </c>
      <c r="C555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(Ch 044),PERFORACION</v>
      </c>
      <c r="D555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5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552" s="65" t="s">
        <v>11442</v>
      </c>
      <c r="G5552" s="64" t="s">
        <v>11443</v>
      </c>
      <c r="H55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53" spans="1:8" ht="15" customHeight="1" x14ac:dyDescent="0.25">
      <c r="A5553" s="1" t="str">
        <f>MID(TB_CECO[[#This Row],[CECO_T]],1,5)</f>
        <v>3E57Q</v>
      </c>
      <c r="B5553" s="1" t="str">
        <f>MID(TB_CECO[[#This Row],[TRABAJO]],1,SEARCH(",",TB_CECO[[#This Row],[TRABAJO]],1)-1)</f>
        <v>Snv 820 NE (Ch 044)</v>
      </c>
      <c r="C555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(Ch 044),VOLADURA</v>
      </c>
      <c r="D555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5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553" s="65" t="s">
        <v>11444</v>
      </c>
      <c r="G5553" s="64" t="s">
        <v>11445</v>
      </c>
      <c r="H55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54" spans="1:8" ht="15" customHeight="1" x14ac:dyDescent="0.25">
      <c r="A5554" s="1" t="str">
        <f>MID(TB_CECO[[#This Row],[CECO_T]],1,5)</f>
        <v>3E57Q</v>
      </c>
      <c r="B5554" s="1" t="str">
        <f>MID(TB_CECO[[#This Row],[TRABAJO]],1,SEARCH(",",TB_CECO[[#This Row],[TRABAJO]],1)-1)</f>
        <v>Snv 820 NE (Ch 044)</v>
      </c>
      <c r="C555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(Ch 044),LIMPIEZA</v>
      </c>
      <c r="D555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5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554" s="65" t="s">
        <v>11446</v>
      </c>
      <c r="G5554" s="64" t="s">
        <v>11447</v>
      </c>
      <c r="H55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55" spans="1:8" ht="15" customHeight="1" x14ac:dyDescent="0.25">
      <c r="A5555" s="1" t="str">
        <f>MID(TB_CECO[[#This Row],[CECO_T]],1,5)</f>
        <v>3E57Q</v>
      </c>
      <c r="B5555" s="1" t="str">
        <f>MID(TB_CECO[[#This Row],[TRABAJO]],1,SEARCH(",",TB_CECO[[#This Row],[TRABAJO]],1)-1)</f>
        <v>Snv 820 NE (Ch 044)</v>
      </c>
      <c r="C555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(Ch 044),SOSTENIMIENTO</v>
      </c>
      <c r="D555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5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555" s="65" t="s">
        <v>11448</v>
      </c>
      <c r="G5555" s="64" t="s">
        <v>11449</v>
      </c>
      <c r="H55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56" spans="1:8" ht="15" customHeight="1" x14ac:dyDescent="0.25">
      <c r="A5556" s="1" t="str">
        <f>MID(TB_CECO[[#This Row],[CECO_T]],1,5)</f>
        <v>3E57Q</v>
      </c>
      <c r="B5556" s="1" t="str">
        <f>MID(TB_CECO[[#This Row],[TRABAJO]],1,SEARCH(",",TB_CECO[[#This Row],[TRABAJO]],1)-1)</f>
        <v>Snv 820 NE (Ch 044)</v>
      </c>
      <c r="C555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820 NE (Ch 044),SERVICIO</v>
      </c>
      <c r="D555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55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556" s="65" t="s">
        <v>11450</v>
      </c>
      <c r="G5556" s="64" t="s">
        <v>11451</v>
      </c>
      <c r="H55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57" spans="1:8" ht="15" customHeight="1" x14ac:dyDescent="0.25">
      <c r="A5557" s="1" t="str">
        <f>MID(TB_CECO[[#This Row],[CECO_T]],1,5)</f>
        <v>1D57R</v>
      </c>
      <c r="B5557" s="1" t="str">
        <f>MID(TB_CECO[[#This Row],[TRABAJO]],1,SEARCH(",",TB_CECO[[#This Row],[TRABAJO]],1)-1)</f>
        <v>Snv 962 SW (Est 966 N)</v>
      </c>
      <c r="C555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SW (Est 966 N),PERFORACION</v>
      </c>
      <c r="D555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5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57" s="65" t="s">
        <v>11452</v>
      </c>
      <c r="G5557" s="64" t="s">
        <v>11453</v>
      </c>
      <c r="H55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58" spans="1:8" ht="15" customHeight="1" x14ac:dyDescent="0.25">
      <c r="A5558" s="1" t="str">
        <f>MID(TB_CECO[[#This Row],[CECO_T]],1,5)</f>
        <v>1D57R</v>
      </c>
      <c r="B5558" s="1" t="str">
        <f>MID(TB_CECO[[#This Row],[TRABAJO]],1,SEARCH(",",TB_CECO[[#This Row],[TRABAJO]],1)-1)</f>
        <v>Snv 962 SW (Est 966 N)</v>
      </c>
      <c r="C555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SW (Est 966 N),VOLADURA</v>
      </c>
      <c r="D555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5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58" s="65" t="s">
        <v>11454</v>
      </c>
      <c r="G5558" s="64" t="s">
        <v>11455</v>
      </c>
      <c r="H55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59" spans="1:8" ht="15" customHeight="1" x14ac:dyDescent="0.25">
      <c r="A5559" s="1" t="str">
        <f>MID(TB_CECO[[#This Row],[CECO_T]],1,5)</f>
        <v>1D57R</v>
      </c>
      <c r="B5559" s="1" t="str">
        <f>MID(TB_CECO[[#This Row],[TRABAJO]],1,SEARCH(",",TB_CECO[[#This Row],[TRABAJO]],1)-1)</f>
        <v>Snv 962 SW (Est 966 N)</v>
      </c>
      <c r="C555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SW (Est 966 N),LIMPIEZA</v>
      </c>
      <c r="D555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5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59" s="65" t="s">
        <v>11456</v>
      </c>
      <c r="G5559" s="64" t="s">
        <v>11457</v>
      </c>
      <c r="H55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60" spans="1:8" ht="15" customHeight="1" x14ac:dyDescent="0.25">
      <c r="A5560" s="1" t="str">
        <f>MID(TB_CECO[[#This Row],[CECO_T]],1,5)</f>
        <v>1D57R</v>
      </c>
      <c r="B5560" s="1" t="str">
        <f>MID(TB_CECO[[#This Row],[TRABAJO]],1,SEARCH(",",TB_CECO[[#This Row],[TRABAJO]],1)-1)</f>
        <v>Snv 962 SW (Est 966 N)</v>
      </c>
      <c r="C556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SW (Est 966 N),SOSTENIMIENTO</v>
      </c>
      <c r="D556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6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60" s="65" t="s">
        <v>11458</v>
      </c>
      <c r="G5560" s="64" t="s">
        <v>11459</v>
      </c>
      <c r="H55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61" spans="1:8" ht="15" customHeight="1" x14ac:dyDescent="0.25">
      <c r="A5561" s="1" t="str">
        <f>MID(TB_CECO[[#This Row],[CECO_T]],1,5)</f>
        <v>1D57R</v>
      </c>
      <c r="B5561" s="1" t="str">
        <f>MID(TB_CECO[[#This Row],[TRABAJO]],1,SEARCH(",",TB_CECO[[#This Row],[TRABAJO]],1)-1)</f>
        <v>Snv 962 SW (Est 966 N)</v>
      </c>
      <c r="C556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SW (Est 966 N),SERVICIO</v>
      </c>
      <c r="D556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6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61" s="65" t="s">
        <v>11460</v>
      </c>
      <c r="G5561" s="64" t="s">
        <v>11461</v>
      </c>
      <c r="H55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62" spans="1:8" ht="15" customHeight="1" x14ac:dyDescent="0.25">
      <c r="A5562" s="1" t="str">
        <f>MID(TB_CECO[[#This Row],[CECO_T]],1,5)</f>
        <v>1D57S</v>
      </c>
      <c r="B5562" s="1" t="str">
        <f>MID(TB_CECO[[#This Row],[TRABAJO]],1,SEARCH(",",TB_CECO[[#This Row],[TRABAJO]],1)-1)</f>
        <v>Snv 962 NE (Est 966 N)</v>
      </c>
      <c r="C556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NE (Est 966 N),PERFORACION</v>
      </c>
      <c r="D556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6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62" s="65" t="s">
        <v>11462</v>
      </c>
      <c r="G5562" s="64" t="s">
        <v>11463</v>
      </c>
      <c r="H55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63" spans="1:8" ht="15" customHeight="1" x14ac:dyDescent="0.25">
      <c r="A5563" s="1" t="str">
        <f>MID(TB_CECO[[#This Row],[CECO_T]],1,5)</f>
        <v>1D57S</v>
      </c>
      <c r="B5563" s="1" t="str">
        <f>MID(TB_CECO[[#This Row],[TRABAJO]],1,SEARCH(",",TB_CECO[[#This Row],[TRABAJO]],1)-1)</f>
        <v>Snv 962 NE (Est 966 N)</v>
      </c>
      <c r="C556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NE (Est 966 N),VOLADURA</v>
      </c>
      <c r="D556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6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63" s="65" t="s">
        <v>11464</v>
      </c>
      <c r="G5563" s="64" t="s">
        <v>11465</v>
      </c>
      <c r="H55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64" spans="1:8" ht="15" customHeight="1" x14ac:dyDescent="0.25">
      <c r="A5564" s="1" t="str">
        <f>MID(TB_CECO[[#This Row],[CECO_T]],1,5)</f>
        <v>1D57S</v>
      </c>
      <c r="B5564" s="1" t="str">
        <f>MID(TB_CECO[[#This Row],[TRABAJO]],1,SEARCH(",",TB_CECO[[#This Row],[TRABAJO]],1)-1)</f>
        <v>Snv 962 NE (Est 966 N)</v>
      </c>
      <c r="C556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NE (Est 966 N),LIMPIEZA</v>
      </c>
      <c r="D556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6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64" s="65" t="s">
        <v>11466</v>
      </c>
      <c r="G5564" s="64" t="s">
        <v>11467</v>
      </c>
      <c r="H55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65" spans="1:8" ht="15" customHeight="1" x14ac:dyDescent="0.25">
      <c r="A5565" s="1" t="str">
        <f>MID(TB_CECO[[#This Row],[CECO_T]],1,5)</f>
        <v>1D57S</v>
      </c>
      <c r="B5565" s="1" t="str">
        <f>MID(TB_CECO[[#This Row],[TRABAJO]],1,SEARCH(",",TB_CECO[[#This Row],[TRABAJO]],1)-1)</f>
        <v>Snv 962 NE (Est 966 N)</v>
      </c>
      <c r="C556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NE (Est 966 N),SOSTENIMIENTO</v>
      </c>
      <c r="D556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6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65" s="65" t="s">
        <v>11468</v>
      </c>
      <c r="G5565" s="64" t="s">
        <v>11469</v>
      </c>
      <c r="H55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66" spans="1:8" ht="15" customHeight="1" x14ac:dyDescent="0.25">
      <c r="A5566" s="1" t="str">
        <f>MID(TB_CECO[[#This Row],[CECO_T]],1,5)</f>
        <v>1D57S</v>
      </c>
      <c r="B5566" s="1" t="str">
        <f>MID(TB_CECO[[#This Row],[TRABAJO]],1,SEARCH(",",TB_CECO[[#This Row],[TRABAJO]],1)-1)</f>
        <v>Snv 962 NE (Est 966 N)</v>
      </c>
      <c r="C556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NE (Est 966 N),SERVICIO</v>
      </c>
      <c r="D556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6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66" s="65" t="s">
        <v>11470</v>
      </c>
      <c r="G5566" s="64" t="s">
        <v>11471</v>
      </c>
      <c r="H55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67" spans="1:8" ht="15" customHeight="1" x14ac:dyDescent="0.25">
      <c r="A5567" s="1" t="str">
        <f>MID(TB_CECO[[#This Row],[CECO_T]],1,5)</f>
        <v>1D57T</v>
      </c>
      <c r="B5567" s="1" t="str">
        <f>MID(TB_CECO[[#This Row],[TRABAJO]],1,SEARCH(",",TB_CECO[[#This Row],[TRABAJO]],1)-1)</f>
        <v>Snv 962 SE (Est 966 N)</v>
      </c>
      <c r="C556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SE (Est 966 N),PERFORACION</v>
      </c>
      <c r="D556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6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67" s="65" t="s">
        <v>11472</v>
      </c>
      <c r="G5567" s="64" t="s">
        <v>11473</v>
      </c>
      <c r="H55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68" spans="1:8" ht="15" customHeight="1" x14ac:dyDescent="0.25">
      <c r="A5568" s="1" t="str">
        <f>MID(TB_CECO[[#This Row],[CECO_T]],1,5)</f>
        <v>1D57T</v>
      </c>
      <c r="B5568" s="1" t="str">
        <f>MID(TB_CECO[[#This Row],[TRABAJO]],1,SEARCH(",",TB_CECO[[#This Row],[TRABAJO]],1)-1)</f>
        <v>Snv 962 SE (Est 966 N)</v>
      </c>
      <c r="C556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SE (Est 966 N),VOLADURA</v>
      </c>
      <c r="D556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6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68" s="65" t="s">
        <v>11474</v>
      </c>
      <c r="G5568" s="64" t="s">
        <v>11475</v>
      </c>
      <c r="H55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69" spans="1:8" ht="15" customHeight="1" x14ac:dyDescent="0.25">
      <c r="A5569" s="1" t="str">
        <f>MID(TB_CECO[[#This Row],[CECO_T]],1,5)</f>
        <v>1D57T</v>
      </c>
      <c r="B5569" s="1" t="str">
        <f>MID(TB_CECO[[#This Row],[TRABAJO]],1,SEARCH(",",TB_CECO[[#This Row],[TRABAJO]],1)-1)</f>
        <v>Snv 962 SE (Est 966 N)</v>
      </c>
      <c r="C556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SE (Est 966 N),LIMPIEZA</v>
      </c>
      <c r="D556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6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69" s="65" t="s">
        <v>11476</v>
      </c>
      <c r="G5569" s="64" t="s">
        <v>11477</v>
      </c>
      <c r="H55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70" spans="1:8" ht="15" customHeight="1" x14ac:dyDescent="0.25">
      <c r="A5570" s="1" t="str">
        <f>MID(TB_CECO[[#This Row],[CECO_T]],1,5)</f>
        <v>1D57T</v>
      </c>
      <c r="B5570" s="1" t="str">
        <f>MID(TB_CECO[[#This Row],[TRABAJO]],1,SEARCH(",",TB_CECO[[#This Row],[TRABAJO]],1)-1)</f>
        <v>Snv 962 SE (Est 966 N)</v>
      </c>
      <c r="C557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SE (Est 966 N),SOSTENIMIENTO</v>
      </c>
      <c r="D557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7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70" s="65" t="s">
        <v>11478</v>
      </c>
      <c r="G5570" s="64" t="s">
        <v>11479</v>
      </c>
      <c r="H55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71" spans="1:8" ht="15" customHeight="1" x14ac:dyDescent="0.25">
      <c r="A5571" s="1" t="str">
        <f>MID(TB_CECO[[#This Row],[CECO_T]],1,5)</f>
        <v>1D57T</v>
      </c>
      <c r="B5571" s="1" t="str">
        <f>MID(TB_CECO[[#This Row],[TRABAJO]],1,SEARCH(",",TB_CECO[[#This Row],[TRABAJO]],1)-1)</f>
        <v>Snv 962 SE (Est 966 N)</v>
      </c>
      <c r="C557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SE (Est 966 N),SERVICIO</v>
      </c>
      <c r="D557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7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71" s="65" t="s">
        <v>11480</v>
      </c>
      <c r="G5571" s="64" t="s">
        <v>11481</v>
      </c>
      <c r="H55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72" spans="1:8" ht="15" customHeight="1" x14ac:dyDescent="0.25">
      <c r="A5572" s="1" t="str">
        <f>MID(TB_CECO[[#This Row],[CECO_T]],1,5)</f>
        <v>1D57U</v>
      </c>
      <c r="B5572" s="1" t="str">
        <f>MID(TB_CECO[[#This Row],[TRABAJO]],1,SEARCH(",",TB_CECO[[#This Row],[TRABAJO]],1)-1)</f>
        <v>Snv 962 NW (Est 966 N)</v>
      </c>
      <c r="C557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NW (Est 966 N),PERFORACION</v>
      </c>
      <c r="D557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7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72" s="65" t="s">
        <v>11482</v>
      </c>
      <c r="G5572" s="64" t="s">
        <v>11483</v>
      </c>
      <c r="H55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73" spans="1:8" ht="15" customHeight="1" x14ac:dyDescent="0.25">
      <c r="A5573" s="1" t="str">
        <f>MID(TB_CECO[[#This Row],[CECO_T]],1,5)</f>
        <v>1D57U</v>
      </c>
      <c r="B5573" s="1" t="str">
        <f>MID(TB_CECO[[#This Row],[TRABAJO]],1,SEARCH(",",TB_CECO[[#This Row],[TRABAJO]],1)-1)</f>
        <v>Snv 962 NW (Est 966 N)</v>
      </c>
      <c r="C557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NW (Est 966 N),VOLADURA</v>
      </c>
      <c r="D557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7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73" s="65" t="s">
        <v>11484</v>
      </c>
      <c r="G5573" s="64" t="s">
        <v>11485</v>
      </c>
      <c r="H55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74" spans="1:8" ht="15" customHeight="1" x14ac:dyDescent="0.25">
      <c r="A5574" s="1" t="str">
        <f>MID(TB_CECO[[#This Row],[CECO_T]],1,5)</f>
        <v>1D57U</v>
      </c>
      <c r="B5574" s="1" t="str">
        <f>MID(TB_CECO[[#This Row],[TRABAJO]],1,SEARCH(",",TB_CECO[[#This Row],[TRABAJO]],1)-1)</f>
        <v>Snv 962 NW (Est 966 N)</v>
      </c>
      <c r="C557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NW (Est 966 N),LIMPIEZA</v>
      </c>
      <c r="D557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7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74" s="65" t="s">
        <v>11486</v>
      </c>
      <c r="G5574" s="64" t="s">
        <v>11487</v>
      </c>
      <c r="H55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75" spans="1:8" ht="15" customHeight="1" x14ac:dyDescent="0.25">
      <c r="A5575" s="1" t="str">
        <f>MID(TB_CECO[[#This Row],[CECO_T]],1,5)</f>
        <v>1D57U</v>
      </c>
      <c r="B5575" s="1" t="str">
        <f>MID(TB_CECO[[#This Row],[TRABAJO]],1,SEARCH(",",TB_CECO[[#This Row],[TRABAJO]],1)-1)</f>
        <v>Snv 962 NW (Est 966 N)</v>
      </c>
      <c r="C557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NW (Est 966 N),SOSTENIMIENTO</v>
      </c>
      <c r="D557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7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75" s="65" t="s">
        <v>11488</v>
      </c>
      <c r="G5575" s="64" t="s">
        <v>11489</v>
      </c>
      <c r="H55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76" spans="1:8" ht="15" customHeight="1" x14ac:dyDescent="0.25">
      <c r="A5576" s="1" t="str">
        <f>MID(TB_CECO[[#This Row],[CECO_T]],1,5)</f>
        <v>1D57U</v>
      </c>
      <c r="B5576" s="1" t="str">
        <f>MID(TB_CECO[[#This Row],[TRABAJO]],1,SEARCH(",",TB_CECO[[#This Row],[TRABAJO]],1)-1)</f>
        <v>Snv 962 NW (Est 966 N)</v>
      </c>
      <c r="C557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962 NW (Est 966 N),SERVICIO</v>
      </c>
      <c r="D557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7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76" s="65" t="s">
        <v>11490</v>
      </c>
      <c r="G5576" s="64" t="s">
        <v>11491</v>
      </c>
      <c r="H55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77" spans="1:8" ht="15" customHeight="1" x14ac:dyDescent="0.25">
      <c r="A5577" s="1" t="str">
        <f>MID(TB_CECO[[#This Row],[CECO_T]],1,5)</f>
        <v>1N57V</v>
      </c>
      <c r="B5577" s="1" t="str">
        <f>MID(TB_CECO[[#This Row],[TRABAJO]],1,SEARCH(",",TB_CECO[[#This Row],[TRABAJO]],1)-1)</f>
        <v xml:space="preserve">Snv 898 NE (Est 873 NE) </v>
      </c>
      <c r="C557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(Est 873 NE) ,PERFORACION</v>
      </c>
      <c r="D557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7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77" s="69" t="s">
        <v>11493</v>
      </c>
      <c r="G5577" s="70" t="s">
        <v>11494</v>
      </c>
      <c r="H55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78" spans="1:8" ht="15" customHeight="1" x14ac:dyDescent="0.25">
      <c r="A5578" s="1" t="str">
        <f>MID(TB_CECO[[#This Row],[CECO_T]],1,5)</f>
        <v>1N57V</v>
      </c>
      <c r="B5578" s="1" t="str">
        <f>MID(TB_CECO[[#This Row],[TRABAJO]],1,SEARCH(",",TB_CECO[[#This Row],[TRABAJO]],1)-1)</f>
        <v xml:space="preserve">Snv 898 NE (Est 873 NE) </v>
      </c>
      <c r="C557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(Est 873 NE) ,VOLADURA</v>
      </c>
      <c r="D557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7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78" s="69" t="s">
        <v>11495</v>
      </c>
      <c r="G5578" s="70" t="s">
        <v>11496</v>
      </c>
      <c r="H55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79" spans="1:8" ht="15" customHeight="1" x14ac:dyDescent="0.25">
      <c r="A5579" s="1" t="str">
        <f>MID(TB_CECO[[#This Row],[CECO_T]],1,5)</f>
        <v>1N57V</v>
      </c>
      <c r="B5579" s="1" t="str">
        <f>MID(TB_CECO[[#This Row],[TRABAJO]],1,SEARCH(",",TB_CECO[[#This Row],[TRABAJO]],1)-1)</f>
        <v xml:space="preserve">Snv 898 NE (Est 873 NE) </v>
      </c>
      <c r="C557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(Est 873 NE) ,LIMPIEZA</v>
      </c>
      <c r="D557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7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79" s="69" t="s">
        <v>11497</v>
      </c>
      <c r="G5579" s="70" t="s">
        <v>11498</v>
      </c>
      <c r="H55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80" spans="1:8" ht="15" customHeight="1" x14ac:dyDescent="0.25">
      <c r="A5580" s="1" t="str">
        <f>MID(TB_CECO[[#This Row],[CECO_T]],1,5)</f>
        <v>1N57V</v>
      </c>
      <c r="B5580" s="1" t="str">
        <f>MID(TB_CECO[[#This Row],[TRABAJO]],1,SEARCH(",",TB_CECO[[#This Row],[TRABAJO]],1)-1)</f>
        <v xml:space="preserve">Snv 898 NE (Est 873 NE) </v>
      </c>
      <c r="C558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(Est 873 NE) ,SOSTENIMIENTO</v>
      </c>
      <c r="D558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8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80" s="69" t="s">
        <v>11499</v>
      </c>
      <c r="G5580" s="70" t="s">
        <v>11500</v>
      </c>
      <c r="H55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81" spans="1:8" ht="15" customHeight="1" x14ac:dyDescent="0.25">
      <c r="A5581" s="1" t="str">
        <f>MID(TB_CECO[[#This Row],[CECO_T]],1,5)</f>
        <v>1N57V</v>
      </c>
      <c r="B5581" s="1" t="str">
        <f>MID(TB_CECO[[#This Row],[TRABAJO]],1,SEARCH(",",TB_CECO[[#This Row],[TRABAJO]],1)-1)</f>
        <v xml:space="preserve">Snv 898 NE (Est 873 NE) </v>
      </c>
      <c r="C558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(Est 873 NE) ,SERVICIO</v>
      </c>
      <c r="D558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58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81" s="69" t="s">
        <v>11501</v>
      </c>
      <c r="G5581" s="70" t="s">
        <v>11502</v>
      </c>
      <c r="H55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82" spans="1:8" ht="15" customHeight="1" x14ac:dyDescent="0.25">
      <c r="A5582" s="1" t="str">
        <f>MID(TB_CECO[[#This Row],[CECO_T]],1,5)</f>
        <v>1D61U</v>
      </c>
      <c r="B5582" s="1" t="str">
        <f>MID(TB_CECO[[#This Row],[TRABAJO]],1,SEARCH(",",TB_CECO[[#This Row],[TRABAJO]],1)-1)</f>
        <v>Est 928 NW (Snv 865 SW)</v>
      </c>
      <c r="C558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928 NW (Snv 865 SW),PERFORACION</v>
      </c>
      <c r="D558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8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82" s="65" t="s">
        <v>11422</v>
      </c>
      <c r="G5582" t="s">
        <v>11423</v>
      </c>
      <c r="H55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83" spans="1:8" ht="15" customHeight="1" x14ac:dyDescent="0.25">
      <c r="A5583" s="1" t="str">
        <f>MID(TB_CECO[[#This Row],[CECO_T]],1,5)</f>
        <v>1D61U</v>
      </c>
      <c r="B5583" s="1" t="str">
        <f>MID(TB_CECO[[#This Row],[TRABAJO]],1,SEARCH(",",TB_CECO[[#This Row],[TRABAJO]],1)-1)</f>
        <v>Est 928 NW (Snv 865 SW)</v>
      </c>
      <c r="C558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928 NW (Snv 865 SW),VOLADURA</v>
      </c>
      <c r="D558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8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83" s="65" t="s">
        <v>11424</v>
      </c>
      <c r="G5583" t="s">
        <v>11425</v>
      </c>
      <c r="H55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84" spans="1:8" ht="15" customHeight="1" x14ac:dyDescent="0.25">
      <c r="A5584" s="1" t="str">
        <f>MID(TB_CECO[[#This Row],[CECO_T]],1,5)</f>
        <v>1D61U</v>
      </c>
      <c r="B5584" s="1" t="str">
        <f>MID(TB_CECO[[#This Row],[TRABAJO]],1,SEARCH(",",TB_CECO[[#This Row],[TRABAJO]],1)-1)</f>
        <v>Est 928 NW (Snv 865 SW)</v>
      </c>
      <c r="C558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928 NW (Snv 865 SW),LIMPIEZA</v>
      </c>
      <c r="D558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8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84" s="65" t="s">
        <v>11426</v>
      </c>
      <c r="G5584" t="s">
        <v>11427</v>
      </c>
      <c r="H55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85" spans="1:8" ht="15" customHeight="1" x14ac:dyDescent="0.25">
      <c r="A5585" s="1" t="str">
        <f>MID(TB_CECO[[#This Row],[CECO_T]],1,5)</f>
        <v>1D61U</v>
      </c>
      <c r="B5585" s="1" t="str">
        <f>MID(TB_CECO[[#This Row],[TRABAJO]],1,SEARCH(",",TB_CECO[[#This Row],[TRABAJO]],1)-1)</f>
        <v>Est 928 NW (Snv 865 SW)</v>
      </c>
      <c r="C558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928 NW (Snv 865 SW),SOSTENIMIENTO</v>
      </c>
      <c r="D558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8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85" s="65" t="s">
        <v>11428</v>
      </c>
      <c r="G5585" t="s">
        <v>11429</v>
      </c>
      <c r="H55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86" spans="1:8" ht="15" customHeight="1" x14ac:dyDescent="0.25">
      <c r="A5586" s="1" t="str">
        <f>MID(TB_CECO[[#This Row],[CECO_T]],1,5)</f>
        <v>1D61U</v>
      </c>
      <c r="B5586" s="1" t="str">
        <f>MID(TB_CECO[[#This Row],[TRABAJO]],1,SEARCH(",",TB_CECO[[#This Row],[TRABAJO]],1)-1)</f>
        <v>Est 928 NW (Snv 865 SW)</v>
      </c>
      <c r="C558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928 NW (Snv 865 SW),SERVICIO</v>
      </c>
      <c r="D558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8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86" s="65" t="s">
        <v>11430</v>
      </c>
      <c r="G5586" t="s">
        <v>11431</v>
      </c>
      <c r="H55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87" spans="1:8" ht="15" customHeight="1" x14ac:dyDescent="0.25">
      <c r="A5587" s="1" t="str">
        <f>MID(TB_CECO[[#This Row],[CECO_T]],1,5)</f>
        <v>1D32N</v>
      </c>
      <c r="B5587" s="1" t="str">
        <f>MID(TB_CECO[[#This Row],[TRABAJO]],1,SEARCH(",",TB_CECO[[#This Row],[TRABAJO]],1)-1)</f>
        <v xml:space="preserve">Ch 914 (Snv 865 SW) </v>
      </c>
      <c r="C558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914 (Snv 865 SW) ,PERFORACION</v>
      </c>
      <c r="D558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8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87" s="65" t="s">
        <v>11504</v>
      </c>
      <c r="G5587" t="s">
        <v>11505</v>
      </c>
      <c r="H55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88" spans="1:8" ht="15" customHeight="1" x14ac:dyDescent="0.25">
      <c r="A5588" s="1" t="str">
        <f>MID(TB_CECO[[#This Row],[CECO_T]],1,5)</f>
        <v>1D32N</v>
      </c>
      <c r="B5588" s="1" t="str">
        <f>MID(TB_CECO[[#This Row],[TRABAJO]],1,SEARCH(",",TB_CECO[[#This Row],[TRABAJO]],1)-1)</f>
        <v xml:space="preserve">Ch 914 (Snv 865 SW) </v>
      </c>
      <c r="C558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914 (Snv 865 SW) ,VOLADURA</v>
      </c>
      <c r="D558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8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88" s="65" t="s">
        <v>11506</v>
      </c>
      <c r="G5588" t="s">
        <v>11507</v>
      </c>
      <c r="H55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89" spans="1:8" ht="15" customHeight="1" x14ac:dyDescent="0.25">
      <c r="A5589" s="1" t="str">
        <f>MID(TB_CECO[[#This Row],[CECO_T]],1,5)</f>
        <v>1D32N</v>
      </c>
      <c r="B5589" s="1" t="str">
        <f>MID(TB_CECO[[#This Row],[TRABAJO]],1,SEARCH(",",TB_CECO[[#This Row],[TRABAJO]],1)-1)</f>
        <v xml:space="preserve">Ch 914 (Snv 865 SW) </v>
      </c>
      <c r="C558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914 (Snv 865 SW) ,LIMPIEZA</v>
      </c>
      <c r="D558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8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89" s="65" t="s">
        <v>11508</v>
      </c>
      <c r="G5589" t="s">
        <v>11509</v>
      </c>
      <c r="H55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90" spans="1:8" ht="15" customHeight="1" x14ac:dyDescent="0.25">
      <c r="A5590" s="1" t="str">
        <f>MID(TB_CECO[[#This Row],[CECO_T]],1,5)</f>
        <v>1D32N</v>
      </c>
      <c r="B5590" s="1" t="str">
        <f>MID(TB_CECO[[#This Row],[TRABAJO]],1,SEARCH(",",TB_CECO[[#This Row],[TRABAJO]],1)-1)</f>
        <v xml:space="preserve">Ch 914 (Snv 865 SW) </v>
      </c>
      <c r="C559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914 (Snv 865 SW) ,SOSTENIMIENTO</v>
      </c>
      <c r="D559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9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90" s="65" t="s">
        <v>11510</v>
      </c>
      <c r="G5590" t="s">
        <v>11511</v>
      </c>
      <c r="H55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91" spans="1:8" ht="15" customHeight="1" x14ac:dyDescent="0.25">
      <c r="A5591" s="1" t="str">
        <f>MID(TB_CECO[[#This Row],[CECO_T]],1,5)</f>
        <v>1D32N</v>
      </c>
      <c r="B5591" s="1" t="str">
        <f>MID(TB_CECO[[#This Row],[TRABAJO]],1,SEARCH(",",TB_CECO[[#This Row],[TRABAJO]],1)-1)</f>
        <v xml:space="preserve">Ch 914 (Snv 865 SW) </v>
      </c>
      <c r="C559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914 (Snv 865 SW) ,SERVICIO</v>
      </c>
      <c r="D559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9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91" s="65" t="s">
        <v>11512</v>
      </c>
      <c r="G5591" t="s">
        <v>11513</v>
      </c>
      <c r="H55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92" spans="1:8" ht="15" customHeight="1" x14ac:dyDescent="0.25">
      <c r="A5592" s="1" t="str">
        <f>MID(TB_CECO[[#This Row],[CECO_T]],1,5)</f>
        <v>1D57W</v>
      </c>
      <c r="B5592" s="1" t="str">
        <f>MID(TB_CECO[[#This Row],[TRABAJO]],1,SEARCH(",",TB_CECO[[#This Row],[TRABAJO]],1)-1)</f>
        <v>Snv 925 NE (Est 928 NW) </v>
      </c>
      <c r="C559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NE (Est 928 NW) ,PERFORACION</v>
      </c>
      <c r="D559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9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92" s="65" t="s">
        <v>11514</v>
      </c>
      <c r="G5592" t="s">
        <v>11515</v>
      </c>
      <c r="H55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93" spans="1:8" ht="15" customHeight="1" x14ac:dyDescent="0.25">
      <c r="A5593" s="1" t="str">
        <f>MID(TB_CECO[[#This Row],[CECO_T]],1,5)</f>
        <v>1D57W</v>
      </c>
      <c r="B5593" s="1" t="str">
        <f>MID(TB_CECO[[#This Row],[TRABAJO]],1,SEARCH(",",TB_CECO[[#This Row],[TRABAJO]],1)-1)</f>
        <v>Snv 925 NE (Est 928 NW) </v>
      </c>
      <c r="C559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NE (Est 928 NW) ,VOLADURA</v>
      </c>
      <c r="D559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9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93" s="65" t="s">
        <v>11516</v>
      </c>
      <c r="G5593" t="s">
        <v>11517</v>
      </c>
      <c r="H55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94" spans="1:8" ht="15" customHeight="1" x14ac:dyDescent="0.25">
      <c r="A5594" s="1" t="str">
        <f>MID(TB_CECO[[#This Row],[CECO_T]],1,5)</f>
        <v>1D57W</v>
      </c>
      <c r="B5594" s="1" t="str">
        <f>MID(TB_CECO[[#This Row],[TRABAJO]],1,SEARCH(",",TB_CECO[[#This Row],[TRABAJO]],1)-1)</f>
        <v>Snv 925 NE (Est 928 NW) </v>
      </c>
      <c r="C559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NE (Est 928 NW) ,LIMPIEZA</v>
      </c>
      <c r="D559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9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94" s="65" t="s">
        <v>11518</v>
      </c>
      <c r="G5594" t="s">
        <v>11519</v>
      </c>
      <c r="H55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95" spans="1:8" ht="15" customHeight="1" x14ac:dyDescent="0.25">
      <c r="A5595" s="1" t="str">
        <f>MID(TB_CECO[[#This Row],[CECO_T]],1,5)</f>
        <v>1D57W</v>
      </c>
      <c r="B5595" s="1" t="str">
        <f>MID(TB_CECO[[#This Row],[TRABAJO]],1,SEARCH(",",TB_CECO[[#This Row],[TRABAJO]],1)-1)</f>
        <v>Snv 925 NE (Est 928 NW) </v>
      </c>
      <c r="C559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NE (Est 928 NW) ,SOSTENIMIENTO</v>
      </c>
      <c r="D559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9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95" s="65" t="s">
        <v>11520</v>
      </c>
      <c r="G5595" t="s">
        <v>11521</v>
      </c>
      <c r="H55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96" spans="1:8" ht="15" customHeight="1" x14ac:dyDescent="0.25">
      <c r="A5596" s="1" t="str">
        <f>MID(TB_CECO[[#This Row],[CECO_T]],1,5)</f>
        <v>1D57W</v>
      </c>
      <c r="B5596" s="1" t="str">
        <f>MID(TB_CECO[[#This Row],[TRABAJO]],1,SEARCH(",",TB_CECO[[#This Row],[TRABAJO]],1)-1)</f>
        <v>Snv 925 NE (Est 928 NW) </v>
      </c>
      <c r="C559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NE (Est 928 NW) ,SERVICIO</v>
      </c>
      <c r="D559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9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96" s="65" t="s">
        <v>11522</v>
      </c>
      <c r="G5596" t="s">
        <v>11523</v>
      </c>
      <c r="H55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97" spans="1:8" ht="15" customHeight="1" x14ac:dyDescent="0.25">
      <c r="A5597" s="1" t="str">
        <f>MID(TB_CECO[[#This Row],[CECO_T]],1,5)</f>
        <v>1D57X</v>
      </c>
      <c r="B5597" s="1" t="str">
        <f>MID(TB_CECO[[#This Row],[TRABAJO]],1,SEARCH(",",TB_CECO[[#This Row],[TRABAJO]],1)-1)</f>
        <v>Snv 925 SW (Est 928 NW</v>
      </c>
      <c r="C559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SW (Est 928 NW,PERFORACION</v>
      </c>
      <c r="D559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9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97" s="65" t="s">
        <v>11524</v>
      </c>
      <c r="G5597" t="s">
        <v>11525</v>
      </c>
      <c r="H55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98" spans="1:8" ht="15" customHeight="1" x14ac:dyDescent="0.25">
      <c r="A5598" s="1" t="str">
        <f>MID(TB_CECO[[#This Row],[CECO_T]],1,5)</f>
        <v>1D57X</v>
      </c>
      <c r="B5598" s="1" t="str">
        <f>MID(TB_CECO[[#This Row],[TRABAJO]],1,SEARCH(",",TB_CECO[[#This Row],[TRABAJO]],1)-1)</f>
        <v>Snv 925 SW (Est 928 NW</v>
      </c>
      <c r="C559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SW (Est 928 NW,VOLADURA</v>
      </c>
      <c r="D559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9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98" s="65" t="s">
        <v>11526</v>
      </c>
      <c r="G5598" t="s">
        <v>11527</v>
      </c>
      <c r="H55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599" spans="1:8" ht="15" customHeight="1" x14ac:dyDescent="0.25">
      <c r="A5599" s="1" t="str">
        <f>MID(TB_CECO[[#This Row],[CECO_T]],1,5)</f>
        <v>1D57X</v>
      </c>
      <c r="B5599" s="1" t="str">
        <f>MID(TB_CECO[[#This Row],[TRABAJO]],1,SEARCH(",",TB_CECO[[#This Row],[TRABAJO]],1)-1)</f>
        <v>Snv 925 SW (Est 928 NW</v>
      </c>
      <c r="C559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SW (Est 928 NW,LIMPIEZA</v>
      </c>
      <c r="D559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59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599" s="65" t="s">
        <v>11528</v>
      </c>
      <c r="G5599" t="s">
        <v>11529</v>
      </c>
      <c r="H55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00" spans="1:8" ht="15" customHeight="1" x14ac:dyDescent="0.25">
      <c r="A5600" s="1" t="str">
        <f>MID(TB_CECO[[#This Row],[CECO_T]],1,5)</f>
        <v>1D57X</v>
      </c>
      <c r="B5600" s="1" t="str">
        <f>MID(TB_CECO[[#This Row],[TRABAJO]],1,SEARCH(",",TB_CECO[[#This Row],[TRABAJO]],1)-1)</f>
        <v>Snv 925 SW (Est 928 NW</v>
      </c>
      <c r="C560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SW (Est 928 NW,SOSTENIMIENTO</v>
      </c>
      <c r="D560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0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00" s="65" t="s">
        <v>11530</v>
      </c>
      <c r="G5600" t="s">
        <v>11531</v>
      </c>
      <c r="H56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01" spans="1:8" ht="15" customHeight="1" x14ac:dyDescent="0.25">
      <c r="A5601" s="1" t="str">
        <f>MID(TB_CECO[[#This Row],[CECO_T]],1,5)</f>
        <v>1D57X</v>
      </c>
      <c r="B5601" s="1" t="str">
        <f>MID(TB_CECO[[#This Row],[TRABAJO]],1,SEARCH(",",TB_CECO[[#This Row],[TRABAJO]],1)-1)</f>
        <v>Snv 925 SW (Est 928 NW</v>
      </c>
      <c r="C560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925 SW (Est 928 NW,SERVICIO</v>
      </c>
      <c r="D560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0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01" s="65" t="s">
        <v>11532</v>
      </c>
      <c r="G5601" t="s">
        <v>11533</v>
      </c>
      <c r="H56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02" spans="1:8" ht="15" customHeight="1" x14ac:dyDescent="0.25">
      <c r="A5602" s="1" t="str">
        <f>MID(TB_CECO[[#This Row],[CECO_T]],1,5)</f>
        <v>61003</v>
      </c>
      <c r="B5602" s="1" t="str">
        <f>MID(TB_CECO[[#This Row],[TRABAJO]],1,SEARCH(",",TB_CECO[[#This Row],[TRABAJO]],1)-1)</f>
        <v>GAL 150 SW (CX 150 NW)</v>
      </c>
      <c r="C560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NW),DESQUINCHE   </v>
      </c>
      <c r="D560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0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02" s="65" t="s">
        <v>1982</v>
      </c>
      <c r="G5602" s="64" t="s">
        <v>1983</v>
      </c>
      <c r="H56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03" spans="1:8" ht="15" customHeight="1" x14ac:dyDescent="0.25">
      <c r="A5603" s="1" t="str">
        <f>MID(TB_CECO[[#This Row],[CECO_T]],1,5)</f>
        <v>61003</v>
      </c>
      <c r="B5603" s="1" t="str">
        <f>MID(TB_CECO[[#This Row],[TRABAJO]],1,SEARCH(",",TB_CECO[[#This Row],[TRABAJO]],1)-1)</f>
        <v>GAL 150 SW (CX 150 NW)</v>
      </c>
      <c r="C560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NW),ENMADERADO   </v>
      </c>
      <c r="D560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0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03" s="65" t="s">
        <v>1984</v>
      </c>
      <c r="G5603" s="64" t="s">
        <v>1985</v>
      </c>
      <c r="H56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04" spans="1:8" ht="15" customHeight="1" x14ac:dyDescent="0.25">
      <c r="A5604" s="1" t="str">
        <f>MID(TB_CECO[[#This Row],[CECO_T]],1,5)</f>
        <v>61003</v>
      </c>
      <c r="B5604" s="1" t="str">
        <f>MID(TB_CECO[[#This Row],[TRABAJO]],1,SEARCH(",",TB_CECO[[#This Row],[TRABAJO]],1)-1)</f>
        <v>GAL 150 SW (CX 150 NW)</v>
      </c>
      <c r="C560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NW),LIMPIEZA     </v>
      </c>
      <c r="D560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0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04" s="65" t="s">
        <v>1986</v>
      </c>
      <c r="G5604" s="64" t="s">
        <v>1987</v>
      </c>
      <c r="H56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05" spans="1:8" ht="15" customHeight="1" x14ac:dyDescent="0.25">
      <c r="A5605" s="1" t="str">
        <f>MID(TB_CECO[[#This Row],[CECO_T]],1,5)</f>
        <v>61003</v>
      </c>
      <c r="B5605" s="1" t="str">
        <f>MID(TB_CECO[[#This Row],[TRABAJO]],1,SEARCH(",",TB_CECO[[#This Row],[TRABAJO]],1)-1)</f>
        <v>GAL 150 SW (CX 150 NW)</v>
      </c>
      <c r="C560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NW),SERVICIOS    </v>
      </c>
      <c r="D560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0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05" s="65" t="s">
        <v>1988</v>
      </c>
      <c r="G5605" s="64" t="s">
        <v>1989</v>
      </c>
      <c r="H56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06" spans="1:8" ht="15" customHeight="1" x14ac:dyDescent="0.25">
      <c r="A5606" s="1" t="str">
        <f>MID(TB_CECO[[#This Row],[CECO_T]],1,5)</f>
        <v>61003</v>
      </c>
      <c r="B5606" s="1" t="str">
        <f>MID(TB_CECO[[#This Row],[TRABAJO]],1,SEARCH(",",TB_CECO[[#This Row],[TRABAJO]],1)-1)</f>
        <v>GAL 150 SW (CX 150 NW)</v>
      </c>
      <c r="C560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NW),EXTRACCION   </v>
      </c>
      <c r="D560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0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06" s="65" t="s">
        <v>1990</v>
      </c>
      <c r="G5606" s="64" t="s">
        <v>1991</v>
      </c>
      <c r="H56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07" spans="1:8" ht="15" customHeight="1" x14ac:dyDescent="0.25">
      <c r="A5607" s="1" t="str">
        <f>MID(TB_CECO[[#This Row],[CECO_T]],1,5)</f>
        <v>61003</v>
      </c>
      <c r="B5607" s="1" t="str">
        <f>MID(TB_CECO[[#This Row],[TRABAJO]],1,SEARCH(",",TB_CECO[[#This Row],[TRABAJO]],1)-1)</f>
        <v>GAL 150 SW (CX 150 NW)</v>
      </c>
      <c r="C560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NW),SPLIT SET    </v>
      </c>
      <c r="D560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0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07" s="65" t="s">
        <v>1992</v>
      </c>
      <c r="G5607" s="64" t="s">
        <v>1993</v>
      </c>
      <c r="H56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08" spans="1:8" ht="15" customHeight="1" x14ac:dyDescent="0.25">
      <c r="A5608" s="1" t="str">
        <f>MID(TB_CECO[[#This Row],[CECO_T]],1,5)</f>
        <v>61003</v>
      </c>
      <c r="B5608" s="1" t="str">
        <f>MID(TB_CECO[[#This Row],[TRABAJO]],1,SEARCH(",",TB_CECO[[#This Row],[TRABAJO]],1)-1)</f>
        <v>GAL 150 SW (CX 150 NW)</v>
      </c>
      <c r="C560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SW (CX 150 NW),SPLIT CON MAL</v>
      </c>
      <c r="D560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0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08" s="65" t="s">
        <v>1994</v>
      </c>
      <c r="G5608" s="64" t="s">
        <v>1995</v>
      </c>
      <c r="H56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09" spans="1:8" ht="15" customHeight="1" x14ac:dyDescent="0.25">
      <c r="A5609" s="1" t="str">
        <f>MID(TB_CECO[[#This Row],[CECO_T]],1,5)</f>
        <v>61003</v>
      </c>
      <c r="B5609" s="1" t="str">
        <f>MID(TB_CECO[[#This Row],[TRABAJO]],1,SEARCH(",",TB_CECO[[#This Row],[TRABAJO]],1)-1)</f>
        <v>GAL 150 SW (CX 150 NW)</v>
      </c>
      <c r="C560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SW (CX 150 NW),IZAJE Y DESCE</v>
      </c>
      <c r="D560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0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09" s="65" t="s">
        <v>1996</v>
      </c>
      <c r="G5609" s="64" t="s">
        <v>1997</v>
      </c>
      <c r="H56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10" spans="1:8" ht="15" customHeight="1" x14ac:dyDescent="0.25">
      <c r="A5610" s="1" t="str">
        <f>MID(TB_CECO[[#This Row],[CECO_T]],1,5)</f>
        <v>61003</v>
      </c>
      <c r="B5610" s="1" t="str">
        <f>MID(TB_CECO[[#This Row],[TRABAJO]],1,SEARCH(",",TB_CECO[[#This Row],[TRABAJO]],1)-1)</f>
        <v>GAL 150 SW (CX 150 NW)</v>
      </c>
      <c r="C561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SW (CX 150 NW),PERFORACION  </v>
      </c>
      <c r="D561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1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10" s="65" t="s">
        <v>1998</v>
      </c>
      <c r="G5610" s="64" t="s">
        <v>1999</v>
      </c>
      <c r="H56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11" spans="1:8" ht="15" customHeight="1" x14ac:dyDescent="0.25">
      <c r="A5611" s="1" t="str">
        <f>MID(TB_CECO[[#This Row],[CECO_T]],1,5)</f>
        <v>61004</v>
      </c>
      <c r="B5611" s="1" t="str">
        <f>MID(TB_CECO[[#This Row],[TRABAJO]],1,SEARCH(",",TB_CECO[[#This Row],[TRABAJO]],1)-1)</f>
        <v>GAL 150 NE (CX 150 NW)</v>
      </c>
      <c r="C561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NW),DESQUINCHE   </v>
      </c>
      <c r="D561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1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11" s="65" t="s">
        <v>2000</v>
      </c>
      <c r="G5611" s="64" t="s">
        <v>2001</v>
      </c>
      <c r="H56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12" spans="1:8" ht="15" customHeight="1" x14ac:dyDescent="0.25">
      <c r="A5612" s="1" t="str">
        <f>MID(TB_CECO[[#This Row],[CECO_T]],1,5)</f>
        <v>61004</v>
      </c>
      <c r="B5612" s="1" t="str">
        <f>MID(TB_CECO[[#This Row],[TRABAJO]],1,SEARCH(",",TB_CECO[[#This Row],[TRABAJO]],1)-1)</f>
        <v>GAL 150 NE (CX 150 NW)</v>
      </c>
      <c r="C561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NW),ENMADERADO   </v>
      </c>
      <c r="D561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1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12" s="65" t="s">
        <v>2002</v>
      </c>
      <c r="G5612" s="64" t="s">
        <v>2003</v>
      </c>
      <c r="H56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13" spans="1:8" ht="15" customHeight="1" x14ac:dyDescent="0.25">
      <c r="A5613" s="1" t="str">
        <f>MID(TB_CECO[[#This Row],[CECO_T]],1,5)</f>
        <v>61004</v>
      </c>
      <c r="B5613" s="1" t="str">
        <f>MID(TB_CECO[[#This Row],[TRABAJO]],1,SEARCH(",",TB_CECO[[#This Row],[TRABAJO]],1)-1)</f>
        <v>GAL 150 NE (CX 150 NW)</v>
      </c>
      <c r="C561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NW),LIMPIEZA     </v>
      </c>
      <c r="D561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1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13" s="65" t="s">
        <v>2004</v>
      </c>
      <c r="G5613" s="64" t="s">
        <v>2005</v>
      </c>
      <c r="H56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14" spans="1:8" ht="15" customHeight="1" x14ac:dyDescent="0.25">
      <c r="A5614" s="1" t="str">
        <f>MID(TB_CECO[[#This Row],[CECO_T]],1,5)</f>
        <v>61004</v>
      </c>
      <c r="B5614" s="1" t="str">
        <f>MID(TB_CECO[[#This Row],[TRABAJO]],1,SEARCH(",",TB_CECO[[#This Row],[TRABAJO]],1)-1)</f>
        <v>GAL 150 NE (CX 150 NW)</v>
      </c>
      <c r="C561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NW),SERVICIOS    </v>
      </c>
      <c r="D561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1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14" s="65" t="s">
        <v>2006</v>
      </c>
      <c r="G5614" s="64" t="s">
        <v>2007</v>
      </c>
      <c r="H56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15" spans="1:8" ht="15" customHeight="1" x14ac:dyDescent="0.25">
      <c r="A5615" s="1" t="str">
        <f>MID(TB_CECO[[#This Row],[CECO_T]],1,5)</f>
        <v>61004</v>
      </c>
      <c r="B5615" s="1" t="str">
        <f>MID(TB_CECO[[#This Row],[TRABAJO]],1,SEARCH(",",TB_CECO[[#This Row],[TRABAJO]],1)-1)</f>
        <v>GAL 150 NE (CX 150 NW)</v>
      </c>
      <c r="C561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NW),EXTRACCION   </v>
      </c>
      <c r="D561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1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15" s="65" t="s">
        <v>2008</v>
      </c>
      <c r="G5615" s="64" t="s">
        <v>2009</v>
      </c>
      <c r="H56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16" spans="1:8" ht="15" customHeight="1" x14ac:dyDescent="0.25">
      <c r="A5616" s="1" t="str">
        <f>MID(TB_CECO[[#This Row],[CECO_T]],1,5)</f>
        <v>61004</v>
      </c>
      <c r="B5616" s="1" t="str">
        <f>MID(TB_CECO[[#This Row],[TRABAJO]],1,SEARCH(",",TB_CECO[[#This Row],[TRABAJO]],1)-1)</f>
        <v>GAL 150 NE (CX 150 NW)</v>
      </c>
      <c r="C561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NW),SPLIT SET    </v>
      </c>
      <c r="D561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1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16" s="65" t="s">
        <v>2010</v>
      </c>
      <c r="G5616" s="64" t="s">
        <v>2011</v>
      </c>
      <c r="H56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17" spans="1:8" ht="15" customHeight="1" x14ac:dyDescent="0.25">
      <c r="A5617" s="1" t="str">
        <f>MID(TB_CECO[[#This Row],[CECO_T]],1,5)</f>
        <v>61004</v>
      </c>
      <c r="B5617" s="1" t="str">
        <f>MID(TB_CECO[[#This Row],[TRABAJO]],1,SEARCH(",",TB_CECO[[#This Row],[TRABAJO]],1)-1)</f>
        <v>GAL 150 NE (CX 150 NW)</v>
      </c>
      <c r="C561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NE (CX 150 NW),SPLIT CON MAL</v>
      </c>
      <c r="D561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1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17" s="65" t="s">
        <v>2012</v>
      </c>
      <c r="G5617" s="64" t="s">
        <v>2013</v>
      </c>
      <c r="H56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18" spans="1:8" ht="15" customHeight="1" x14ac:dyDescent="0.25">
      <c r="A5618" s="1" t="str">
        <f>MID(TB_CECO[[#This Row],[CECO_T]],1,5)</f>
        <v>61004</v>
      </c>
      <c r="B5618" s="1" t="str">
        <f>MID(TB_CECO[[#This Row],[TRABAJO]],1,SEARCH(",",TB_CECO[[#This Row],[TRABAJO]],1)-1)</f>
        <v>GAL 150 NE (CX 150 NW)</v>
      </c>
      <c r="C561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150 NE (CX 150 NW),IZAJE Y DESCE</v>
      </c>
      <c r="D561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1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18" s="65" t="s">
        <v>2014</v>
      </c>
      <c r="G5618" s="64" t="s">
        <v>2015</v>
      </c>
      <c r="H56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19" spans="1:8" ht="15" customHeight="1" x14ac:dyDescent="0.25">
      <c r="A5619" s="1" t="str">
        <f>MID(TB_CECO[[#This Row],[CECO_T]],1,5)</f>
        <v>61004</v>
      </c>
      <c r="B5619" s="1" t="str">
        <f>MID(TB_CECO[[#This Row],[TRABAJO]],1,SEARCH(",",TB_CECO[[#This Row],[TRABAJO]],1)-1)</f>
        <v>GAL 150 NE (CX 150 NW)</v>
      </c>
      <c r="C561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GAL 150 NE (CX 150 NW),PERFORACION  </v>
      </c>
      <c r="D561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1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19" s="65" t="s">
        <v>2016</v>
      </c>
      <c r="G5619" s="64" t="s">
        <v>2017</v>
      </c>
      <c r="H56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20" spans="1:8" ht="15" customHeight="1" x14ac:dyDescent="0.25">
      <c r="A5620" s="1" t="str">
        <f>MID(TB_CECO[[#This Row],[CECO_T]],1,5)</f>
        <v>1E61V</v>
      </c>
      <c r="B5620" s="1" t="str">
        <f>MID(TB_CECO[[#This Row],[TRABAJO]],1,SEARCH(",",TB_CECO[[#This Row],[TRABAJO]],1)-1)</f>
        <v>Est 870 SE (Est 869 SW)</v>
      </c>
      <c r="C562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SE (Est 869 SW),PERFORACION</v>
      </c>
      <c r="D562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62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20" s="65" t="s">
        <v>11534</v>
      </c>
      <c r="G5620" t="s">
        <v>11535</v>
      </c>
      <c r="H56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21" spans="1:8" ht="15" customHeight="1" x14ac:dyDescent="0.25">
      <c r="A5621" s="1" t="str">
        <f>MID(TB_CECO[[#This Row],[CECO_T]],1,5)</f>
        <v>1E61V</v>
      </c>
      <c r="B5621" s="1" t="str">
        <f>MID(TB_CECO[[#This Row],[TRABAJO]],1,SEARCH(",",TB_CECO[[#This Row],[TRABAJO]],1)-1)</f>
        <v>Est 870 SE (Est 869 SW)</v>
      </c>
      <c r="C562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SE (Est 869 SW),VOLADURA</v>
      </c>
      <c r="D562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62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21" s="65" t="s">
        <v>11536</v>
      </c>
      <c r="G5621" t="s">
        <v>11537</v>
      </c>
      <c r="H56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22" spans="1:8" ht="15" customHeight="1" x14ac:dyDescent="0.25">
      <c r="A5622" s="1" t="str">
        <f>MID(TB_CECO[[#This Row],[CECO_T]],1,5)</f>
        <v>1E61V</v>
      </c>
      <c r="B5622" s="1" t="str">
        <f>MID(TB_CECO[[#This Row],[TRABAJO]],1,SEARCH(",",TB_CECO[[#This Row],[TRABAJO]],1)-1)</f>
        <v>Est 870 SE (Est 869 SW)</v>
      </c>
      <c r="C562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SE (Est 869 SW),LIMPIEZA</v>
      </c>
      <c r="D562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62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22" s="65" t="s">
        <v>11538</v>
      </c>
      <c r="G5622" t="s">
        <v>11539</v>
      </c>
      <c r="H56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23" spans="1:8" ht="15" customHeight="1" x14ac:dyDescent="0.25">
      <c r="A5623" s="1" t="str">
        <f>MID(TB_CECO[[#This Row],[CECO_T]],1,5)</f>
        <v>1E61V</v>
      </c>
      <c r="B5623" s="1" t="str">
        <f>MID(TB_CECO[[#This Row],[TRABAJO]],1,SEARCH(",",TB_CECO[[#This Row],[TRABAJO]],1)-1)</f>
        <v>Est 870 SE (Est 869 SW)</v>
      </c>
      <c r="C562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SE (Est 869 SW),SOSTENIMIENTO</v>
      </c>
      <c r="D562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62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23" s="65" t="s">
        <v>11540</v>
      </c>
      <c r="G5623" t="s">
        <v>11541</v>
      </c>
      <c r="H56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24" spans="1:8" ht="15" customHeight="1" x14ac:dyDescent="0.25">
      <c r="A5624" s="1" t="str">
        <f>MID(TB_CECO[[#This Row],[CECO_T]],1,5)</f>
        <v>1E61V</v>
      </c>
      <c r="B5624" s="1" t="str">
        <f>MID(TB_CECO[[#This Row],[TRABAJO]],1,SEARCH(",",TB_CECO[[#This Row],[TRABAJO]],1)-1)</f>
        <v>Est 870 SE (Est 869 SW)</v>
      </c>
      <c r="C562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SE (Est 869 SW),SERVICIO</v>
      </c>
      <c r="D562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62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24" s="65" t="s">
        <v>11542</v>
      </c>
      <c r="G5624" t="s">
        <v>11543</v>
      </c>
      <c r="H56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25" spans="1:8" ht="15" customHeight="1" x14ac:dyDescent="0.25">
      <c r="A5625" s="1" t="str">
        <f>MID(TB_CECO[[#This Row],[CECO_T]],1,5)</f>
        <v>1N57Y</v>
      </c>
      <c r="B5625" s="1" t="str">
        <f>MID(TB_CECO[[#This Row],[TRABAJO]],1,SEARCH(",",TB_CECO[[#This Row],[TRABAJO]],1)-1)</f>
        <v>Snv 874 SW (Est 870 SE)</v>
      </c>
      <c r="C562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SW (Est 870 SE),PERFORACION</v>
      </c>
      <c r="D562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2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25" s="72" t="s">
        <v>11545</v>
      </c>
      <c r="G5625" s="71" t="s">
        <v>11546</v>
      </c>
      <c r="H56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26" spans="1:8" ht="15" customHeight="1" x14ac:dyDescent="0.25">
      <c r="A5626" s="1" t="str">
        <f>MID(TB_CECO[[#This Row],[CECO_T]],1,5)</f>
        <v>1N57Y</v>
      </c>
      <c r="B5626" s="1" t="str">
        <f>MID(TB_CECO[[#This Row],[TRABAJO]],1,SEARCH(",",TB_CECO[[#This Row],[TRABAJO]],1)-1)</f>
        <v>Snv 874 SW (Est 870 SE)</v>
      </c>
      <c r="C562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SW (Est 870 SE),VOLADURA</v>
      </c>
      <c r="D562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2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26" s="72" t="s">
        <v>11547</v>
      </c>
      <c r="G5626" s="71" t="s">
        <v>11548</v>
      </c>
      <c r="H56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27" spans="1:8" ht="15" customHeight="1" x14ac:dyDescent="0.25">
      <c r="A5627" s="1" t="str">
        <f>MID(TB_CECO[[#This Row],[CECO_T]],1,5)</f>
        <v>1N57Y</v>
      </c>
      <c r="B5627" s="1" t="str">
        <f>MID(TB_CECO[[#This Row],[TRABAJO]],1,SEARCH(",",TB_CECO[[#This Row],[TRABAJO]],1)-1)</f>
        <v>Snv 874 SW (Est 870 SE)</v>
      </c>
      <c r="C562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SW (Est 870 SE),LIMPIEZA</v>
      </c>
      <c r="D562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2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27" s="72" t="s">
        <v>11549</v>
      </c>
      <c r="G5627" s="71" t="s">
        <v>11550</v>
      </c>
      <c r="H56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28" spans="1:8" ht="15" customHeight="1" x14ac:dyDescent="0.25">
      <c r="A5628" s="1" t="str">
        <f>MID(TB_CECO[[#This Row],[CECO_T]],1,5)</f>
        <v>1N57Y</v>
      </c>
      <c r="B5628" s="1" t="str">
        <f>MID(TB_CECO[[#This Row],[TRABAJO]],1,SEARCH(",",TB_CECO[[#This Row],[TRABAJO]],1)-1)</f>
        <v>Snv 874 SW (Est 870 SE)</v>
      </c>
      <c r="C562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SW (Est 870 SE),SOSTENIMIENTO</v>
      </c>
      <c r="D562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2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28" s="72" t="s">
        <v>11551</v>
      </c>
      <c r="G5628" s="71" t="s">
        <v>11552</v>
      </c>
      <c r="H56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29" spans="1:8" ht="15" customHeight="1" x14ac:dyDescent="0.25">
      <c r="A5629" s="1" t="str">
        <f>MID(TB_CECO[[#This Row],[CECO_T]],1,5)</f>
        <v>1N57Y</v>
      </c>
      <c r="B5629" s="1" t="str">
        <f>MID(TB_CECO[[#This Row],[TRABAJO]],1,SEARCH(",",TB_CECO[[#This Row],[TRABAJO]],1)-1)</f>
        <v>Snv 874 SW (Est 870 SE)</v>
      </c>
      <c r="C562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SW (Est 870 SE),SERVICIO</v>
      </c>
      <c r="D562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2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29" s="72" t="s">
        <v>11553</v>
      </c>
      <c r="G5629" s="71" t="s">
        <v>11554</v>
      </c>
      <c r="H56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30" spans="1:8" ht="15" customHeight="1" x14ac:dyDescent="0.25">
      <c r="A5630" s="1" t="str">
        <f>MID(TB_CECO[[#This Row],[CECO_T]],1,5)</f>
        <v>1N57Z</v>
      </c>
      <c r="B5630" s="1" t="str">
        <f>MID(TB_CECO[[#This Row],[TRABAJO]],1,SEARCH(",",TB_CECO[[#This Row],[TRABAJO]],1)-1)</f>
        <v>Snv 874 NE (Est 870 SE)</v>
      </c>
      <c r="C563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NE (Est 870 SE),PERFORACION</v>
      </c>
      <c r="D563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3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30" s="72" t="s">
        <v>11555</v>
      </c>
      <c r="G5630" s="71" t="s">
        <v>11556</v>
      </c>
      <c r="H56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31" spans="1:8" ht="15" customHeight="1" x14ac:dyDescent="0.25">
      <c r="A5631" s="1" t="str">
        <f>MID(TB_CECO[[#This Row],[CECO_T]],1,5)</f>
        <v>1N57Z</v>
      </c>
      <c r="B5631" s="1" t="str">
        <f>MID(TB_CECO[[#This Row],[TRABAJO]],1,SEARCH(",",TB_CECO[[#This Row],[TRABAJO]],1)-1)</f>
        <v>Snv 874 NE (Est 870 SE)</v>
      </c>
      <c r="C563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NE (Est 870 SE),VOLADURA</v>
      </c>
      <c r="D563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3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31" s="72" t="s">
        <v>11557</v>
      </c>
      <c r="G5631" s="71" t="s">
        <v>11558</v>
      </c>
      <c r="H56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32" spans="1:8" ht="15" customHeight="1" x14ac:dyDescent="0.25">
      <c r="A5632" s="1" t="str">
        <f>MID(TB_CECO[[#This Row],[CECO_T]],1,5)</f>
        <v>1N57Z</v>
      </c>
      <c r="B5632" s="1" t="str">
        <f>MID(TB_CECO[[#This Row],[TRABAJO]],1,SEARCH(",",TB_CECO[[#This Row],[TRABAJO]],1)-1)</f>
        <v>Snv 874 NE (Est 870 SE)</v>
      </c>
      <c r="C563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NE (Est 870 SE),LIMPIEZA</v>
      </c>
      <c r="D563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3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32" s="72" t="s">
        <v>11559</v>
      </c>
      <c r="G5632" s="71" t="s">
        <v>11560</v>
      </c>
      <c r="H56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33" spans="1:8" ht="15" customHeight="1" x14ac:dyDescent="0.25">
      <c r="A5633" s="1" t="str">
        <f>MID(TB_CECO[[#This Row],[CECO_T]],1,5)</f>
        <v>1N57Z</v>
      </c>
      <c r="B5633" s="1" t="str">
        <f>MID(TB_CECO[[#This Row],[TRABAJO]],1,SEARCH(",",TB_CECO[[#This Row],[TRABAJO]],1)-1)</f>
        <v>Snv 874 NE (Est 870 SE)</v>
      </c>
      <c r="C563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NE (Est 870 SE),SOSTENIMIENTO</v>
      </c>
      <c r="D563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3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33" s="72" t="s">
        <v>11561</v>
      </c>
      <c r="G5633" s="71" t="s">
        <v>11562</v>
      </c>
      <c r="H56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34" spans="1:8" ht="15" customHeight="1" x14ac:dyDescent="0.25">
      <c r="A5634" s="1" t="str">
        <f>MID(TB_CECO[[#This Row],[CECO_T]],1,5)</f>
        <v>1N57Z</v>
      </c>
      <c r="B5634" s="1" t="str">
        <f>MID(TB_CECO[[#This Row],[TRABAJO]],1,SEARCH(",",TB_CECO[[#This Row],[TRABAJO]],1)-1)</f>
        <v>Snv 874 NE (Est 870 SE)</v>
      </c>
      <c r="C563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NE (Est 870 SE),SERVICIO</v>
      </c>
      <c r="D563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3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34" s="72" t="s">
        <v>11563</v>
      </c>
      <c r="G5634" s="71" t="s">
        <v>11564</v>
      </c>
      <c r="H56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35" spans="1:8" ht="15" customHeight="1" x14ac:dyDescent="0.25">
      <c r="A5635" s="1" t="str">
        <f>MID(TB_CECO[[#This Row],[CECO_T]],1,5)</f>
        <v>1D32O</v>
      </c>
      <c r="B5635" s="1" t="str">
        <f>MID(TB_CECO[[#This Row],[TRABAJO]],1,SEARCH(",",TB_CECO[[#This Row],[TRABAJO]],1)-1)</f>
        <v>Ch 944 (Snv 865 SW)</v>
      </c>
      <c r="C563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944 (Snv 865 SW),PERFORACION</v>
      </c>
      <c r="D563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3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35" s="72" t="s">
        <v>11565</v>
      </c>
      <c r="G5635" s="71" t="s">
        <v>11566</v>
      </c>
      <c r="H56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36" spans="1:8" ht="15" customHeight="1" x14ac:dyDescent="0.25">
      <c r="A5636" s="1" t="str">
        <f>MID(TB_CECO[[#This Row],[CECO_T]],1,5)</f>
        <v>1D32O</v>
      </c>
      <c r="B5636" s="1" t="str">
        <f>MID(TB_CECO[[#This Row],[TRABAJO]],1,SEARCH(",",TB_CECO[[#This Row],[TRABAJO]],1)-1)</f>
        <v>Ch 944 (Snv 865 SW)</v>
      </c>
      <c r="C563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944 (Snv 865 SW),VOLADURA</v>
      </c>
      <c r="D563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3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36" s="72" t="s">
        <v>11567</v>
      </c>
      <c r="G5636" s="71" t="s">
        <v>11568</v>
      </c>
      <c r="H56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37" spans="1:8" ht="15" customHeight="1" x14ac:dyDescent="0.25">
      <c r="A5637" s="1" t="str">
        <f>MID(TB_CECO[[#This Row],[CECO_T]],1,5)</f>
        <v>1D32O</v>
      </c>
      <c r="B5637" s="1" t="str">
        <f>MID(TB_CECO[[#This Row],[TRABAJO]],1,SEARCH(",",TB_CECO[[#This Row],[TRABAJO]],1)-1)</f>
        <v>Ch 944 (Snv 865 SW)</v>
      </c>
      <c r="C563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944 (Snv 865 SW),LIMPIEZA</v>
      </c>
      <c r="D563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3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37" s="72" t="s">
        <v>11569</v>
      </c>
      <c r="G5637" s="71" t="s">
        <v>11570</v>
      </c>
      <c r="H56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38" spans="1:8" ht="15" customHeight="1" x14ac:dyDescent="0.25">
      <c r="A5638" s="1" t="str">
        <f>MID(TB_CECO[[#This Row],[CECO_T]],1,5)</f>
        <v>1D32O</v>
      </c>
      <c r="B5638" s="1" t="str">
        <f>MID(TB_CECO[[#This Row],[TRABAJO]],1,SEARCH(",",TB_CECO[[#This Row],[TRABAJO]],1)-1)</f>
        <v>Ch 944 (Snv 865 SW)</v>
      </c>
      <c r="C563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944 (Snv 865 SW),SOSTENIMIENTO</v>
      </c>
      <c r="D563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3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38" s="72" t="s">
        <v>11571</v>
      </c>
      <c r="G5638" s="71" t="s">
        <v>11572</v>
      </c>
      <c r="H56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39" spans="1:8" ht="15" customHeight="1" x14ac:dyDescent="0.25">
      <c r="A5639" s="1" t="str">
        <f>MID(TB_CECO[[#This Row],[CECO_T]],1,5)</f>
        <v>1D32O</v>
      </c>
      <c r="B5639" s="1" t="str">
        <f>MID(TB_CECO[[#This Row],[TRABAJO]],1,SEARCH(",",TB_CECO[[#This Row],[TRABAJO]],1)-1)</f>
        <v>Ch 944 (Snv 865 SW)</v>
      </c>
      <c r="C563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944 (Snv 865 SW),SERVICIO</v>
      </c>
      <c r="D563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3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39" s="72" t="s">
        <v>11573</v>
      </c>
      <c r="G5639" s="71" t="s">
        <v>11574</v>
      </c>
      <c r="H56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40" spans="1:8" ht="15" customHeight="1" x14ac:dyDescent="0.25">
      <c r="A5640" s="1" t="str">
        <f>MID(TB_CECO[[#This Row],[CECO_T]],1,5)</f>
        <v>2E58C</v>
      </c>
      <c r="B5640" s="81" t="s">
        <v>11577</v>
      </c>
      <c r="C564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886 NE (Tj 097 NE) ,PERFORACION</v>
      </c>
      <c r="D564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64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640" s="72" t="s">
        <v>11578</v>
      </c>
      <c r="G5640" t="s">
        <v>11583</v>
      </c>
      <c r="H56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41" spans="1:8" ht="15" customHeight="1" x14ac:dyDescent="0.25">
      <c r="A5641" s="1" t="str">
        <f>MID(TB_CECO[[#This Row],[CECO_T]],1,5)</f>
        <v>2E58C</v>
      </c>
      <c r="B5641" s="81" t="s">
        <v>11577</v>
      </c>
      <c r="C564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886 NE (Tj 097 NE) ,VOLADURA</v>
      </c>
      <c r="D564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64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641" s="72" t="s">
        <v>11579</v>
      </c>
      <c r="G5641" t="s">
        <v>11584</v>
      </c>
      <c r="H56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42" spans="1:8" ht="15" customHeight="1" x14ac:dyDescent="0.25">
      <c r="A5642" s="1" t="str">
        <f>MID(TB_CECO[[#This Row],[CECO_T]],1,5)</f>
        <v>2E58C</v>
      </c>
      <c r="B5642" s="81" t="s">
        <v>11577</v>
      </c>
      <c r="C564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886 NE (Tj 097 NE) ,LIMPIEZA</v>
      </c>
      <c r="D564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64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642" s="72" t="s">
        <v>11580</v>
      </c>
      <c r="G5642" t="s">
        <v>11585</v>
      </c>
      <c r="H56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43" spans="1:8" ht="15" customHeight="1" x14ac:dyDescent="0.25">
      <c r="A5643" s="1" t="str">
        <f>MID(TB_CECO[[#This Row],[CECO_T]],1,5)</f>
        <v>2E58C</v>
      </c>
      <c r="B5643" s="81" t="s">
        <v>11577</v>
      </c>
      <c r="C564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886 NE (Tj 097 NE) ,SOSTENIMIENTO</v>
      </c>
      <c r="D564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64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643" s="72" t="s">
        <v>11581</v>
      </c>
      <c r="G5643" t="s">
        <v>11586</v>
      </c>
      <c r="H56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44" spans="1:8" ht="15" customHeight="1" x14ac:dyDescent="0.25">
      <c r="A5644" s="1" t="str">
        <f>MID(TB_CECO[[#This Row],[CECO_T]],1,5)</f>
        <v>2E58C</v>
      </c>
      <c r="B5644" s="81" t="s">
        <v>11577</v>
      </c>
      <c r="C564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886 NE (Tj 097 NE) ,SERVICIO</v>
      </c>
      <c r="D564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64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644" s="72" t="s">
        <v>11582</v>
      </c>
      <c r="G5644" t="s">
        <v>11587</v>
      </c>
      <c r="H56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45" spans="1:8" ht="15" customHeight="1" x14ac:dyDescent="0.25">
      <c r="A5645" s="81" t="s">
        <v>8864</v>
      </c>
      <c r="B5645" s="1" t="str">
        <f>MID(TB_CECO[[#This Row],[TRABAJO]],1,SEARCH(",",TB_CECO[[#This Row],[TRABAJO]],1)-1)</f>
        <v>TJ 107 (CH 107)</v>
      </c>
      <c r="C564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107),SUMINISTROS</v>
      </c>
      <c r="D564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4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45" s="81" t="s">
        <v>8864</v>
      </c>
      <c r="G5645" s="71" t="s">
        <v>8865</v>
      </c>
      <c r="H56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46" spans="1:8" ht="15" customHeight="1" x14ac:dyDescent="0.25">
      <c r="A5646" s="81" t="s">
        <v>8866</v>
      </c>
      <c r="B5646" s="1" t="str">
        <f>MID(TB_CECO[[#This Row],[TRABAJO]],1,SEARCH(",",TB_CECO[[#This Row],[TRABAJO]],1)-1)</f>
        <v>TJ 107 (CH 107)</v>
      </c>
      <c r="C564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107),SOSTENIMIENTO</v>
      </c>
      <c r="D564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4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46" s="81" t="s">
        <v>8866</v>
      </c>
      <c r="G5646" s="71" t="s">
        <v>8867</v>
      </c>
      <c r="H56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47" spans="1:8" ht="15" customHeight="1" x14ac:dyDescent="0.25">
      <c r="A5647" s="81" t="s">
        <v>8868</v>
      </c>
      <c r="B5647" s="1" t="str">
        <f>MID(TB_CECO[[#This Row],[TRABAJO]],1,SEARCH(",",TB_CECO[[#This Row],[TRABAJO]],1)-1)</f>
        <v>TJ 107 (CH 107)</v>
      </c>
      <c r="C564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107),SERVICIO</v>
      </c>
      <c r="D564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4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47" s="81" t="s">
        <v>8868</v>
      </c>
      <c r="G5647" s="71" t="s">
        <v>8869</v>
      </c>
      <c r="H56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48" spans="1:8" ht="15" customHeight="1" x14ac:dyDescent="0.25">
      <c r="A5648" s="81" t="s">
        <v>8870</v>
      </c>
      <c r="B5648" s="1" t="str">
        <f>MID(TB_CECO[[#This Row],[TRABAJO]],1,SEARCH(",",TB_CECO[[#This Row],[TRABAJO]],1)-1)</f>
        <v>TJ 107 (CH 107)</v>
      </c>
      <c r="C564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107),REHABILITACION</v>
      </c>
      <c r="D564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4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48" s="81" t="s">
        <v>8870</v>
      </c>
      <c r="G5648" s="71" t="s">
        <v>8871</v>
      </c>
      <c r="H56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49" spans="1:8" ht="15" customHeight="1" x14ac:dyDescent="0.25">
      <c r="A5649" s="81" t="s">
        <v>8872</v>
      </c>
      <c r="B5649" s="1" t="str">
        <f>MID(TB_CECO[[#This Row],[TRABAJO]],1,SEARCH(",",TB_CECO[[#This Row],[TRABAJO]],1)-1)</f>
        <v>TJ 107 (CH 107)</v>
      </c>
      <c r="C564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107),REALCE</v>
      </c>
      <c r="D564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4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49" s="81" t="s">
        <v>8872</v>
      </c>
      <c r="G5649" s="71" t="s">
        <v>8873</v>
      </c>
      <c r="H56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50" spans="1:8" ht="15" customHeight="1" x14ac:dyDescent="0.25">
      <c r="A5650" s="81" t="s">
        <v>8874</v>
      </c>
      <c r="B5650" s="1" t="str">
        <f>MID(TB_CECO[[#This Row],[TRABAJO]],1,SEARCH(",",TB_CECO[[#This Row],[TRABAJO]],1)-1)</f>
        <v>TJ 107 (CH 107)</v>
      </c>
      <c r="C565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107 (CH 107),BREASTING</v>
      </c>
      <c r="D565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65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50" s="81" t="s">
        <v>8874</v>
      </c>
      <c r="G5650" s="71" t="s">
        <v>8875</v>
      </c>
      <c r="H56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51" spans="1:8" ht="15" customHeight="1" x14ac:dyDescent="0.25">
      <c r="A5651" s="1" t="str">
        <f>MID(TB_CECO[[#This Row],[CECO_T]],1,5)</f>
        <v>1N57V</v>
      </c>
      <c r="B5651" s="1" t="s">
        <v>11593</v>
      </c>
      <c r="C565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(Est 873 NE) ,PERFORACION</v>
      </c>
      <c r="D565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5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51" s="72" t="s">
        <v>11493</v>
      </c>
      <c r="G5651" t="s">
        <v>11494</v>
      </c>
      <c r="H56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52" spans="1:8" ht="15" customHeight="1" x14ac:dyDescent="0.25">
      <c r="A5652" s="1" t="str">
        <f>MID(TB_CECO[[#This Row],[CECO_T]],1,5)</f>
        <v>1N57V</v>
      </c>
      <c r="B5652" s="1" t="s">
        <v>11593</v>
      </c>
      <c r="C565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(Est 873 NE) ,VOLADURA</v>
      </c>
      <c r="D565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5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52" s="72" t="s">
        <v>11495</v>
      </c>
      <c r="G5652" t="s">
        <v>11496</v>
      </c>
      <c r="H56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53" spans="1:8" ht="15" customHeight="1" x14ac:dyDescent="0.25">
      <c r="A5653" s="1" t="str">
        <f>MID(TB_CECO[[#This Row],[CECO_T]],1,5)</f>
        <v>1N57V</v>
      </c>
      <c r="B5653" s="1" t="s">
        <v>11593</v>
      </c>
      <c r="C565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(Est 873 NE) ,LIMPIEZA</v>
      </c>
      <c r="D565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5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53" s="72" t="s">
        <v>11497</v>
      </c>
      <c r="G5653" t="s">
        <v>11498</v>
      </c>
      <c r="H56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54" spans="1:8" ht="15" customHeight="1" x14ac:dyDescent="0.25">
      <c r="A5654" s="1" t="str">
        <f>MID(TB_CECO[[#This Row],[CECO_T]],1,5)</f>
        <v>1N57V</v>
      </c>
      <c r="B5654" s="1" t="s">
        <v>11593</v>
      </c>
      <c r="C565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(Est 873 NE) ,SOSTENIMIENTO</v>
      </c>
      <c r="D565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5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54" s="72" t="s">
        <v>11499</v>
      </c>
      <c r="G5654" t="s">
        <v>11500</v>
      </c>
      <c r="H56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55" spans="1:8" ht="15" customHeight="1" x14ac:dyDescent="0.25">
      <c r="A5655" s="1" t="str">
        <f>MID(TB_CECO[[#This Row],[CECO_T]],1,5)</f>
        <v>1N57V</v>
      </c>
      <c r="B5655" s="1" t="s">
        <v>11593</v>
      </c>
      <c r="C565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898 NE (Est 873 NE) ,SERVICIO</v>
      </c>
      <c r="D565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5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55" s="72" t="s">
        <v>11501</v>
      </c>
      <c r="G5655" t="s">
        <v>11502</v>
      </c>
      <c r="H56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56" spans="1:8" ht="15" customHeight="1" x14ac:dyDescent="0.25">
      <c r="A5656" s="1" t="str">
        <f>MID(TB_CECO[[#This Row],[CECO_T]],1,5)</f>
        <v>1N57Y</v>
      </c>
      <c r="B5656" s="1" t="s">
        <v>11575</v>
      </c>
      <c r="C565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SW (Est 870 SE),PERFORACION</v>
      </c>
      <c r="D565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5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56" s="72" t="s">
        <v>11545</v>
      </c>
      <c r="G5656" t="s">
        <v>11546</v>
      </c>
      <c r="H56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57" spans="1:8" ht="15" customHeight="1" x14ac:dyDescent="0.25">
      <c r="A5657" s="1" t="str">
        <f>MID(TB_CECO[[#This Row],[CECO_T]],1,5)</f>
        <v>1N57Y</v>
      </c>
      <c r="B5657" s="1" t="s">
        <v>11575</v>
      </c>
      <c r="C565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SW (Est 870 SE),VOLADURA</v>
      </c>
      <c r="D565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5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57" s="72" t="s">
        <v>11547</v>
      </c>
      <c r="G5657" t="s">
        <v>11548</v>
      </c>
      <c r="H56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58" spans="1:8" ht="15" customHeight="1" x14ac:dyDescent="0.25">
      <c r="A5658" s="1" t="str">
        <f>MID(TB_CECO[[#This Row],[CECO_T]],1,5)</f>
        <v>1N57Y</v>
      </c>
      <c r="B5658" s="1" t="s">
        <v>11575</v>
      </c>
      <c r="C565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SW (Est 870 SE),LIMPIEZA</v>
      </c>
      <c r="D565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5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58" s="72" t="s">
        <v>11549</v>
      </c>
      <c r="G5658" t="s">
        <v>11550</v>
      </c>
      <c r="H56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59" spans="1:8" ht="15" customHeight="1" x14ac:dyDescent="0.25">
      <c r="A5659" s="1" t="str">
        <f>MID(TB_CECO[[#This Row],[CECO_T]],1,5)</f>
        <v>1N57Y</v>
      </c>
      <c r="B5659" s="1" t="s">
        <v>11575</v>
      </c>
      <c r="C565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SW (Est 870 SE),SOSTENIMIENTO</v>
      </c>
      <c r="D565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5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59" s="72" t="s">
        <v>11551</v>
      </c>
      <c r="G5659" t="s">
        <v>11552</v>
      </c>
      <c r="H56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60" spans="1:8" ht="15" customHeight="1" x14ac:dyDescent="0.25">
      <c r="A5660" s="1" t="str">
        <f>MID(TB_CECO[[#This Row],[CECO_T]],1,5)</f>
        <v>1N57Y</v>
      </c>
      <c r="B5660" s="1" t="s">
        <v>11575</v>
      </c>
      <c r="C566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SW (Est 870 SE),SERVICIO</v>
      </c>
      <c r="D566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6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60" s="72" t="s">
        <v>11553</v>
      </c>
      <c r="G5660" t="s">
        <v>11554</v>
      </c>
      <c r="H56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61" spans="1:8" ht="15" customHeight="1" x14ac:dyDescent="0.25">
      <c r="A5661" s="1" t="str">
        <f>MID(TB_CECO[[#This Row],[CECO_T]],1,5)</f>
        <v>1N57Z</v>
      </c>
      <c r="B5661" s="1" t="s">
        <v>11576</v>
      </c>
      <c r="C566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NE (Est 870 SE),PERFORACION</v>
      </c>
      <c r="D566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6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61" s="72" t="s">
        <v>11555</v>
      </c>
      <c r="G5661" t="s">
        <v>11556</v>
      </c>
      <c r="H56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62" spans="1:8" ht="15" customHeight="1" x14ac:dyDescent="0.25">
      <c r="A5662" s="1" t="str">
        <f>MID(TB_CECO[[#This Row],[CECO_T]],1,5)</f>
        <v>1N57Z</v>
      </c>
      <c r="B5662" s="1" t="s">
        <v>11576</v>
      </c>
      <c r="C566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NE (Est 870 SE),VOLADURA</v>
      </c>
      <c r="D566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6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62" s="72" t="s">
        <v>11557</v>
      </c>
      <c r="G5662" t="s">
        <v>11558</v>
      </c>
      <c r="H56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63" spans="1:8" ht="15" customHeight="1" x14ac:dyDescent="0.25">
      <c r="A5663" s="1" t="str">
        <f>MID(TB_CECO[[#This Row],[CECO_T]],1,5)</f>
        <v>1N57Z</v>
      </c>
      <c r="B5663" s="1" t="s">
        <v>11576</v>
      </c>
      <c r="C566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NE (Est 870 SE),LIMPIEZA</v>
      </c>
      <c r="D566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6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63" s="72" t="s">
        <v>11559</v>
      </c>
      <c r="G5663" t="s">
        <v>11560</v>
      </c>
      <c r="H56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64" spans="1:8" ht="15" customHeight="1" x14ac:dyDescent="0.25">
      <c r="A5664" s="1" t="str">
        <f>MID(TB_CECO[[#This Row],[CECO_T]],1,5)</f>
        <v>1N57Z</v>
      </c>
      <c r="B5664" s="1" t="s">
        <v>11576</v>
      </c>
      <c r="C566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NE (Est 870 SE),SOSTENIMIENTO</v>
      </c>
      <c r="D566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6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64" s="72" t="s">
        <v>11561</v>
      </c>
      <c r="G5664" t="s">
        <v>11562</v>
      </c>
      <c r="H56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65" spans="1:8" ht="15" customHeight="1" x14ac:dyDescent="0.25">
      <c r="A5665" s="1" t="str">
        <f>MID(TB_CECO[[#This Row],[CECO_T]],1,5)</f>
        <v>1N57Z</v>
      </c>
      <c r="B5665" s="1" t="s">
        <v>11576</v>
      </c>
      <c r="C566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874 NE (Est 870 SE),SERVICIO</v>
      </c>
      <c r="D566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6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65" s="72" t="s">
        <v>11563</v>
      </c>
      <c r="G5665" t="s">
        <v>11564</v>
      </c>
      <c r="H56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66" spans="1:8" ht="15" customHeight="1" x14ac:dyDescent="0.25">
      <c r="A5666" s="1" t="str">
        <f>MID(TB_CECO[[#This Row],[CECO_T]],1,5)</f>
        <v>2A212</v>
      </c>
      <c r="B5666" s="1" t="s">
        <v>11594</v>
      </c>
      <c r="C566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Gal 028 NE (Cx 990 NE),REHABILITACION</v>
      </c>
      <c r="D566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6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66" s="72" t="s">
        <v>3739</v>
      </c>
      <c r="G5666" t="s">
        <v>3740</v>
      </c>
      <c r="H56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67" spans="1:8" ht="15" customHeight="1" x14ac:dyDescent="0.25">
      <c r="A5667" s="1" t="str">
        <f>MID(TB_CECO[[#This Row],[CECO_T]],1,5)</f>
        <v>5N73I</v>
      </c>
      <c r="B5667" s="1" t="s">
        <v>11595</v>
      </c>
      <c r="C566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NE),PERFORACION</v>
      </c>
      <c r="D566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6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67" s="72" t="s">
        <v>11602</v>
      </c>
      <c r="G5667" t="s">
        <v>11596</v>
      </c>
      <c r="H56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68" spans="1:8" ht="15" customHeight="1" x14ac:dyDescent="0.25">
      <c r="A5668" s="1" t="str">
        <f>MID(TB_CECO[[#This Row],[CECO_T]],1,5)</f>
        <v>5N73I</v>
      </c>
      <c r="B5668" s="1" t="s">
        <v>11595</v>
      </c>
      <c r="C566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NE),VOLADURA</v>
      </c>
      <c r="D566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6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68" s="72" t="s">
        <v>11603</v>
      </c>
      <c r="G5668" t="s">
        <v>11597</v>
      </c>
      <c r="H56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69" spans="1:8" ht="15" customHeight="1" x14ac:dyDescent="0.25">
      <c r="A5669" s="1" t="str">
        <f>MID(TB_CECO[[#This Row],[CECO_T]],1,5)</f>
        <v>5N73I</v>
      </c>
      <c r="B5669" s="1" t="s">
        <v>11595</v>
      </c>
      <c r="C566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NE),LIMPIEZA</v>
      </c>
      <c r="D566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6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69" s="72" t="s">
        <v>11604</v>
      </c>
      <c r="G5669" t="s">
        <v>11598</v>
      </c>
      <c r="H56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70" spans="1:8" ht="15" customHeight="1" x14ac:dyDescent="0.25">
      <c r="A5670" s="1" t="str">
        <f>MID(TB_CECO[[#This Row],[CECO_T]],1,5)</f>
        <v>5N73I</v>
      </c>
      <c r="B5670" s="1" t="s">
        <v>11595</v>
      </c>
      <c r="C567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NE),SOSTENIMIENTO</v>
      </c>
      <c r="D567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7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70" s="72" t="s">
        <v>11605</v>
      </c>
      <c r="G5670" t="s">
        <v>11599</v>
      </c>
      <c r="H56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71" spans="1:8" ht="15" customHeight="1" x14ac:dyDescent="0.25">
      <c r="A5671" s="1" t="str">
        <f>MID(TB_CECO[[#This Row],[CECO_T]],1,5)</f>
        <v>5N73I</v>
      </c>
      <c r="B5671" s="1" t="s">
        <v>11595</v>
      </c>
      <c r="C567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NE),SERVICIO</v>
      </c>
      <c r="D567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7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71" s="72" t="s">
        <v>11606</v>
      </c>
      <c r="G5671" t="s">
        <v>11600</v>
      </c>
      <c r="H56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72" spans="1:8" ht="15" customHeight="1" x14ac:dyDescent="0.25">
      <c r="A5672" s="1" t="str">
        <f>MID(TB_CECO[[#This Row],[CECO_T]],1,5)</f>
        <v>5N73I</v>
      </c>
      <c r="B5672" s="1" t="s">
        <v>11595</v>
      </c>
      <c r="C567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NE),RELLENO</v>
      </c>
      <c r="D567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7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72" s="72" t="s">
        <v>11607</v>
      </c>
      <c r="G5672" t="s">
        <v>11601</v>
      </c>
      <c r="H56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73" spans="1:8" ht="15" customHeight="1" x14ac:dyDescent="0.25">
      <c r="A5673" s="1" t="str">
        <f>MID(TB_CECO[[#This Row],[CECO_T]],1,5)</f>
        <v>41104</v>
      </c>
      <c r="B5673" s="1" t="str">
        <f>MID(TB_CECO[[#This Row],[TRABAJO]],1,SEARCH(",",TB_CECO[[#This Row],[TRABAJO]],1)-1)</f>
        <v>CX 020 SW (GAL 170 SW)</v>
      </c>
      <c r="C567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CX 020 SW (GAL 170 SW),REHAB DE LAB</v>
      </c>
      <c r="D567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67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73" s="71" t="s">
        <v>7164</v>
      </c>
      <c r="G5673" s="71" t="s">
        <v>7165</v>
      </c>
      <c r="H56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74" spans="1:8" ht="15" customHeight="1" x14ac:dyDescent="0.25">
      <c r="A5674" s="1" t="str">
        <f>MID(TB_CECO[[#This Row],[CECO_T]],1,5)</f>
        <v>1D61X</v>
      </c>
      <c r="B5674" s="1" t="s">
        <v>11608</v>
      </c>
      <c r="C567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923 NW (Ch 914) ,PERFORACION</v>
      </c>
      <c r="D567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7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74" s="72" t="s">
        <v>11614</v>
      </c>
      <c r="G5674" t="s">
        <v>11609</v>
      </c>
      <c r="H56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75" spans="1:8" ht="15" customHeight="1" x14ac:dyDescent="0.25">
      <c r="A5675" s="1" t="str">
        <f>MID(TB_CECO[[#This Row],[CECO_T]],1,5)</f>
        <v>1D61X</v>
      </c>
      <c r="B5675" s="1" t="s">
        <v>11608</v>
      </c>
      <c r="C567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923 NW (Ch 914) ,VOLADURA</v>
      </c>
      <c r="D567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7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75" s="72" t="s">
        <v>11615</v>
      </c>
      <c r="G5675" t="s">
        <v>11610</v>
      </c>
      <c r="H56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76" spans="1:8" ht="15" customHeight="1" x14ac:dyDescent="0.25">
      <c r="A5676" s="1" t="str">
        <f>MID(TB_CECO[[#This Row],[CECO_T]],1,5)</f>
        <v>1D61X</v>
      </c>
      <c r="B5676" s="1" t="s">
        <v>11608</v>
      </c>
      <c r="C567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923 NW (Ch 914) ,LIMPIEZA</v>
      </c>
      <c r="D567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7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76" s="72" t="s">
        <v>11616</v>
      </c>
      <c r="G5676" t="s">
        <v>11611</v>
      </c>
      <c r="H56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77" spans="1:8" ht="15" customHeight="1" x14ac:dyDescent="0.25">
      <c r="A5677" s="1" t="str">
        <f>MID(TB_CECO[[#This Row],[CECO_T]],1,5)</f>
        <v>1D61X</v>
      </c>
      <c r="B5677" s="1" t="s">
        <v>11608</v>
      </c>
      <c r="C567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923 NW (Ch 914) ,SOSTENIMIENTO</v>
      </c>
      <c r="D567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7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77" s="72" t="s">
        <v>11617</v>
      </c>
      <c r="G5677" t="s">
        <v>11612</v>
      </c>
      <c r="H56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78" spans="1:8" ht="15" customHeight="1" x14ac:dyDescent="0.25">
      <c r="A5678" s="1" t="str">
        <f>MID(TB_CECO[[#This Row],[CECO_T]],1,5)</f>
        <v>1D61X</v>
      </c>
      <c r="B5678" s="1" t="s">
        <v>11608</v>
      </c>
      <c r="C567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923 NW (Ch 914) ,SERVICIO</v>
      </c>
      <c r="D567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7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678" s="72" t="s">
        <v>11618</v>
      </c>
      <c r="G5678" t="s">
        <v>11613</v>
      </c>
      <c r="H56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79" spans="1:8" s="71" customFormat="1" ht="15" customHeight="1" x14ac:dyDescent="0.25">
      <c r="A5679" s="71" t="s">
        <v>11619</v>
      </c>
      <c r="B5679" s="1" t="s">
        <v>11640</v>
      </c>
      <c r="C567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SW (Ch 944) ,PERFORACION</v>
      </c>
      <c r="D567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7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679" s="71" t="s">
        <v>11619</v>
      </c>
      <c r="G5679" s="71" t="s">
        <v>11629</v>
      </c>
      <c r="H56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80" spans="1:8" s="71" customFormat="1" ht="15" customHeight="1" x14ac:dyDescent="0.25">
      <c r="A5680" s="71" t="s">
        <v>11620</v>
      </c>
      <c r="B5680" s="1" t="s">
        <v>11640</v>
      </c>
      <c r="C568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SW (Ch 944) ,VOLADURA</v>
      </c>
      <c r="D568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8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680" s="71" t="s">
        <v>11620</v>
      </c>
      <c r="G5680" s="71" t="s">
        <v>11630</v>
      </c>
      <c r="H56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81" spans="1:8" s="71" customFormat="1" ht="15" customHeight="1" x14ac:dyDescent="0.25">
      <c r="A5681" s="71" t="s">
        <v>11621</v>
      </c>
      <c r="B5681" s="1" t="s">
        <v>11640</v>
      </c>
      <c r="C568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SW (Ch 944) ,LIMPIEZA</v>
      </c>
      <c r="D568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8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681" s="71" t="s">
        <v>11621</v>
      </c>
      <c r="G5681" s="71" t="s">
        <v>11631</v>
      </c>
      <c r="H56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82" spans="1:8" s="71" customFormat="1" ht="15" customHeight="1" x14ac:dyDescent="0.25">
      <c r="A5682" s="71" t="s">
        <v>11622</v>
      </c>
      <c r="B5682" s="1" t="s">
        <v>11640</v>
      </c>
      <c r="C568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SW (Ch 944) ,SOSTENIMIENTO</v>
      </c>
      <c r="D568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8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682" s="71" t="s">
        <v>11622</v>
      </c>
      <c r="G5682" s="71" t="s">
        <v>11632</v>
      </c>
      <c r="H56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83" spans="1:8" s="71" customFormat="1" ht="15" customHeight="1" x14ac:dyDescent="0.25">
      <c r="A5683" s="71" t="s">
        <v>11623</v>
      </c>
      <c r="B5683" s="1" t="s">
        <v>11640</v>
      </c>
      <c r="C568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SW (Ch 944) ,SERVICIO</v>
      </c>
      <c r="D568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8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683" s="71" t="s">
        <v>11623</v>
      </c>
      <c r="G5683" s="71" t="s">
        <v>11633</v>
      </c>
      <c r="H56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84" spans="1:8" s="71" customFormat="1" ht="15" customHeight="1" x14ac:dyDescent="0.25">
      <c r="A5684" s="71" t="s">
        <v>11624</v>
      </c>
      <c r="B5684" s="1" t="s">
        <v>11639</v>
      </c>
      <c r="C568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NE (Ch 944),PERFORACION</v>
      </c>
      <c r="D568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8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684" s="71" t="s">
        <v>11624</v>
      </c>
      <c r="G5684" s="71" t="s">
        <v>11634</v>
      </c>
      <c r="H56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85" spans="1:8" s="71" customFormat="1" ht="15" customHeight="1" x14ac:dyDescent="0.25">
      <c r="A5685" s="71" t="s">
        <v>11625</v>
      </c>
      <c r="B5685" s="1" t="s">
        <v>11639</v>
      </c>
      <c r="C568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NE (Ch 944),VOLADURA</v>
      </c>
      <c r="D568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8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685" s="71" t="s">
        <v>11625</v>
      </c>
      <c r="G5685" s="71" t="s">
        <v>11635</v>
      </c>
      <c r="H56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86" spans="1:8" s="71" customFormat="1" ht="15" customHeight="1" x14ac:dyDescent="0.25">
      <c r="A5686" s="71" t="s">
        <v>11626</v>
      </c>
      <c r="B5686" s="1" t="s">
        <v>11639</v>
      </c>
      <c r="C568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NE (Ch 944),LIMPIEZA</v>
      </c>
      <c r="D568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8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686" s="71" t="s">
        <v>11626</v>
      </c>
      <c r="G5686" s="71" t="s">
        <v>11636</v>
      </c>
      <c r="H56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87" spans="1:8" s="71" customFormat="1" ht="15" customHeight="1" x14ac:dyDescent="0.25">
      <c r="A5687" s="71" t="s">
        <v>11627</v>
      </c>
      <c r="B5687" s="1" t="s">
        <v>11639</v>
      </c>
      <c r="C568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NE (Ch 944),SOSTENIMIENTO</v>
      </c>
      <c r="D568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8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687" s="71" t="s">
        <v>11627</v>
      </c>
      <c r="G5687" s="71" t="s">
        <v>11637</v>
      </c>
      <c r="H56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88" spans="1:8" ht="15" customHeight="1" x14ac:dyDescent="0.25">
      <c r="A5688" s="71" t="s">
        <v>11628</v>
      </c>
      <c r="B5688" s="1" t="s">
        <v>11639</v>
      </c>
      <c r="C568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870 NE (Ch 944),SERVICIO</v>
      </c>
      <c r="D568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8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688" s="71" t="s">
        <v>11628</v>
      </c>
      <c r="G5688" s="71" t="s">
        <v>11638</v>
      </c>
      <c r="H56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689" spans="1:8" s="71" customFormat="1" ht="15" customHeight="1" x14ac:dyDescent="0.25">
      <c r="A5689" s="1" t="str">
        <f>MID(TB_CECO[[#This Row],[CECO_T]],1,5)</f>
        <v>5D73J</v>
      </c>
      <c r="B5689" s="1" t="str">
        <f>MID(TB_CECO[[#This Row],[TRABAJO]],1,SEARCH(",",TB_CECO[[#This Row],[TRABAJO]],1)-1)</f>
        <v>Tj 870 SW (Ch 944)</v>
      </c>
      <c r="C568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SW (Ch 944),PERFORACION</v>
      </c>
      <c r="D568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8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89" s="72" t="s">
        <v>11663</v>
      </c>
      <c r="G5689" s="71" t="s">
        <v>11641</v>
      </c>
      <c r="H56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90" spans="1:8" ht="15" customHeight="1" x14ac:dyDescent="0.25">
      <c r="A5690" s="1" t="str">
        <f>MID(TB_CECO[[#This Row],[CECO_T]],1,5)</f>
        <v>5D73J</v>
      </c>
      <c r="B5690" s="1" t="str">
        <f>MID(TB_CECO[[#This Row],[TRABAJO]],1,SEARCH(",",TB_CECO[[#This Row],[TRABAJO]],1)-1)</f>
        <v>Tj 870 SW (Ch 944)</v>
      </c>
      <c r="C569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SW (Ch 944),VOLADURA</v>
      </c>
      <c r="D569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9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90" s="72" t="s">
        <v>11664</v>
      </c>
      <c r="G5690" t="s">
        <v>11642</v>
      </c>
      <c r="H56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91" spans="1:8" ht="15" customHeight="1" x14ac:dyDescent="0.25">
      <c r="A5691" s="1" t="str">
        <f>MID(TB_CECO[[#This Row],[CECO_T]],1,5)</f>
        <v>5D73J</v>
      </c>
      <c r="B5691" s="1" t="str">
        <f>MID(TB_CECO[[#This Row],[TRABAJO]],1,SEARCH(",",TB_CECO[[#This Row],[TRABAJO]],1)-1)</f>
        <v>Tj 870 SW (Ch 944)</v>
      </c>
      <c r="C569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SW (Ch 944),LIMPIEZA</v>
      </c>
      <c r="D569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9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91" s="72" t="s">
        <v>11665</v>
      </c>
      <c r="G5691" t="s">
        <v>11643</v>
      </c>
      <c r="H56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92" spans="1:8" ht="15" customHeight="1" x14ac:dyDescent="0.25">
      <c r="A5692" s="1" t="str">
        <f>MID(TB_CECO[[#This Row],[CECO_T]],1,5)</f>
        <v>5D73J</v>
      </c>
      <c r="B5692" s="1" t="str">
        <f>MID(TB_CECO[[#This Row],[TRABAJO]],1,SEARCH(",",TB_CECO[[#This Row],[TRABAJO]],1)-1)</f>
        <v>Tj 870 SW (Ch 944)</v>
      </c>
      <c r="C569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SW (Ch 944),SOSTENIMIENTO</v>
      </c>
      <c r="D569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9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92" s="72" t="s">
        <v>11666</v>
      </c>
      <c r="G5692" t="s">
        <v>11644</v>
      </c>
      <c r="H56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93" spans="1:8" ht="15" customHeight="1" x14ac:dyDescent="0.25">
      <c r="A5693" s="1" t="str">
        <f>MID(TB_CECO[[#This Row],[CECO_T]],1,5)</f>
        <v>5D73J</v>
      </c>
      <c r="B5693" s="1" t="str">
        <f>MID(TB_CECO[[#This Row],[TRABAJO]],1,SEARCH(",",TB_CECO[[#This Row],[TRABAJO]],1)-1)</f>
        <v>Tj 870 SW (Ch 944)</v>
      </c>
      <c r="C569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SW (Ch 944),SERVICIO</v>
      </c>
      <c r="D569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9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93" s="72" t="s">
        <v>11667</v>
      </c>
      <c r="G5693" t="s">
        <v>11645</v>
      </c>
      <c r="H56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94" spans="1:8" ht="15" customHeight="1" x14ac:dyDescent="0.25">
      <c r="A5694" s="1" t="str">
        <f>MID(TB_CECO[[#This Row],[CECO_T]],1,5)</f>
        <v>5D73J</v>
      </c>
      <c r="B5694" s="1" t="str">
        <f>MID(TB_CECO[[#This Row],[TRABAJO]],1,SEARCH(",",TB_CECO[[#This Row],[TRABAJO]],1)-1)</f>
        <v>Tj 870 SW (Ch 944)</v>
      </c>
      <c r="C569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SW (Ch 944),RELLENO</v>
      </c>
      <c r="D569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9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94" s="72" t="s">
        <v>11668</v>
      </c>
      <c r="G5694" t="s">
        <v>11646</v>
      </c>
      <c r="H56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95" spans="1:8" ht="15" customHeight="1" x14ac:dyDescent="0.25">
      <c r="A5695" s="1" t="str">
        <f>MID(TB_CECO[[#This Row],[CECO_T]],1,5)</f>
        <v>5D73K</v>
      </c>
      <c r="B5695" s="1" t="str">
        <f>MID(TB_CECO[[#This Row],[TRABAJO]],1,SEARCH(",",TB_CECO[[#This Row],[TRABAJO]],1)-1)</f>
        <v>Tj 870 NE (Ch 944)</v>
      </c>
      <c r="C569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NE (Ch 944),PERFORACION</v>
      </c>
      <c r="D569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9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95" s="72" t="s">
        <v>11669</v>
      </c>
      <c r="G5695" t="s">
        <v>11647</v>
      </c>
      <c r="H56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96" spans="1:8" ht="15" customHeight="1" x14ac:dyDescent="0.25">
      <c r="A5696" s="1" t="str">
        <f>MID(TB_CECO[[#This Row],[CECO_T]],1,5)</f>
        <v>5D73K</v>
      </c>
      <c r="B5696" s="1" t="str">
        <f>MID(TB_CECO[[#This Row],[TRABAJO]],1,SEARCH(",",TB_CECO[[#This Row],[TRABAJO]],1)-1)</f>
        <v>Tj 870 NE (Ch 944)</v>
      </c>
      <c r="C569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NE (Ch 944),VOLADURA</v>
      </c>
      <c r="D569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9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96" s="72" t="s">
        <v>11670</v>
      </c>
      <c r="G5696" t="s">
        <v>11648</v>
      </c>
      <c r="H56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97" spans="1:8" ht="15" customHeight="1" x14ac:dyDescent="0.25">
      <c r="A5697" s="1" t="str">
        <f>MID(TB_CECO[[#This Row],[CECO_T]],1,5)</f>
        <v>5D73K</v>
      </c>
      <c r="B5697" s="1" t="str">
        <f>MID(TB_CECO[[#This Row],[TRABAJO]],1,SEARCH(",",TB_CECO[[#This Row],[TRABAJO]],1)-1)</f>
        <v>Tj 870 NE (Ch 944)</v>
      </c>
      <c r="C569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NE (Ch 944),LIMPIEZA</v>
      </c>
      <c r="D569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9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97" s="72" t="s">
        <v>11671</v>
      </c>
      <c r="G5697" t="s">
        <v>11649</v>
      </c>
      <c r="H56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98" spans="1:8" ht="15" customHeight="1" x14ac:dyDescent="0.25">
      <c r="A5698" s="1" t="str">
        <f>MID(TB_CECO[[#This Row],[CECO_T]],1,5)</f>
        <v>5D73K</v>
      </c>
      <c r="B5698" s="1" t="str">
        <f>MID(TB_CECO[[#This Row],[TRABAJO]],1,SEARCH(",",TB_CECO[[#This Row],[TRABAJO]],1)-1)</f>
        <v>Tj 870 NE (Ch 944)</v>
      </c>
      <c r="C569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NE (Ch 944),SOSTENIMIENTO</v>
      </c>
      <c r="D569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9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98" s="72" t="s">
        <v>11672</v>
      </c>
      <c r="G5698" t="s">
        <v>11650</v>
      </c>
      <c r="H56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699" spans="1:8" ht="15" customHeight="1" x14ac:dyDescent="0.25">
      <c r="A5699" s="1" t="str">
        <f>MID(TB_CECO[[#This Row],[CECO_T]],1,5)</f>
        <v>5D73K</v>
      </c>
      <c r="B5699" s="1" t="str">
        <f>MID(TB_CECO[[#This Row],[TRABAJO]],1,SEARCH(",",TB_CECO[[#This Row],[TRABAJO]],1)-1)</f>
        <v>Tj 870 NE (Ch 944)</v>
      </c>
      <c r="C569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NE (Ch 944),SERVICIO</v>
      </c>
      <c r="D569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69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699" s="72" t="s">
        <v>11673</v>
      </c>
      <c r="G5699" t="s">
        <v>11651</v>
      </c>
      <c r="H56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00" spans="1:8" ht="15" customHeight="1" x14ac:dyDescent="0.25">
      <c r="A5700" s="1" t="str">
        <f>MID(TB_CECO[[#This Row],[CECO_T]],1,5)</f>
        <v>5D73K</v>
      </c>
      <c r="B5700" s="1" t="str">
        <f>MID(TB_CECO[[#This Row],[TRABAJO]],1,SEARCH(",",TB_CECO[[#This Row],[TRABAJO]],1)-1)</f>
        <v>Tj 870 NE (Ch 944)</v>
      </c>
      <c r="C570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870 NE (Ch 944),RELLENO</v>
      </c>
      <c r="D570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0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00" s="72" t="s">
        <v>11674</v>
      </c>
      <c r="G5700" t="s">
        <v>11652</v>
      </c>
      <c r="H57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01" spans="1:8" ht="15" customHeight="1" x14ac:dyDescent="0.25">
      <c r="A5701" s="1" t="str">
        <f>MID(TB_CECO[[#This Row],[CECO_T]],1,5)</f>
        <v>3E58F</v>
      </c>
      <c r="B5701" s="1" t="str">
        <f>MID(TB_CECO[[#This Row],[TRABAJO]],1,SEARCH(",",TB_CECO[[#This Row],[TRABAJO]],1)-1)</f>
        <v>Snv 033 SW (Ch 091)</v>
      </c>
      <c r="C570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033 SW (Ch 091),PERFORACION</v>
      </c>
      <c r="D570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0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01" s="72" t="s">
        <v>11675</v>
      </c>
      <c r="G5701" t="s">
        <v>11653</v>
      </c>
      <c r="H57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02" spans="1:8" ht="15" customHeight="1" x14ac:dyDescent="0.25">
      <c r="A5702" s="1" t="str">
        <f>MID(TB_CECO[[#This Row],[CECO_T]],1,5)</f>
        <v>3E58F</v>
      </c>
      <c r="B5702" s="1" t="str">
        <f>MID(TB_CECO[[#This Row],[TRABAJO]],1,SEARCH(",",TB_CECO[[#This Row],[TRABAJO]],1)-1)</f>
        <v>Snv 033 SW (Ch 091)</v>
      </c>
      <c r="C570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033 SW (Ch 091),VOLADURA</v>
      </c>
      <c r="D570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0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02" s="72" t="s">
        <v>11676</v>
      </c>
      <c r="G5702" t="s">
        <v>11654</v>
      </c>
      <c r="H57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03" spans="1:8" ht="15" customHeight="1" x14ac:dyDescent="0.25">
      <c r="A5703" s="1" t="str">
        <f>MID(TB_CECO[[#This Row],[CECO_T]],1,5)</f>
        <v>3E58F</v>
      </c>
      <c r="B5703" s="1" t="str">
        <f>MID(TB_CECO[[#This Row],[TRABAJO]],1,SEARCH(",",TB_CECO[[#This Row],[TRABAJO]],1)-1)</f>
        <v>Snv 033 SW (Ch 091)</v>
      </c>
      <c r="C570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033 SW (Ch 091),LIMPIEZA</v>
      </c>
      <c r="D570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0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03" s="72" t="s">
        <v>11677</v>
      </c>
      <c r="G5703" t="s">
        <v>11655</v>
      </c>
      <c r="H57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04" spans="1:8" ht="15" customHeight="1" x14ac:dyDescent="0.25">
      <c r="A5704" s="1" t="str">
        <f>MID(TB_CECO[[#This Row],[CECO_T]],1,5)</f>
        <v>3E58F</v>
      </c>
      <c r="B5704" s="1" t="str">
        <f>MID(TB_CECO[[#This Row],[TRABAJO]],1,SEARCH(",",TB_CECO[[#This Row],[TRABAJO]],1)-1)</f>
        <v>Snv 033 SW (Ch 091)</v>
      </c>
      <c r="C570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033 SW (Ch 091),SOSTENIMIENTO</v>
      </c>
      <c r="D570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0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04" s="72" t="s">
        <v>11678</v>
      </c>
      <c r="G5704" t="s">
        <v>11656</v>
      </c>
      <c r="H57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05" spans="1:8" ht="15" customHeight="1" x14ac:dyDescent="0.25">
      <c r="A5705" s="1" t="str">
        <f>MID(TB_CECO[[#This Row],[CECO_T]],1,5)</f>
        <v>3E58F</v>
      </c>
      <c r="B5705" s="1" t="str">
        <f>MID(TB_CECO[[#This Row],[TRABAJO]],1,SEARCH(",",TB_CECO[[#This Row],[TRABAJO]],1)-1)</f>
        <v>Snv 033 SW (Ch 091)</v>
      </c>
      <c r="C570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033 SW (Ch 091),SERVICIO</v>
      </c>
      <c r="D570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0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05" s="72" t="s">
        <v>11679</v>
      </c>
      <c r="G5705" t="s">
        <v>11657</v>
      </c>
      <c r="H57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06" spans="1:8" ht="15" customHeight="1" x14ac:dyDescent="0.25">
      <c r="A5706" s="1" t="str">
        <f>MID(TB_CECO[[#This Row],[CECO_T]],1,5)</f>
        <v>1E61Y</v>
      </c>
      <c r="B5706" s="1" t="str">
        <f>MID(TB_CECO[[#This Row],[TRABAJO]],1,SEARCH(",",TB_CECO[[#This Row],[TRABAJO]],1)-1)</f>
        <v>Est 875 SW (Inc 863 SE)</v>
      </c>
      <c r="C570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875 SW (Inc 863 SE),PERFORACION</v>
      </c>
      <c r="D570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0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06" s="72" t="s">
        <v>11680</v>
      </c>
      <c r="G5706" t="s">
        <v>11658</v>
      </c>
      <c r="H57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07" spans="1:8" ht="15" customHeight="1" x14ac:dyDescent="0.25">
      <c r="A5707" s="1" t="str">
        <f>MID(TB_CECO[[#This Row],[CECO_T]],1,5)</f>
        <v>1E61Y</v>
      </c>
      <c r="B5707" s="1" t="str">
        <f>MID(TB_CECO[[#This Row],[TRABAJO]],1,SEARCH(",",TB_CECO[[#This Row],[TRABAJO]],1)-1)</f>
        <v>Est 875 SW (Inc 863 SE)</v>
      </c>
      <c r="C570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875 SW (Inc 863 SE),VOLADURA</v>
      </c>
      <c r="D570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0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07" s="72" t="s">
        <v>11681</v>
      </c>
      <c r="G5707" t="s">
        <v>11659</v>
      </c>
      <c r="H57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08" spans="1:8" ht="15" customHeight="1" x14ac:dyDescent="0.25">
      <c r="A5708" s="1" t="str">
        <f>MID(TB_CECO[[#This Row],[CECO_T]],1,5)</f>
        <v>1E61Y</v>
      </c>
      <c r="B5708" s="1" t="str">
        <f>MID(TB_CECO[[#This Row],[TRABAJO]],1,SEARCH(",",TB_CECO[[#This Row],[TRABAJO]],1)-1)</f>
        <v>Est 875 SW (Inc 863 SE)</v>
      </c>
      <c r="C570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875 SW (Inc 863 SE),LIMPIEZA</v>
      </c>
      <c r="D570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0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08" s="72" t="s">
        <v>11682</v>
      </c>
      <c r="G5708" t="s">
        <v>11660</v>
      </c>
      <c r="H57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09" spans="1:8" ht="15" customHeight="1" x14ac:dyDescent="0.25">
      <c r="A5709" s="1" t="str">
        <f>MID(TB_CECO[[#This Row],[CECO_T]],1,5)</f>
        <v>1E61Y</v>
      </c>
      <c r="B5709" s="1" t="str">
        <f>MID(TB_CECO[[#This Row],[TRABAJO]],1,SEARCH(",",TB_CECO[[#This Row],[TRABAJO]],1)-1)</f>
        <v>Est 875 SW (Inc 863 SE)</v>
      </c>
      <c r="C570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875 SW (Inc 863 SE),SOSTENIMIENTO</v>
      </c>
      <c r="D570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0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09" s="72" t="s">
        <v>11683</v>
      </c>
      <c r="G5709" t="s">
        <v>11661</v>
      </c>
      <c r="H57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10" spans="1:8" ht="15" customHeight="1" x14ac:dyDescent="0.25">
      <c r="A5710" s="1" t="str">
        <f>MID(TB_CECO[[#This Row],[CECO_T]],1,5)</f>
        <v>1E61Y</v>
      </c>
      <c r="B5710" s="1" t="str">
        <f>MID(TB_CECO[[#This Row],[TRABAJO]],1,SEARCH(",",TB_CECO[[#This Row],[TRABAJO]],1)-1)</f>
        <v>Est 875 SW (Inc 863 SE)</v>
      </c>
      <c r="C571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875 SW (Inc 863 SE),SERVICIO</v>
      </c>
      <c r="D571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1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10" s="72" t="s">
        <v>11684</v>
      </c>
      <c r="G5710" t="s">
        <v>11662</v>
      </c>
      <c r="H57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11" spans="1:8" ht="15" customHeight="1" x14ac:dyDescent="0.25">
      <c r="A5711" s="1" t="str">
        <f>MID(TB_CECO[[#This Row],[CECO_T]],1,5)</f>
        <v>2E61Z</v>
      </c>
      <c r="B5711" s="1" t="str">
        <f>MID(TB_CECO[[#This Row],[TRABAJO]],1,SEARCH(",",TB_CECO[[#This Row],[TRABAJO]],1)-1)</f>
        <v>Est  866 SE (Tj 097 NE)</v>
      </c>
      <c r="C571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 866 SE (Tj 097 NE),PERFORACION</v>
      </c>
      <c r="D571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1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11" s="72" t="s">
        <v>11691</v>
      </c>
      <c r="G5711" t="s">
        <v>11686</v>
      </c>
      <c r="H57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12" spans="1:8" ht="15" customHeight="1" x14ac:dyDescent="0.25">
      <c r="A5712" s="1" t="str">
        <f>MID(TB_CECO[[#This Row],[CECO_T]],1,5)</f>
        <v>2E61Z</v>
      </c>
      <c r="B5712" s="1" t="str">
        <f>MID(TB_CECO[[#This Row],[TRABAJO]],1,SEARCH(",",TB_CECO[[#This Row],[TRABAJO]],1)-1)</f>
        <v>Est  866 SE (Tj 097 NE)</v>
      </c>
      <c r="C571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 866 SE (Tj 097 NE),VOLADURA</v>
      </c>
      <c r="D571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1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12" s="72" t="s">
        <v>11692</v>
      </c>
      <c r="G5712" t="s">
        <v>11687</v>
      </c>
      <c r="H57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13" spans="1:8" ht="15" customHeight="1" x14ac:dyDescent="0.25">
      <c r="A5713" s="1" t="str">
        <f>MID(TB_CECO[[#This Row],[CECO_T]],1,5)</f>
        <v>2E61Z</v>
      </c>
      <c r="B5713" s="1" t="str">
        <f>MID(TB_CECO[[#This Row],[TRABAJO]],1,SEARCH(",",TB_CECO[[#This Row],[TRABAJO]],1)-1)</f>
        <v>Est  866 SE (Tj 097 NE)</v>
      </c>
      <c r="C571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 866 SE (Tj 097 NE),LIMPIEZA</v>
      </c>
      <c r="D571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1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13" s="72" t="s">
        <v>11693</v>
      </c>
      <c r="G5713" t="s">
        <v>11688</v>
      </c>
      <c r="H57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14" spans="1:8" ht="15" customHeight="1" x14ac:dyDescent="0.25">
      <c r="A5714" s="1" t="str">
        <f>MID(TB_CECO[[#This Row],[CECO_T]],1,5)</f>
        <v>2E61Z</v>
      </c>
      <c r="B5714" s="1" t="str">
        <f>MID(TB_CECO[[#This Row],[TRABAJO]],1,SEARCH(",",TB_CECO[[#This Row],[TRABAJO]],1)-1)</f>
        <v>Est  866 SE (Tj 097 NE)</v>
      </c>
      <c r="C571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 866 SE (Tj 097 NE),SOSTENIMIENTO</v>
      </c>
      <c r="D571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1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14" s="72" t="s">
        <v>11694</v>
      </c>
      <c r="G5714" t="s">
        <v>11689</v>
      </c>
      <c r="H57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15" spans="1:8" ht="15" customHeight="1" x14ac:dyDescent="0.25">
      <c r="A5715" s="1" t="str">
        <f>MID(TB_CECO[[#This Row],[CECO_T]],1,5)</f>
        <v>2E61Z</v>
      </c>
      <c r="B5715" s="1" t="str">
        <f>MID(TB_CECO[[#This Row],[TRABAJO]],1,SEARCH(",",TB_CECO[[#This Row],[TRABAJO]],1)-1)</f>
        <v>Est  866 SE (Tj 097 NE)</v>
      </c>
      <c r="C571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 866 SE (Tj 097 NE),SERVICIO</v>
      </c>
      <c r="D571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1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15" s="72" t="s">
        <v>11695</v>
      </c>
      <c r="G5715" t="s">
        <v>11690</v>
      </c>
      <c r="H57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16" spans="1:8" ht="15" customHeight="1" x14ac:dyDescent="0.25">
      <c r="A5716" s="1" t="str">
        <f>MID(TB_CECO[[#This Row],[CECO_T]],1,5)</f>
        <v>1DD05</v>
      </c>
      <c r="B5716" s="1" t="str">
        <f>MID(TB_CECO[[#This Row],[TRABAJO]],1,SEARCH(",",TB_CECO[[#This Row],[TRABAJO]],1)-1)</f>
        <v>Inc 822 NE (Est 912 SE)</v>
      </c>
      <c r="C571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822 NE (Est 912 SE),SERVICIO</v>
      </c>
      <c r="D571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1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16" s="72" t="s">
        <v>2981</v>
      </c>
      <c r="G5716" t="s">
        <v>2982</v>
      </c>
      <c r="H57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17" spans="1:8" ht="15" customHeight="1" x14ac:dyDescent="0.25">
      <c r="A5717" s="1" t="str">
        <f>MID(TB_CECO[[#This Row],[CECO_T]],1,5)</f>
        <v>1DD05</v>
      </c>
      <c r="B5717" s="1" t="str">
        <f>MID(TB_CECO[[#This Row],[TRABAJO]],1,SEARCH(",",TB_CECO[[#This Row],[TRABAJO]],1)-1)</f>
        <v>Inc 822 NE (Est 912 SE)</v>
      </c>
      <c r="C571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822 NE (Est 912 SE),PERFORACION</v>
      </c>
      <c r="D571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1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17" s="72" t="s">
        <v>2983</v>
      </c>
      <c r="G5717" t="s">
        <v>2984</v>
      </c>
      <c r="H57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18" spans="1:8" ht="15" customHeight="1" x14ac:dyDescent="0.25">
      <c r="A5718" s="1" t="str">
        <f>MID(TB_CECO[[#This Row],[CECO_T]],1,5)</f>
        <v>1DD05</v>
      </c>
      <c r="B5718" s="1" t="str">
        <f>MID(TB_CECO[[#This Row],[TRABAJO]],1,SEARCH(",",TB_CECO[[#This Row],[TRABAJO]],1)-1)</f>
        <v>Inc 822 NE (Est 912 SE)</v>
      </c>
      <c r="C571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822 NE (Est 912 SE),SOSTENIMIENTO</v>
      </c>
      <c r="D571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1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18" s="72" t="s">
        <v>2985</v>
      </c>
      <c r="G5718" t="s">
        <v>2986</v>
      </c>
      <c r="H57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19" spans="1:8" ht="15" customHeight="1" x14ac:dyDescent="0.25">
      <c r="A5719" s="1" t="str">
        <f>MID(TB_CECO[[#This Row],[CECO_T]],1,5)</f>
        <v>1DD05</v>
      </c>
      <c r="B5719" s="1" t="str">
        <f>MID(TB_CECO[[#This Row],[TRABAJO]],1,SEARCH(",",TB_CECO[[#This Row],[TRABAJO]],1)-1)</f>
        <v>Inc 822 NE (Est 912 SE)</v>
      </c>
      <c r="C571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822 NE (Est 912 SE),VOLADURA</v>
      </c>
      <c r="D571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1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19" s="72" t="s">
        <v>2987</v>
      </c>
      <c r="G5719" t="s">
        <v>2988</v>
      </c>
      <c r="H57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20" spans="1:8" ht="15" customHeight="1" x14ac:dyDescent="0.25">
      <c r="A5720" s="1" t="s">
        <v>11602</v>
      </c>
      <c r="B5720" s="1" t="str">
        <f>MID(TB_CECO[[#This Row],[TRABAJO]],1,SEARCH(",",TB_CECO[[#This Row],[TRABAJO]],1)-1)</f>
        <v>Tj 874 NE (Snv 874 NE)</v>
      </c>
      <c r="C572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NE),PERFORACION</v>
      </c>
      <c r="D572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2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20" s="72" t="s">
        <v>11602</v>
      </c>
      <c r="G5720" s="71" t="s">
        <v>11596</v>
      </c>
      <c r="H57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21" spans="1:8" ht="15" customHeight="1" x14ac:dyDescent="0.25">
      <c r="A5721" s="1" t="s">
        <v>11603</v>
      </c>
      <c r="B5721" s="1" t="str">
        <f>MID(TB_CECO[[#This Row],[TRABAJO]],1,SEARCH(",",TB_CECO[[#This Row],[TRABAJO]],1)-1)</f>
        <v>Tj 874 NE (Snv 874 NE)</v>
      </c>
      <c r="C572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NE),VOLADURA</v>
      </c>
      <c r="D572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2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21" s="72" t="s">
        <v>11603</v>
      </c>
      <c r="G5721" s="71" t="s">
        <v>11597</v>
      </c>
      <c r="H57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22" spans="1:8" ht="15" customHeight="1" x14ac:dyDescent="0.25">
      <c r="A5722" s="1" t="s">
        <v>11604</v>
      </c>
      <c r="B5722" s="1" t="str">
        <f>MID(TB_CECO[[#This Row],[TRABAJO]],1,SEARCH(",",TB_CECO[[#This Row],[TRABAJO]],1)-1)</f>
        <v>Tj 874 NE (Snv 874 NE)</v>
      </c>
      <c r="C572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NE),LIMPIEZA</v>
      </c>
      <c r="D572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2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22" s="72" t="s">
        <v>11604</v>
      </c>
      <c r="G5722" s="71" t="s">
        <v>11598</v>
      </c>
      <c r="H57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23" spans="1:8" ht="15" customHeight="1" x14ac:dyDescent="0.25">
      <c r="A5723" s="1" t="s">
        <v>11605</v>
      </c>
      <c r="B5723" s="1" t="str">
        <f>MID(TB_CECO[[#This Row],[TRABAJO]],1,SEARCH(",",TB_CECO[[#This Row],[TRABAJO]],1)-1)</f>
        <v>Tj 874 NE (Snv 874 NE)</v>
      </c>
      <c r="C572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NE),SOSTENIMIENTO</v>
      </c>
      <c r="D572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2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23" s="72" t="s">
        <v>11605</v>
      </c>
      <c r="G5723" s="71" t="s">
        <v>11599</v>
      </c>
      <c r="H57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24" spans="1:8" ht="15" customHeight="1" x14ac:dyDescent="0.25">
      <c r="A5724" s="1" t="s">
        <v>11606</v>
      </c>
      <c r="B5724" s="1" t="str">
        <f>MID(TB_CECO[[#This Row],[TRABAJO]],1,SEARCH(",",TB_CECO[[#This Row],[TRABAJO]],1)-1)</f>
        <v>Tj 874 NE (Snv 874 NE)</v>
      </c>
      <c r="C572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NE),SERVICIO</v>
      </c>
      <c r="D572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2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24" s="72" t="s">
        <v>11606</v>
      </c>
      <c r="G5724" s="71" t="s">
        <v>11600</v>
      </c>
      <c r="H57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25" spans="1:8" ht="15" customHeight="1" x14ac:dyDescent="0.25">
      <c r="A5725" s="1" t="s">
        <v>11607</v>
      </c>
      <c r="B5725" s="1" t="str">
        <f>MID(TB_CECO[[#This Row],[TRABAJO]],1,SEARCH(",",TB_CECO[[#This Row],[TRABAJO]],1)-1)</f>
        <v>Tj 874 NE (Snv 874 NE)</v>
      </c>
      <c r="C572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NE),RELLENO</v>
      </c>
      <c r="D572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2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25" s="72" t="s">
        <v>11607</v>
      </c>
      <c r="G5725" s="71" t="s">
        <v>11601</v>
      </c>
      <c r="H57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26" spans="1:8" ht="15" customHeight="1" x14ac:dyDescent="0.25">
      <c r="A5726" s="1" t="str">
        <f>MID(TB_CECO[[#This Row],[CECO_T]],1,5)</f>
        <v>41001</v>
      </c>
      <c r="B5726" s="1" t="str">
        <f>MID(TB_CECO[[#This Row],[TRABAJO]],1,SEARCH(",",TB_CECO[[#This Row],[TRABAJO]],1)-1)</f>
        <v>GA 170 SW Cx. 128 NE</v>
      </c>
      <c r="C572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SW Cx. 128 NE,VOLADURA     </v>
      </c>
      <c r="D572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2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26" s="71" t="s">
        <v>7134</v>
      </c>
      <c r="G5726" s="71" t="s">
        <v>7135</v>
      </c>
      <c r="H57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27" spans="1:8" ht="15" customHeight="1" x14ac:dyDescent="0.25">
      <c r="A5727" s="1" t="str">
        <f>MID(TB_CECO[[#This Row],[CECO_T]],1,5)</f>
        <v>41001</v>
      </c>
      <c r="B5727" s="1" t="str">
        <f>MID(TB_CECO[[#This Row],[TRABAJO]],1,SEARCH(",",TB_CECO[[#This Row],[TRABAJO]],1)-1)</f>
        <v>GA 170 SW Cx. 128 NE</v>
      </c>
      <c r="C572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SW Cx. 128 NE,CAMINOS      </v>
      </c>
      <c r="D572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2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27" s="71" t="s">
        <v>7136</v>
      </c>
      <c r="G5727" s="71" t="s">
        <v>7137</v>
      </c>
      <c r="H57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28" spans="1:8" ht="15" customHeight="1" x14ac:dyDescent="0.25">
      <c r="A5728" s="1" t="str">
        <f>MID(TB_CECO[[#This Row],[CECO_T]],1,5)</f>
        <v>41001</v>
      </c>
      <c r="B5728" s="1" t="str">
        <f>MID(TB_CECO[[#This Row],[TRABAJO]],1,SEARCH(",",TB_CECO[[#This Row],[TRABAJO]],1)-1)</f>
        <v>GA 170 SW Cx. 128 NE</v>
      </c>
      <c r="C572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 170 SW Cx. 128 NE,INSTALACION D</v>
      </c>
      <c r="D572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2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28" s="71" t="s">
        <v>7138</v>
      </c>
      <c r="G5728" s="71" t="s">
        <v>7139</v>
      </c>
      <c r="H57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29" spans="1:8" ht="15" customHeight="1" x14ac:dyDescent="0.25">
      <c r="A5729" s="1" t="str">
        <f>MID(TB_CECO[[#This Row],[CECO_T]],1,5)</f>
        <v>41001</v>
      </c>
      <c r="B5729" s="1" t="str">
        <f>MID(TB_CECO[[#This Row],[TRABAJO]],1,SEARCH(",",TB_CECO[[#This Row],[TRABAJO]],1)-1)</f>
        <v>GA 170 SW Cx. 128 NE</v>
      </c>
      <c r="C572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 170 SW Cx. 128 NE,REHAB DE LABO</v>
      </c>
      <c r="D572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2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29" s="71" t="s">
        <v>7140</v>
      </c>
      <c r="G5729" s="71" t="s">
        <v>7141</v>
      </c>
      <c r="H57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30" spans="1:8" ht="15" customHeight="1" x14ac:dyDescent="0.25">
      <c r="A5730" s="1" t="str">
        <f>MID(TB_CECO[[#This Row],[CECO_T]],1,5)</f>
        <v>11002</v>
      </c>
      <c r="B5730" s="1" t="str">
        <f>MID(TB_CECO[[#This Row],[TRABAJO]],1,SEARCH(",",TB_CECO[[#This Row],[TRABAJO]],1)-1)</f>
        <v>GA 170 NE Cx.128 NE</v>
      </c>
      <c r="C573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NE,VOLADURA     </v>
      </c>
      <c r="D573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3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30" s="71" t="s">
        <v>2396</v>
      </c>
      <c r="G5730" s="71" t="s">
        <v>2397</v>
      </c>
      <c r="H57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31" spans="1:8" ht="15" customHeight="1" x14ac:dyDescent="0.25">
      <c r="A5731" s="1" t="str">
        <f>MID(TB_CECO[[#This Row],[CECO_T]],1,5)</f>
        <v>11002</v>
      </c>
      <c r="B5731" s="1" t="str">
        <f>MID(TB_CECO[[#This Row],[TRABAJO]],1,SEARCH(",",TB_CECO[[#This Row],[TRABAJO]],1)-1)</f>
        <v>GA 170 NE Cx.128 NE</v>
      </c>
      <c r="C573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NE,CAMINOS      </v>
      </c>
      <c r="D573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3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31" s="71" t="s">
        <v>2398</v>
      </c>
      <c r="G5731" s="71" t="s">
        <v>2399</v>
      </c>
      <c r="H57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32" spans="1:8" ht="15" customHeight="1" x14ac:dyDescent="0.25">
      <c r="A5732" s="1" t="str">
        <f>MID(TB_CECO[[#This Row],[CECO_T]],1,5)</f>
        <v>11002</v>
      </c>
      <c r="B5732" s="1" t="str">
        <f>MID(TB_CECO[[#This Row],[TRABAJO]],1,SEARCH(",",TB_CECO[[#This Row],[TRABAJO]],1)-1)</f>
        <v>GA 170 NE Cx.128 NE</v>
      </c>
      <c r="C573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GA 170 NE Cx.128 NE,INSTAL. RIELE</v>
      </c>
      <c r="D573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3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32" s="71" t="s">
        <v>2400</v>
      </c>
      <c r="G5732" s="71" t="s">
        <v>2401</v>
      </c>
      <c r="H57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33" spans="1:8" ht="15" customHeight="1" x14ac:dyDescent="0.25">
      <c r="A5733" s="1" t="str">
        <f>MID(TB_CECO[[#This Row],[CECO_T]],1,5)</f>
        <v>11002</v>
      </c>
      <c r="B5733" s="1" t="str">
        <f>MID(TB_CECO[[#This Row],[TRABAJO]],1,SEARCH(",",TB_CECO[[#This Row],[TRABAJO]],1)-1)</f>
        <v>GA 170 NE Cx.128 NE</v>
      </c>
      <c r="C573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 xml:space="preserve">GA 170 NE Cx.128 NE,REHABILIT DE </v>
      </c>
      <c r="D573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3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33" s="71" t="s">
        <v>2402</v>
      </c>
      <c r="G5733" s="71" t="s">
        <v>2403</v>
      </c>
      <c r="H57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34" spans="1:8" ht="15" customHeight="1" x14ac:dyDescent="0.25">
      <c r="A5734" s="1" t="str">
        <f>MID(TB_CECO[[#This Row],[CECO_T]],1,5)</f>
        <v>5E73L</v>
      </c>
      <c r="B5734" s="164" t="str">
        <f>MID(TB_CECO[[#This Row],[TRABAJO]],1,SEARCH(",",TB_CECO[[#This Row],[TRABAJO]],1)-1)</f>
        <v>Tj  876 NE (Snv 876 NE)</v>
      </c>
      <c r="C573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NE),PERFORACION</v>
      </c>
      <c r="D573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3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34" s="71" t="s">
        <v>11696</v>
      </c>
      <c r="G5734" s="71" t="s">
        <v>11702</v>
      </c>
      <c r="H57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35" spans="1:8" ht="15" customHeight="1" x14ac:dyDescent="0.25">
      <c r="A5735" s="1" t="str">
        <f>MID(TB_CECO[[#This Row],[CECO_T]],1,5)</f>
        <v>5E73L</v>
      </c>
      <c r="B5735" s="164" t="str">
        <f>MID(TB_CECO[[#This Row],[TRABAJO]],1,SEARCH(",",TB_CECO[[#This Row],[TRABAJO]],1)-1)</f>
        <v>Tj  876 NE (Snv 876 NE)</v>
      </c>
      <c r="C573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NE),VOLADURA</v>
      </c>
      <c r="D573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3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35" s="71" t="s">
        <v>11697</v>
      </c>
      <c r="G5735" s="71" t="s">
        <v>11703</v>
      </c>
      <c r="H57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36" spans="1:8" ht="15" customHeight="1" x14ac:dyDescent="0.25">
      <c r="A5736" s="1" t="str">
        <f>MID(TB_CECO[[#This Row],[CECO_T]],1,5)</f>
        <v>5E73L</v>
      </c>
      <c r="B5736" s="164" t="str">
        <f>MID(TB_CECO[[#This Row],[TRABAJO]],1,SEARCH(",",TB_CECO[[#This Row],[TRABAJO]],1)-1)</f>
        <v>Tj  876 NE (Snv 876 NE)</v>
      </c>
      <c r="C573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NE),LIMPIEZA</v>
      </c>
      <c r="D573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3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36" s="71" t="s">
        <v>11698</v>
      </c>
      <c r="G5736" s="71" t="s">
        <v>11704</v>
      </c>
      <c r="H57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37" spans="1:8" ht="15" customHeight="1" x14ac:dyDescent="0.25">
      <c r="A5737" s="1" t="str">
        <f>MID(TB_CECO[[#This Row],[CECO_T]],1,5)</f>
        <v>5E73L</v>
      </c>
      <c r="B5737" s="164" t="str">
        <f>MID(TB_CECO[[#This Row],[TRABAJO]],1,SEARCH(",",TB_CECO[[#This Row],[TRABAJO]],1)-1)</f>
        <v>Tj  876 NE (Snv 876 NE)</v>
      </c>
      <c r="C573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NE),SOSTENIMIENTO</v>
      </c>
      <c r="D573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3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37" s="71" t="s">
        <v>11699</v>
      </c>
      <c r="G5737" s="71" t="s">
        <v>11705</v>
      </c>
      <c r="H57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38" spans="1:8" ht="15" customHeight="1" x14ac:dyDescent="0.25">
      <c r="A5738" s="1" t="str">
        <f>MID(TB_CECO[[#This Row],[CECO_T]],1,5)</f>
        <v>5E73L</v>
      </c>
      <c r="B5738" s="164" t="str">
        <f>MID(TB_CECO[[#This Row],[TRABAJO]],1,SEARCH(",",TB_CECO[[#This Row],[TRABAJO]],1)-1)</f>
        <v>Tj  876 NE (Snv 876 NE)</v>
      </c>
      <c r="C573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NE),SERVICIO</v>
      </c>
      <c r="D573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3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38" s="71" t="s">
        <v>11700</v>
      </c>
      <c r="G5738" s="71" t="s">
        <v>11706</v>
      </c>
      <c r="H57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39" spans="1:8" ht="15" customHeight="1" x14ac:dyDescent="0.25">
      <c r="A5739" s="1" t="str">
        <f>MID(TB_CECO[[#This Row],[CECO_T]],1,5)</f>
        <v>5E73L</v>
      </c>
      <c r="B5739" s="164" t="str">
        <f>MID(TB_CECO[[#This Row],[TRABAJO]],1,SEARCH(",",TB_CECO[[#This Row],[TRABAJO]],1)-1)</f>
        <v>Tj  876 NE (Snv 876 NE)</v>
      </c>
      <c r="C573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NE),RELLENO</v>
      </c>
      <c r="D573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3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39" s="71" t="s">
        <v>11701</v>
      </c>
      <c r="G5739" s="71" t="s">
        <v>11707</v>
      </c>
      <c r="H57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40" spans="1:8" ht="15" customHeight="1" x14ac:dyDescent="0.25">
      <c r="A5740" s="1" t="str">
        <f>MID(TB_CECO[[#This Row],[CECO_T]],1,5)</f>
        <v>3ED04</v>
      </c>
      <c r="B5740" s="1" t="str">
        <f>MID(TB_CECO[[#This Row],[TRABAJO]],1,SEARCH(",",TB_CECO[[#This Row],[TRABAJO]],1)-1)</f>
        <v>Inc 870 SW (Snv 030 SW)</v>
      </c>
      <c r="C574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SW),LIMPIEZA</v>
      </c>
      <c r="D574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4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40" s="87" t="s">
        <v>6536</v>
      </c>
      <c r="G5740" s="87" t="s">
        <v>6537</v>
      </c>
      <c r="H57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41" spans="1:8" ht="15" customHeight="1" x14ac:dyDescent="0.25">
      <c r="A5741" s="1" t="str">
        <f>MID(TB_CECO[[#This Row],[CECO_T]],1,5)</f>
        <v>3ED04</v>
      </c>
      <c r="B5741" s="1" t="str">
        <f>MID(TB_CECO[[#This Row],[TRABAJO]],1,SEARCH(",",TB_CECO[[#This Row],[TRABAJO]],1)-1)</f>
        <v>Inc 870 SW (Snv 030 SW)</v>
      </c>
      <c r="C574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SW),SERVICIO</v>
      </c>
      <c r="D574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4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41" s="87" t="s">
        <v>6538</v>
      </c>
      <c r="G5741" s="87" t="s">
        <v>6539</v>
      </c>
      <c r="H57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42" spans="1:8" ht="15" customHeight="1" x14ac:dyDescent="0.25">
      <c r="A5742" s="1" t="str">
        <f>MID(TB_CECO[[#This Row],[CECO_T]],1,5)</f>
        <v>3ED04</v>
      </c>
      <c r="B5742" s="1" t="str">
        <f>MID(TB_CECO[[#This Row],[TRABAJO]],1,SEARCH(",",TB_CECO[[#This Row],[TRABAJO]],1)-1)</f>
        <v>Inc 870 SW (Snv 030 SW)</v>
      </c>
      <c r="C574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SW),PERFORACION</v>
      </c>
      <c r="D574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4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42" s="87" t="s">
        <v>6540</v>
      </c>
      <c r="G5742" s="87" t="s">
        <v>6541</v>
      </c>
      <c r="H57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43" spans="1:8" ht="15" customHeight="1" x14ac:dyDescent="0.25">
      <c r="A5743" s="1" t="str">
        <f>MID(TB_CECO[[#This Row],[CECO_T]],1,5)</f>
        <v>3ED04</v>
      </c>
      <c r="B5743" s="1" t="str">
        <f>MID(TB_CECO[[#This Row],[TRABAJO]],1,SEARCH(",",TB_CECO[[#This Row],[TRABAJO]],1)-1)</f>
        <v>Inc 870 SW (Snv 030 SW)</v>
      </c>
      <c r="C574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SW),SOSTENIMIENTO</v>
      </c>
      <c r="D574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4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43" s="87" t="s">
        <v>6542</v>
      </c>
      <c r="G5743" s="87" t="s">
        <v>6543</v>
      </c>
      <c r="H57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44" spans="1:8" ht="15" customHeight="1" x14ac:dyDescent="0.25">
      <c r="A5744" s="1" t="str">
        <f>MID(TB_CECO[[#This Row],[CECO_T]],1,5)</f>
        <v>3ED04</v>
      </c>
      <c r="B5744" s="1" t="str">
        <f>MID(TB_CECO[[#This Row],[TRABAJO]],1,SEARCH(",",TB_CECO[[#This Row],[TRABAJO]],1)-1)</f>
        <v>Inc 870 SW (Snv 030 SW)</v>
      </c>
      <c r="C574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SW),VOLADURA</v>
      </c>
      <c r="D574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74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44" s="87" t="s">
        <v>6544</v>
      </c>
      <c r="G5744" s="87" t="s">
        <v>6545</v>
      </c>
      <c r="H57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45" spans="1:8" ht="15" customHeight="1" x14ac:dyDescent="0.25">
      <c r="A5745" s="1" t="str">
        <f>MID(TB_CECO[[#This Row],[CECO_T]],1,5)</f>
        <v>3D57F</v>
      </c>
      <c r="B5745" s="1" t="str">
        <f>MID(TB_CECO[[#This Row],[TRABAJO]],1,SEARCH(",",TB_CECO[[#This Row],[TRABAJO]],1)-1)</f>
        <v>Snv  865 SW (Est 945 SE)</v>
      </c>
      <c r="C574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945 SE),PERFORACION</v>
      </c>
      <c r="D574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4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45" s="71" t="s">
        <v>11088</v>
      </c>
      <c r="G5745" s="71" t="s">
        <v>11089</v>
      </c>
      <c r="H57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46" spans="1:8" ht="15" customHeight="1" x14ac:dyDescent="0.25">
      <c r="A5746" s="1" t="str">
        <f>MID(TB_CECO[[#This Row],[CECO_T]],1,5)</f>
        <v>3D57F</v>
      </c>
      <c r="B5746" s="1" t="str">
        <f>MID(TB_CECO[[#This Row],[TRABAJO]],1,SEARCH(",",TB_CECO[[#This Row],[TRABAJO]],1)-1)</f>
        <v>Snv  865 SW (Est 945 SE)</v>
      </c>
      <c r="C574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945 SE),VOLADURA</v>
      </c>
      <c r="D574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4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46" s="71" t="s">
        <v>11090</v>
      </c>
      <c r="G5746" s="71" t="s">
        <v>11091</v>
      </c>
      <c r="H57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47" spans="1:8" ht="15" customHeight="1" x14ac:dyDescent="0.25">
      <c r="A5747" s="1" t="str">
        <f>MID(TB_CECO[[#This Row],[CECO_T]],1,5)</f>
        <v>3D57F</v>
      </c>
      <c r="B5747" s="1" t="str">
        <f>MID(TB_CECO[[#This Row],[TRABAJO]],1,SEARCH(",",TB_CECO[[#This Row],[TRABAJO]],1)-1)</f>
        <v>Snv  865 SW (Est 945 SE)</v>
      </c>
      <c r="C574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945 SE),LIMPIEZA</v>
      </c>
      <c r="D574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4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47" s="71" t="s">
        <v>11092</v>
      </c>
      <c r="G5747" s="71" t="s">
        <v>11093</v>
      </c>
      <c r="H57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48" spans="1:8" ht="15" customHeight="1" x14ac:dyDescent="0.25">
      <c r="A5748" s="1" t="str">
        <f>MID(TB_CECO[[#This Row],[CECO_T]],1,5)</f>
        <v>3D57F</v>
      </c>
      <c r="B5748" s="1" t="str">
        <f>MID(TB_CECO[[#This Row],[TRABAJO]],1,SEARCH(",",TB_CECO[[#This Row],[TRABAJO]],1)-1)</f>
        <v>Snv  865 SW (Est 945 SE)</v>
      </c>
      <c r="C574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945 SE),SOSTENIMIENTO</v>
      </c>
      <c r="D574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4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48" s="71" t="s">
        <v>11094</v>
      </c>
      <c r="G5748" s="71" t="s">
        <v>11095</v>
      </c>
      <c r="H57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49" spans="1:8" ht="15" customHeight="1" x14ac:dyDescent="0.25">
      <c r="A5749" s="1" t="str">
        <f>MID(TB_CECO[[#This Row],[CECO_T]],1,5)</f>
        <v>3D57F</v>
      </c>
      <c r="B5749" s="1" t="str">
        <f>MID(TB_CECO[[#This Row],[TRABAJO]],1,SEARCH(",",TB_CECO[[#This Row],[TRABAJO]],1)-1)</f>
        <v>Snv  865 SW (Est 945 SE)</v>
      </c>
      <c r="C574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945 SE),SERVICIO</v>
      </c>
      <c r="D574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4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49" s="71" t="s">
        <v>11096</v>
      </c>
      <c r="G5749" s="71" t="s">
        <v>11097</v>
      </c>
      <c r="H57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50" spans="1:8" ht="15" customHeight="1" x14ac:dyDescent="0.25">
      <c r="A5750" s="1" t="str">
        <f>MID(TB_CECO[[#This Row],[CECO_T]],1,5)</f>
        <v>1D57G</v>
      </c>
      <c r="B5750" s="1" t="str">
        <f>MID(TB_CECO[[#This Row],[TRABAJO]],1,SEARCH(",",TB_CECO[[#This Row],[TRABAJO]],1)-1)</f>
        <v>Snv  865 SW (Est 966 S)</v>
      </c>
      <c r="C575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966 S),PERFORACION</v>
      </c>
      <c r="D575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5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50" s="71" t="s">
        <v>11118</v>
      </c>
      <c r="G5750" s="71" t="s">
        <v>11119</v>
      </c>
      <c r="H57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51" spans="1:8" ht="15" customHeight="1" x14ac:dyDescent="0.25">
      <c r="A5751" s="1" t="str">
        <f>MID(TB_CECO[[#This Row],[CECO_T]],1,5)</f>
        <v>1D57G</v>
      </c>
      <c r="B5751" s="1" t="str">
        <f>MID(TB_CECO[[#This Row],[TRABAJO]],1,SEARCH(",",TB_CECO[[#This Row],[TRABAJO]],1)-1)</f>
        <v>Snv  865 SW (Est 966 S)</v>
      </c>
      <c r="C575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966 S),VOLADURA</v>
      </c>
      <c r="D575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5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51" s="71" t="s">
        <v>11120</v>
      </c>
      <c r="G5751" s="71" t="s">
        <v>11121</v>
      </c>
      <c r="H57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52" spans="1:8" ht="15" customHeight="1" x14ac:dyDescent="0.25">
      <c r="A5752" s="1" t="str">
        <f>MID(TB_CECO[[#This Row],[CECO_T]],1,5)</f>
        <v>1D57G</v>
      </c>
      <c r="B5752" s="1" t="str">
        <f>MID(TB_CECO[[#This Row],[TRABAJO]],1,SEARCH(",",TB_CECO[[#This Row],[TRABAJO]],1)-1)</f>
        <v>Snv  865 SW (Est 966 S)</v>
      </c>
      <c r="C575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966 S),LIMPIEZA</v>
      </c>
      <c r="D575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5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52" s="71" t="s">
        <v>11122</v>
      </c>
      <c r="G5752" s="71" t="s">
        <v>11123</v>
      </c>
      <c r="H57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53" spans="1:8" ht="15" customHeight="1" x14ac:dyDescent="0.25">
      <c r="A5753" s="1" t="str">
        <f>MID(TB_CECO[[#This Row],[CECO_T]],1,5)</f>
        <v>1D57G</v>
      </c>
      <c r="B5753" s="1" t="str">
        <f>MID(TB_CECO[[#This Row],[TRABAJO]],1,SEARCH(",",TB_CECO[[#This Row],[TRABAJO]],1)-1)</f>
        <v>Snv  865 SW (Est 966 S)</v>
      </c>
      <c r="C575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966 S),SOSTENIMIENTO</v>
      </c>
      <c r="D575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5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53" s="71" t="s">
        <v>11124</v>
      </c>
      <c r="G5753" s="71" t="s">
        <v>11125</v>
      </c>
      <c r="H57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54" spans="1:8" ht="15" customHeight="1" x14ac:dyDescent="0.25">
      <c r="A5754" s="1" t="str">
        <f>MID(TB_CECO[[#This Row],[CECO_T]],1,5)</f>
        <v>1D57G</v>
      </c>
      <c r="B5754" s="1" t="str">
        <f>MID(TB_CECO[[#This Row],[TRABAJO]],1,SEARCH(",",TB_CECO[[#This Row],[TRABAJO]],1)-1)</f>
        <v>Snv  865 SW (Est 966 S)</v>
      </c>
      <c r="C575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966 S),SERVICIO</v>
      </c>
      <c r="D575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5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54" s="71" t="s">
        <v>11126</v>
      </c>
      <c r="G5754" s="71" t="s">
        <v>11127</v>
      </c>
      <c r="H57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55" spans="1:8" ht="15" customHeight="1" x14ac:dyDescent="0.25">
      <c r="A5755" s="1" t="str">
        <f>MID(TB_CECO[[#This Row],[CECO_T]],1,5)</f>
        <v>1D57H</v>
      </c>
      <c r="B5755" s="1" t="str">
        <f>MID(TB_CECO[[#This Row],[TRABAJO]],1,SEARCH(",",TB_CECO[[#This Row],[TRABAJO]],1)-1)</f>
        <v>Snv  865 NE (Est 966 S)</v>
      </c>
      <c r="C575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NE (Est 966 S),PERFORACION</v>
      </c>
      <c r="D575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5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55" s="71" t="s">
        <v>11128</v>
      </c>
      <c r="G5755" s="71" t="s">
        <v>11129</v>
      </c>
      <c r="H57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56" spans="1:8" ht="15" customHeight="1" x14ac:dyDescent="0.25">
      <c r="A5756" s="1" t="str">
        <f>MID(TB_CECO[[#This Row],[CECO_T]],1,5)</f>
        <v>1D57H</v>
      </c>
      <c r="B5756" s="1" t="str">
        <f>MID(TB_CECO[[#This Row],[TRABAJO]],1,SEARCH(",",TB_CECO[[#This Row],[TRABAJO]],1)-1)</f>
        <v>Snv  865 NE (Est 966 S)</v>
      </c>
      <c r="C575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NE (Est 966 S),VOLADURA</v>
      </c>
      <c r="D575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5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56" s="71" t="s">
        <v>11130</v>
      </c>
      <c r="G5756" s="71" t="s">
        <v>11131</v>
      </c>
      <c r="H57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57" spans="1:8" ht="15" customHeight="1" x14ac:dyDescent="0.25">
      <c r="A5757" s="1" t="str">
        <f>MID(TB_CECO[[#This Row],[CECO_T]],1,5)</f>
        <v>1D57H</v>
      </c>
      <c r="B5757" s="1" t="str">
        <f>MID(TB_CECO[[#This Row],[TRABAJO]],1,SEARCH(",",TB_CECO[[#This Row],[TRABAJO]],1)-1)</f>
        <v>Snv  865 NE (Est 966 S)</v>
      </c>
      <c r="C575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NE (Est 966 S),LIMPIEZA</v>
      </c>
      <c r="D575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5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57" s="71" t="s">
        <v>11132</v>
      </c>
      <c r="G5757" s="71" t="s">
        <v>11133</v>
      </c>
      <c r="H57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58" spans="1:8" ht="15" customHeight="1" x14ac:dyDescent="0.25">
      <c r="A5758" s="1" t="str">
        <f>MID(TB_CECO[[#This Row],[CECO_T]],1,5)</f>
        <v>1D57H</v>
      </c>
      <c r="B5758" s="1" t="str">
        <f>MID(TB_CECO[[#This Row],[TRABAJO]],1,SEARCH(",",TB_CECO[[#This Row],[TRABAJO]],1)-1)</f>
        <v>Snv  865 NE (Est 966 S)</v>
      </c>
      <c r="C575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NE (Est 966 S),SOSTENIMIENTO</v>
      </c>
      <c r="D575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5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58" s="71" t="s">
        <v>11134</v>
      </c>
      <c r="G5758" s="71" t="s">
        <v>11135</v>
      </c>
      <c r="H57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59" spans="1:8" ht="15" customHeight="1" x14ac:dyDescent="0.25">
      <c r="A5759" s="1" t="str">
        <f>MID(TB_CECO[[#This Row],[CECO_T]],1,5)</f>
        <v>2E402</v>
      </c>
      <c r="B5759" s="1" t="str">
        <f>MID(TB_CECO[[#This Row],[TRABAJO]],1,SEARCH(",",TB_CECO[[#This Row],[TRABAJO]],1)-1)</f>
        <v>PQ 075 (CX 074 SW)</v>
      </c>
      <c r="C575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074 SW),SUMINISTROS</v>
      </c>
      <c r="D575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75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59" s="90" t="s">
        <v>4051</v>
      </c>
      <c r="G5759" s="88" t="s">
        <v>4052</v>
      </c>
      <c r="H57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60" spans="1:8" ht="15" customHeight="1" x14ac:dyDescent="0.25">
      <c r="A5760" s="1" t="str">
        <f>MID(TB_CECO[[#This Row],[CECO_T]],1,5)</f>
        <v>2E402</v>
      </c>
      <c r="B5760" s="1" t="str">
        <f>MID(TB_CECO[[#This Row],[TRABAJO]],1,SEARCH(",",TB_CECO[[#This Row],[TRABAJO]],1)-1)</f>
        <v>PQ 075 (CX 074 SW)</v>
      </c>
      <c r="C576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074 SW),SOSTENIMIENTO</v>
      </c>
      <c r="D576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76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60" s="90" t="s">
        <v>4053</v>
      </c>
      <c r="G5760" s="88" t="s">
        <v>4054</v>
      </c>
      <c r="H57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61" spans="1:8" ht="15" customHeight="1" x14ac:dyDescent="0.25">
      <c r="A5761" s="1" t="str">
        <f>MID(TB_CECO[[#This Row],[CECO_T]],1,5)</f>
        <v>2E402</v>
      </c>
      <c r="B5761" s="1" t="str">
        <f>MID(TB_CECO[[#This Row],[TRABAJO]],1,SEARCH(",",TB_CECO[[#This Row],[TRABAJO]],1)-1)</f>
        <v>PQ 075 (CX 074 SW)</v>
      </c>
      <c r="C576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074 SW),SERVICIO</v>
      </c>
      <c r="D576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76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61" s="90" t="s">
        <v>4055</v>
      </c>
      <c r="G5761" s="88" t="s">
        <v>4056</v>
      </c>
      <c r="H57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62" spans="1:8" ht="15" customHeight="1" x14ac:dyDescent="0.25">
      <c r="A5762" s="1" t="str">
        <f>MID(TB_CECO[[#This Row],[CECO_T]],1,5)</f>
        <v>2E402</v>
      </c>
      <c r="B5762" s="1" t="str">
        <f>MID(TB_CECO[[#This Row],[TRABAJO]],1,SEARCH(",",TB_CECO[[#This Row],[TRABAJO]],1)-1)</f>
        <v>PQ 075 (CX 074 SW)</v>
      </c>
      <c r="C576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074 SW),REHABILITACION</v>
      </c>
      <c r="D576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76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62" s="90" t="s">
        <v>4057</v>
      </c>
      <c r="G5762" s="88" t="s">
        <v>4058</v>
      </c>
      <c r="H57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63" spans="1:8" ht="15" customHeight="1" x14ac:dyDescent="0.25">
      <c r="A5763" s="36" t="str">
        <f>MID(TB_CECO[[#This Row],[CECO_T]],1,5)</f>
        <v>2E402</v>
      </c>
      <c r="B5763" s="36" t="str">
        <f>MID(TB_CECO[[#This Row],[TRABAJO]],1,SEARCH(",",TB_CECO[[#This Row],[TRABAJO]],1)-1)</f>
        <v>PQ 075 (CX 074 SW)</v>
      </c>
      <c r="C5763" s="36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075 (CX 074 SW),TOLVA</v>
      </c>
      <c r="D5763" s="36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763" s="36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63" s="90" t="s">
        <v>4059</v>
      </c>
      <c r="G5763" s="89" t="s">
        <v>4060</v>
      </c>
      <c r="H5763" s="36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64" spans="1:8" ht="15" customHeight="1" x14ac:dyDescent="0.25">
      <c r="A5764" s="1" t="str">
        <f>MID(TB_CECO[[#This Row],[CECO_T]],1,5)</f>
        <v>1N32P</v>
      </c>
      <c r="B5764" s="1" t="str">
        <f>MID(TB_CECO[[#This Row],[TRABAJO]],1,SEARCH(",",TB_CECO[[#This Row],[TRABAJO]],1)-1)</f>
        <v>Ch 880 (Est 877 SE)</v>
      </c>
      <c r="C576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880 (Est 877 SE),PERFORACION</v>
      </c>
      <c r="D576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6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64" s="72" t="s">
        <v>11588</v>
      </c>
      <c r="G5764" t="s">
        <v>11708</v>
      </c>
      <c r="H57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65" spans="1:8" ht="15" customHeight="1" x14ac:dyDescent="0.25">
      <c r="A5765" s="1" t="str">
        <f>MID(TB_CECO[[#This Row],[CECO_T]],1,5)</f>
        <v>1N32P</v>
      </c>
      <c r="B5765" s="1" t="str">
        <f>MID(TB_CECO[[#This Row],[TRABAJO]],1,SEARCH(",",TB_CECO[[#This Row],[TRABAJO]],1)-1)</f>
        <v>Ch 880 (Est 877 SE)</v>
      </c>
      <c r="C576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880 (Est 877 SE),VOLADURA</v>
      </c>
      <c r="D576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6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65" s="72" t="s">
        <v>11589</v>
      </c>
      <c r="G5765" t="s">
        <v>11709</v>
      </c>
      <c r="H57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66" spans="1:8" ht="15" customHeight="1" x14ac:dyDescent="0.25">
      <c r="A5766" s="1" t="str">
        <f>MID(TB_CECO[[#This Row],[CECO_T]],1,5)</f>
        <v>1N32P</v>
      </c>
      <c r="B5766" s="1" t="str">
        <f>MID(TB_CECO[[#This Row],[TRABAJO]],1,SEARCH(",",TB_CECO[[#This Row],[TRABAJO]],1)-1)</f>
        <v>Ch 880 (Est 877 SE)</v>
      </c>
      <c r="C576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880 (Est 877 SE),LIMPIEZA</v>
      </c>
      <c r="D576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6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66" s="72" t="s">
        <v>11590</v>
      </c>
      <c r="G5766" t="s">
        <v>11710</v>
      </c>
      <c r="H57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67" spans="1:8" ht="15" customHeight="1" x14ac:dyDescent="0.25">
      <c r="A5767" s="1" t="str">
        <f>MID(TB_CECO[[#This Row],[CECO_T]],1,5)</f>
        <v>1N32P</v>
      </c>
      <c r="B5767" s="1" t="str">
        <f>MID(TB_CECO[[#This Row],[TRABAJO]],1,SEARCH(",",TB_CECO[[#This Row],[TRABAJO]],1)-1)</f>
        <v>Ch 880 (Est 877 SE)</v>
      </c>
      <c r="C576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880 (Est 877 SE),SOSTENIMIENTO</v>
      </c>
      <c r="D576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6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67" s="72" t="s">
        <v>11591</v>
      </c>
      <c r="G5767" t="s">
        <v>11711</v>
      </c>
      <c r="H57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68" spans="1:8" ht="15" customHeight="1" x14ac:dyDescent="0.25">
      <c r="A5768" s="1" t="str">
        <f>MID(TB_CECO[[#This Row],[CECO_T]],1,5)</f>
        <v>1N32P</v>
      </c>
      <c r="B5768" s="1" t="str">
        <f>MID(TB_CECO[[#This Row],[TRABAJO]],1,SEARCH(",",TB_CECO[[#This Row],[TRABAJO]],1)-1)</f>
        <v>Ch 880 (Est 877 SE)</v>
      </c>
      <c r="C576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880 (Est 877 SE),SERVICIO</v>
      </c>
      <c r="D576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6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68" s="72" t="s">
        <v>11592</v>
      </c>
      <c r="G5768" t="s">
        <v>11712</v>
      </c>
      <c r="H57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69" spans="1:8" ht="15" customHeight="1" x14ac:dyDescent="0.25">
      <c r="A5769" s="1" t="str">
        <f>MID(TB_CECO[[#This Row],[CECO_T]],1,5)</f>
        <v>2D410</v>
      </c>
      <c r="B5769" s="1" t="str">
        <f>MID(TB_CECO[[#This Row],[TRABAJO]],1,SEARCH(",",TB_CECO[[#This Row],[TRABAJO]],1)-1)</f>
        <v>Pq 122 (Snv 102 SW)</v>
      </c>
      <c r="C576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122 (Snv 102 SW),SUMINISTROS</v>
      </c>
      <c r="D576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6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69" s="72" t="s">
        <v>3851</v>
      </c>
      <c r="G5769" t="s">
        <v>3852</v>
      </c>
      <c r="H57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70" spans="1:8" ht="15" customHeight="1" x14ac:dyDescent="0.25">
      <c r="A5770" s="1" t="str">
        <f>MID(TB_CECO[[#This Row],[CECO_T]],1,5)</f>
        <v>2D410</v>
      </c>
      <c r="B5770" s="1" t="str">
        <f>MID(TB_CECO[[#This Row],[TRABAJO]],1,SEARCH(",",TB_CECO[[#This Row],[TRABAJO]],1)-1)</f>
        <v>Pq 122 (Snv 102 SW)</v>
      </c>
      <c r="C577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122 (Snv 102 SW),SOSTENIMIENTO</v>
      </c>
      <c r="D577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7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70" s="72" t="s">
        <v>3853</v>
      </c>
      <c r="G5770" t="s">
        <v>3854</v>
      </c>
      <c r="H57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71" spans="1:8" ht="15" customHeight="1" x14ac:dyDescent="0.25">
      <c r="A5771" s="1" t="str">
        <f>MID(TB_CECO[[#This Row],[CECO_T]],1,5)</f>
        <v>2D410</v>
      </c>
      <c r="B5771" s="1" t="str">
        <f>MID(TB_CECO[[#This Row],[TRABAJO]],1,SEARCH(",",TB_CECO[[#This Row],[TRABAJO]],1)-1)</f>
        <v>Pq 122 (Snv 102 SW)</v>
      </c>
      <c r="C577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122 (Snv 102 SW),SERVICIO</v>
      </c>
      <c r="D577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7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71" s="72" t="s">
        <v>3855</v>
      </c>
      <c r="G5771" t="s">
        <v>3856</v>
      </c>
      <c r="H57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72" spans="1:8" ht="15" customHeight="1" x14ac:dyDescent="0.25">
      <c r="A5772" s="1" t="str">
        <f>MID(TB_CECO[[#This Row],[CECO_T]],1,5)</f>
        <v>2D410</v>
      </c>
      <c r="B5772" s="1" t="str">
        <f>MID(TB_CECO[[#This Row],[TRABAJO]],1,SEARCH(",",TB_CECO[[#This Row],[TRABAJO]],1)-1)</f>
        <v>Pq 122 (Snv 102 SW)</v>
      </c>
      <c r="C577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122 (Snv 102 SW),REHABILITACION</v>
      </c>
      <c r="D577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7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72" s="72" t="s">
        <v>3857</v>
      </c>
      <c r="G5772" t="s">
        <v>3858</v>
      </c>
      <c r="H57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73" spans="1:8" ht="15" customHeight="1" x14ac:dyDescent="0.25">
      <c r="A5773" s="1" t="str">
        <f>MID(TB_CECO[[#This Row],[CECO_T]],1,5)</f>
        <v>2N62A</v>
      </c>
      <c r="B5773" s="1" t="str">
        <f>MID(TB_CECO[[#This Row],[TRABAJO]],1,SEARCH(",",TB_CECO[[#This Row],[TRABAJO]],1)-1)</f>
        <v>Est 878 NE (Est 877 NW)</v>
      </c>
      <c r="C577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878 NE (Est 877 NW),PERFORACION</v>
      </c>
      <c r="D577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7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73" s="72" t="s">
        <v>11713</v>
      </c>
      <c r="G5773" t="s">
        <v>11723</v>
      </c>
      <c r="H57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74" spans="1:8" ht="15" customHeight="1" x14ac:dyDescent="0.25">
      <c r="A5774" s="1" t="str">
        <f>MID(TB_CECO[[#This Row],[CECO_T]],1,5)</f>
        <v>2N62A</v>
      </c>
      <c r="B5774" s="1" t="str">
        <f>MID(TB_CECO[[#This Row],[TRABAJO]],1,SEARCH(",",TB_CECO[[#This Row],[TRABAJO]],1)-1)</f>
        <v>Est 878 NE (Est 877 NW)</v>
      </c>
      <c r="C577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878 NE (Est 877 NW),VOLADURA</v>
      </c>
      <c r="D577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7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74" s="72" t="s">
        <v>11714</v>
      </c>
      <c r="G5774" t="s">
        <v>11724</v>
      </c>
      <c r="H57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75" spans="1:8" ht="15" customHeight="1" x14ac:dyDescent="0.25">
      <c r="A5775" s="1" t="str">
        <f>MID(TB_CECO[[#This Row],[CECO_T]],1,5)</f>
        <v>2N62A</v>
      </c>
      <c r="B5775" s="1" t="str">
        <f>MID(TB_CECO[[#This Row],[TRABAJO]],1,SEARCH(",",TB_CECO[[#This Row],[TRABAJO]],1)-1)</f>
        <v>Est 878 NE (Est 877 NW)</v>
      </c>
      <c r="C577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878 NE (Est 877 NW),LIMPIEZA</v>
      </c>
      <c r="D577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7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75" s="72" t="s">
        <v>11715</v>
      </c>
      <c r="G5775" t="s">
        <v>11725</v>
      </c>
      <c r="H57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76" spans="1:8" ht="15" customHeight="1" x14ac:dyDescent="0.25">
      <c r="A5776" s="1" t="str">
        <f>MID(TB_CECO[[#This Row],[CECO_T]],1,5)</f>
        <v>2N62A</v>
      </c>
      <c r="B5776" s="1" t="str">
        <f>MID(TB_CECO[[#This Row],[TRABAJO]],1,SEARCH(",",TB_CECO[[#This Row],[TRABAJO]],1)-1)</f>
        <v>Est 878 NE (Est 877 NW)</v>
      </c>
      <c r="C577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878 NE (Est 877 NW),SOSTENIMIENTO</v>
      </c>
      <c r="D577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7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76" s="72" t="s">
        <v>11716</v>
      </c>
      <c r="G5776" t="s">
        <v>11726</v>
      </c>
      <c r="H57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77" spans="1:8" ht="15" customHeight="1" x14ac:dyDescent="0.25">
      <c r="A5777" s="1" t="str">
        <f>MID(TB_CECO[[#This Row],[CECO_T]],1,5)</f>
        <v>2N62A</v>
      </c>
      <c r="B5777" s="1" t="str">
        <f>MID(TB_CECO[[#This Row],[TRABAJO]],1,SEARCH(",",TB_CECO[[#This Row],[TRABAJO]],1)-1)</f>
        <v>Est 878 NE (Est 877 NW)</v>
      </c>
      <c r="C577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878 NE (Est 877 NW),SERVICIO</v>
      </c>
      <c r="D577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7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77" s="72" t="s">
        <v>11717</v>
      </c>
      <c r="G5777" t="s">
        <v>11727</v>
      </c>
      <c r="H57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78" spans="1:8" ht="15" customHeight="1" x14ac:dyDescent="0.25">
      <c r="A5778" s="1" t="str">
        <f>MID(TB_CECO[[#This Row],[CECO_T]],1,5)</f>
        <v>2NP07</v>
      </c>
      <c r="B5778" s="1" t="str">
        <f>MID(TB_CECO[[#This Row],[TRABAJO]],1,SEARCH(",",TB_CECO[[#This Row],[TRABAJO]],1)-1)</f>
        <v>Pz 878 (Est 878 NE)</v>
      </c>
      <c r="C577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878 (Est 878 NE),PERFORACION</v>
      </c>
      <c r="D577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7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78" s="72" t="s">
        <v>11718</v>
      </c>
      <c r="G5778" t="s">
        <v>11728</v>
      </c>
      <c r="H57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79" spans="1:8" ht="15" customHeight="1" x14ac:dyDescent="0.25">
      <c r="A5779" s="1" t="str">
        <f>MID(TB_CECO[[#This Row],[CECO_T]],1,5)</f>
        <v>2NP07</v>
      </c>
      <c r="B5779" s="1" t="str">
        <f>MID(TB_CECO[[#This Row],[TRABAJO]],1,SEARCH(",",TB_CECO[[#This Row],[TRABAJO]],1)-1)</f>
        <v>Pz 878 (Est 878 NE)</v>
      </c>
      <c r="C577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878 (Est 878 NE),VOLADURA</v>
      </c>
      <c r="D577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7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79" s="72" t="s">
        <v>11719</v>
      </c>
      <c r="G5779" t="s">
        <v>11729</v>
      </c>
      <c r="H57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80" spans="1:8" ht="15" customHeight="1" x14ac:dyDescent="0.25">
      <c r="A5780" s="1" t="str">
        <f>MID(TB_CECO[[#This Row],[CECO_T]],1,5)</f>
        <v>2NP07</v>
      </c>
      <c r="B5780" s="1" t="str">
        <f>MID(TB_CECO[[#This Row],[TRABAJO]],1,SEARCH(",",TB_CECO[[#This Row],[TRABAJO]],1)-1)</f>
        <v>Pz 878 (Est 878 NE)</v>
      </c>
      <c r="C578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878 (Est 878 NE),LIMPIEZA</v>
      </c>
      <c r="D578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8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80" s="72" t="s">
        <v>11720</v>
      </c>
      <c r="G5780" t="s">
        <v>11730</v>
      </c>
      <c r="H57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81" spans="1:8" ht="15" customHeight="1" x14ac:dyDescent="0.25">
      <c r="A5781" s="1" t="str">
        <f>MID(TB_CECO[[#This Row],[CECO_T]],1,5)</f>
        <v>2NP07</v>
      </c>
      <c r="B5781" s="1" t="str">
        <f>MID(TB_CECO[[#This Row],[TRABAJO]],1,SEARCH(",",TB_CECO[[#This Row],[TRABAJO]],1)-1)</f>
        <v>Pz 878 (Est 878 NE)</v>
      </c>
      <c r="C578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878 (Est 878 NE),SOSTENIMIENTO</v>
      </c>
      <c r="D578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8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81" s="72" t="s">
        <v>11721</v>
      </c>
      <c r="G5781" t="s">
        <v>11731</v>
      </c>
      <c r="H57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82" spans="1:8" ht="15" customHeight="1" x14ac:dyDescent="0.25">
      <c r="A5782" s="1" t="str">
        <f>MID(TB_CECO[[#This Row],[CECO_T]],1,5)</f>
        <v>2NP07</v>
      </c>
      <c r="B5782" s="1" t="str">
        <f>MID(TB_CECO[[#This Row],[TRABAJO]],1,SEARCH(",",TB_CECO[[#This Row],[TRABAJO]],1)-1)</f>
        <v>Pz 878 (Est 878 NE)</v>
      </c>
      <c r="C578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878 (Est 878 NE),SERVICIO</v>
      </c>
      <c r="D578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8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82" s="72" t="s">
        <v>11722</v>
      </c>
      <c r="G5782" t="s">
        <v>11732</v>
      </c>
      <c r="H57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83" spans="1:8" ht="15" customHeight="1" x14ac:dyDescent="0.25">
      <c r="A5783" s="1" t="str">
        <f>MID(TB_CECO[[#This Row],[CECO_T]],1,5)</f>
        <v>3D57F</v>
      </c>
      <c r="B5783" s="1" t="str">
        <f>MID(TB_CECO[[#This Row],[TRABAJO]],1,SEARCH(",",TB_CECO[[#This Row],[TRABAJO]],1)-1)</f>
        <v>Snv  865 SW (Est 945 SE)</v>
      </c>
      <c r="C578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 865 SW (Est 945 SE),VOLADURA</v>
      </c>
      <c r="D578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8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83" s="71" t="s">
        <v>11090</v>
      </c>
      <c r="G5783" s="71" t="s">
        <v>11091</v>
      </c>
      <c r="H57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84" spans="1:8" ht="15" customHeight="1" x14ac:dyDescent="0.25">
      <c r="A5784" s="1" t="str">
        <f>MID(TB_CECO[[#This Row],[CECO_T]],1,5)</f>
        <v>3D57F</v>
      </c>
      <c r="B5784" s="1" t="str">
        <f>MID(TB_CECO[[#This Row],[TRABAJO]],1,SEARCH(",",TB_CECO[[#This Row],[TRABAJO]],1)-1)</f>
        <v>Snv 865 SW (Est 945 SE)</v>
      </c>
      <c r="C578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865 SW (Est 945 SE),LIMPIEZA</v>
      </c>
      <c r="D578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8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84" s="71" t="s">
        <v>11092</v>
      </c>
      <c r="G5784" s="71" t="s">
        <v>11740</v>
      </c>
      <c r="H57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85" spans="1:8" ht="15" customHeight="1" x14ac:dyDescent="0.25">
      <c r="A5785" s="1" t="str">
        <f>MID(TB_CECO[[#This Row],[CECO_T]],1,5)</f>
        <v>3D57F</v>
      </c>
      <c r="B5785" s="1" t="str">
        <f>MID(TB_CECO[[#This Row],[TRABAJO]],1,SEARCH(",",TB_CECO[[#This Row],[TRABAJO]],1)-1)</f>
        <v>Snv 865 SW (Est 945 SE)</v>
      </c>
      <c r="C578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865 SW (Est 945 SE),SOSTENIMIENTO</v>
      </c>
      <c r="D578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8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85" s="71" t="s">
        <v>11094</v>
      </c>
      <c r="G5785" s="71" t="s">
        <v>11739</v>
      </c>
      <c r="H57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86" spans="1:8" ht="15" customHeight="1" x14ac:dyDescent="0.25">
      <c r="A5786" s="1" t="str">
        <f>MID(TB_CECO[[#This Row],[CECO_T]],1,5)</f>
        <v>3D57F</v>
      </c>
      <c r="B5786" s="1" t="str">
        <f>MID(TB_CECO[[#This Row],[TRABAJO]],1,SEARCH(",",TB_CECO[[#This Row],[TRABAJO]],1)-1)</f>
        <v>Snv 865 SW (Est 945 SE)</v>
      </c>
      <c r="C578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865 SW (Est 945 SE),SERVICIO</v>
      </c>
      <c r="D578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8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786" s="71" t="s">
        <v>11096</v>
      </c>
      <c r="G5786" s="71" t="s">
        <v>11738</v>
      </c>
      <c r="H57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87" spans="1:8" ht="15" customHeight="1" x14ac:dyDescent="0.25">
      <c r="A5787" s="1" t="str">
        <f>MID(TB_CECO[[#This Row],[CECO_T]],1,5)</f>
        <v>1D57G</v>
      </c>
      <c r="B5787" s="1" t="str">
        <f>MID(TB_CECO[[#This Row],[TRABAJO]],1,SEARCH(",",TB_CECO[[#This Row],[TRABAJO]],1)-1)</f>
        <v>Snv 865 SW (Est 966 S)</v>
      </c>
      <c r="C578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865 SW (Est 966 S),PERFORACION</v>
      </c>
      <c r="D578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8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87" s="71" t="s">
        <v>11118</v>
      </c>
      <c r="G5787" s="71" t="s">
        <v>11737</v>
      </c>
      <c r="H57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88" spans="1:8" ht="15" customHeight="1" x14ac:dyDescent="0.25">
      <c r="A5788" s="1" t="str">
        <f>MID(TB_CECO[[#This Row],[CECO_T]],1,5)</f>
        <v>1D57G</v>
      </c>
      <c r="B5788" s="1" t="str">
        <f>MID(TB_CECO[[#This Row],[TRABAJO]],1,SEARCH(",",TB_CECO[[#This Row],[TRABAJO]],1)-1)</f>
        <v>Snv 865 SW (Est 966 S)</v>
      </c>
      <c r="C578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865 SW (Est 966 S),VOLADURA</v>
      </c>
      <c r="D578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8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88" s="71" t="s">
        <v>11120</v>
      </c>
      <c r="G5788" s="71" t="s">
        <v>11736</v>
      </c>
      <c r="H57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89" spans="1:8" ht="15" customHeight="1" x14ac:dyDescent="0.25">
      <c r="A5789" s="1" t="str">
        <f>MID(TB_CECO[[#This Row],[CECO_T]],1,5)</f>
        <v>1D57G</v>
      </c>
      <c r="B5789" s="1" t="str">
        <f>MID(TB_CECO[[#This Row],[TRABAJO]],1,SEARCH(",",TB_CECO[[#This Row],[TRABAJO]],1)-1)</f>
        <v>Snv 865 SW (Est 966 S)</v>
      </c>
      <c r="C578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865 SW (Est 966 S),LIMPIEZA</v>
      </c>
      <c r="D578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8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89" s="71" t="s">
        <v>11122</v>
      </c>
      <c r="G5789" s="71" t="s">
        <v>11735</v>
      </c>
      <c r="H57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90" spans="1:8" ht="15" customHeight="1" x14ac:dyDescent="0.25">
      <c r="A5790" s="1" t="str">
        <f>MID(TB_CECO[[#This Row],[CECO_T]],1,5)</f>
        <v>1D57G</v>
      </c>
      <c r="B5790" s="1" t="str">
        <f>MID(TB_CECO[[#This Row],[TRABAJO]],1,SEARCH(",",TB_CECO[[#This Row],[TRABAJO]],1)-1)</f>
        <v>Snv 865 SW (Est 966 S)</v>
      </c>
      <c r="C579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865 SW (Est 966 S),SOSTENIMIENTO</v>
      </c>
      <c r="D579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9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90" s="71" t="s">
        <v>11124</v>
      </c>
      <c r="G5790" s="71" t="s">
        <v>11734</v>
      </c>
      <c r="H57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91" spans="1:8" ht="15" customHeight="1" x14ac:dyDescent="0.25">
      <c r="A5791" s="1" t="str">
        <f>MID(TB_CECO[[#This Row],[CECO_T]],1,5)</f>
        <v>1D57G</v>
      </c>
      <c r="B5791" s="1" t="str">
        <f>MID(TB_CECO[[#This Row],[TRABAJO]],1,SEARCH(",",TB_CECO[[#This Row],[TRABAJO]],1)-1)</f>
        <v>Snv 865 SW (Est 966 S)</v>
      </c>
      <c r="C579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865 SW (Est 966 S),SERVICIO</v>
      </c>
      <c r="D579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79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791" s="71" t="s">
        <v>11126</v>
      </c>
      <c r="G5791" s="71" t="s">
        <v>11733</v>
      </c>
      <c r="H57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92" spans="1:8" ht="15" customHeight="1" x14ac:dyDescent="0.25">
      <c r="A5792" s="1" t="str">
        <f>MID(TB_CECO[[#This Row],[CECO_T]],1,5)</f>
        <v>5E769</v>
      </c>
      <c r="B5792" s="1" t="str">
        <f>MID(TB_CECO[[#This Row],[TRABAJO]],1,SEARCH(",",TB_CECO[[#This Row],[TRABAJO]],1)-1)</f>
        <v>Tj 097 NE (Ch 091)</v>
      </c>
      <c r="C579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097 NE (Ch 091),SUMINISTROS</v>
      </c>
      <c r="D579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79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92" s="72" t="s">
        <v>9068</v>
      </c>
      <c r="G5792" t="s">
        <v>9069</v>
      </c>
      <c r="H57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93" spans="1:8" ht="15" customHeight="1" x14ac:dyDescent="0.25">
      <c r="A5793" s="1" t="str">
        <f>MID(TB_CECO[[#This Row],[CECO_T]],1,5)</f>
        <v>5E769</v>
      </c>
      <c r="B5793" s="1" t="str">
        <f>MID(TB_CECO[[#This Row],[TRABAJO]],1,SEARCH(",",TB_CECO[[#This Row],[TRABAJO]],1)-1)</f>
        <v>Tj 097 NE (Ch 091)</v>
      </c>
      <c r="C579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097 NE (Ch 091),SOSTENIMIENTO</v>
      </c>
      <c r="D579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79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93" s="72" t="s">
        <v>9070</v>
      </c>
      <c r="G5793" t="s">
        <v>9071</v>
      </c>
      <c r="H57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94" spans="1:8" ht="15" customHeight="1" x14ac:dyDescent="0.25">
      <c r="A5794" s="1" t="str">
        <f>MID(TB_CECO[[#This Row],[CECO_T]],1,5)</f>
        <v>5E769</v>
      </c>
      <c r="B5794" s="1" t="str">
        <f>MID(TB_CECO[[#This Row],[TRABAJO]],1,SEARCH(",",TB_CECO[[#This Row],[TRABAJO]],1)-1)</f>
        <v>Tj 097 NE (Ch 091)</v>
      </c>
      <c r="C579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097 NE (Ch 091),SERVICIO</v>
      </c>
      <c r="D579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79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94" s="72" t="s">
        <v>9072</v>
      </c>
      <c r="G5794" t="s">
        <v>9073</v>
      </c>
      <c r="H57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95" spans="1:8" ht="15" customHeight="1" x14ac:dyDescent="0.25">
      <c r="A5795" s="1" t="str">
        <f>MID(TB_CECO[[#This Row],[CECO_T]],1,5)</f>
        <v>5E769</v>
      </c>
      <c r="B5795" s="1" t="str">
        <f>MID(TB_CECO[[#This Row],[TRABAJO]],1,SEARCH(",",TB_CECO[[#This Row],[TRABAJO]],1)-1)</f>
        <v>Tj 097 NE (Ch 091)</v>
      </c>
      <c r="C579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097 NE (Ch 091),REHABILITACION</v>
      </c>
      <c r="D579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ANDREA</v>
      </c>
      <c r="E579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795" s="72" t="s">
        <v>9074</v>
      </c>
      <c r="G5795" t="s">
        <v>9075</v>
      </c>
      <c r="H57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796" spans="1:8" ht="15" customHeight="1" x14ac:dyDescent="0.25">
      <c r="A5796" s="1" t="str">
        <f>MID(TB_CECO[[#This Row],[CECO_T]],1,5)</f>
        <v>2NP07</v>
      </c>
      <c r="B5796" s="1" t="str">
        <f>MID(TB_CECO[[#This Row],[TRABAJO]],1,SEARCH(",",TB_CECO[[#This Row],[TRABAJO]],1)-1)</f>
        <v xml:space="preserve">Pz 878 (Est 878 NE) </v>
      </c>
      <c r="C579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878 (Est 878 NE) ,PERFORACION</v>
      </c>
      <c r="D579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9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96" s="91" t="s">
        <v>11718</v>
      </c>
      <c r="G5796" s="91" t="s">
        <v>11741</v>
      </c>
      <c r="H57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97" spans="1:8" ht="15" customHeight="1" x14ac:dyDescent="0.25">
      <c r="A5797" s="1" t="str">
        <f>MID(TB_CECO[[#This Row],[CECO_T]],1,5)</f>
        <v>2NP07</v>
      </c>
      <c r="B5797" s="1" t="str">
        <f>MID(TB_CECO[[#This Row],[TRABAJO]],1,SEARCH(",",TB_CECO[[#This Row],[TRABAJO]],1)-1)</f>
        <v xml:space="preserve">Pz 878 (Est 878 NE) </v>
      </c>
      <c r="C579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878 (Est 878 NE) ,VOLADURA</v>
      </c>
      <c r="D579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9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97" s="91" t="s">
        <v>11719</v>
      </c>
      <c r="G5797" s="91" t="s">
        <v>11742</v>
      </c>
      <c r="H57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98" spans="1:8" ht="15" customHeight="1" x14ac:dyDescent="0.25">
      <c r="A5798" s="1" t="str">
        <f>MID(TB_CECO[[#This Row],[CECO_T]],1,5)</f>
        <v>2NP07</v>
      </c>
      <c r="B5798" s="1" t="str">
        <f>MID(TB_CECO[[#This Row],[TRABAJO]],1,SEARCH(",",TB_CECO[[#This Row],[TRABAJO]],1)-1)</f>
        <v xml:space="preserve">Pz 878 (Est 878 NE) </v>
      </c>
      <c r="C579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878 (Est 878 NE) ,LIMPIEZA</v>
      </c>
      <c r="D579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9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98" s="91" t="s">
        <v>11720</v>
      </c>
      <c r="G5798" s="91" t="s">
        <v>11743</v>
      </c>
      <c r="H57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799" spans="1:8" ht="15" customHeight="1" x14ac:dyDescent="0.25">
      <c r="A5799" s="1" t="str">
        <f>MID(TB_CECO[[#This Row],[CECO_T]],1,5)</f>
        <v>2NP07</v>
      </c>
      <c r="B5799" s="1" t="str">
        <f>MID(TB_CECO[[#This Row],[TRABAJO]],1,SEARCH(",",TB_CECO[[#This Row],[TRABAJO]],1)-1)</f>
        <v xml:space="preserve">Pz 878 (Est 878 NE) </v>
      </c>
      <c r="C579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878 (Est 878 NE) ,SOSTENIMIENTO</v>
      </c>
      <c r="D579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79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799" s="91" t="s">
        <v>11721</v>
      </c>
      <c r="G5799" s="91" t="s">
        <v>11744</v>
      </c>
      <c r="H57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00" spans="1:8" ht="15" customHeight="1" x14ac:dyDescent="0.25">
      <c r="A5800" s="1" t="str">
        <f>MID(TB_CECO[[#This Row],[CECO_T]],1,5)</f>
        <v>2NP07</v>
      </c>
      <c r="B5800" s="1" t="str">
        <f>MID(TB_CECO[[#This Row],[TRABAJO]],1,SEARCH(",",TB_CECO[[#This Row],[TRABAJO]],1)-1)</f>
        <v xml:space="preserve">Pz 878 (Est 878 NE) </v>
      </c>
      <c r="C580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878 (Est 878 NE) ,SERVICIO</v>
      </c>
      <c r="D580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0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800" s="91" t="s">
        <v>11722</v>
      </c>
      <c r="G5800" s="91" t="s">
        <v>11745</v>
      </c>
      <c r="H58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01" spans="1:8" ht="15" customHeight="1" x14ac:dyDescent="0.25">
      <c r="A5801" s="1" t="str">
        <f>MID(TB_CECO[[#This Row],[CECO_T]],1,5)</f>
        <v>5E71P</v>
      </c>
      <c r="B5801" s="1" t="str">
        <f>MID(TB_CECO[[#This Row],[TRABAJO]],1,SEARCH(",",TB_CECO[[#This Row],[TRABAJO]],1)-1)</f>
        <v>Tj 037 SW (Ch 091)</v>
      </c>
      <c r="C580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091),LIMPIEZA</v>
      </c>
      <c r="D580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0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01" s="71" t="s">
        <v>8692</v>
      </c>
      <c r="G5801" s="71" t="s">
        <v>8693</v>
      </c>
      <c r="H58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02" spans="1:8" ht="15" customHeight="1" x14ac:dyDescent="0.25">
      <c r="A5802" s="1" t="str">
        <f>MID(TB_CECO[[#This Row],[CECO_T]],1,5)</f>
        <v>5E71P</v>
      </c>
      <c r="B5802" s="1" t="str">
        <f>MID(TB_CECO[[#This Row],[TRABAJO]],1,SEARCH(",",TB_CECO[[#This Row],[TRABAJO]],1)-1)</f>
        <v>Tj 037 SW (Ch 091)</v>
      </c>
      <c r="C580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091),SERVICIO</v>
      </c>
      <c r="D580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0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02" s="71" t="s">
        <v>8694</v>
      </c>
      <c r="G5802" s="71" t="s">
        <v>8695</v>
      </c>
      <c r="H58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03" spans="1:8" ht="15" customHeight="1" x14ac:dyDescent="0.25">
      <c r="A5803" s="1" t="str">
        <f>MID(TB_CECO[[#This Row],[CECO_T]],1,5)</f>
        <v>5E71P</v>
      </c>
      <c r="B5803" s="1" t="str">
        <f>MID(TB_CECO[[#This Row],[TRABAJO]],1,SEARCH(",",TB_CECO[[#This Row],[TRABAJO]],1)-1)</f>
        <v>Tj 037 SW (Ch 091)</v>
      </c>
      <c r="C580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091),PERFORACION</v>
      </c>
      <c r="D580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0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03" s="71" t="s">
        <v>8696</v>
      </c>
      <c r="G5803" s="71" t="s">
        <v>8697</v>
      </c>
      <c r="H58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04" spans="1:8" ht="15" customHeight="1" x14ac:dyDescent="0.25">
      <c r="A5804" s="1" t="str">
        <f>MID(TB_CECO[[#This Row],[CECO_T]],1,5)</f>
        <v>5E71P</v>
      </c>
      <c r="B5804" s="1" t="str">
        <f>MID(TB_CECO[[#This Row],[TRABAJO]],1,SEARCH(",",TB_CECO[[#This Row],[TRABAJO]],1)-1)</f>
        <v>Tj 037 SW (Ch 091)</v>
      </c>
      <c r="C580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091),RELLENO</v>
      </c>
      <c r="D580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0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04" s="71" t="s">
        <v>8698</v>
      </c>
      <c r="G5804" s="71" t="s">
        <v>8699</v>
      </c>
      <c r="H58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05" spans="1:8" ht="15" customHeight="1" x14ac:dyDescent="0.25">
      <c r="A5805" s="1" t="str">
        <f>MID(TB_CECO[[#This Row],[CECO_T]],1,5)</f>
        <v>5E71P</v>
      </c>
      <c r="B5805" s="1" t="str">
        <f>MID(TB_CECO[[#This Row],[TRABAJO]],1,SEARCH(",",TB_CECO[[#This Row],[TRABAJO]],1)-1)</f>
        <v>Tj 037 SW (Ch 091)</v>
      </c>
      <c r="C580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091),SOSTENIMIENTO</v>
      </c>
      <c r="D580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0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05" s="71" t="s">
        <v>8700</v>
      </c>
      <c r="G5805" s="71" t="s">
        <v>8701</v>
      </c>
      <c r="H58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06" spans="1:8" ht="15" customHeight="1" x14ac:dyDescent="0.25">
      <c r="A5806" s="1" t="str">
        <f>MID(TB_CECO[[#This Row],[CECO_T]],1,5)</f>
        <v>5E71P</v>
      </c>
      <c r="B5806" s="1" t="str">
        <f>MID(TB_CECO[[#This Row],[TRABAJO]],1,SEARCH(",",TB_CECO[[#This Row],[TRABAJO]],1)-1)</f>
        <v>Tj 037 SW (Ch 091)</v>
      </c>
      <c r="C580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SW (Ch 091),VOLADURA</v>
      </c>
      <c r="D580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0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06" s="71" t="s">
        <v>8702</v>
      </c>
      <c r="G5806" s="71" t="s">
        <v>8703</v>
      </c>
      <c r="H58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07" spans="1:8" ht="15" customHeight="1" x14ac:dyDescent="0.25">
      <c r="A5807" s="1" t="str">
        <f>MID(TB_CECO[[#This Row],[CECO_T]],1,5)</f>
        <v>5E71Q</v>
      </c>
      <c r="B5807" s="1" t="str">
        <f>MID(TB_CECO[[#This Row],[TRABAJO]],1,SEARCH(",",TB_CECO[[#This Row],[TRABAJO]],1)-1)</f>
        <v>Tj 037 NE (Ch 091)</v>
      </c>
      <c r="C580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091),LIMPIEZA</v>
      </c>
      <c r="D580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0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07" s="71" t="s">
        <v>8704</v>
      </c>
      <c r="G5807" s="71" t="s">
        <v>8705</v>
      </c>
      <c r="H58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08" spans="1:8" ht="15" customHeight="1" x14ac:dyDescent="0.25">
      <c r="A5808" s="1" t="str">
        <f>MID(TB_CECO[[#This Row],[CECO_T]],1,5)</f>
        <v>5E71Q</v>
      </c>
      <c r="B5808" s="1" t="str">
        <f>MID(TB_CECO[[#This Row],[TRABAJO]],1,SEARCH(",",TB_CECO[[#This Row],[TRABAJO]],1)-1)</f>
        <v>Tj 037 NE (Ch 091)</v>
      </c>
      <c r="C580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091),SERVICIO</v>
      </c>
      <c r="D580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0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08" s="71" t="s">
        <v>8706</v>
      </c>
      <c r="G5808" s="71" t="s">
        <v>8707</v>
      </c>
      <c r="H58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09" spans="1:8" ht="15" customHeight="1" x14ac:dyDescent="0.25">
      <c r="A5809" s="1" t="str">
        <f>MID(TB_CECO[[#This Row],[CECO_T]],1,5)</f>
        <v>5E71Q</v>
      </c>
      <c r="B5809" s="1" t="str">
        <f>MID(TB_CECO[[#This Row],[TRABAJO]],1,SEARCH(",",TB_CECO[[#This Row],[TRABAJO]],1)-1)</f>
        <v>Tj 037 NE (Ch 091)</v>
      </c>
      <c r="C580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091),PERFORACION</v>
      </c>
      <c r="D580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0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09" s="71" t="s">
        <v>8708</v>
      </c>
      <c r="G5809" s="71" t="s">
        <v>8709</v>
      </c>
      <c r="H58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10" spans="1:8" ht="15" customHeight="1" x14ac:dyDescent="0.25">
      <c r="A5810" s="1" t="str">
        <f>MID(TB_CECO[[#This Row],[CECO_T]],1,5)</f>
        <v>5E71Q</v>
      </c>
      <c r="B5810" s="1" t="str">
        <f>MID(TB_CECO[[#This Row],[TRABAJO]],1,SEARCH(",",TB_CECO[[#This Row],[TRABAJO]],1)-1)</f>
        <v>Tj 037 NE (Ch 091)</v>
      </c>
      <c r="C581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091),RELLENO</v>
      </c>
      <c r="D581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1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10" s="71" t="s">
        <v>8710</v>
      </c>
      <c r="G5810" s="71" t="s">
        <v>8711</v>
      </c>
      <c r="H58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11" spans="1:8" ht="15" customHeight="1" x14ac:dyDescent="0.25">
      <c r="A5811" s="1" t="str">
        <f>MID(TB_CECO[[#This Row],[CECO_T]],1,5)</f>
        <v>5E71Q</v>
      </c>
      <c r="B5811" s="1" t="str">
        <f>MID(TB_CECO[[#This Row],[TRABAJO]],1,SEARCH(",",TB_CECO[[#This Row],[TRABAJO]],1)-1)</f>
        <v>Tj 037 NE (Ch 091)</v>
      </c>
      <c r="C581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091),SOSTENIMIENTO</v>
      </c>
      <c r="D581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1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11" s="71" t="s">
        <v>8712</v>
      </c>
      <c r="G5811" s="71" t="s">
        <v>8713</v>
      </c>
      <c r="H58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12" spans="1:8" ht="15" customHeight="1" x14ac:dyDescent="0.25">
      <c r="A5812" s="1" t="str">
        <f>MID(TB_CECO[[#This Row],[CECO_T]],1,5)</f>
        <v>5E71Q</v>
      </c>
      <c r="B5812" s="1" t="str">
        <f>MID(TB_CECO[[#This Row],[TRABAJO]],1,SEARCH(",",TB_CECO[[#This Row],[TRABAJO]],1)-1)</f>
        <v>Tj 037 NE (Ch 091)</v>
      </c>
      <c r="C581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037 NE (Ch 091),VOLADURA</v>
      </c>
      <c r="D581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1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12" s="71" t="s">
        <v>8714</v>
      </c>
      <c r="G5812" s="71" t="s">
        <v>8715</v>
      </c>
      <c r="H58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13" spans="1:8" ht="15" customHeight="1" x14ac:dyDescent="0.25">
      <c r="A5813" s="1" t="str">
        <f>MID(TB_CECO[[#This Row],[CECO_T]],1,5)</f>
        <v>3D58G</v>
      </c>
      <c r="B5813" s="1" t="str">
        <f>MID(TB_CECO[[#This Row],[TRABAJO]],1,SEARCH(",",TB_CECO[[#This Row],[TRABAJO]],1)-1)</f>
        <v>Snv 945 NE (Snv 865 SW)</v>
      </c>
      <c r="C581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945 NE (Snv 865 SW),PERFORACION</v>
      </c>
      <c r="D581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1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813" s="72" t="s">
        <v>11752</v>
      </c>
      <c r="G5813" t="s">
        <v>11747</v>
      </c>
      <c r="H58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14" spans="1:8" ht="15" customHeight="1" x14ac:dyDescent="0.25">
      <c r="A5814" s="1" t="str">
        <f>MID(TB_CECO[[#This Row],[CECO_T]],1,5)</f>
        <v>3D58G</v>
      </c>
      <c r="B5814" s="1" t="str">
        <f>MID(TB_CECO[[#This Row],[TRABAJO]],1,SEARCH(",",TB_CECO[[#This Row],[TRABAJO]],1)-1)</f>
        <v>Snv 945 NE (Snv 865 SW)</v>
      </c>
      <c r="C581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945 NE (Snv 865 SW),VOLADURA</v>
      </c>
      <c r="D581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1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814" s="72" t="s">
        <v>11753</v>
      </c>
      <c r="G5814" t="s">
        <v>11748</v>
      </c>
      <c r="H58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15" spans="1:8" ht="15" customHeight="1" x14ac:dyDescent="0.25">
      <c r="A5815" s="1" t="str">
        <f>MID(TB_CECO[[#This Row],[CECO_T]],1,5)</f>
        <v>3D58G</v>
      </c>
      <c r="B5815" s="1" t="str">
        <f>MID(TB_CECO[[#This Row],[TRABAJO]],1,SEARCH(",",TB_CECO[[#This Row],[TRABAJO]],1)-1)</f>
        <v>Snv 945 NE (Snv 865 SW)</v>
      </c>
      <c r="C581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945 NE (Snv 865 SW),LIMPIEZA</v>
      </c>
      <c r="D581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1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815" s="72" t="s">
        <v>11754</v>
      </c>
      <c r="G5815" t="s">
        <v>11749</v>
      </c>
      <c r="H58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16" spans="1:8" ht="15" customHeight="1" x14ac:dyDescent="0.25">
      <c r="A5816" s="1" t="str">
        <f>MID(TB_CECO[[#This Row],[CECO_T]],1,5)</f>
        <v>3D58G</v>
      </c>
      <c r="B5816" s="1" t="str">
        <f>MID(TB_CECO[[#This Row],[TRABAJO]],1,SEARCH(",",TB_CECO[[#This Row],[TRABAJO]],1)-1)</f>
        <v>Snv 945 NE (Snv 865 SW)</v>
      </c>
      <c r="C581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945 NE (Snv 865 SW),SOSTENIMIENTO</v>
      </c>
      <c r="D581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1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816" s="72" t="s">
        <v>11755</v>
      </c>
      <c r="G5816" t="s">
        <v>11750</v>
      </c>
      <c r="H58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17" spans="1:8" ht="15" customHeight="1" x14ac:dyDescent="0.25">
      <c r="A5817" s="1" t="str">
        <f>MID(TB_CECO[[#This Row],[CECO_T]],1,5)</f>
        <v>3D58G</v>
      </c>
      <c r="B5817" s="1" t="str">
        <f>MID(TB_CECO[[#This Row],[TRABAJO]],1,SEARCH(",",TB_CECO[[#This Row],[TRABAJO]],1)-1)</f>
        <v>Snv 945 NE (Snv 865 SW)</v>
      </c>
      <c r="C581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945 NE (Snv 865 SW),SERVICIO</v>
      </c>
      <c r="D581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1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817" s="72" t="s">
        <v>11756</v>
      </c>
      <c r="G5817" t="s">
        <v>11751</v>
      </c>
      <c r="H58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18" spans="1:8" ht="15" customHeight="1" x14ac:dyDescent="0.25">
      <c r="A5818" s="1" t="str">
        <f>MID(TB_CECO[[#This Row],[CECO_T]],1,5)</f>
        <v>5E73L</v>
      </c>
      <c r="B5818" s="1" t="str">
        <f>MID(TB_CECO[[#This Row],[TRABAJO]],1,SEARCH(",",TB_CECO[[#This Row],[TRABAJO]],1)-1)</f>
        <v xml:space="preserve">Tj  876 NE (Snv 876 NE) </v>
      </c>
      <c r="C581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,PERFORACION</v>
      </c>
      <c r="D581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1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18" s="71" t="s">
        <v>11696</v>
      </c>
      <c r="G5818" s="71" t="s">
        <v>11757</v>
      </c>
      <c r="H58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19" spans="1:8" ht="15" customHeight="1" x14ac:dyDescent="0.25">
      <c r="A5819" s="1" t="str">
        <f>MID(TB_CECO[[#This Row],[CECO_T]],1,5)</f>
        <v>5E73L</v>
      </c>
      <c r="B5819" s="1" t="str">
        <f>MID(TB_CECO[[#This Row],[TRABAJO]],1,SEARCH(",",TB_CECO[[#This Row],[TRABAJO]],1)-1)</f>
        <v xml:space="preserve">Tj  876 NE (Snv 876 NE) </v>
      </c>
      <c r="C581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,VOLADURA</v>
      </c>
      <c r="D581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1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19" s="71" t="s">
        <v>11697</v>
      </c>
      <c r="G5819" s="71" t="s">
        <v>11758</v>
      </c>
      <c r="H58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20" spans="1:8" ht="15" customHeight="1" x14ac:dyDescent="0.25">
      <c r="A5820" s="1" t="str">
        <f>MID(TB_CECO[[#This Row],[CECO_T]],1,5)</f>
        <v>5E73L</v>
      </c>
      <c r="B5820" s="1" t="str">
        <f>MID(TB_CECO[[#This Row],[TRABAJO]],1,SEARCH(",",TB_CECO[[#This Row],[TRABAJO]],1)-1)</f>
        <v xml:space="preserve">Tj  876 NE (Snv 876 NE) </v>
      </c>
      <c r="C582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,LIMPIEZA</v>
      </c>
      <c r="D582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2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20" s="71" t="s">
        <v>11698</v>
      </c>
      <c r="G5820" s="71" t="s">
        <v>11759</v>
      </c>
      <c r="H58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21" spans="1:8" ht="15" customHeight="1" x14ac:dyDescent="0.25">
      <c r="A5821" s="1" t="str">
        <f>MID(TB_CECO[[#This Row],[CECO_T]],1,5)</f>
        <v>5E73L</v>
      </c>
      <c r="B5821" s="1" t="str">
        <f>MID(TB_CECO[[#This Row],[TRABAJO]],1,SEARCH(",",TB_CECO[[#This Row],[TRABAJO]],1)-1)</f>
        <v xml:space="preserve">Tj  876 NE (Snv 876 NE) </v>
      </c>
      <c r="C582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,SOSTENIMIENTO</v>
      </c>
      <c r="D582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2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21" s="71" t="s">
        <v>11699</v>
      </c>
      <c r="G5821" s="71" t="s">
        <v>11760</v>
      </c>
      <c r="H58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22" spans="1:8" ht="15" customHeight="1" x14ac:dyDescent="0.25">
      <c r="A5822" s="1" t="str">
        <f>MID(TB_CECO[[#This Row],[CECO_T]],1,5)</f>
        <v>5E73L</v>
      </c>
      <c r="B5822" s="1" t="str">
        <f>MID(TB_CECO[[#This Row],[TRABAJO]],1,SEARCH(",",TB_CECO[[#This Row],[TRABAJO]],1)-1)</f>
        <v xml:space="preserve">Tj  876 NE (Snv 876 NE) </v>
      </c>
      <c r="C582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,SERVICIO</v>
      </c>
      <c r="D582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2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22" s="71" t="s">
        <v>11700</v>
      </c>
      <c r="G5822" s="71" t="s">
        <v>11761</v>
      </c>
      <c r="H58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23" spans="1:8" ht="15" customHeight="1" x14ac:dyDescent="0.25">
      <c r="A5823" s="1" t="str">
        <f>MID(TB_CECO[[#This Row],[CECO_T]],1,5)</f>
        <v>5E73L</v>
      </c>
      <c r="B5823" s="1" t="str">
        <f>MID(TB_CECO[[#This Row],[TRABAJO]],1,SEARCH(",",TB_CECO[[#This Row],[TRABAJO]],1)-1)</f>
        <v xml:space="preserve">Tj  876 NE (Snv 876 NE) </v>
      </c>
      <c r="C582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,RELLENO</v>
      </c>
      <c r="D582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2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23" s="95" t="s">
        <v>11701</v>
      </c>
      <c r="G5823" s="95" t="s">
        <v>11762</v>
      </c>
      <c r="H58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24" spans="1:8" ht="15" customHeight="1" x14ac:dyDescent="0.25">
      <c r="A5824" s="1" t="str">
        <f>MID(TB_CECO[[#This Row],[CECO_T]],1,5)</f>
        <v>5N73M</v>
      </c>
      <c r="B5824" s="1" t="str">
        <f>MID(TB_CECO[[#This Row],[TRABAJO]],1,SEARCH(",",TB_CECO[[#This Row],[TRABAJO]],1)-1)</f>
        <v>Tj 898 NE (Snv 898 NE)</v>
      </c>
      <c r="C582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898 NE (Snv 898 NE),PERFORACION</v>
      </c>
      <c r="D582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2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24" s="71" t="s">
        <v>11769</v>
      </c>
      <c r="G5824" s="71" t="s">
        <v>11763</v>
      </c>
      <c r="H58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25" spans="1:8" ht="15" customHeight="1" x14ac:dyDescent="0.25">
      <c r="A5825" s="1" t="str">
        <f>MID(TB_CECO[[#This Row],[CECO_T]],1,5)</f>
        <v>5N73M</v>
      </c>
      <c r="B5825" s="1" t="str">
        <f>MID(TB_CECO[[#This Row],[TRABAJO]],1,SEARCH(",",TB_CECO[[#This Row],[TRABAJO]],1)-1)</f>
        <v>Tj 898 NE (Snv 898 NE)</v>
      </c>
      <c r="C582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898 NE (Snv 898 NE),VOLADURA</v>
      </c>
      <c r="D582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2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25" s="71" t="s">
        <v>11770</v>
      </c>
      <c r="G5825" s="71" t="s">
        <v>11764</v>
      </c>
      <c r="H58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26" spans="1:8" ht="15" customHeight="1" x14ac:dyDescent="0.25">
      <c r="A5826" s="1" t="str">
        <f>MID(TB_CECO[[#This Row],[CECO_T]],1,5)</f>
        <v>5N73M</v>
      </c>
      <c r="B5826" s="1" t="str">
        <f>MID(TB_CECO[[#This Row],[TRABAJO]],1,SEARCH(",",TB_CECO[[#This Row],[TRABAJO]],1)-1)</f>
        <v>Tj 898 NE (Snv 898 NE)</v>
      </c>
      <c r="C582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898 NE (Snv 898 NE),LIMPIEZA</v>
      </c>
      <c r="D582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2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26" s="71" t="s">
        <v>11771</v>
      </c>
      <c r="G5826" s="71" t="s">
        <v>11765</v>
      </c>
      <c r="H58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27" spans="1:8" ht="15" customHeight="1" x14ac:dyDescent="0.25">
      <c r="A5827" s="1" t="str">
        <f>MID(TB_CECO[[#This Row],[CECO_T]],1,5)</f>
        <v>5N73M</v>
      </c>
      <c r="B5827" s="1" t="str">
        <f>MID(TB_CECO[[#This Row],[TRABAJO]],1,SEARCH(",",TB_CECO[[#This Row],[TRABAJO]],1)-1)</f>
        <v>Tj 898 NE (Snv 898 NE)</v>
      </c>
      <c r="C582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898 NE (Snv 898 NE),SOSTENIMIENTO</v>
      </c>
      <c r="D582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2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27" s="71" t="s">
        <v>11772</v>
      </c>
      <c r="G5827" s="71" t="s">
        <v>11766</v>
      </c>
      <c r="H58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28" spans="1:8" ht="15" customHeight="1" x14ac:dyDescent="0.25">
      <c r="A5828" s="1" t="str">
        <f>MID(TB_CECO[[#This Row],[CECO_T]],1,5)</f>
        <v>5N73M</v>
      </c>
      <c r="B5828" s="1" t="str">
        <f>MID(TB_CECO[[#This Row],[TRABAJO]],1,SEARCH(",",TB_CECO[[#This Row],[TRABAJO]],1)-1)</f>
        <v>Tj 898 NE (Snv 898 NE)</v>
      </c>
      <c r="C582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898 NE (Snv 898 NE),SERVICIO</v>
      </c>
      <c r="D582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2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28" s="71" t="s">
        <v>11773</v>
      </c>
      <c r="G5828" s="71" t="s">
        <v>11767</v>
      </c>
      <c r="H58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29" spans="1:8" ht="15" customHeight="1" x14ac:dyDescent="0.25">
      <c r="A5829" s="1" t="str">
        <f>MID(TB_CECO[[#This Row],[CECO_T]],1,5)</f>
        <v>5N73M</v>
      </c>
      <c r="B5829" s="1" t="str">
        <f>MID(TB_CECO[[#This Row],[TRABAJO]],1,SEARCH(",",TB_CECO[[#This Row],[TRABAJO]],1)-1)</f>
        <v>Tj 898 NE (Snv 898 NE)</v>
      </c>
      <c r="C582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898 NE (Snv 898 NE),RELLENO</v>
      </c>
      <c r="D582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2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29" s="71" t="s">
        <v>11774</v>
      </c>
      <c r="G5829" s="71" t="s">
        <v>11768</v>
      </c>
      <c r="H58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30" spans="1:8" ht="15" customHeight="1" x14ac:dyDescent="0.25">
      <c r="A5830" s="1" t="str">
        <f>MID(TB_CECO[[#This Row],[CECO_T]],1,5)</f>
        <v/>
      </c>
      <c r="B5830" s="1" t="str">
        <f>MID(TB_CECO[[#This Row],[TRABAJO]],1,SEARCH(",",TB_CECO[[#This Row],[TRABAJO]],1)-1)</f>
        <v>HERRERIA</v>
      </c>
      <c r="C583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HERRERIA,SERVICIOS</v>
      </c>
      <c r="D583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INCA</v>
      </c>
      <c r="E583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SERVICIOS</v>
      </c>
      <c r="F5830" s="72"/>
      <c r="G5830" s="71" t="s">
        <v>10722</v>
      </c>
      <c r="H58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SERVICIOS</v>
      </c>
    </row>
    <row r="5831" spans="1:8" ht="15" customHeight="1" x14ac:dyDescent="0.25">
      <c r="A5831" s="1" t="str">
        <f>MID(TB_CECO[[#This Row],[CECO_T]],1,5)</f>
        <v>1E62D</v>
      </c>
      <c r="B5831" s="1" t="str">
        <f>MID(TB_CECO[[#This Row],[TRABAJO]],1,SEARCH(",",TB_CECO[[#This Row],[TRABAJO]],1)-1)</f>
        <v>Est 874 NW (Snv 874 NE)</v>
      </c>
      <c r="C583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874 NW (Snv 874 NE),PERFORACION</v>
      </c>
      <c r="D583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3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31" s="71" t="s">
        <v>11781</v>
      </c>
      <c r="G5831" s="71" t="s">
        <v>11776</v>
      </c>
      <c r="H58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32" spans="1:8" ht="15" customHeight="1" x14ac:dyDescent="0.25">
      <c r="A5832" s="1" t="str">
        <f>MID(TB_CECO[[#This Row],[CECO_T]],1,5)</f>
        <v>1E62D</v>
      </c>
      <c r="B5832" s="1" t="str">
        <f>MID(TB_CECO[[#This Row],[TRABAJO]],1,SEARCH(",",TB_CECO[[#This Row],[TRABAJO]],1)-1)</f>
        <v>Est 874 NW (Snv 874 NE)</v>
      </c>
      <c r="C583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874 NW (Snv 874 NE),VOLADURA</v>
      </c>
      <c r="D583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3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32" s="71" t="s">
        <v>11782</v>
      </c>
      <c r="G5832" s="71" t="s">
        <v>11777</v>
      </c>
      <c r="H58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33" spans="1:8" ht="15" customHeight="1" x14ac:dyDescent="0.25">
      <c r="A5833" s="1" t="str">
        <f>MID(TB_CECO[[#This Row],[CECO_T]],1,5)</f>
        <v>1E62D</v>
      </c>
      <c r="B5833" s="1" t="str">
        <f>MID(TB_CECO[[#This Row],[TRABAJO]],1,SEARCH(",",TB_CECO[[#This Row],[TRABAJO]],1)-1)</f>
        <v>Est 874 NW (Snv 874 NE)</v>
      </c>
      <c r="C583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874 NW (Snv 874 NE),LIMPIEZA</v>
      </c>
      <c r="D583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3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33" s="71" t="s">
        <v>11783</v>
      </c>
      <c r="G5833" s="71" t="s">
        <v>11778</v>
      </c>
      <c r="H58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34" spans="1:8" ht="15" customHeight="1" x14ac:dyDescent="0.25">
      <c r="A5834" s="1" t="str">
        <f>MID(TB_CECO[[#This Row],[CECO_T]],1,5)</f>
        <v>1E62D</v>
      </c>
      <c r="B5834" s="1" t="str">
        <f>MID(TB_CECO[[#This Row],[TRABAJO]],1,SEARCH(",",TB_CECO[[#This Row],[TRABAJO]],1)-1)</f>
        <v>Est 874 NW (Snv 874 NE)</v>
      </c>
      <c r="C583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874 NW (Snv 874 NE),SOSTENIMIENTO</v>
      </c>
      <c r="D583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3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34" s="71" t="s">
        <v>11784</v>
      </c>
      <c r="G5834" s="71" t="s">
        <v>11779</v>
      </c>
      <c r="H58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35" spans="1:8" ht="15" customHeight="1" x14ac:dyDescent="0.25">
      <c r="A5835" s="1" t="str">
        <f>MID(TB_CECO[[#This Row],[CECO_T]],1,5)</f>
        <v>1E62D</v>
      </c>
      <c r="B5835" s="1" t="str">
        <f>MID(TB_CECO[[#This Row],[TRABAJO]],1,SEARCH(",",TB_CECO[[#This Row],[TRABAJO]],1)-1)</f>
        <v>Est 874 NW (Snv 874 NE)</v>
      </c>
      <c r="C583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874 NW (Snv 874 NE),SERVICIO</v>
      </c>
      <c r="D583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3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35" s="71" t="s">
        <v>11785</v>
      </c>
      <c r="G5835" s="71" t="s">
        <v>11780</v>
      </c>
      <c r="H58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36" spans="1:8" ht="15" customHeight="1" x14ac:dyDescent="0.25">
      <c r="A5836" s="1" t="str">
        <f>MID(TB_CECO[[#This Row],[CECO_T]],1,5)</f>
        <v>1E62B</v>
      </c>
      <c r="B5836" s="1" t="str">
        <f>MID(TB_CECO[[#This Row],[TRABAJO]],1,SEARCH(",",TB_CECO[[#This Row],[TRABAJO]],1)-1)</f>
        <v>Est 879 SW (Inc 863 SE)</v>
      </c>
      <c r="C583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SW (Inc 863 SE),PERFORACION</v>
      </c>
      <c r="D583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3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36" s="71" t="s">
        <v>11791</v>
      </c>
      <c r="G5836" s="71" t="s">
        <v>11786</v>
      </c>
      <c r="H58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37" spans="1:8" ht="15" customHeight="1" x14ac:dyDescent="0.25">
      <c r="A5837" s="1" t="str">
        <f>MID(TB_CECO[[#This Row],[CECO_T]],1,5)</f>
        <v>1E62B</v>
      </c>
      <c r="B5837" s="1" t="str">
        <f>MID(TB_CECO[[#This Row],[TRABAJO]],1,SEARCH(",",TB_CECO[[#This Row],[TRABAJO]],1)-1)</f>
        <v>Est 879 SW (Inc 863 SE)</v>
      </c>
      <c r="C583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SW (Inc 863 SE),VOLADURA</v>
      </c>
      <c r="D583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3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37" s="71" t="s">
        <v>11792</v>
      </c>
      <c r="G5837" s="71" t="s">
        <v>11787</v>
      </c>
      <c r="H58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38" spans="1:8" ht="15" customHeight="1" x14ac:dyDescent="0.25">
      <c r="A5838" s="1" t="str">
        <f>MID(TB_CECO[[#This Row],[CECO_T]],1,5)</f>
        <v>1E62B</v>
      </c>
      <c r="B5838" s="1" t="str">
        <f>MID(TB_CECO[[#This Row],[TRABAJO]],1,SEARCH(",",TB_CECO[[#This Row],[TRABAJO]],1)-1)</f>
        <v>Est 879 SW (Inc 863 SE)</v>
      </c>
      <c r="C583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SW (Inc 863 SE),LIMPIEZA</v>
      </c>
      <c r="D583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3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38" s="71" t="s">
        <v>11793</v>
      </c>
      <c r="G5838" s="71" t="s">
        <v>11788</v>
      </c>
      <c r="H58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39" spans="1:8" ht="15" customHeight="1" x14ac:dyDescent="0.25">
      <c r="A5839" s="1" t="str">
        <f>MID(TB_CECO[[#This Row],[CECO_T]],1,5)</f>
        <v>1E62B</v>
      </c>
      <c r="B5839" s="1" t="str">
        <f>MID(TB_CECO[[#This Row],[TRABAJO]],1,SEARCH(",",TB_CECO[[#This Row],[TRABAJO]],1)-1)</f>
        <v>Est 879 SW (Inc 863 SE)</v>
      </c>
      <c r="C583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SW (Inc 863 SE),SOSTENIMIENTO</v>
      </c>
      <c r="D583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3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39" s="71" t="s">
        <v>11794</v>
      </c>
      <c r="G5839" s="71" t="s">
        <v>11789</v>
      </c>
      <c r="H58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40" spans="1:8" ht="15" customHeight="1" x14ac:dyDescent="0.25">
      <c r="A5840" s="1" t="str">
        <f>MID(TB_CECO[[#This Row],[CECO_T]],1,5)</f>
        <v>1E62B</v>
      </c>
      <c r="B5840" s="1" t="str">
        <f>MID(TB_CECO[[#This Row],[TRABAJO]],1,SEARCH(",",TB_CECO[[#This Row],[TRABAJO]],1)-1)</f>
        <v>Est 879 SW (Inc 863 SE)</v>
      </c>
      <c r="C584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SW (Inc 863 SE),SERVICIO</v>
      </c>
      <c r="D584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4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40" s="71" t="s">
        <v>11795</v>
      </c>
      <c r="G5840" s="71" t="s">
        <v>11790</v>
      </c>
      <c r="H58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41" spans="1:8" ht="15" customHeight="1" x14ac:dyDescent="0.25">
      <c r="A5841" s="1" t="str">
        <f>MID(TB_CECO[[#This Row],[CECO_T]],1,5)</f>
        <v>1E62E</v>
      </c>
      <c r="B5841" s="1" t="str">
        <f>MID(TB_CECO[[#This Row],[TRABAJO]],1,SEARCH(",",TB_CECO[[#This Row],[TRABAJO]],1)-1)</f>
        <v>Est 879 NE (Inc 863 SE)</v>
      </c>
      <c r="C584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NE (Inc 863 SE),PERFORACION</v>
      </c>
      <c r="D584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4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41" s="71" t="s">
        <v>11801</v>
      </c>
      <c r="G5841" s="71" t="s">
        <v>11796</v>
      </c>
      <c r="H58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42" spans="1:8" ht="15" customHeight="1" x14ac:dyDescent="0.25">
      <c r="A5842" s="1" t="str">
        <f>MID(TB_CECO[[#This Row],[CECO_T]],1,5)</f>
        <v>1E62E</v>
      </c>
      <c r="B5842" s="1" t="str">
        <f>MID(TB_CECO[[#This Row],[TRABAJO]],1,SEARCH(",",TB_CECO[[#This Row],[TRABAJO]],1)-1)</f>
        <v>Est 879 NE (Inc 863 SE)</v>
      </c>
      <c r="C584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NE (Inc 863 SE),VOLADURA</v>
      </c>
      <c r="D584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4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42" s="71" t="s">
        <v>11802</v>
      </c>
      <c r="G5842" s="71" t="s">
        <v>11797</v>
      </c>
      <c r="H58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43" spans="1:8" ht="15" customHeight="1" x14ac:dyDescent="0.25">
      <c r="A5843" s="1" t="str">
        <f>MID(TB_CECO[[#This Row],[CECO_T]],1,5)</f>
        <v>1E62E</v>
      </c>
      <c r="B5843" s="1" t="str">
        <f>MID(TB_CECO[[#This Row],[TRABAJO]],1,SEARCH(",",TB_CECO[[#This Row],[TRABAJO]],1)-1)</f>
        <v>Est 879 NE (Inc 863 SE)</v>
      </c>
      <c r="C584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NE (Inc 863 SE),LIMPIEZA</v>
      </c>
      <c r="D584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4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43" s="71" t="s">
        <v>11803</v>
      </c>
      <c r="G5843" s="71" t="s">
        <v>11798</v>
      </c>
      <c r="H58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44" spans="1:8" ht="15" customHeight="1" x14ac:dyDescent="0.25">
      <c r="A5844" s="1" t="str">
        <f>MID(TB_CECO[[#This Row],[CECO_T]],1,5)</f>
        <v>1E62E</v>
      </c>
      <c r="B5844" s="1" t="str">
        <f>MID(TB_CECO[[#This Row],[TRABAJO]],1,SEARCH(",",TB_CECO[[#This Row],[TRABAJO]],1)-1)</f>
        <v>Est 879 NE (Inc 863 SE)</v>
      </c>
      <c r="C584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NE (Inc 863 SE),SOSTENIMIENTO</v>
      </c>
      <c r="D584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4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44" s="71" t="s">
        <v>11804</v>
      </c>
      <c r="G5844" s="71" t="s">
        <v>11799</v>
      </c>
      <c r="H58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45" spans="1:8" ht="15" customHeight="1" x14ac:dyDescent="0.25">
      <c r="A5845" s="1" t="str">
        <f>MID(TB_CECO[[#This Row],[CECO_T]],1,5)</f>
        <v>1E62E</v>
      </c>
      <c r="B5845" s="1" t="str">
        <f>MID(TB_CECO[[#This Row],[TRABAJO]],1,SEARCH(",",TB_CECO[[#This Row],[TRABAJO]],1)-1)</f>
        <v>Est 879 NE (Inc 863 SE)</v>
      </c>
      <c r="C584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NE (Inc 863 SE),SERVICIO</v>
      </c>
      <c r="D584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4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45" s="71" t="s">
        <v>11805</v>
      </c>
      <c r="G5845" s="71" t="s">
        <v>11800</v>
      </c>
      <c r="H58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46" spans="1:8" ht="15" customHeight="1" x14ac:dyDescent="0.25">
      <c r="A5846" s="1" t="str">
        <f>MID(TB_CECO[[#This Row],[CECO_T]],1,5)</f>
        <v>3ED04</v>
      </c>
      <c r="B5846" s="1" t="str">
        <f>MID(TB_CECO[[#This Row],[TRABAJO]],1,SEARCH(",",TB_CECO[[#This Row],[TRABAJO]],1)-1)</f>
        <v>Inc 870 SW (Snv 030 SW)</v>
      </c>
      <c r="C584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SW),LIMPIEZA</v>
      </c>
      <c r="D584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4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846" s="71" t="s">
        <v>6536</v>
      </c>
      <c r="G5846" s="71" t="s">
        <v>6537</v>
      </c>
      <c r="H58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47" spans="1:8" ht="15" customHeight="1" x14ac:dyDescent="0.25">
      <c r="A5847" s="1" t="str">
        <f>MID(TB_CECO[[#This Row],[CECO_T]],1,5)</f>
        <v>3ED04</v>
      </c>
      <c r="B5847" s="1" t="str">
        <f>MID(TB_CECO[[#This Row],[TRABAJO]],1,SEARCH(",",TB_CECO[[#This Row],[TRABAJO]],1)-1)</f>
        <v>Inc 870 SW (Snv 030 SW)</v>
      </c>
      <c r="C584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SW),SERVICIO</v>
      </c>
      <c r="D584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4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847" s="71" t="s">
        <v>6538</v>
      </c>
      <c r="G5847" s="71" t="s">
        <v>6539</v>
      </c>
      <c r="H58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48" spans="1:8" ht="15" customHeight="1" x14ac:dyDescent="0.25">
      <c r="A5848" s="1" t="str">
        <f>MID(TB_CECO[[#This Row],[CECO_T]],1,5)</f>
        <v>3ED04</v>
      </c>
      <c r="B5848" s="1" t="str">
        <f>MID(TB_CECO[[#This Row],[TRABAJO]],1,SEARCH(",",TB_CECO[[#This Row],[TRABAJO]],1)-1)</f>
        <v>Inc 870 SW (Snv 030 SW)</v>
      </c>
      <c r="C584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SW),PERFORACION</v>
      </c>
      <c r="D584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4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848" s="71" t="s">
        <v>6540</v>
      </c>
      <c r="G5848" s="71" t="s">
        <v>6541</v>
      </c>
      <c r="H58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49" spans="1:8" ht="15" customHeight="1" x14ac:dyDescent="0.25">
      <c r="A5849" s="1" t="str">
        <f>MID(TB_CECO[[#This Row],[CECO_T]],1,5)</f>
        <v>3ED04</v>
      </c>
      <c r="B5849" s="1" t="str">
        <f>MID(TB_CECO[[#This Row],[TRABAJO]],1,SEARCH(",",TB_CECO[[#This Row],[TRABAJO]],1)-1)</f>
        <v>Inc 870 SW (Snv 030 SW)</v>
      </c>
      <c r="C584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SW),SOSTENIMIENTO</v>
      </c>
      <c r="D584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4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849" s="71" t="s">
        <v>6542</v>
      </c>
      <c r="G5849" s="71" t="s">
        <v>6543</v>
      </c>
      <c r="H58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50" spans="1:8" ht="15" customHeight="1" x14ac:dyDescent="0.25">
      <c r="A5850" s="1" t="str">
        <f>MID(TB_CECO[[#This Row],[CECO_T]],1,5)</f>
        <v>3ED04</v>
      </c>
      <c r="B5850" s="1" t="str">
        <f>MID(TB_CECO[[#This Row],[TRABAJO]],1,SEARCH(",",TB_CECO[[#This Row],[TRABAJO]],1)-1)</f>
        <v>Inc 870 SW (Snv 030 SW)</v>
      </c>
      <c r="C585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Inc 870 SW (Snv 030 SW),VOLADURA</v>
      </c>
      <c r="D585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5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PREPARACION</v>
      </c>
      <c r="F5850" s="71" t="s">
        <v>6544</v>
      </c>
      <c r="G5850" s="71" t="s">
        <v>6545</v>
      </c>
      <c r="H58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51" spans="1:8" ht="15" customHeight="1" x14ac:dyDescent="0.25">
      <c r="A5851" s="1" t="str">
        <f>MID(TB_CECO[[#This Row],[CECO_T]],1,5)</f>
        <v>1E62F</v>
      </c>
      <c r="B5851" s="1" t="str">
        <f>MID(TB_CECO[[#This Row],[TRABAJO]],1,SEARCH(",",TB_CECO[[#This Row],[TRABAJO]],1)-1)</f>
        <v>Est 870 NW (Est 869 SW)</v>
      </c>
      <c r="C585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NW (Est 869 SW),PERFORACION</v>
      </c>
      <c r="D585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5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51" s="72" t="s">
        <v>11812</v>
      </c>
      <c r="G5851" t="s">
        <v>11807</v>
      </c>
      <c r="H58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52" spans="1:8" ht="15" customHeight="1" x14ac:dyDescent="0.25">
      <c r="A5852" s="1" t="str">
        <f>MID(TB_CECO[[#This Row],[CECO_T]],1,5)</f>
        <v>1E62F</v>
      </c>
      <c r="B5852" s="1" t="str">
        <f>MID(TB_CECO[[#This Row],[TRABAJO]],1,SEARCH(",",TB_CECO[[#This Row],[TRABAJO]],1)-1)</f>
        <v>Est 870 NW (Est 869 SW)</v>
      </c>
      <c r="C585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NW (Est 869 SW),VOLADURA</v>
      </c>
      <c r="D585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5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52" s="72" t="s">
        <v>11813</v>
      </c>
      <c r="G5852" t="s">
        <v>11808</v>
      </c>
      <c r="H58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53" spans="1:8" ht="15" customHeight="1" x14ac:dyDescent="0.25">
      <c r="A5853" s="1" t="str">
        <f>MID(TB_CECO[[#This Row],[CECO_T]],1,5)</f>
        <v>1E62F</v>
      </c>
      <c r="B5853" s="1" t="str">
        <f>MID(TB_CECO[[#This Row],[TRABAJO]],1,SEARCH(",",TB_CECO[[#This Row],[TRABAJO]],1)-1)</f>
        <v>Est 870 NW (Est 869 SW)</v>
      </c>
      <c r="C585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NW (Est 869 SW),LIMPIEZA</v>
      </c>
      <c r="D585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5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53" s="72" t="s">
        <v>11814</v>
      </c>
      <c r="G5853" t="s">
        <v>11809</v>
      </c>
      <c r="H58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54" spans="1:8" ht="15" customHeight="1" x14ac:dyDescent="0.25">
      <c r="A5854" s="1" t="str">
        <f>MID(TB_CECO[[#This Row],[CECO_T]],1,5)</f>
        <v>1E62F</v>
      </c>
      <c r="B5854" s="1" t="str">
        <f>MID(TB_CECO[[#This Row],[TRABAJO]],1,SEARCH(",",TB_CECO[[#This Row],[TRABAJO]],1)-1)</f>
        <v>Est 870 NW (Est 869 SW)</v>
      </c>
      <c r="C585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NW (Est 869 SW),SOSTENIMIENTO</v>
      </c>
      <c r="D585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5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54" s="72" t="s">
        <v>11815</v>
      </c>
      <c r="G5854" t="s">
        <v>11810</v>
      </c>
      <c r="H58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55" spans="1:8" ht="15" customHeight="1" x14ac:dyDescent="0.25">
      <c r="A5855" s="1" t="str">
        <f>MID(TB_CECO[[#This Row],[CECO_T]],1,5)</f>
        <v>1E62F</v>
      </c>
      <c r="B5855" s="1" t="str">
        <f>MID(TB_CECO[[#This Row],[TRABAJO]],1,SEARCH(",",TB_CECO[[#This Row],[TRABAJO]],1)-1)</f>
        <v>Est 870 NW (Est 869 SW)</v>
      </c>
      <c r="C585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870 NW (Est 869 SW),SERVICIO</v>
      </c>
      <c r="D585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5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55" s="72" t="s">
        <v>11816</v>
      </c>
      <c r="G5855" t="s">
        <v>11811</v>
      </c>
      <c r="H58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56" spans="1:8" ht="15" customHeight="1" x14ac:dyDescent="0.25">
      <c r="A5856" s="1" t="str">
        <f>MID(TB_CECO[[#This Row],[CECO_T]],1,5)</f>
        <v>1D62H</v>
      </c>
      <c r="B5856" s="1" t="str">
        <f>MID(TB_CECO[[#This Row],[TRABAJO]],1,SEARCH(",",TB_CECO[[#This Row],[TRABAJO]],1)-1)</f>
        <v>Est 924 SE (Tj 870 SW)</v>
      </c>
      <c r="C585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924 SE (Tj 870 SW),PERFORACION</v>
      </c>
      <c r="D585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5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56" s="72" t="s">
        <v>11817</v>
      </c>
      <c r="G5856" t="s">
        <v>11826</v>
      </c>
      <c r="H58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57" spans="1:8" ht="15" customHeight="1" x14ac:dyDescent="0.25">
      <c r="A5857" s="1" t="str">
        <f>MID(TB_CECO[[#This Row],[CECO_T]],1,5)</f>
        <v>1D62H</v>
      </c>
      <c r="B5857" s="1" t="str">
        <f>MID(TB_CECO[[#This Row],[TRABAJO]],1,SEARCH(",",TB_CECO[[#This Row],[TRABAJO]],1)-1)</f>
        <v>Est 924 SE (Tj 870 SW)</v>
      </c>
      <c r="C585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924 SE (Tj 870 SW),VOLADURA</v>
      </c>
      <c r="D585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5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57" s="72" t="s">
        <v>11818</v>
      </c>
      <c r="G5857" t="s">
        <v>11825</v>
      </c>
      <c r="H58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58" spans="1:8" ht="15" customHeight="1" x14ac:dyDescent="0.25">
      <c r="A5858" s="1" t="str">
        <f>MID(TB_CECO[[#This Row],[CECO_T]],1,5)</f>
        <v>1D62H</v>
      </c>
      <c r="B5858" s="1" t="str">
        <f>MID(TB_CECO[[#This Row],[TRABAJO]],1,SEARCH(",",TB_CECO[[#This Row],[TRABAJO]],1)-1)</f>
        <v>Est 924 SE (Tj 870 SW)</v>
      </c>
      <c r="C585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924 SE (Tj 870 SW),LIMPIEZA</v>
      </c>
      <c r="D585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5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58" s="72" t="s">
        <v>11819</v>
      </c>
      <c r="G5858" t="s">
        <v>11824</v>
      </c>
      <c r="H58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59" spans="1:8" ht="15" customHeight="1" x14ac:dyDescent="0.25">
      <c r="A5859" s="1" t="str">
        <f>MID(TB_CECO[[#This Row],[CECO_T]],1,5)</f>
        <v>1D62H</v>
      </c>
      <c r="B5859" s="1" t="str">
        <f>MID(TB_CECO[[#This Row],[TRABAJO]],1,SEARCH(",",TB_CECO[[#This Row],[TRABAJO]],1)-1)</f>
        <v>Est 924 SE (Tj 870 SW)</v>
      </c>
      <c r="C585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924 SE (Tj 870 SW),SOSTENIMIENTO</v>
      </c>
      <c r="D585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5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59" s="72" t="s">
        <v>11820</v>
      </c>
      <c r="G5859" t="s">
        <v>11823</v>
      </c>
      <c r="H58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60" spans="1:8" ht="15" customHeight="1" x14ac:dyDescent="0.25">
      <c r="A5860" s="1" t="str">
        <f>MID(TB_CECO[[#This Row],[CECO_T]],1,5)</f>
        <v>1D62H</v>
      </c>
      <c r="B5860" s="1" t="str">
        <f>MID(TB_CECO[[#This Row],[TRABAJO]],1,SEARCH(",",TB_CECO[[#This Row],[TRABAJO]],1)-1)</f>
        <v>Est 924 SE (Tj 870 SW)</v>
      </c>
      <c r="C586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924 SE (Tj 870 SW),SERVICIO</v>
      </c>
      <c r="D586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6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60" s="72" t="s">
        <v>11821</v>
      </c>
      <c r="G5860" t="s">
        <v>11822</v>
      </c>
      <c r="H58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61" spans="1:8" ht="15" customHeight="1" x14ac:dyDescent="0.25">
      <c r="A5861" s="1" t="str">
        <f>MID(TB_CECO[[#This Row],[CECO_T]],1,5)</f>
        <v>5E73N</v>
      </c>
      <c r="B5861" s="1" t="str">
        <f>MID(TB_CECO[[#This Row],[TRABAJO]],1,SEARCH(",",TB_CECO[[#This Row],[TRABAJO]],1)-1)</f>
        <v>Tj 874 NE (Snv 874 NE)</v>
      </c>
      <c r="C586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NE),PERFORACION</v>
      </c>
      <c r="D586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6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61" s="72" t="s">
        <v>11835</v>
      </c>
      <c r="G5861" t="s">
        <v>11829</v>
      </c>
      <c r="H58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62" spans="1:8" ht="15" customHeight="1" x14ac:dyDescent="0.25">
      <c r="A5862" s="1" t="str">
        <f>MID(TB_CECO[[#This Row],[CECO_T]],1,5)</f>
        <v>5E73N</v>
      </c>
      <c r="B5862" s="1" t="str">
        <f>MID(TB_CECO[[#This Row],[TRABAJO]],1,SEARCH(",",TB_CECO[[#This Row],[TRABAJO]],1)-1)</f>
        <v>Tj 874 NE (Snv 874 NE)</v>
      </c>
      <c r="C586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NE),VOLADURA</v>
      </c>
      <c r="D586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6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62" s="72" t="s">
        <v>11836</v>
      </c>
      <c r="G5862" t="s">
        <v>11830</v>
      </c>
      <c r="H58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63" spans="1:8" ht="15" customHeight="1" x14ac:dyDescent="0.25">
      <c r="A5863" s="1" t="str">
        <f>MID(TB_CECO[[#This Row],[CECO_T]],1,5)</f>
        <v>5E73N</v>
      </c>
      <c r="B5863" s="1" t="str">
        <f>MID(TB_CECO[[#This Row],[TRABAJO]],1,SEARCH(",",TB_CECO[[#This Row],[TRABAJO]],1)-1)</f>
        <v>Tj 874 NE (Snv 874 NE)</v>
      </c>
      <c r="C586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NE),LIMPIEZA</v>
      </c>
      <c r="D586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6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63" s="72" t="s">
        <v>11837</v>
      </c>
      <c r="G5863" t="s">
        <v>11831</v>
      </c>
      <c r="H58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64" spans="1:8" ht="15" customHeight="1" x14ac:dyDescent="0.25">
      <c r="A5864" s="1" t="str">
        <f>MID(TB_CECO[[#This Row],[CECO_T]],1,5)</f>
        <v>5E73N</v>
      </c>
      <c r="B5864" s="1" t="str">
        <f>MID(TB_CECO[[#This Row],[TRABAJO]],1,SEARCH(",",TB_CECO[[#This Row],[TRABAJO]],1)-1)</f>
        <v>Tj 874 NE (Snv 874 NE)</v>
      </c>
      <c r="C586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NE),SOSTENIMIENTO</v>
      </c>
      <c r="D586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6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64" s="72" t="s">
        <v>11838</v>
      </c>
      <c r="G5864" t="s">
        <v>11832</v>
      </c>
      <c r="H58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65" spans="1:8" ht="15" customHeight="1" x14ac:dyDescent="0.25">
      <c r="A5865" s="1" t="str">
        <f>MID(TB_CECO[[#This Row],[CECO_T]],1,5)</f>
        <v>5E73N</v>
      </c>
      <c r="B5865" s="1" t="str">
        <f>MID(TB_CECO[[#This Row],[TRABAJO]],1,SEARCH(",",TB_CECO[[#This Row],[TRABAJO]],1)-1)</f>
        <v>Tj 874 NE (Snv 874 NE)</v>
      </c>
      <c r="C586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NE),SERVICIO</v>
      </c>
      <c r="D586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6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65" s="72" t="s">
        <v>11839</v>
      </c>
      <c r="G5865" t="s">
        <v>11833</v>
      </c>
      <c r="H58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66" spans="1:8" ht="15" customHeight="1" x14ac:dyDescent="0.25">
      <c r="A5866" s="1" t="str">
        <f>MID(TB_CECO[[#This Row],[CECO_T]],1,5)</f>
        <v>5E73N</v>
      </c>
      <c r="B5866" s="1" t="str">
        <f>MID(TB_CECO[[#This Row],[TRABAJO]],1,SEARCH(",",TB_CECO[[#This Row],[TRABAJO]],1)-1)</f>
        <v>Tj 874 NE (Snv 874 NE)</v>
      </c>
      <c r="C586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874 NE (Snv 874 NE),RELLENO</v>
      </c>
      <c r="D586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6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866" s="72" t="s">
        <v>11840</v>
      </c>
      <c r="G5866" t="s">
        <v>11834</v>
      </c>
      <c r="H58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867" spans="1:8" ht="15" customHeight="1" x14ac:dyDescent="0.25">
      <c r="A5867" s="1" t="str">
        <f>MID(TB_CECO[[#This Row],[CECO_T]],1,5)</f>
        <v>2E62G</v>
      </c>
      <c r="B5867" s="1" t="str">
        <f>MID(TB_CECO[[#This Row],[TRABAJO]],1,SEARCH(",",TB_CECO[[#This Row],[TRABAJO]],1)-1)</f>
        <v>Est 880 NW (Est 879 NE)</v>
      </c>
      <c r="C586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880 NW (Est 879 NE),PERFORACION</v>
      </c>
      <c r="D586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6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867" s="72" t="s">
        <v>11846</v>
      </c>
      <c r="G5867" s="71" t="s">
        <v>11841</v>
      </c>
      <c r="H58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68" spans="1:8" ht="15" customHeight="1" x14ac:dyDescent="0.25">
      <c r="A5868" s="1" t="str">
        <f>MID(TB_CECO[[#This Row],[CECO_T]],1,5)</f>
        <v>2E62G</v>
      </c>
      <c r="B5868" s="1" t="str">
        <f>MID(TB_CECO[[#This Row],[TRABAJO]],1,SEARCH(",",TB_CECO[[#This Row],[TRABAJO]],1)-1)</f>
        <v>Est 880 NW (Est 879 NE)</v>
      </c>
      <c r="C586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880 NW (Est 879 NE),VOLADURA</v>
      </c>
      <c r="D586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6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868" s="72" t="s">
        <v>11847</v>
      </c>
      <c r="G5868" s="71" t="s">
        <v>11842</v>
      </c>
      <c r="H58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69" spans="1:8" ht="15" customHeight="1" x14ac:dyDescent="0.25">
      <c r="A5869" s="1" t="str">
        <f>MID(TB_CECO[[#This Row],[CECO_T]],1,5)</f>
        <v>2E62G</v>
      </c>
      <c r="B5869" s="1" t="str">
        <f>MID(TB_CECO[[#This Row],[TRABAJO]],1,SEARCH(",",TB_CECO[[#This Row],[TRABAJO]],1)-1)</f>
        <v>Est 880 NW (Est 879 NE)</v>
      </c>
      <c r="C586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880 NW (Est 879 NE),LIMPIEZA</v>
      </c>
      <c r="D586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6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869" s="72" t="s">
        <v>11848</v>
      </c>
      <c r="G5869" s="71" t="s">
        <v>11843</v>
      </c>
      <c r="H58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70" spans="1:8" ht="15" customHeight="1" x14ac:dyDescent="0.25">
      <c r="A5870" s="1" t="str">
        <f>MID(TB_CECO[[#This Row],[CECO_T]],1,5)</f>
        <v>2E62G</v>
      </c>
      <c r="B5870" s="1" t="str">
        <f>MID(TB_CECO[[#This Row],[TRABAJO]],1,SEARCH(",",TB_CECO[[#This Row],[TRABAJO]],1)-1)</f>
        <v>Est 880 NW (Est 879 NE)</v>
      </c>
      <c r="C587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880 NW (Est 879 NE),SOSTENIMIENTO</v>
      </c>
      <c r="D587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7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870" s="72" t="s">
        <v>11849</v>
      </c>
      <c r="G5870" s="71" t="s">
        <v>11844</v>
      </c>
      <c r="H58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71" spans="1:8" ht="15" customHeight="1" x14ac:dyDescent="0.25">
      <c r="A5871" s="1" t="str">
        <f>MID(TB_CECO[[#This Row],[CECO_T]],1,5)</f>
        <v>2E62G</v>
      </c>
      <c r="B5871" s="1" t="str">
        <f>MID(TB_CECO[[#This Row],[TRABAJO]],1,SEARCH(",",TB_CECO[[#This Row],[TRABAJO]],1)-1)</f>
        <v>Est 880 NW (Est 879 NE)</v>
      </c>
      <c r="C587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880 NW (Est 879 NE),SERVICIO</v>
      </c>
      <c r="D587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87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871" s="72" t="s">
        <v>11850</v>
      </c>
      <c r="G5871" s="71" t="s">
        <v>11845</v>
      </c>
      <c r="H58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72" spans="1:8" ht="15" customHeight="1" x14ac:dyDescent="0.25">
      <c r="A5872" s="1" t="str">
        <f>MID(TB_CECO[[#This Row],[CECO_T]],1,5)</f>
        <v>2D415</v>
      </c>
      <c r="B5872" s="1" t="str">
        <f>MID(TB_CECO[[#This Row],[TRABAJO]],1,SEARCH(",",TB_CECO[[#This Row],[TRABAJO]],1)-1)</f>
        <v>Pq 925 (Snv 925 SW)</v>
      </c>
      <c r="C587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925 (Snv 925 SW),PERFORACION</v>
      </c>
      <c r="D587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7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872" s="71" t="s">
        <v>11857</v>
      </c>
      <c r="G5872" s="71" t="s">
        <v>11852</v>
      </c>
      <c r="H58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73" spans="1:8" ht="15" customHeight="1" x14ac:dyDescent="0.25">
      <c r="A5873" s="1" t="str">
        <f>MID(TB_CECO[[#This Row],[CECO_T]],1,5)</f>
        <v>2D415</v>
      </c>
      <c r="B5873" s="1" t="str">
        <f>MID(TB_CECO[[#This Row],[TRABAJO]],1,SEARCH(",",TB_CECO[[#This Row],[TRABAJO]],1)-1)</f>
        <v>Pq 925 (Snv 925 SW)</v>
      </c>
      <c r="C587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925 (Snv 925 SW),VOLADURA</v>
      </c>
      <c r="D587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7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873" s="71" t="s">
        <v>11858</v>
      </c>
      <c r="G5873" s="71" t="s">
        <v>11853</v>
      </c>
      <c r="H58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74" spans="1:8" ht="15" customHeight="1" x14ac:dyDescent="0.25">
      <c r="A5874" s="1" t="str">
        <f>MID(TB_CECO[[#This Row],[CECO_T]],1,5)</f>
        <v>2D415</v>
      </c>
      <c r="B5874" s="1" t="str">
        <f>MID(TB_CECO[[#This Row],[TRABAJO]],1,SEARCH(",",TB_CECO[[#This Row],[TRABAJO]],1)-1)</f>
        <v>Pq 925 (Snv 925 SW)</v>
      </c>
      <c r="C587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925 (Snv 925 SW),LIMPIEZA</v>
      </c>
      <c r="D587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7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874" s="71" t="s">
        <v>11859</v>
      </c>
      <c r="G5874" s="71" t="s">
        <v>11854</v>
      </c>
      <c r="H58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75" spans="1:8" ht="15" customHeight="1" x14ac:dyDescent="0.25">
      <c r="A5875" s="1" t="str">
        <f>MID(TB_CECO[[#This Row],[CECO_T]],1,5)</f>
        <v>2D415</v>
      </c>
      <c r="B5875" s="1" t="str">
        <f>MID(TB_CECO[[#This Row],[TRABAJO]],1,SEARCH(",",TB_CECO[[#This Row],[TRABAJO]],1)-1)</f>
        <v>Pq 925 (Snv 925 SW)</v>
      </c>
      <c r="C587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925 (Snv 925 SW),SOSTENIMIENTO</v>
      </c>
      <c r="D587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7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875" s="71" t="s">
        <v>11860</v>
      </c>
      <c r="G5875" s="71" t="s">
        <v>11855</v>
      </c>
      <c r="H58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76" spans="1:8" ht="15" customHeight="1" x14ac:dyDescent="0.25">
      <c r="A5876" s="1" t="str">
        <f>MID(TB_CECO[[#This Row],[CECO_T]],1,5)</f>
        <v>2D415</v>
      </c>
      <c r="B5876" s="1" t="str">
        <f>MID(TB_CECO[[#This Row],[TRABAJO]],1,SEARCH(",",TB_CECO[[#This Row],[TRABAJO]],1)-1)</f>
        <v>Pq 925 (Snv 925 SW)</v>
      </c>
      <c r="C587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Pq 925 (Snv 925 SW),SERVICIO</v>
      </c>
      <c r="D587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7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876" s="71" t="s">
        <v>11861</v>
      </c>
      <c r="G5876" s="71" t="s">
        <v>11856</v>
      </c>
      <c r="H58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77" spans="1:8" ht="15" customHeight="1" x14ac:dyDescent="0.25">
      <c r="A5877" s="1" t="str">
        <f>MID(TB_CECO[[#This Row],[CECO_T]],1,5)</f>
        <v>1N58H</v>
      </c>
      <c r="B5877" s="1" t="str">
        <f>MID(TB_CECO[[#This Row],[TRABAJO]],1,SEARCH(",",TB_CECO[[#This Row],[TRABAJO]],1)-1)</f>
        <v>Snv 879 NE (Est 879 NE)</v>
      </c>
      <c r="C587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879 NE (Est 879 NE),PERFORACION</v>
      </c>
      <c r="D587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7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77" s="71" t="s">
        <v>11867</v>
      </c>
      <c r="G5877" s="71" t="s">
        <v>11862</v>
      </c>
      <c r="H58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78" spans="1:8" ht="15" customHeight="1" x14ac:dyDescent="0.25">
      <c r="A5878" s="1" t="str">
        <f>MID(TB_CECO[[#This Row],[CECO_T]],1,5)</f>
        <v>1N58H</v>
      </c>
      <c r="B5878" s="1" t="str">
        <f>MID(TB_CECO[[#This Row],[TRABAJO]],1,SEARCH(",",TB_CECO[[#This Row],[TRABAJO]],1)-1)</f>
        <v>Snv 879 NE (Est 879 NE)</v>
      </c>
      <c r="C587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879 NE (Est 879 NE),VOLADURA</v>
      </c>
      <c r="D587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7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78" s="71" t="s">
        <v>11868</v>
      </c>
      <c r="G5878" s="71" t="s">
        <v>11863</v>
      </c>
      <c r="H58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79" spans="1:8" ht="15" customHeight="1" x14ac:dyDescent="0.25">
      <c r="A5879" s="1" t="str">
        <f>MID(TB_CECO[[#This Row],[CECO_T]],1,5)</f>
        <v>1N58H</v>
      </c>
      <c r="B5879" s="1" t="str">
        <f>MID(TB_CECO[[#This Row],[TRABAJO]],1,SEARCH(",",TB_CECO[[#This Row],[TRABAJO]],1)-1)</f>
        <v>Snv 879 NE (Est 879 NE)</v>
      </c>
      <c r="C587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879 NE (Est 879 NE),LIMPIEZA</v>
      </c>
      <c r="D587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7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79" s="71" t="s">
        <v>11869</v>
      </c>
      <c r="G5879" s="71" t="s">
        <v>11864</v>
      </c>
      <c r="H58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80" spans="1:8" ht="15" customHeight="1" x14ac:dyDescent="0.25">
      <c r="A5880" s="1" t="str">
        <f>MID(TB_CECO[[#This Row],[CECO_T]],1,5)</f>
        <v>1N58H</v>
      </c>
      <c r="B5880" s="1" t="str">
        <f>MID(TB_CECO[[#This Row],[TRABAJO]],1,SEARCH(",",TB_CECO[[#This Row],[TRABAJO]],1)-1)</f>
        <v>Snv 879 NE (Est 879 NE)</v>
      </c>
      <c r="C588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879 NE (Est 879 NE),SOSTENIMIENTO</v>
      </c>
      <c r="D588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8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80" s="71" t="s">
        <v>11870</v>
      </c>
      <c r="G5880" s="71" t="s">
        <v>11865</v>
      </c>
      <c r="H58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81" spans="1:8" ht="15" customHeight="1" x14ac:dyDescent="0.25">
      <c r="A5881" s="1" t="str">
        <f>MID(TB_CECO[[#This Row],[CECO_T]],1,5)</f>
        <v>1N58H</v>
      </c>
      <c r="B5881" s="1" t="str">
        <f>MID(TB_CECO[[#This Row],[TRABAJO]],1,SEARCH(",",TB_CECO[[#This Row],[TRABAJO]],1)-1)</f>
        <v>Snv 879 NE (Est 879 NE)</v>
      </c>
      <c r="C588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879 NE (Est 879 NE),SERVICIO</v>
      </c>
      <c r="D588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8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81" s="71" t="s">
        <v>11871</v>
      </c>
      <c r="G5881" s="71" t="s">
        <v>11866</v>
      </c>
      <c r="H58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82" spans="1:8" ht="15" customHeight="1" x14ac:dyDescent="0.25">
      <c r="A5882" s="1" t="str">
        <f>MID(TB_CECO[[#This Row],[CECO_T]],1,5)</f>
        <v>1N58J</v>
      </c>
      <c r="B5882" s="1" t="str">
        <f>MID(TB_CECO[[#This Row],[TRABAJO]],1,SEARCH(",",TB_CECO[[#This Row],[TRABAJO]],1)-1)</f>
        <v>Snv 899 SW (Tj 898 NE) </v>
      </c>
      <c r="C588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899 SW (Tj 898 NE) ,PERFORACION</v>
      </c>
      <c r="D588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8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82" s="166" t="s">
        <v>11873</v>
      </c>
      <c r="G5882" s="167" t="s">
        <v>11878</v>
      </c>
      <c r="H58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83" spans="1:8" ht="15" customHeight="1" x14ac:dyDescent="0.25">
      <c r="A5883" s="1" t="str">
        <f>MID(TB_CECO[[#This Row],[CECO_T]],1,5)</f>
        <v>1N58J</v>
      </c>
      <c r="B5883" s="1" t="str">
        <f>MID(TB_CECO[[#This Row],[TRABAJO]],1,SEARCH(",",TB_CECO[[#This Row],[TRABAJO]],1)-1)</f>
        <v>Snv 899 SW (Tj 898 NE) </v>
      </c>
      <c r="C588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899 SW (Tj 898 NE) ,VOLADURA</v>
      </c>
      <c r="D588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8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83" s="166" t="s">
        <v>11874</v>
      </c>
      <c r="G5883" s="167" t="s">
        <v>11879</v>
      </c>
      <c r="H58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84" spans="1:8" ht="15" customHeight="1" x14ac:dyDescent="0.25">
      <c r="A5884" s="1" t="str">
        <f>MID(TB_CECO[[#This Row],[CECO_T]],1,5)</f>
        <v>1N58J</v>
      </c>
      <c r="B5884" s="1" t="str">
        <f>MID(TB_CECO[[#This Row],[TRABAJO]],1,SEARCH(",",TB_CECO[[#This Row],[TRABAJO]],1)-1)</f>
        <v>Snv 899 SW (Tj 898 NE) </v>
      </c>
      <c r="C588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899 SW (Tj 898 NE) ,LIMPIEZA</v>
      </c>
      <c r="D588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8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84" s="166" t="s">
        <v>11875</v>
      </c>
      <c r="G5884" s="167" t="s">
        <v>11880</v>
      </c>
      <c r="H58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85" spans="1:8" ht="15" customHeight="1" x14ac:dyDescent="0.25">
      <c r="A5885" s="1" t="str">
        <f>MID(TB_CECO[[#This Row],[CECO_T]],1,5)</f>
        <v>1N58J</v>
      </c>
      <c r="B5885" s="1" t="str">
        <f>MID(TB_CECO[[#This Row],[TRABAJO]],1,SEARCH(",",TB_CECO[[#This Row],[TRABAJO]],1)-1)</f>
        <v>Snv 899 SW (Tj 898 NE) </v>
      </c>
      <c r="C588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899 SW (Tj 898 NE) ,SOSTENIMIENTO</v>
      </c>
      <c r="D588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8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85" s="166" t="s">
        <v>11876</v>
      </c>
      <c r="G5885" s="167" t="s">
        <v>11881</v>
      </c>
      <c r="H58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86" spans="1:8" ht="15" customHeight="1" x14ac:dyDescent="0.25">
      <c r="A5886" s="1" t="str">
        <f>MID(TB_CECO[[#This Row],[CECO_T]],1,5)</f>
        <v>1N58J</v>
      </c>
      <c r="B5886" s="1" t="s">
        <v>11903</v>
      </c>
      <c r="C588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899 SW (Tj 898 NE) ,SERVICIO</v>
      </c>
      <c r="D588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8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86" s="166" t="s">
        <v>11877</v>
      </c>
      <c r="G5886" s="167" t="s">
        <v>11882</v>
      </c>
      <c r="H58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87" spans="1:8" ht="15" customHeight="1" x14ac:dyDescent="0.25">
      <c r="A5887" s="1" t="str">
        <f>MID(TB_CECO[[#This Row],[CECO_T]],1,5)</f>
        <v>1N62I</v>
      </c>
      <c r="B5887" s="1" t="str">
        <f>MID(TB_CECO[[#This Row],[TRABAJO]],1,SEARCH(",",TB_CECO[[#This Row],[TRABAJO]],1)-1)</f>
        <v>Est 879 SE (Snv 879 NE)</v>
      </c>
      <c r="C588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SE (Snv 879 NE),PERFORACION</v>
      </c>
      <c r="D588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8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87" s="166" t="s">
        <v>11883</v>
      </c>
      <c r="G5887" s="167" t="s">
        <v>11884</v>
      </c>
      <c r="H58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88" spans="1:8" ht="15" customHeight="1" x14ac:dyDescent="0.25">
      <c r="A5888" s="1" t="str">
        <f>MID(TB_CECO[[#This Row],[CECO_T]],1,5)</f>
        <v>1N62I</v>
      </c>
      <c r="B5888" s="1" t="str">
        <f>MID(TB_CECO[[#This Row],[TRABAJO]],1,SEARCH(",",TB_CECO[[#This Row],[TRABAJO]],1)-1)</f>
        <v>Est 879 SE (Snv 879 NE)</v>
      </c>
      <c r="C588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SE (Snv 879 NE),VOLADURA</v>
      </c>
      <c r="D588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8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88" s="166" t="s">
        <v>11885</v>
      </c>
      <c r="G5888" s="167" t="s">
        <v>11886</v>
      </c>
      <c r="H58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89" spans="1:8" ht="15" customHeight="1" x14ac:dyDescent="0.25">
      <c r="A5889" s="1" t="str">
        <f>MID(TB_CECO[[#This Row],[CECO_T]],1,5)</f>
        <v>1N62I</v>
      </c>
      <c r="B5889" s="1" t="str">
        <f>MID(TB_CECO[[#This Row],[TRABAJO]],1,SEARCH(",",TB_CECO[[#This Row],[TRABAJO]],1)-1)</f>
        <v>Est 879 SE (Snv 879 NE)</v>
      </c>
      <c r="C588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SE (Snv 879 NE),LIMPIEZA</v>
      </c>
      <c r="D588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8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89" s="166" t="s">
        <v>11887</v>
      </c>
      <c r="G5889" s="167" t="s">
        <v>11888</v>
      </c>
      <c r="H58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90" spans="1:8" ht="15" customHeight="1" x14ac:dyDescent="0.25">
      <c r="A5890" s="1" t="str">
        <f>MID(TB_CECO[[#This Row],[CECO_T]],1,5)</f>
        <v>1N62I</v>
      </c>
      <c r="B5890" s="1" t="str">
        <f>MID(TB_CECO[[#This Row],[TRABAJO]],1,SEARCH(",",TB_CECO[[#This Row],[TRABAJO]],1)-1)</f>
        <v>Est 879 SE (Snv 879 NE)</v>
      </c>
      <c r="C589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SE (Snv 879 NE),SOSTENIMIENTO</v>
      </c>
      <c r="D589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9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90" s="166" t="s">
        <v>11889</v>
      </c>
      <c r="G5890" s="167" t="s">
        <v>11890</v>
      </c>
      <c r="H58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91" spans="1:8" ht="15" customHeight="1" x14ac:dyDescent="0.25">
      <c r="A5891" s="1" t="str">
        <f>MID(TB_CECO[[#This Row],[CECO_T]],1,5)</f>
        <v>1N62I</v>
      </c>
      <c r="B5891" s="1" t="str">
        <f>MID(TB_CECO[[#This Row],[TRABAJO]],1,SEARCH(",",TB_CECO[[#This Row],[TRABAJO]],1)-1)</f>
        <v>Est 879 SE (Snv 879 NE)</v>
      </c>
      <c r="C589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879 SE (Snv 879 NE),SERVICIO</v>
      </c>
      <c r="D589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9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91" s="166" t="s">
        <v>11891</v>
      </c>
      <c r="G5891" s="167" t="s">
        <v>11892</v>
      </c>
      <c r="H58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92" spans="1:8" ht="15" customHeight="1" x14ac:dyDescent="0.25">
      <c r="A5892" s="1" t="str">
        <f>MID(TB_CECO[[#This Row],[CECO_T]],1,5)</f>
        <v>1D62J</v>
      </c>
      <c r="B5892" s="1" t="str">
        <f>MID(TB_CECO[[#This Row],[TRABAJO]],1,SEARCH(",",TB_CECO[[#This Row],[TRABAJO]],1)-1)</f>
        <v xml:space="preserve">Est 970 NE (Snv 885 NE) </v>
      </c>
      <c r="C589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970 NE (Snv 885 NE) ,PERFORACION</v>
      </c>
      <c r="D589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9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92" s="166" t="s">
        <v>11893</v>
      </c>
      <c r="G5892" s="167" t="s">
        <v>11894</v>
      </c>
      <c r="H58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93" spans="1:8" ht="15" customHeight="1" x14ac:dyDescent="0.25">
      <c r="A5893" s="1" t="str">
        <f>MID(TB_CECO[[#This Row],[CECO_T]],1,5)</f>
        <v>1D62J</v>
      </c>
      <c r="B5893" s="1" t="str">
        <f>MID(TB_CECO[[#This Row],[TRABAJO]],1,SEARCH(",",TB_CECO[[#This Row],[TRABAJO]],1)-1)</f>
        <v xml:space="preserve">Est 970 NE (Snv 885 NE) </v>
      </c>
      <c r="C589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970 NE (Snv 885 NE) ,VOLADURA</v>
      </c>
      <c r="D589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9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93" s="166" t="s">
        <v>11895</v>
      </c>
      <c r="G5893" s="167" t="s">
        <v>11896</v>
      </c>
      <c r="H58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94" spans="1:8" ht="15" customHeight="1" x14ac:dyDescent="0.25">
      <c r="A5894" s="1" t="str">
        <f>MID(TB_CECO[[#This Row],[CECO_T]],1,5)</f>
        <v>1D62J</v>
      </c>
      <c r="B5894" s="1" t="str">
        <f>MID(TB_CECO[[#This Row],[TRABAJO]],1,SEARCH(",",TB_CECO[[#This Row],[TRABAJO]],1)-1)</f>
        <v xml:space="preserve">Est 970 NE (Snv 885 NE) </v>
      </c>
      <c r="C589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970 NE (Snv 885 NE) ,LIMPIEZA</v>
      </c>
      <c r="D589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9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94" s="166" t="s">
        <v>11897</v>
      </c>
      <c r="G5894" s="167" t="s">
        <v>11898</v>
      </c>
      <c r="H58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95" spans="1:8" ht="15" customHeight="1" x14ac:dyDescent="0.25">
      <c r="A5895" s="1" t="str">
        <f>MID(TB_CECO[[#This Row],[CECO_T]],1,5)</f>
        <v>1D62J</v>
      </c>
      <c r="B5895" s="1" t="str">
        <f>MID(TB_CECO[[#This Row],[TRABAJO]],1,SEARCH(",",TB_CECO[[#This Row],[TRABAJO]],1)-1)</f>
        <v xml:space="preserve">Est 970 NE (Snv 885 NE) </v>
      </c>
      <c r="C589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970 NE (Snv 885 NE) ,SOSTENIMIENTO</v>
      </c>
      <c r="D589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9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95" s="166" t="s">
        <v>11899</v>
      </c>
      <c r="G5895" s="167" t="s">
        <v>11900</v>
      </c>
      <c r="H58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96" spans="1:8" ht="15" customHeight="1" x14ac:dyDescent="0.25">
      <c r="A5896" s="1" t="str">
        <f>MID(TB_CECO[[#This Row],[CECO_T]],1,5)</f>
        <v>1D62J</v>
      </c>
      <c r="B5896" s="1" t="str">
        <f>MID(TB_CECO[[#This Row],[TRABAJO]],1,SEARCH(",",TB_CECO[[#This Row],[TRABAJO]],1)-1)</f>
        <v xml:space="preserve">Est 970 NE (Snv 885 NE) </v>
      </c>
      <c r="C589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970 NE (Snv 885 NE) ,SERVICIO</v>
      </c>
      <c r="D589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89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96" s="166" t="s">
        <v>11901</v>
      </c>
      <c r="G5896" s="167" t="s">
        <v>11902</v>
      </c>
      <c r="H58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97" spans="1:8" ht="15" customHeight="1" x14ac:dyDescent="0.25">
      <c r="A5897" s="1" t="str">
        <f>MID(TB_CECO[[#This Row],[CECO_T]],1,5)</f>
        <v>1N32Q</v>
      </c>
      <c r="B5897" s="1" t="str">
        <f>MID(TB_CECO[[#This Row],[TRABAJO]],1,SEARCH(",",TB_CECO[[#This Row],[TRABAJO]],1)-1)</f>
        <v xml:space="preserve">Ch 911 (Snv 879 NE) </v>
      </c>
      <c r="C589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911 (Snv 879 NE) ,PERFORACION</v>
      </c>
      <c r="D589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9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97" s="166" t="s">
        <v>11914</v>
      </c>
      <c r="G5897" s="103" t="s">
        <v>11915</v>
      </c>
      <c r="H58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98" spans="1:8" ht="15" customHeight="1" x14ac:dyDescent="0.25">
      <c r="A5898" s="1" t="str">
        <f>MID(TB_CECO[[#This Row],[CECO_T]],1,5)</f>
        <v>1N32Q</v>
      </c>
      <c r="B5898" s="1" t="str">
        <f>MID(TB_CECO[[#This Row],[TRABAJO]],1,SEARCH(",",TB_CECO[[#This Row],[TRABAJO]],1)-1)</f>
        <v xml:space="preserve">Ch 911 (Snv 879 NE) </v>
      </c>
      <c r="C589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911 (Snv 879 NE) ,VOLADURA</v>
      </c>
      <c r="D589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9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98" s="166" t="s">
        <v>11916</v>
      </c>
      <c r="G5898" s="103" t="s">
        <v>11917</v>
      </c>
      <c r="H58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899" spans="1:8" ht="15" customHeight="1" x14ac:dyDescent="0.25">
      <c r="A5899" s="1" t="str">
        <f>MID(TB_CECO[[#This Row],[CECO_T]],1,5)</f>
        <v>1N32Q</v>
      </c>
      <c r="B5899" s="1" t="str">
        <f>MID(TB_CECO[[#This Row],[TRABAJO]],1,SEARCH(",",TB_CECO[[#This Row],[TRABAJO]],1)-1)</f>
        <v xml:space="preserve">Ch 911 (Snv 879 NE) </v>
      </c>
      <c r="C589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911 (Snv 879 NE) ,LIMPIEZA</v>
      </c>
      <c r="D589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89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899" s="166" t="s">
        <v>11918</v>
      </c>
      <c r="G5899" s="103" t="s">
        <v>11919</v>
      </c>
      <c r="H58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00" spans="1:8" ht="15" customHeight="1" x14ac:dyDescent="0.25">
      <c r="A5900" s="1" t="str">
        <f>MID(TB_CECO[[#This Row],[CECO_T]],1,5)</f>
        <v>1N32Q</v>
      </c>
      <c r="B5900" s="1" t="str">
        <f>MID(TB_CECO[[#This Row],[TRABAJO]],1,SEARCH(",",TB_CECO[[#This Row],[TRABAJO]],1)-1)</f>
        <v xml:space="preserve">Ch 911 (Snv 879 NE) </v>
      </c>
      <c r="C590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911 (Snv 879 NE) ,SOSTENIMIENTO</v>
      </c>
      <c r="D590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0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00" s="166" t="s">
        <v>11920</v>
      </c>
      <c r="G5900" s="103" t="s">
        <v>11921</v>
      </c>
      <c r="H59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01" spans="1:8" ht="15" customHeight="1" x14ac:dyDescent="0.25">
      <c r="A5901" s="1" t="str">
        <f>MID(TB_CECO[[#This Row],[CECO_T]],1,5)</f>
        <v>1N32Q</v>
      </c>
      <c r="B5901" s="1" t="str">
        <f>MID(TB_CECO[[#This Row],[TRABAJO]],1,SEARCH(",",TB_CECO[[#This Row],[TRABAJO]],1)-1)</f>
        <v xml:space="preserve">Ch 911 (Snv 879 NE) </v>
      </c>
      <c r="C590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911 (Snv 879 NE) ,SERVICIO</v>
      </c>
      <c r="D590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0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01" s="166" t="s">
        <v>11922</v>
      </c>
      <c r="G5901" s="103" t="s">
        <v>11923</v>
      </c>
      <c r="H59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02" spans="1:8" ht="15" customHeight="1" x14ac:dyDescent="0.25">
      <c r="A5902" s="1" t="str">
        <f>MID(TB_CECO[[#This Row],[CECO_T]],1,5)</f>
        <v>5N73O</v>
      </c>
      <c r="B5902" s="1" t="s">
        <v>11927</v>
      </c>
      <c r="C590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NE (Ch 911),PERFORACION</v>
      </c>
      <c r="D590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0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02" s="72" t="s">
        <v>11941</v>
      </c>
      <c r="G5902" t="s">
        <v>11929</v>
      </c>
      <c r="H59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03" spans="1:8" ht="15" customHeight="1" x14ac:dyDescent="0.25">
      <c r="A5903" s="1" t="str">
        <f>MID(TB_CECO[[#This Row],[CECO_T]],1,5)</f>
        <v>5N73O</v>
      </c>
      <c r="B5903" s="1" t="s">
        <v>11927</v>
      </c>
      <c r="C590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NE (Ch 911),VOLADURA</v>
      </c>
      <c r="D590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0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03" s="72" t="s">
        <v>11942</v>
      </c>
      <c r="G5903" t="s">
        <v>11930</v>
      </c>
      <c r="H59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04" spans="1:8" ht="15" customHeight="1" x14ac:dyDescent="0.25">
      <c r="A5904" s="1" t="str">
        <f>MID(TB_CECO[[#This Row],[CECO_T]],1,5)</f>
        <v>5N73O</v>
      </c>
      <c r="B5904" s="1" t="s">
        <v>11927</v>
      </c>
      <c r="C590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NE (Ch 911),LIMPIEZA</v>
      </c>
      <c r="D590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0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04" s="72" t="s">
        <v>11943</v>
      </c>
      <c r="G5904" t="s">
        <v>11931</v>
      </c>
      <c r="H59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05" spans="1:8" ht="15" customHeight="1" x14ac:dyDescent="0.25">
      <c r="A5905" s="1" t="str">
        <f>MID(TB_CECO[[#This Row],[CECO_T]],1,5)</f>
        <v>5N73O</v>
      </c>
      <c r="B5905" s="1" t="s">
        <v>11927</v>
      </c>
      <c r="C590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NE (Ch 911),SOSTENIMIENTO</v>
      </c>
      <c r="D590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0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05" s="72" t="s">
        <v>11944</v>
      </c>
      <c r="G5905" t="s">
        <v>11932</v>
      </c>
      <c r="H59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06" spans="1:8" ht="15" customHeight="1" x14ac:dyDescent="0.25">
      <c r="A5906" s="1" t="str">
        <f>MID(TB_CECO[[#This Row],[CECO_T]],1,5)</f>
        <v>5N73O</v>
      </c>
      <c r="B5906" s="1" t="s">
        <v>11927</v>
      </c>
      <c r="C590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NE (Ch 911),SERVICIO</v>
      </c>
      <c r="D590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0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06" s="72" t="s">
        <v>11945</v>
      </c>
      <c r="G5906" t="s">
        <v>11933</v>
      </c>
      <c r="H59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07" spans="1:8" ht="15" customHeight="1" x14ac:dyDescent="0.25">
      <c r="A5907" s="1" t="str">
        <f>MID(TB_CECO[[#This Row],[CECO_T]],1,5)</f>
        <v>5N73O</v>
      </c>
      <c r="B5907" s="1" t="s">
        <v>11927</v>
      </c>
      <c r="C590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NE (Ch 911),RELLENO</v>
      </c>
      <c r="D590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0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07" s="72" t="s">
        <v>11946</v>
      </c>
      <c r="G5907" t="s">
        <v>11934</v>
      </c>
      <c r="H59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08" spans="1:8" ht="15" customHeight="1" x14ac:dyDescent="0.25">
      <c r="A5908" s="1" t="str">
        <f>MID(TB_CECO[[#This Row],[CECO_T]],1,5)</f>
        <v>5N73P</v>
      </c>
      <c r="B5908" s="1" t="s">
        <v>11928</v>
      </c>
      <c r="C590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SW (Ch 911),PERFORACION</v>
      </c>
      <c r="D590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0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08" s="72" t="s">
        <v>11947</v>
      </c>
      <c r="G5908" t="s">
        <v>11935</v>
      </c>
      <c r="H59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09" spans="1:8" ht="15" customHeight="1" x14ac:dyDescent="0.25">
      <c r="A5909" s="1" t="str">
        <f>MID(TB_CECO[[#This Row],[CECO_T]],1,5)</f>
        <v>5N73P</v>
      </c>
      <c r="B5909" s="1" t="s">
        <v>11928</v>
      </c>
      <c r="C590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SW (Ch 911),VOLADURA</v>
      </c>
      <c r="D590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0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09" s="72" t="s">
        <v>11948</v>
      </c>
      <c r="G5909" t="s">
        <v>11936</v>
      </c>
      <c r="H59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10" spans="1:8" ht="15" customHeight="1" x14ac:dyDescent="0.25">
      <c r="A5910" s="1" t="str">
        <f>MID(TB_CECO[[#This Row],[CECO_T]],1,5)</f>
        <v>5N73P</v>
      </c>
      <c r="B5910" s="1" t="s">
        <v>11928</v>
      </c>
      <c r="C591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SW (Ch 911),LIMPIEZA</v>
      </c>
      <c r="D591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1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10" s="72" t="s">
        <v>11949</v>
      </c>
      <c r="G5910" t="s">
        <v>11937</v>
      </c>
      <c r="H59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11" spans="1:8" ht="15" customHeight="1" x14ac:dyDescent="0.25">
      <c r="A5911" s="1" t="str">
        <f>MID(TB_CECO[[#This Row],[CECO_T]],1,5)</f>
        <v>5N73P</v>
      </c>
      <c r="B5911" s="1" t="s">
        <v>11928</v>
      </c>
      <c r="C591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SW (Ch 911),SOSTENIMIENTO</v>
      </c>
      <c r="D591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1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11" s="72" t="s">
        <v>11950</v>
      </c>
      <c r="G5911" t="s">
        <v>11938</v>
      </c>
      <c r="H59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12" spans="1:8" ht="15" customHeight="1" x14ac:dyDescent="0.25">
      <c r="A5912" s="1" t="str">
        <f>MID(TB_CECO[[#This Row],[CECO_T]],1,5)</f>
        <v>5N73P</v>
      </c>
      <c r="B5912" s="1" t="s">
        <v>11928</v>
      </c>
      <c r="C591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SW (Ch 911),SERVICIO</v>
      </c>
      <c r="D591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1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12" s="72" t="s">
        <v>11951</v>
      </c>
      <c r="G5912" t="s">
        <v>11939</v>
      </c>
      <c r="H59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13" spans="1:8" ht="15" customHeight="1" x14ac:dyDescent="0.25">
      <c r="A5913" s="1" t="str">
        <f>MID(TB_CECO[[#This Row],[CECO_T]],1,5)</f>
        <v>5N73P</v>
      </c>
      <c r="B5913" s="1" t="s">
        <v>11928</v>
      </c>
      <c r="C591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888 SW (Ch 911),RELLENO</v>
      </c>
      <c r="D591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1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13" s="72" t="s">
        <v>11952</v>
      </c>
      <c r="G5913" t="s">
        <v>11940</v>
      </c>
      <c r="H59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14" spans="1:8" ht="15" customHeight="1" x14ac:dyDescent="0.25">
      <c r="A5914" s="1" t="str">
        <f>MID(TB_CECO[[#This Row],[CECO_T]],1,5)</f>
        <v>1N58L</v>
      </c>
      <c r="B5914" s="1" t="s">
        <v>11953</v>
      </c>
      <c r="C591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(Tj 888 SW),PERFORACION</v>
      </c>
      <c r="D591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1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14" s="72" t="s">
        <v>11959</v>
      </c>
      <c r="G5914" t="s">
        <v>11954</v>
      </c>
      <c r="H59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15" spans="1:8" ht="15" customHeight="1" x14ac:dyDescent="0.25">
      <c r="A5915" s="1" t="str">
        <f>MID(TB_CECO[[#This Row],[CECO_T]],1,5)</f>
        <v>1N58L</v>
      </c>
      <c r="B5915" s="1" t="s">
        <v>11953</v>
      </c>
      <c r="C591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(Tj 888 SW),VOLADURA</v>
      </c>
      <c r="D591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1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15" s="72" t="s">
        <v>11960</v>
      </c>
      <c r="G5915" t="s">
        <v>11955</v>
      </c>
      <c r="H59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16" spans="1:8" ht="15" customHeight="1" x14ac:dyDescent="0.25">
      <c r="A5916" s="1" t="str">
        <f>MID(TB_CECO[[#This Row],[CECO_T]],1,5)</f>
        <v>1N58L</v>
      </c>
      <c r="B5916" s="1" t="s">
        <v>11953</v>
      </c>
      <c r="C591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(Tj 888 SW),LIMPIEZA</v>
      </c>
      <c r="D591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1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16" s="72" t="s">
        <v>11961</v>
      </c>
      <c r="G5916" t="s">
        <v>11956</v>
      </c>
      <c r="H59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17" spans="1:8" ht="15" customHeight="1" x14ac:dyDescent="0.25">
      <c r="A5917" s="1" t="str">
        <f>MID(TB_CECO[[#This Row],[CECO_T]],1,5)</f>
        <v>1N58L</v>
      </c>
      <c r="B5917" s="1" t="s">
        <v>11953</v>
      </c>
      <c r="C591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(Tj 888 SW),SOSTENIMIENTO</v>
      </c>
      <c r="D591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1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17" s="72" t="s">
        <v>11962</v>
      </c>
      <c r="G5917" t="s">
        <v>11957</v>
      </c>
      <c r="H59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18" spans="1:8" ht="15" customHeight="1" x14ac:dyDescent="0.25">
      <c r="A5918" s="1" t="str">
        <f>MID(TB_CECO[[#This Row],[CECO_T]],1,5)</f>
        <v>1N58L</v>
      </c>
      <c r="B5918" s="1" t="s">
        <v>11953</v>
      </c>
      <c r="C591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890 SW (Tj 888 SW),SERVICIO</v>
      </c>
      <c r="D591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1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18" s="72" t="s">
        <v>11963</v>
      </c>
      <c r="G5918" t="s">
        <v>11958</v>
      </c>
      <c r="H59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19" spans="1:8" ht="15" customHeight="1" x14ac:dyDescent="0.25">
      <c r="A5919" s="1" t="s">
        <v>11974</v>
      </c>
      <c r="B5919" s="1" t="s">
        <v>11975</v>
      </c>
      <c r="C591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890 (Tj 888 SW) ,PERFORACION</v>
      </c>
      <c r="D591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1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19" s="1" t="s">
        <v>11964</v>
      </c>
      <c r="G5919" s="103" t="s">
        <v>11969</v>
      </c>
      <c r="H59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20" spans="1:8" ht="15" customHeight="1" x14ac:dyDescent="0.25">
      <c r="A5920" s="1" t="s">
        <v>11974</v>
      </c>
      <c r="B5920" s="1" t="s">
        <v>11975</v>
      </c>
      <c r="C592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890 (Tj 888 SW) ,VOLADURA</v>
      </c>
      <c r="D592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2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20" s="1" t="s">
        <v>11965</v>
      </c>
      <c r="G5920" s="103" t="s">
        <v>11970</v>
      </c>
      <c r="H59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21" spans="1:8" ht="15" customHeight="1" x14ac:dyDescent="0.25">
      <c r="A5921" s="1" t="s">
        <v>11974</v>
      </c>
      <c r="B5921" s="1" t="s">
        <v>11975</v>
      </c>
      <c r="C592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890 (Tj 888 SW) ,LIMPIEZA</v>
      </c>
      <c r="D592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2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21" s="1" t="s">
        <v>11966</v>
      </c>
      <c r="G5921" s="103" t="s">
        <v>11971</v>
      </c>
      <c r="H59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22" spans="1:8" ht="15" customHeight="1" x14ac:dyDescent="0.25">
      <c r="A5922" s="1" t="s">
        <v>11974</v>
      </c>
      <c r="B5922" s="1" t="s">
        <v>11975</v>
      </c>
      <c r="C592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890 (Tj 888 SW) ,SOSTENIMIENTO</v>
      </c>
      <c r="D592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2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22" s="1" t="s">
        <v>11967</v>
      </c>
      <c r="G5922" s="103" t="s">
        <v>11972</v>
      </c>
      <c r="H59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23" spans="1:8" ht="15" customHeight="1" x14ac:dyDescent="0.25">
      <c r="A5923" s="1" t="s">
        <v>11974</v>
      </c>
      <c r="B5923" s="1" t="s">
        <v>11975</v>
      </c>
      <c r="C592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890 (Tj 888 SW) ,SERVICIO</v>
      </c>
      <c r="D592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2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23" s="1" t="s">
        <v>11968</v>
      </c>
      <c r="G5923" s="103" t="s">
        <v>11973</v>
      </c>
      <c r="H592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24" spans="1:8" ht="15" customHeight="1" x14ac:dyDescent="0.25">
      <c r="A5924" s="1" t="str">
        <f>MID(TB_CECO[[#This Row],[CECO_T]],1,5)</f>
        <v>1D58M</v>
      </c>
      <c r="B5924" s="1" t="str">
        <f>MID(TB_CECO[[#This Row],[TRABAJO]],1,SEARCH(",",TB_CECO[[#This Row],[TRABAJO]],1)-1)</f>
        <v>Snv 970 SW (Est 970 NE) </v>
      </c>
      <c r="C592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970 SW (Est 970 NE) ,PERFORACION</v>
      </c>
      <c r="D592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2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24" s="81" t="s">
        <v>11977</v>
      </c>
      <c r="G5924" s="103" t="s">
        <v>11978</v>
      </c>
      <c r="H592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25" spans="1:8" ht="15" customHeight="1" x14ac:dyDescent="0.25">
      <c r="A5925" s="1" t="str">
        <f>MID(TB_CECO[[#This Row],[CECO_T]],1,5)</f>
        <v>1D58M</v>
      </c>
      <c r="B5925" s="1" t="str">
        <f>MID(TB_CECO[[#This Row],[TRABAJO]],1,SEARCH(",",TB_CECO[[#This Row],[TRABAJO]],1)-1)</f>
        <v>Snv 970 SW (Est 970 NE) </v>
      </c>
      <c r="C592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970 SW (Est 970 NE) ,VOLADURA</v>
      </c>
      <c r="D592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2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25" s="81" t="s">
        <v>11979</v>
      </c>
      <c r="G5925" s="103" t="s">
        <v>11980</v>
      </c>
      <c r="H592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26" spans="1:8" ht="15" customHeight="1" x14ac:dyDescent="0.25">
      <c r="A5926" s="1" t="str">
        <f>MID(TB_CECO[[#This Row],[CECO_T]],1,5)</f>
        <v>1D58M</v>
      </c>
      <c r="B5926" s="1" t="str">
        <f>MID(TB_CECO[[#This Row],[TRABAJO]],1,SEARCH(",",TB_CECO[[#This Row],[TRABAJO]],1)-1)</f>
        <v>Snv 970 SW (Est 970 NE) </v>
      </c>
      <c r="C592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970 SW (Est 970 NE) ,LIMPIEZA</v>
      </c>
      <c r="D592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2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26" s="81" t="s">
        <v>11981</v>
      </c>
      <c r="G5926" s="103" t="s">
        <v>11982</v>
      </c>
      <c r="H592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27" spans="1:8" ht="15" customHeight="1" x14ac:dyDescent="0.25">
      <c r="A5927" s="1" t="str">
        <f>MID(TB_CECO[[#This Row],[CECO_T]],1,5)</f>
        <v>1D58M</v>
      </c>
      <c r="B5927" s="1" t="str">
        <f>MID(TB_CECO[[#This Row],[TRABAJO]],1,SEARCH(",",TB_CECO[[#This Row],[TRABAJO]],1)-1)</f>
        <v>Snv 970 SW (Est 970 NE) </v>
      </c>
      <c r="C592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970 SW (Est 970 NE) ,SOSTENIMIENTO</v>
      </c>
      <c r="D592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2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27" s="81" t="s">
        <v>11983</v>
      </c>
      <c r="G5927" s="103" t="s">
        <v>11984</v>
      </c>
      <c r="H592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28" spans="1:8" ht="15" customHeight="1" x14ac:dyDescent="0.25">
      <c r="A5928" s="1" t="str">
        <f>MID(TB_CECO[[#This Row],[CECO_T]],1,5)</f>
        <v>1D58M</v>
      </c>
      <c r="B5928" s="1" t="str">
        <f>MID(TB_CECO[[#This Row],[TRABAJO]],1,SEARCH(",",TB_CECO[[#This Row],[TRABAJO]],1)-1)</f>
        <v>Snv 970 SW (Est 970 NE) </v>
      </c>
      <c r="C592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970 SW (Est 970 NE) ,SERVICIO</v>
      </c>
      <c r="D592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2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28" s="81" t="s">
        <v>11985</v>
      </c>
      <c r="G5928" s="103" t="s">
        <v>11986</v>
      </c>
      <c r="H592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29" spans="1:8" ht="15" customHeight="1" x14ac:dyDescent="0.25">
      <c r="A5929" s="1" t="str">
        <f>MID(TB_CECO[[#This Row],[CECO_T]],1,5)</f>
        <v>1D58N</v>
      </c>
      <c r="B5929" s="1" t="str">
        <f>MID(TB_CECO[[#This Row],[TRABAJO]],1,SEARCH(",",TB_CECO[[#This Row],[TRABAJO]],1)-1)</f>
        <v>Snv 970 NE (Est 970 NE) </v>
      </c>
      <c r="C592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970 NE (Est 970 NE) ,PERFORACION</v>
      </c>
      <c r="D592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2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29" s="81" t="s">
        <v>11987</v>
      </c>
      <c r="G5929" s="103" t="s">
        <v>11988</v>
      </c>
      <c r="H592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30" spans="1:8" ht="15" customHeight="1" x14ac:dyDescent="0.25">
      <c r="A5930" s="1" t="str">
        <f>MID(TB_CECO[[#This Row],[CECO_T]],1,5)</f>
        <v>1D58N</v>
      </c>
      <c r="B5930" s="1" t="str">
        <f>MID(TB_CECO[[#This Row],[TRABAJO]],1,SEARCH(",",TB_CECO[[#This Row],[TRABAJO]],1)-1)</f>
        <v>Snv 970 NE (Est 970 NE) </v>
      </c>
      <c r="C593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970 NE (Est 970 NE) ,VOLADURA</v>
      </c>
      <c r="D593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3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30" s="81" t="s">
        <v>11989</v>
      </c>
      <c r="G5930" s="103" t="s">
        <v>11990</v>
      </c>
      <c r="H593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31" spans="1:8" ht="15" customHeight="1" x14ac:dyDescent="0.25">
      <c r="A5931" s="1" t="str">
        <f>MID(TB_CECO[[#This Row],[CECO_T]],1,5)</f>
        <v>1D58N</v>
      </c>
      <c r="B5931" s="1" t="str">
        <f>MID(TB_CECO[[#This Row],[TRABAJO]],1,SEARCH(",",TB_CECO[[#This Row],[TRABAJO]],1)-1)</f>
        <v>Snv 970 NE (Est 970 NE) </v>
      </c>
      <c r="C593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970 NE (Est 970 NE) ,LIMPIEZA</v>
      </c>
      <c r="D593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3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31" s="81" t="s">
        <v>11991</v>
      </c>
      <c r="G5931" s="103" t="s">
        <v>11992</v>
      </c>
      <c r="H593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32" spans="1:8" ht="15" customHeight="1" x14ac:dyDescent="0.25">
      <c r="A5932" s="1" t="str">
        <f>MID(TB_CECO[[#This Row],[CECO_T]],1,5)</f>
        <v>1D58N</v>
      </c>
      <c r="B5932" s="1" t="str">
        <f>MID(TB_CECO[[#This Row],[TRABAJO]],1,SEARCH(",",TB_CECO[[#This Row],[TRABAJO]],1)-1)</f>
        <v>Snv 970 NE (Est 970 NE) </v>
      </c>
      <c r="C593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970 NE (Est 970 NE) ,SOSTENIMIENTO</v>
      </c>
      <c r="D593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3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32" s="81" t="s">
        <v>11993</v>
      </c>
      <c r="G5932" s="103" t="s">
        <v>11994</v>
      </c>
      <c r="H593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33" spans="1:8" ht="15" customHeight="1" x14ac:dyDescent="0.25">
      <c r="A5933" s="1" t="str">
        <f>MID(TB_CECO[[#This Row],[CECO_T]],1,5)</f>
        <v>1D58N</v>
      </c>
      <c r="B5933" s="1" t="str">
        <f>MID(TB_CECO[[#This Row],[TRABAJO]],1,SEARCH(",",TB_CECO[[#This Row],[TRABAJO]],1)-1)</f>
        <v>Snv 970 NE (Est 970 NE) </v>
      </c>
      <c r="C593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970 NE (Est 970 NE) ,SERVICIO</v>
      </c>
      <c r="D593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3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33" s="81" t="s">
        <v>11995</v>
      </c>
      <c r="G5933" s="103" t="s">
        <v>11996</v>
      </c>
      <c r="H59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34" spans="1:8" x14ac:dyDescent="0.25">
      <c r="A5934" s="1" t="str">
        <f>MID(TB_CECO[[#This Row],[CECO_T]],1,5)</f>
        <v>1D58O</v>
      </c>
      <c r="B5934" s="1" t="str">
        <f>MID(TB_CECO[[#This Row],[TRABAJO]],1,SEARCH(",",TB_CECO[[#This Row],[TRABAJO]],1)-1)</f>
        <v>Snv 995 NE (Est 970 NE)</v>
      </c>
      <c r="C593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995 NE (Est 970 NE),PERFORACION</v>
      </c>
      <c r="D593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3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34" s="72" t="s">
        <v>11997</v>
      </c>
      <c r="G5934" t="s">
        <v>11998</v>
      </c>
      <c r="H59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35" spans="1:8" x14ac:dyDescent="0.25">
      <c r="A5935" s="1" t="str">
        <f>MID(TB_CECO[[#This Row],[CECO_T]],1,5)</f>
        <v>1D58O</v>
      </c>
      <c r="B5935" s="1" t="str">
        <f>MID(TB_CECO[[#This Row],[TRABAJO]],1,SEARCH(",",TB_CECO[[#This Row],[TRABAJO]],1)-1)</f>
        <v>Snv 995 NE (Est 970 NE)</v>
      </c>
      <c r="C593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995 NE (Est 970 NE),VOLADURA</v>
      </c>
      <c r="D593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3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35" s="72" t="s">
        <v>11999</v>
      </c>
      <c r="G5935" t="s">
        <v>12000</v>
      </c>
      <c r="H59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36" spans="1:8" x14ac:dyDescent="0.25">
      <c r="A5936" s="1" t="str">
        <f>MID(TB_CECO[[#This Row],[CECO_T]],1,5)</f>
        <v>1D58O</v>
      </c>
      <c r="B5936" s="1" t="str">
        <f>MID(TB_CECO[[#This Row],[TRABAJO]],1,SEARCH(",",TB_CECO[[#This Row],[TRABAJO]],1)-1)</f>
        <v>Snv 995 NE (Est 970 NE)</v>
      </c>
      <c r="C593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995 NE (Est 970 NE),LIMPIEZA</v>
      </c>
      <c r="D593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3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36" s="72" t="s">
        <v>12001</v>
      </c>
      <c r="G5936" t="s">
        <v>12002</v>
      </c>
      <c r="H59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37" spans="1:8" x14ac:dyDescent="0.25">
      <c r="A5937" s="1" t="str">
        <f>MID(TB_CECO[[#This Row],[CECO_T]],1,5)</f>
        <v>1D58O</v>
      </c>
      <c r="B5937" s="1" t="str">
        <f>MID(TB_CECO[[#This Row],[TRABAJO]],1,SEARCH(",",TB_CECO[[#This Row],[TRABAJO]],1)-1)</f>
        <v>Snv 995 NE (Est 970 NE)</v>
      </c>
      <c r="C593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995 NE (Est 970 NE),SOSTENIMIENTO</v>
      </c>
      <c r="D593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3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37" s="72" t="s">
        <v>12003</v>
      </c>
      <c r="G5937" t="s">
        <v>12004</v>
      </c>
      <c r="H59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38" spans="1:8" x14ac:dyDescent="0.25">
      <c r="A5938" s="1" t="str">
        <f>MID(TB_CECO[[#This Row],[CECO_T]],1,5)</f>
        <v>1D58O</v>
      </c>
      <c r="B5938" s="1" t="str">
        <f>MID(TB_CECO[[#This Row],[TRABAJO]],1,SEARCH(",",TB_CECO[[#This Row],[TRABAJO]],1)-1)</f>
        <v>Snv 995 NE (Est 970 NE)</v>
      </c>
      <c r="C593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995 NE (Est 970 NE),SERVICIO</v>
      </c>
      <c r="D593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3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38" s="72" t="s">
        <v>12005</v>
      </c>
      <c r="G5938" t="s">
        <v>12006</v>
      </c>
      <c r="H59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39" spans="1:8" x14ac:dyDescent="0.25">
      <c r="A5939" s="1" t="str">
        <f>MID(TB_CECO[[#This Row],[CECO_T]],1,5)</f>
        <v>1D58P</v>
      </c>
      <c r="B5939" s="1" t="str">
        <f>MID(TB_CECO[[#This Row],[TRABAJO]],1,SEARCH(",",TB_CECO[[#This Row],[TRABAJO]],1)-1)</f>
        <v>Snv 995 SW (Est 970 NE)</v>
      </c>
      <c r="C593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995 SW (Est 970 NE),PERFORACION</v>
      </c>
      <c r="D593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3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39" s="72" t="s">
        <v>12007</v>
      </c>
      <c r="G5939" t="s">
        <v>12008</v>
      </c>
      <c r="H59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40" spans="1:8" x14ac:dyDescent="0.25">
      <c r="A5940" s="1" t="str">
        <f>MID(TB_CECO[[#This Row],[CECO_T]],1,5)</f>
        <v>1D58P</v>
      </c>
      <c r="B5940" s="1" t="str">
        <f>MID(TB_CECO[[#This Row],[TRABAJO]],1,SEARCH(",",TB_CECO[[#This Row],[TRABAJO]],1)-1)</f>
        <v>Snv 995 SW (Est 970 NE)</v>
      </c>
      <c r="C594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995 SW (Est 970 NE),VOLADURA</v>
      </c>
      <c r="D594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4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40" s="72" t="s">
        <v>12009</v>
      </c>
      <c r="G5940" t="s">
        <v>12010</v>
      </c>
      <c r="H59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41" spans="1:8" x14ac:dyDescent="0.25">
      <c r="A5941" s="1" t="str">
        <f>MID(TB_CECO[[#This Row],[CECO_T]],1,5)</f>
        <v>1D58P</v>
      </c>
      <c r="B5941" s="1" t="str">
        <f>MID(TB_CECO[[#This Row],[TRABAJO]],1,SEARCH(",",TB_CECO[[#This Row],[TRABAJO]],1)-1)</f>
        <v>Snv 995 SW (Est 970 NE)</v>
      </c>
      <c r="C594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995 SW (Est 970 NE),LIMPIEZA</v>
      </c>
      <c r="D594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4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41" s="72" t="s">
        <v>12011</v>
      </c>
      <c r="G5941" t="s">
        <v>12012</v>
      </c>
      <c r="H59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42" spans="1:8" x14ac:dyDescent="0.25">
      <c r="A5942" s="1" t="str">
        <f>MID(TB_CECO[[#This Row],[CECO_T]],1,5)</f>
        <v>1D58P</v>
      </c>
      <c r="B5942" s="1" t="str">
        <f>MID(TB_CECO[[#This Row],[TRABAJO]],1,SEARCH(",",TB_CECO[[#This Row],[TRABAJO]],1)-1)</f>
        <v>Snv 995 SW (Est 970 NE)</v>
      </c>
      <c r="C594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995 SW (Est 970 NE),SOSTENIMIENTO</v>
      </c>
      <c r="D594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4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42" s="72" t="s">
        <v>12013</v>
      </c>
      <c r="G5942" t="s">
        <v>12014</v>
      </c>
      <c r="H59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43" spans="1:8" x14ac:dyDescent="0.25">
      <c r="A5943" s="1" t="str">
        <f>MID(TB_CECO[[#This Row],[CECO_T]],1,5)</f>
        <v>1D58P</v>
      </c>
      <c r="B5943" s="1" t="str">
        <f>MID(TB_CECO[[#This Row],[TRABAJO]],1,SEARCH(",",TB_CECO[[#This Row],[TRABAJO]],1)-1)</f>
        <v>Snv 995 SW (Est 970 NE)</v>
      </c>
      <c r="C594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995 SW (Est 970 NE),SERVICIO</v>
      </c>
      <c r="D594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4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43" s="72" t="s">
        <v>12015</v>
      </c>
      <c r="G5943" t="s">
        <v>12016</v>
      </c>
      <c r="H594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44" spans="1:8" ht="15" customHeight="1" x14ac:dyDescent="0.25">
      <c r="A5944" s="1" t="str">
        <f>MID(TB_CECO[[#This Row],[CECO_T]],1,5)</f>
        <v>5E73L</v>
      </c>
      <c r="B5944" s="1" t="str">
        <f>MID(TB_CECO[[#This Row],[TRABAJO]],1,SEARCH(",",TB_CECO[[#This Row],[TRABAJO]],1)-1)</f>
        <v xml:space="preserve">Tj  876 NE (Snv 876 NE) </v>
      </c>
      <c r="C594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,PERFORACION</v>
      </c>
      <c r="D594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4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44" s="104" t="s">
        <v>11696</v>
      </c>
      <c r="G5944" s="105" t="s">
        <v>11757</v>
      </c>
      <c r="H594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45" spans="1:8" ht="15" customHeight="1" x14ac:dyDescent="0.25">
      <c r="A5945" s="1" t="str">
        <f>MID(TB_CECO[[#This Row],[CECO_T]],1,5)</f>
        <v>5E73L</v>
      </c>
      <c r="B5945" s="1" t="str">
        <f>MID(TB_CECO[[#This Row],[TRABAJO]],1,SEARCH(",",TB_CECO[[#This Row],[TRABAJO]],1)-1)</f>
        <v xml:space="preserve">Tj  876 NE (Snv 876 NE) </v>
      </c>
      <c r="C594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,VOLADURA</v>
      </c>
      <c r="D594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4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45" s="104" t="s">
        <v>11697</v>
      </c>
      <c r="G5945" s="105" t="s">
        <v>11758</v>
      </c>
      <c r="H594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46" spans="1:8" ht="15" customHeight="1" x14ac:dyDescent="0.25">
      <c r="A5946" s="1" t="str">
        <f>MID(TB_CECO[[#This Row],[CECO_T]],1,5)</f>
        <v>5E73L</v>
      </c>
      <c r="B5946" s="1" t="str">
        <f>MID(TB_CECO[[#This Row],[TRABAJO]],1,SEARCH(",",TB_CECO[[#This Row],[TRABAJO]],1)-1)</f>
        <v xml:space="preserve">Tj  876 NE (Snv 876 NE) </v>
      </c>
      <c r="C594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,LIMPIEZA</v>
      </c>
      <c r="D594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4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46" s="104" t="s">
        <v>11698</v>
      </c>
      <c r="G5946" s="105" t="s">
        <v>11759</v>
      </c>
      <c r="H594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47" spans="1:8" ht="15" customHeight="1" x14ac:dyDescent="0.25">
      <c r="A5947" s="1" t="str">
        <f>MID(TB_CECO[[#This Row],[CECO_T]],1,5)</f>
        <v>5E73L</v>
      </c>
      <c r="B5947" s="1" t="str">
        <f>MID(TB_CECO[[#This Row],[TRABAJO]],1,SEARCH(",",TB_CECO[[#This Row],[TRABAJO]],1)-1)</f>
        <v xml:space="preserve">Tj  876 NE (Snv 876 NE) </v>
      </c>
      <c r="C594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,SOSTENIMIENTO</v>
      </c>
      <c r="D594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4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47" s="104" t="s">
        <v>11699</v>
      </c>
      <c r="G5947" s="105" t="s">
        <v>11760</v>
      </c>
      <c r="H594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48" spans="1:8" ht="15" customHeight="1" x14ac:dyDescent="0.25">
      <c r="A5948" s="1" t="str">
        <f>MID(TB_CECO[[#This Row],[CECO_T]],1,5)</f>
        <v>5E73L</v>
      </c>
      <c r="B5948" s="1" t="str">
        <f>MID(TB_CECO[[#This Row],[TRABAJO]],1,SEARCH(",",TB_CECO[[#This Row],[TRABAJO]],1)-1)</f>
        <v xml:space="preserve">Tj  876 NE (Snv 876 NE) </v>
      </c>
      <c r="C594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,SERVICIO</v>
      </c>
      <c r="D594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4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48" s="104" t="s">
        <v>11700</v>
      </c>
      <c r="G5948" s="105" t="s">
        <v>11761</v>
      </c>
      <c r="H594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49" spans="1:8" ht="15" customHeight="1" x14ac:dyDescent="0.25">
      <c r="A5949" s="1" t="str">
        <f>MID(TB_CECO[[#This Row],[CECO_T]],1,5)</f>
        <v>5E73L</v>
      </c>
      <c r="B5949" s="1" t="str">
        <f>MID(TB_CECO[[#This Row],[TRABAJO]],1,SEARCH(",",TB_CECO[[#This Row],[TRABAJO]],1)-1)</f>
        <v xml:space="preserve">Tj  876 NE (Snv 876 NE) </v>
      </c>
      <c r="C594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 876 NE (Snv 876 NE) ,RELLENO</v>
      </c>
      <c r="D594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4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49" s="106" t="s">
        <v>11701</v>
      </c>
      <c r="G5949" s="107" t="s">
        <v>11762</v>
      </c>
      <c r="H594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50" spans="1:8" ht="15" customHeight="1" x14ac:dyDescent="0.25">
      <c r="A5950" s="1" t="str">
        <f>MID(TB_CECO[[#This Row],[CECO_T]],1,5)</f>
        <v>1E58T</v>
      </c>
      <c r="B5950" s="1" t="str">
        <f>MID(TB_CECO[[#This Row],[TRABAJO]],1,SEARCH(",",TB_CECO[[#This Row],[TRABAJO]],1)-1)</f>
        <v xml:space="preserve">Snv 881 SW (Tj 876 NE) </v>
      </c>
      <c r="C595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SW (Tj 876 NE) ,PERFORACION</v>
      </c>
      <c r="D595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5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50" s="131" t="s">
        <v>12027</v>
      </c>
      <c r="G5950" s="131" t="s">
        <v>12028</v>
      </c>
      <c r="H595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51" spans="1:8" ht="15" customHeight="1" x14ac:dyDescent="0.25">
      <c r="A5951" s="1" t="str">
        <f>MID(TB_CECO[[#This Row],[CECO_T]],1,5)</f>
        <v>1E58T</v>
      </c>
      <c r="B5951" s="1" t="str">
        <f>MID(TB_CECO[[#This Row],[TRABAJO]],1,SEARCH(",",TB_CECO[[#This Row],[TRABAJO]],1)-1)</f>
        <v xml:space="preserve">Snv 881 SW (Tj 876 NE) </v>
      </c>
      <c r="C595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SW (Tj 876 NE) ,VOLADURA</v>
      </c>
      <c r="D595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5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51" s="131" t="s">
        <v>12029</v>
      </c>
      <c r="G5951" s="131" t="s">
        <v>12030</v>
      </c>
      <c r="H595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52" spans="1:8" ht="15" customHeight="1" x14ac:dyDescent="0.25">
      <c r="A5952" s="1" t="str">
        <f>MID(TB_CECO[[#This Row],[CECO_T]],1,5)</f>
        <v>1E58T</v>
      </c>
      <c r="B5952" s="1" t="str">
        <f>MID(TB_CECO[[#This Row],[TRABAJO]],1,SEARCH(",",TB_CECO[[#This Row],[TRABAJO]],1)-1)</f>
        <v xml:space="preserve">Snv 881 SW (Tj 876 NE) </v>
      </c>
      <c r="C595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SW (Tj 876 NE) ,LIMPIEZA</v>
      </c>
      <c r="D595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5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52" s="131" t="s">
        <v>12031</v>
      </c>
      <c r="G5952" s="131" t="s">
        <v>12032</v>
      </c>
      <c r="H595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53" spans="1:8" ht="15" customHeight="1" x14ac:dyDescent="0.25">
      <c r="A5953" s="1" t="str">
        <f>MID(TB_CECO[[#This Row],[CECO_T]],1,5)</f>
        <v>1E58T</v>
      </c>
      <c r="B5953" s="1" t="str">
        <f>MID(TB_CECO[[#This Row],[TRABAJO]],1,SEARCH(",",TB_CECO[[#This Row],[TRABAJO]],1)-1)</f>
        <v xml:space="preserve">Snv 881 SW (Tj 876 NE) </v>
      </c>
      <c r="C595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SW (Tj 876 NE) ,SOSTENIMIENTO</v>
      </c>
      <c r="D595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5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53" s="131" t="s">
        <v>12033</v>
      </c>
      <c r="G5953" s="131" t="s">
        <v>12034</v>
      </c>
      <c r="H595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54" spans="1:8" ht="15" customHeight="1" thickBot="1" x14ac:dyDescent="0.3">
      <c r="A5954" s="1" t="str">
        <f>MID(TB_CECO[[#This Row],[CECO_T]],1,5)</f>
        <v>1E58T</v>
      </c>
      <c r="B5954" s="1" t="str">
        <f>MID(TB_CECO[[#This Row],[TRABAJO]],1,SEARCH(",",TB_CECO[[#This Row],[TRABAJO]],1)-1)</f>
        <v xml:space="preserve">Snv 881 SW (Tj 876 NE) </v>
      </c>
      <c r="C595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SW (Tj 876 NE) ,SERVICIO</v>
      </c>
      <c r="D595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5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54" s="131" t="s">
        <v>12035</v>
      </c>
      <c r="G5954" s="131" t="s">
        <v>12036</v>
      </c>
      <c r="H595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55" spans="1:8" ht="15.75" customHeight="1" thickBot="1" x14ac:dyDescent="0.3">
      <c r="A5955" s="1" t="str">
        <f>MID(TB_CECO[[#This Row],[CECO_T]],1,5)</f>
        <v>1E58S</v>
      </c>
      <c r="B5955" s="1" t="str">
        <f>MID(TB_CECO[[#This Row],[TRABAJO]],1,SEARCH(",",TB_CECO[[#This Row],[TRABAJO]],1)-1)</f>
        <v xml:space="preserve">Snv 881 NE (Tj 876 NE) </v>
      </c>
      <c r="C595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NE (Tj 876 NE) ,PERFORACION</v>
      </c>
      <c r="D595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5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55" s="132" t="s">
        <v>12017</v>
      </c>
      <c r="G5955" s="133" t="s">
        <v>12018</v>
      </c>
      <c r="H595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56" spans="1:8" ht="15.75" customHeight="1" thickBot="1" x14ac:dyDescent="0.3">
      <c r="A5956" s="1" t="str">
        <f>MID(TB_CECO[[#This Row],[CECO_T]],1,5)</f>
        <v>1E58S</v>
      </c>
      <c r="B5956" s="1" t="str">
        <f>MID(TB_CECO[[#This Row],[TRABAJO]],1,SEARCH(",",TB_CECO[[#This Row],[TRABAJO]],1)-1)</f>
        <v xml:space="preserve">Snv 881 NE (Tj 876 NE) </v>
      </c>
      <c r="C595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NE (Tj 876 NE) ,VOLADURA</v>
      </c>
      <c r="D595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5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56" s="132" t="s">
        <v>12019</v>
      </c>
      <c r="G5956" s="133" t="s">
        <v>12020</v>
      </c>
      <c r="H595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57" spans="1:8" ht="15.75" customHeight="1" thickBot="1" x14ac:dyDescent="0.3">
      <c r="A5957" s="1" t="str">
        <f>MID(TB_CECO[[#This Row],[CECO_T]],1,5)</f>
        <v>1E58S</v>
      </c>
      <c r="B5957" s="1" t="str">
        <f>MID(TB_CECO[[#This Row],[TRABAJO]],1,SEARCH(",",TB_CECO[[#This Row],[TRABAJO]],1)-1)</f>
        <v xml:space="preserve">Snv 881 NE (Tj 876 NE) </v>
      </c>
      <c r="C595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NE (Tj 876 NE) ,LIMPIEZA</v>
      </c>
      <c r="D595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5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57" s="132" t="s">
        <v>12021</v>
      </c>
      <c r="G5957" s="133" t="s">
        <v>12022</v>
      </c>
      <c r="H595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58" spans="1:8" ht="15.75" customHeight="1" thickBot="1" x14ac:dyDescent="0.3">
      <c r="A5958" s="1" t="str">
        <f>MID(TB_CECO[[#This Row],[CECO_T]],1,5)</f>
        <v>1E58S</v>
      </c>
      <c r="B5958" s="1" t="str">
        <f>MID(TB_CECO[[#This Row],[TRABAJO]],1,SEARCH(",",TB_CECO[[#This Row],[TRABAJO]],1)-1)</f>
        <v xml:space="preserve">Snv 881 NE (Tj 876 NE) </v>
      </c>
      <c r="C595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NE (Tj 876 NE) ,SOSTENIMIENTO</v>
      </c>
      <c r="D595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5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58" s="132" t="s">
        <v>12023</v>
      </c>
      <c r="G5958" s="133" t="s">
        <v>12024</v>
      </c>
      <c r="H595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59" spans="1:8" ht="15.75" customHeight="1" thickBot="1" x14ac:dyDescent="0.3">
      <c r="A5959" s="1" t="str">
        <f>MID(TB_CECO[[#This Row],[CECO_T]],1,5)</f>
        <v>1E58S</v>
      </c>
      <c r="B5959" s="1" t="str">
        <f>MID(TB_CECO[[#This Row],[TRABAJO]],1,SEARCH(",",TB_CECO[[#This Row],[TRABAJO]],1)-1)</f>
        <v xml:space="preserve">Snv 881 NE (Tj 876 NE) </v>
      </c>
      <c r="C595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881 NE (Tj 876 NE) ,SERVICIO</v>
      </c>
      <c r="D595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5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59" s="132" t="s">
        <v>12025</v>
      </c>
      <c r="G5959" s="133" t="s">
        <v>12026</v>
      </c>
      <c r="H595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60" spans="1:8" ht="15.75" thickBot="1" x14ac:dyDescent="0.3">
      <c r="A5960" s="1" t="str">
        <f>MID(TB_CECO[[#This Row],[CECO_T]],1,5)</f>
        <v>1D58U</v>
      </c>
      <c r="B5960" s="1" t="str">
        <f>MID(TB_CECO[[#This Row],[TRABAJO]],1,SEARCH(",",TB_CECO[[#This Row],[TRABAJO]],1)-1)</f>
        <v>Snv 880 SW (Tj 870 NE)</v>
      </c>
      <c r="C596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880 SW (Tj 870 NE),PERFORACION</v>
      </c>
      <c r="D596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6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60" s="108" t="s">
        <v>12037</v>
      </c>
      <c r="G5960" s="108" t="s">
        <v>12038</v>
      </c>
      <c r="H596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61" spans="1:8" ht="15.75" thickBot="1" x14ac:dyDescent="0.3">
      <c r="A5961" s="1" t="str">
        <f>MID(TB_CECO[[#This Row],[CECO_T]],1,5)</f>
        <v>1D58U</v>
      </c>
      <c r="B5961" s="1" t="str">
        <f>MID(TB_CECO[[#This Row],[TRABAJO]],1,SEARCH(",",TB_CECO[[#This Row],[TRABAJO]],1)-1)</f>
        <v>Snv 880 SW (Tj 870 NE)</v>
      </c>
      <c r="C596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880 SW (Tj 870 NE),VOLADURA</v>
      </c>
      <c r="D596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6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61" s="108" t="s">
        <v>12039</v>
      </c>
      <c r="G5961" s="108" t="s">
        <v>12040</v>
      </c>
      <c r="H596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62" spans="1:8" ht="15.75" thickBot="1" x14ac:dyDescent="0.3">
      <c r="A5962" s="1" t="str">
        <f>MID(TB_CECO[[#This Row],[CECO_T]],1,5)</f>
        <v>1D58U</v>
      </c>
      <c r="B5962" s="1" t="str">
        <f>MID(TB_CECO[[#This Row],[TRABAJO]],1,SEARCH(",",TB_CECO[[#This Row],[TRABAJO]],1)-1)</f>
        <v>Snv 880 SW (Tj 870 NE)</v>
      </c>
      <c r="C596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880 SW (Tj 870 NE),LIMPIEZA</v>
      </c>
      <c r="D596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6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62" s="108" t="s">
        <v>12041</v>
      </c>
      <c r="G5962" s="108" t="s">
        <v>12042</v>
      </c>
      <c r="H596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63" spans="1:8" ht="15.75" thickBot="1" x14ac:dyDescent="0.3">
      <c r="A5963" s="1" t="str">
        <f>MID(TB_CECO[[#This Row],[CECO_T]],1,5)</f>
        <v>1D58U</v>
      </c>
      <c r="B5963" s="1" t="str">
        <f>MID(TB_CECO[[#This Row],[TRABAJO]],1,SEARCH(",",TB_CECO[[#This Row],[TRABAJO]],1)-1)</f>
        <v>Snv 880 SW (Tj 870 NE)</v>
      </c>
      <c r="C596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880 SW (Tj 870 NE),SOSTENIMIENTO</v>
      </c>
      <c r="D596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6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63" s="108" t="s">
        <v>12043</v>
      </c>
      <c r="G5963" s="108" t="s">
        <v>12044</v>
      </c>
      <c r="H596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64" spans="1:8" ht="15.75" thickBot="1" x14ac:dyDescent="0.3">
      <c r="A5964" s="1" t="str">
        <f>MID(TB_CECO[[#This Row],[CECO_T]],1,5)</f>
        <v>1D58U</v>
      </c>
      <c r="B5964" s="1" t="str">
        <f>MID(TB_CECO[[#This Row],[TRABAJO]],1,SEARCH(",",TB_CECO[[#This Row],[TRABAJO]],1)-1)</f>
        <v>Snv 880 SW (Tj 870 NE)</v>
      </c>
      <c r="C596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880 SW (Tj 870 NE),SERVICIO</v>
      </c>
      <c r="D596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6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64" s="108" t="s">
        <v>12045</v>
      </c>
      <c r="G5964" s="108" t="s">
        <v>12046</v>
      </c>
      <c r="H596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65" spans="1:8" ht="15.75" thickBot="1" x14ac:dyDescent="0.3">
      <c r="A5965" s="1" t="str">
        <f>MID(TB_CECO[[#This Row],[CECO_T]],1,5)</f>
        <v>1D58V</v>
      </c>
      <c r="B5965" s="1" t="str">
        <f>MID(TB_CECO[[#This Row],[TRABAJO]],1,SEARCH(",",TB_CECO[[#This Row],[TRABAJO]],1)-1)</f>
        <v>Snv 860 NE (Pq 925)</v>
      </c>
      <c r="C596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860 NE (Pq 925),PERFORACION</v>
      </c>
      <c r="D596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6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65" s="108" t="s">
        <v>12047</v>
      </c>
      <c r="G5965" s="108" t="s">
        <v>12048</v>
      </c>
      <c r="H596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66" spans="1:8" ht="15.75" thickBot="1" x14ac:dyDescent="0.3">
      <c r="A5966" s="1" t="str">
        <f>MID(TB_CECO[[#This Row],[CECO_T]],1,5)</f>
        <v>1D58V</v>
      </c>
      <c r="B5966" s="1" t="str">
        <f>MID(TB_CECO[[#This Row],[TRABAJO]],1,SEARCH(",",TB_CECO[[#This Row],[TRABAJO]],1)-1)</f>
        <v>Snv 860 NE (Pq 925)</v>
      </c>
      <c r="C596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860 NE (Pq 925),VOLADURA</v>
      </c>
      <c r="D596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6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66" s="108" t="s">
        <v>12049</v>
      </c>
      <c r="G5966" s="108" t="s">
        <v>12050</v>
      </c>
      <c r="H596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67" spans="1:8" ht="15.75" thickBot="1" x14ac:dyDescent="0.3">
      <c r="A5967" s="1" t="str">
        <f>MID(TB_CECO[[#This Row],[CECO_T]],1,5)</f>
        <v>1D58V</v>
      </c>
      <c r="B5967" s="1" t="str">
        <f>MID(TB_CECO[[#This Row],[TRABAJO]],1,SEARCH(",",TB_CECO[[#This Row],[TRABAJO]],1)-1)</f>
        <v>Snv 860 NE (Pq 925)</v>
      </c>
      <c r="C596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860 NE (Pq 925),LIMPIEZA</v>
      </c>
      <c r="D596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6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67" s="108" t="s">
        <v>12051</v>
      </c>
      <c r="G5967" s="108" t="s">
        <v>12052</v>
      </c>
      <c r="H596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68" spans="1:8" ht="15.75" thickBot="1" x14ac:dyDescent="0.3">
      <c r="A5968" s="1" t="str">
        <f>MID(TB_CECO[[#This Row],[CECO_T]],1,5)</f>
        <v>1D58V</v>
      </c>
      <c r="B5968" s="1" t="str">
        <f>MID(TB_CECO[[#This Row],[TRABAJO]],1,SEARCH(",",TB_CECO[[#This Row],[TRABAJO]],1)-1)</f>
        <v>Snv 860 NE (Pq 925)</v>
      </c>
      <c r="C596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860 NE (Pq 925),SOSTENIMIENTO</v>
      </c>
      <c r="D596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6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68" s="108" t="s">
        <v>12053</v>
      </c>
      <c r="G5968" s="108" t="s">
        <v>12054</v>
      </c>
      <c r="H596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69" spans="1:8" ht="15.75" thickBot="1" x14ac:dyDescent="0.3">
      <c r="A5969" s="1" t="str">
        <f>MID(TB_CECO[[#This Row],[CECO_T]],1,5)</f>
        <v>1D58V</v>
      </c>
      <c r="B5969" s="1" t="str">
        <f>MID(TB_CECO[[#This Row],[TRABAJO]],1,SEARCH(",",TB_CECO[[#This Row],[TRABAJO]],1)-1)</f>
        <v>Snv 860 NE (Pq 925)</v>
      </c>
      <c r="C596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860 NE (Pq 925),SERVICIO</v>
      </c>
      <c r="D596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6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69" s="108" t="s">
        <v>12055</v>
      </c>
      <c r="G5969" s="108" t="s">
        <v>12056</v>
      </c>
      <c r="H596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70" spans="1:8" ht="15.75" thickBot="1" x14ac:dyDescent="0.3">
      <c r="A5970" s="1" t="str">
        <f>MID(TB_CECO[[#This Row],[CECO_T]],1,5)</f>
        <v>1D32S</v>
      </c>
      <c r="B5970" s="1" t="str">
        <f>MID(TB_CECO[[#This Row],[TRABAJO]],1,SEARCH(",",TB_CECO[[#This Row],[TRABAJO]],1)-1)</f>
        <v>Ch 995 (Snv 995 SW)</v>
      </c>
      <c r="C597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995 (Snv 995 SW),PERFORACION</v>
      </c>
      <c r="D597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7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70" s="108" t="s">
        <v>12057</v>
      </c>
      <c r="G5970" s="108" t="s">
        <v>12058</v>
      </c>
      <c r="H597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71" spans="1:8" ht="15.75" thickBot="1" x14ac:dyDescent="0.3">
      <c r="A5971" s="1" t="str">
        <f>MID(TB_CECO[[#This Row],[CECO_T]],1,5)</f>
        <v>1D32S</v>
      </c>
      <c r="B5971" s="1" t="str">
        <f>MID(TB_CECO[[#This Row],[TRABAJO]],1,SEARCH(",",TB_CECO[[#This Row],[TRABAJO]],1)-1)</f>
        <v>Ch 995 (Snv 995 SW)</v>
      </c>
      <c r="C597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995 (Snv 995 SW),VOLADURA</v>
      </c>
      <c r="D597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7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71" s="108" t="s">
        <v>12059</v>
      </c>
      <c r="G5971" s="108" t="s">
        <v>12060</v>
      </c>
      <c r="H597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72" spans="1:8" ht="15.75" thickBot="1" x14ac:dyDescent="0.3">
      <c r="A5972" s="1" t="str">
        <f>MID(TB_CECO[[#This Row],[CECO_T]],1,5)</f>
        <v>1D32S</v>
      </c>
      <c r="B5972" s="1" t="str">
        <f>MID(TB_CECO[[#This Row],[TRABAJO]],1,SEARCH(",",TB_CECO[[#This Row],[TRABAJO]],1)-1)</f>
        <v>Ch 995 (Snv 995 SW)</v>
      </c>
      <c r="C597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995 (Snv 995 SW),LIMPIEZA</v>
      </c>
      <c r="D597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7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72" s="108" t="s">
        <v>12061</v>
      </c>
      <c r="G5972" s="108" t="s">
        <v>12062</v>
      </c>
      <c r="H597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73" spans="1:8" ht="15.75" thickBot="1" x14ac:dyDescent="0.3">
      <c r="A5973" s="1" t="str">
        <f>MID(TB_CECO[[#This Row],[CECO_T]],1,5)</f>
        <v>1D32S</v>
      </c>
      <c r="B5973" s="1" t="str">
        <f>MID(TB_CECO[[#This Row],[TRABAJO]],1,SEARCH(",",TB_CECO[[#This Row],[TRABAJO]],1)-1)</f>
        <v>Ch 995 (Snv 995 SW)</v>
      </c>
      <c r="C597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995 (Snv 995 SW),SOSTENIMIENTO</v>
      </c>
      <c r="D597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7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73" s="108" t="s">
        <v>12063</v>
      </c>
      <c r="G5973" s="108" t="s">
        <v>12064</v>
      </c>
      <c r="H597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74" spans="1:8" ht="15.75" thickBot="1" x14ac:dyDescent="0.3">
      <c r="A5974" s="1" t="str">
        <f>MID(TB_CECO[[#This Row],[CECO_T]],1,5)</f>
        <v>1D32S</v>
      </c>
      <c r="B5974" s="1" t="str">
        <f>MID(TB_CECO[[#This Row],[TRABAJO]],1,SEARCH(",",TB_CECO[[#This Row],[TRABAJO]],1)-1)</f>
        <v>Ch 995 (Snv 995 SW)</v>
      </c>
      <c r="C597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Ch 995 (Snv 995 SW), SERVICIO </v>
      </c>
      <c r="D597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7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74" s="108" t="s">
        <v>12065</v>
      </c>
      <c r="G5974" s="108" t="s">
        <v>12066</v>
      </c>
      <c r="H597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75" spans="1:8" ht="15.75" thickBot="1" x14ac:dyDescent="0.3">
      <c r="A5975" s="1" t="str">
        <f>MID(TB_CECO[[#This Row],[CECO_T]],1,5)</f>
        <v>2NP08</v>
      </c>
      <c r="B5975" s="1" t="str">
        <f>MID(TB_CECO[[#This Row],[TRABAJO]],1,SEARCH(",",TB_CECO[[#This Row],[TRABAJO]],1)-1)</f>
        <v>Pz 880 (Est 880 SE)</v>
      </c>
      <c r="C597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880 (Est 880 SE),PERFORACION</v>
      </c>
      <c r="D597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7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975" s="108" t="s">
        <v>12067</v>
      </c>
      <c r="G5975" s="108" t="s">
        <v>12068</v>
      </c>
      <c r="H597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76" spans="1:8" ht="15.75" thickBot="1" x14ac:dyDescent="0.3">
      <c r="A5976" s="1" t="str">
        <f>MID(TB_CECO[[#This Row],[CECO_T]],1,5)</f>
        <v>2NP08</v>
      </c>
      <c r="B5976" s="1" t="str">
        <f>MID(TB_CECO[[#This Row],[TRABAJO]],1,SEARCH(",",TB_CECO[[#This Row],[TRABAJO]],1)-1)</f>
        <v>Pz 880 (Est 880 SE)</v>
      </c>
      <c r="C597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880 (Est 880 SE),VOLADURA</v>
      </c>
      <c r="D597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7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976" s="108" t="s">
        <v>12069</v>
      </c>
      <c r="G5976" s="108" t="s">
        <v>12070</v>
      </c>
      <c r="H597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77" spans="1:8" ht="15.75" thickBot="1" x14ac:dyDescent="0.3">
      <c r="A5977" s="1" t="str">
        <f>MID(TB_CECO[[#This Row],[CECO_T]],1,5)</f>
        <v>2NP08</v>
      </c>
      <c r="B5977" s="1" t="str">
        <f>MID(TB_CECO[[#This Row],[TRABAJO]],1,SEARCH(",",TB_CECO[[#This Row],[TRABAJO]],1)-1)</f>
        <v>Pz 880 (Est 880 SE)</v>
      </c>
      <c r="C597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880 (Est 880 SE),LIMPIEZA</v>
      </c>
      <c r="D597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7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977" s="108" t="s">
        <v>12071</v>
      </c>
      <c r="G5977" s="108" t="s">
        <v>12072</v>
      </c>
      <c r="H597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78" spans="1:8" ht="15.75" thickBot="1" x14ac:dyDescent="0.3">
      <c r="A5978" s="1" t="str">
        <f>MID(TB_CECO[[#This Row],[CECO_T]],1,5)</f>
        <v>2NP08</v>
      </c>
      <c r="B5978" s="1" t="str">
        <f>MID(TB_CECO[[#This Row],[TRABAJO]],1,SEARCH(",",TB_CECO[[#This Row],[TRABAJO]],1)-1)</f>
        <v>Pz 880 (Est 880 SE)</v>
      </c>
      <c r="C597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880 (Est 880 SE),SOSTENIMIENTO</v>
      </c>
      <c r="D597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7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978" s="108" t="s">
        <v>12073</v>
      </c>
      <c r="G5978" s="108" t="s">
        <v>12074</v>
      </c>
      <c r="H597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79" spans="1:8" ht="15.75" thickBot="1" x14ac:dyDescent="0.3">
      <c r="A5979" s="1" t="str">
        <f>MID(TB_CECO[[#This Row],[CECO_T]],1,5)</f>
        <v>2NP08</v>
      </c>
      <c r="B5979" s="1" t="str">
        <f>MID(TB_CECO[[#This Row],[TRABAJO]],1,SEARCH(",",TB_CECO[[#This Row],[TRABAJO]],1)-1)</f>
        <v>Pz 880 (Est 880 SE)</v>
      </c>
      <c r="C597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Pz 880 (Est 880 SE),SERVICIO</v>
      </c>
      <c r="D597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7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979" s="108" t="s">
        <v>12075</v>
      </c>
      <c r="G5979" s="108" t="s">
        <v>12076</v>
      </c>
      <c r="H597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80" spans="1:8" ht="15.75" thickBot="1" x14ac:dyDescent="0.3">
      <c r="A5980" s="1" t="str">
        <f>MID(TB_CECO[[#This Row],[CECO_T]],1,5)</f>
        <v>2N62K</v>
      </c>
      <c r="B5980" s="1" t="str">
        <f>MID(TB_CECO[[#This Row],[TRABAJO]],1,SEARCH(",",TB_CECO[[#This Row],[TRABAJO]],1)-1)</f>
        <v>Est 880 SE (Est 879 NE)</v>
      </c>
      <c r="C598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880 SE (Est 879 NE),PERFORACION</v>
      </c>
      <c r="D598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8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980" s="108" t="s">
        <v>12077</v>
      </c>
      <c r="G5980" s="108" t="s">
        <v>12078</v>
      </c>
      <c r="H598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81" spans="1:8" ht="15.75" thickBot="1" x14ac:dyDescent="0.3">
      <c r="A5981" s="1" t="str">
        <f>MID(TB_CECO[[#This Row],[CECO_T]],1,5)</f>
        <v>2N62K</v>
      </c>
      <c r="B5981" s="1" t="str">
        <f>MID(TB_CECO[[#This Row],[TRABAJO]],1,SEARCH(",",TB_CECO[[#This Row],[TRABAJO]],1)-1)</f>
        <v>Est 880 SE (Est 879 NE)</v>
      </c>
      <c r="C598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880 SE (Est 879 NE),VOLADURA</v>
      </c>
      <c r="D598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8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981" s="108" t="s">
        <v>12079</v>
      </c>
      <c r="G5981" s="108" t="s">
        <v>12080</v>
      </c>
      <c r="H598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82" spans="1:8" ht="15.75" thickBot="1" x14ac:dyDescent="0.3">
      <c r="A5982" s="1" t="str">
        <f>MID(TB_CECO[[#This Row],[CECO_T]],1,5)</f>
        <v>2N62K</v>
      </c>
      <c r="B5982" s="1" t="str">
        <f>MID(TB_CECO[[#This Row],[TRABAJO]],1,SEARCH(",",TB_CECO[[#This Row],[TRABAJO]],1)-1)</f>
        <v>Est 880 SE (Est 879 NE)</v>
      </c>
      <c r="C598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880 SE (Est 879 NE),LIMPIEZA</v>
      </c>
      <c r="D598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8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982" s="108" t="s">
        <v>12081</v>
      </c>
      <c r="G5982" s="108" t="s">
        <v>12082</v>
      </c>
      <c r="H598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83" spans="1:8" ht="15.75" thickBot="1" x14ac:dyDescent="0.3">
      <c r="A5983" s="1" t="str">
        <f>MID(TB_CECO[[#This Row],[CECO_T]],1,5)</f>
        <v>2N62K</v>
      </c>
      <c r="B5983" s="1" t="str">
        <f>MID(TB_CECO[[#This Row],[TRABAJO]],1,SEARCH(",",TB_CECO[[#This Row],[TRABAJO]],1)-1)</f>
        <v>Est 880 SE (Est 879 NE)</v>
      </c>
      <c r="C598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880 SE (Est 879 NE),SOSTENIMIENTO</v>
      </c>
      <c r="D598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8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983" s="108" t="s">
        <v>12083</v>
      </c>
      <c r="G5983" s="108" t="s">
        <v>12084</v>
      </c>
      <c r="H598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84" spans="1:8" ht="15.75" thickBot="1" x14ac:dyDescent="0.3">
      <c r="A5984" s="1" t="str">
        <f>MID(TB_CECO[[#This Row],[CECO_T]],1,5)</f>
        <v>2N62K</v>
      </c>
      <c r="B5984" s="1" t="str">
        <f>MID(TB_CECO[[#This Row],[TRABAJO]],1,SEARCH(",",TB_CECO[[#This Row],[TRABAJO]],1)-1)</f>
        <v>Est 880 SE (Est 879 NE)</v>
      </c>
      <c r="C598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 880 SE (Est 879 NE),SERVICIO</v>
      </c>
      <c r="D598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598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DESARROLLO</v>
      </c>
      <c r="F5984" s="108" t="s">
        <v>12085</v>
      </c>
      <c r="G5984" s="108" t="s">
        <v>12086</v>
      </c>
      <c r="H598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85" spans="1:8" ht="15.75" thickBot="1" x14ac:dyDescent="0.3">
      <c r="A5985" s="1" t="str">
        <f>MID(TB_CECO[[#This Row],[CECO_T]],1,5)</f>
        <v>5D73Q</v>
      </c>
      <c r="B5985" s="165" t="str">
        <f>MID(TB_CECO[[#This Row],[TRABAJO]],1,SEARCH(",",TB_CECO[[#This Row],[TRABAJO]],1)-1)</f>
        <v xml:space="preserve">Tj 860 SW (Pq 925)) </v>
      </c>
      <c r="C598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,PERFORACION</v>
      </c>
      <c r="D598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8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85" s="108" t="s">
        <v>12103</v>
      </c>
      <c r="G5985" s="108" t="s">
        <v>12104</v>
      </c>
      <c r="H598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86" spans="1:8" ht="15.75" thickBot="1" x14ac:dyDescent="0.3">
      <c r="A5986" s="1" t="str">
        <f>MID(TB_CECO[[#This Row],[CECO_T]],1,5)</f>
        <v>5D73Q</v>
      </c>
      <c r="B5986" s="165" t="str">
        <f>MID(TB_CECO[[#This Row],[TRABAJO]],1,SEARCH(",",TB_CECO[[#This Row],[TRABAJO]],1)-1)</f>
        <v xml:space="preserve">Tj 860 SW (Pq 925)) </v>
      </c>
      <c r="C598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,VOLADURA</v>
      </c>
      <c r="D598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8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86" s="108" t="s">
        <v>12105</v>
      </c>
      <c r="G5986" s="108" t="s">
        <v>12106</v>
      </c>
      <c r="H598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87" spans="1:8" ht="15.75" thickBot="1" x14ac:dyDescent="0.3">
      <c r="A5987" s="1" t="str">
        <f>MID(TB_CECO[[#This Row],[CECO_T]],1,5)</f>
        <v>5D73Q</v>
      </c>
      <c r="B5987" s="165" t="str">
        <f>MID(TB_CECO[[#This Row],[TRABAJO]],1,SEARCH(",",TB_CECO[[#This Row],[TRABAJO]],1)-1)</f>
        <v xml:space="preserve">Tj 860 SW (Pq 925)) </v>
      </c>
      <c r="C598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,LIMPIEZA</v>
      </c>
      <c r="D598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8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87" s="108" t="s">
        <v>12107</v>
      </c>
      <c r="G5987" s="108" t="s">
        <v>12108</v>
      </c>
      <c r="H598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88" spans="1:8" ht="15.75" thickBot="1" x14ac:dyDescent="0.3">
      <c r="A5988" s="1" t="str">
        <f>MID(TB_CECO[[#This Row],[CECO_T]],1,5)</f>
        <v>5D73Q</v>
      </c>
      <c r="B5988" s="165" t="str">
        <f>MID(TB_CECO[[#This Row],[TRABAJO]],1,SEARCH(",",TB_CECO[[#This Row],[TRABAJO]],1)-1)</f>
        <v xml:space="preserve">Tj 860 SW (Pq 925)) </v>
      </c>
      <c r="C598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,SOSTENIMIENTO</v>
      </c>
      <c r="D598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8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88" s="108" t="s">
        <v>12109</v>
      </c>
      <c r="G5988" s="108" t="s">
        <v>12110</v>
      </c>
      <c r="H598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89" spans="1:8" ht="15.75" thickBot="1" x14ac:dyDescent="0.3">
      <c r="A5989" s="1" t="str">
        <f>MID(TB_CECO[[#This Row],[CECO_T]],1,5)</f>
        <v>5D73Q</v>
      </c>
      <c r="B5989" s="165" t="str">
        <f>MID(TB_CECO[[#This Row],[TRABAJO]],1,SEARCH(",",TB_CECO[[#This Row],[TRABAJO]],1)-1)</f>
        <v xml:space="preserve">Tj 860 SW (Pq 925)) </v>
      </c>
      <c r="C598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,SERVICIO</v>
      </c>
      <c r="D598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8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89" s="108" t="s">
        <v>12111</v>
      </c>
      <c r="G5989" s="108" t="s">
        <v>12112</v>
      </c>
      <c r="H598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90" spans="1:8" ht="15.75" thickBot="1" x14ac:dyDescent="0.3">
      <c r="A5990" s="1" t="str">
        <f>MID(TB_CECO[[#This Row],[CECO_T]],1,5)</f>
        <v>5D73Q</v>
      </c>
      <c r="B5990" s="165" t="str">
        <f>MID(TB_CECO[[#This Row],[TRABAJO]],1,SEARCH(",",TB_CECO[[#This Row],[TRABAJO]],1)-1)</f>
        <v xml:space="preserve">Tj 860 SW (Pq 925)) </v>
      </c>
      <c r="C599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,RELLENO</v>
      </c>
      <c r="D599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9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90" s="108" t="s">
        <v>12113</v>
      </c>
      <c r="G5990" s="108" t="s">
        <v>12114</v>
      </c>
      <c r="H599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91" spans="1:8" ht="15.75" thickBot="1" x14ac:dyDescent="0.3">
      <c r="A5991" s="1" t="str">
        <f>MID(TB_CECO[[#This Row],[CECO_T]],1,5)</f>
        <v>5D73Q</v>
      </c>
      <c r="B5991" s="1" t="str">
        <f>MID(TB_CECO[[#This Row],[TRABAJO]],1,SEARCH(",",TB_CECO[[#This Row],[TRABAJO]],1)-1)</f>
        <v xml:space="preserve">Tj 860 SW (Pq 925)) </v>
      </c>
      <c r="C599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,PERFORACION</v>
      </c>
      <c r="D599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9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91" s="108" t="s">
        <v>12103</v>
      </c>
      <c r="G5991" s="108" t="s">
        <v>12104</v>
      </c>
      <c r="H599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92" spans="1:8" ht="15.75" thickBot="1" x14ac:dyDescent="0.3">
      <c r="A5992" s="1" t="str">
        <f>MID(TB_CECO[[#This Row],[CECO_T]],1,5)</f>
        <v>5D73Q</v>
      </c>
      <c r="B5992" s="1" t="str">
        <f>MID(TB_CECO[[#This Row],[TRABAJO]],1,SEARCH(",",TB_CECO[[#This Row],[TRABAJO]],1)-1)</f>
        <v xml:space="preserve">Tj 860 SW (Pq 925)) </v>
      </c>
      <c r="C599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,VOLADURA</v>
      </c>
      <c r="D599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9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92" s="108" t="s">
        <v>12105</v>
      </c>
      <c r="G5992" s="108" t="s">
        <v>12106</v>
      </c>
      <c r="H599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93" spans="1:8" ht="15.75" thickBot="1" x14ac:dyDescent="0.3">
      <c r="A5993" s="1" t="str">
        <f>MID(TB_CECO[[#This Row],[CECO_T]],1,5)</f>
        <v>5D73Q</v>
      </c>
      <c r="B5993" s="1" t="str">
        <f>MID(TB_CECO[[#This Row],[TRABAJO]],1,SEARCH(",",TB_CECO[[#This Row],[TRABAJO]],1)-1)</f>
        <v xml:space="preserve">Tj 860 SW (Pq 925)) </v>
      </c>
      <c r="C599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,LIMPIEZA</v>
      </c>
      <c r="D599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9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93" s="108" t="s">
        <v>12107</v>
      </c>
      <c r="G5993" s="108" t="s">
        <v>12108</v>
      </c>
      <c r="H599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94" spans="1:8" ht="15.75" thickBot="1" x14ac:dyDescent="0.3">
      <c r="A5994" s="1" t="str">
        <f>MID(TB_CECO[[#This Row],[CECO_T]],1,5)</f>
        <v>5D73Q</v>
      </c>
      <c r="B5994" s="1" t="str">
        <f>MID(TB_CECO[[#This Row],[TRABAJO]],1,SEARCH(",",TB_CECO[[#This Row],[TRABAJO]],1)-1)</f>
        <v xml:space="preserve">Tj 860 SW (Pq 925)) </v>
      </c>
      <c r="C599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,SOSTENIMIENTO</v>
      </c>
      <c r="D599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9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94" s="108" t="s">
        <v>12109</v>
      </c>
      <c r="G5994" s="108" t="s">
        <v>12110</v>
      </c>
      <c r="H599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95" spans="1:8" ht="15.75" thickBot="1" x14ac:dyDescent="0.3">
      <c r="A5995" s="1" t="str">
        <f>MID(TB_CECO[[#This Row],[CECO_T]],1,5)</f>
        <v>5D73Q</v>
      </c>
      <c r="B5995" s="1" t="str">
        <f>MID(TB_CECO[[#This Row],[TRABAJO]],1,SEARCH(",",TB_CECO[[#This Row],[TRABAJO]],1)-1)</f>
        <v xml:space="preserve">Tj 860 SW (Pq 925)) </v>
      </c>
      <c r="C599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,SERVICIO</v>
      </c>
      <c r="D599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9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95" s="108" t="s">
        <v>12111</v>
      </c>
      <c r="G5995" s="108" t="s">
        <v>12112</v>
      </c>
      <c r="H599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96" spans="1:8" ht="15.75" thickBot="1" x14ac:dyDescent="0.3">
      <c r="A5996" s="1" t="str">
        <f>MID(TB_CECO[[#This Row],[CECO_T]],1,5)</f>
        <v>5D73Q</v>
      </c>
      <c r="B5996" s="1" t="str">
        <f>MID(TB_CECO[[#This Row],[TRABAJO]],1,SEARCH(",",TB_CECO[[#This Row],[TRABAJO]],1)-1)</f>
        <v xml:space="preserve">Tj 860 SW (Pq 925)) </v>
      </c>
      <c r="C599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860 SW (Pq 925)) ,RELLENO</v>
      </c>
      <c r="D599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CACHORRO</v>
      </c>
      <c r="E599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5996" s="108" t="s">
        <v>12113</v>
      </c>
      <c r="G5996" s="108" t="s">
        <v>12114</v>
      </c>
      <c r="H599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5997" spans="1:8" ht="15.75" thickBot="1" x14ac:dyDescent="0.3">
      <c r="A5997" s="1" t="str">
        <f>MID(TB_CECO[[#This Row],[CECO_T]],1,5)</f>
        <v>1E62L</v>
      </c>
      <c r="B5997" s="1" t="str">
        <f>MID(TB_CECO[[#This Row],[TRABAJO]],1,SEARCH(",",TB_CECO[[#This Row],[TRABAJO]],1)-1)</f>
        <v>Est 883 NE (Inc 863 SE)</v>
      </c>
      <c r="C599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883 NE (Inc 863 SE),PERFORACION</v>
      </c>
      <c r="D599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9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97" s="182" t="s">
        <v>12129</v>
      </c>
      <c r="G5997" s="182" t="s">
        <v>12130</v>
      </c>
      <c r="H599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98" spans="1:8" ht="15.75" thickBot="1" x14ac:dyDescent="0.3">
      <c r="A5998" s="1" t="str">
        <f>MID(TB_CECO[[#This Row],[CECO_T]],1,5)</f>
        <v>1E62L</v>
      </c>
      <c r="B5998" s="1" t="str">
        <f>MID(TB_CECO[[#This Row],[TRABAJO]],1,SEARCH(",",TB_CECO[[#This Row],[TRABAJO]],1)-1)</f>
        <v>Est 883 NE (Inc 863 SE)</v>
      </c>
      <c r="C599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883 NE (Inc 863 SE),VOLADURA</v>
      </c>
      <c r="D599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9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98" s="182" t="s">
        <v>12131</v>
      </c>
      <c r="G5998" s="182" t="s">
        <v>12132</v>
      </c>
      <c r="H599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5999" spans="1:8" ht="15.75" thickBot="1" x14ac:dyDescent="0.3">
      <c r="A5999" s="1" t="str">
        <f>MID(TB_CECO[[#This Row],[CECO_T]],1,5)</f>
        <v>1E62L</v>
      </c>
      <c r="B5999" s="1" t="str">
        <f>MID(TB_CECO[[#This Row],[TRABAJO]],1,SEARCH(",",TB_CECO[[#This Row],[TRABAJO]],1)-1)</f>
        <v>Est 883 NE (Inc 863 SE)</v>
      </c>
      <c r="C599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883 NE (Inc 863 SE),LIMPIEZA</v>
      </c>
      <c r="D599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599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5999" s="182" t="s">
        <v>12133</v>
      </c>
      <c r="G5999" s="182" t="s">
        <v>12134</v>
      </c>
      <c r="H599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00" spans="1:8" ht="15.75" thickBot="1" x14ac:dyDescent="0.3">
      <c r="A6000" s="1" t="str">
        <f>MID(TB_CECO[[#This Row],[CECO_T]],1,5)</f>
        <v>1E62L</v>
      </c>
      <c r="B6000" s="1" t="str">
        <f>MID(TB_CECO[[#This Row],[TRABAJO]],1,SEARCH(",",TB_CECO[[#This Row],[TRABAJO]],1)-1)</f>
        <v>Est 883 NE (Inc 863 SE)</v>
      </c>
      <c r="C600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883 NE (Inc 863 SE),SOSTENIMIENTO</v>
      </c>
      <c r="D600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0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00" s="182" t="s">
        <v>12135</v>
      </c>
      <c r="G6000" s="182" t="s">
        <v>12136</v>
      </c>
      <c r="H600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01" spans="1:8" ht="15.75" thickBot="1" x14ac:dyDescent="0.3">
      <c r="A6001" s="1" t="str">
        <f>MID(TB_CECO[[#This Row],[CECO_T]],1,5)</f>
        <v>1E62L</v>
      </c>
      <c r="B6001" s="1" t="str">
        <f>MID(TB_CECO[[#This Row],[TRABAJO]],1,SEARCH(",",TB_CECO[[#This Row],[TRABAJO]],1)-1)</f>
        <v>Est 883 NE (Inc 863 SE)</v>
      </c>
      <c r="C600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883 NE (Inc 863 SE),SERVICIO</v>
      </c>
      <c r="D600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0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01" s="182" t="s">
        <v>12137</v>
      </c>
      <c r="G6001" s="182" t="s">
        <v>12138</v>
      </c>
      <c r="H600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02" spans="1:8" ht="15.75" thickBot="1" x14ac:dyDescent="0.3">
      <c r="A6002" s="1" t="str">
        <f>MID(TB_CECO[[#This Row],[CECO_T]],1,5)</f>
        <v>1E62M</v>
      </c>
      <c r="B6002" s="1" t="str">
        <f>MID(TB_CECO[[#This Row],[TRABAJO]],1,SEARCH(",",TB_CECO[[#This Row],[TRABAJO]],1)-1)</f>
        <v>Est 883 SW (Inc 863 SE)</v>
      </c>
      <c r="C600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883 SW (Inc 863 SE),PERFORACION</v>
      </c>
      <c r="D600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0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02" s="182" t="s">
        <v>12139</v>
      </c>
      <c r="G6002" s="182" t="s">
        <v>12140</v>
      </c>
      <c r="H600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03" spans="1:8" ht="15.75" thickBot="1" x14ac:dyDescent="0.3">
      <c r="A6003" s="1" t="str">
        <f>MID(TB_CECO[[#This Row],[CECO_T]],1,5)</f>
        <v>1E62M</v>
      </c>
      <c r="B6003" s="1" t="str">
        <f>MID(TB_CECO[[#This Row],[TRABAJO]],1,SEARCH(",",TB_CECO[[#This Row],[TRABAJO]],1)-1)</f>
        <v>Est 883 SW (Inc 863 SE)</v>
      </c>
      <c r="C600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883 SW (Inc 863 SE),VOLADURA</v>
      </c>
      <c r="D600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0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03" s="182" t="s">
        <v>12141</v>
      </c>
      <c r="G6003" s="182" t="s">
        <v>12142</v>
      </c>
      <c r="H600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04" spans="1:8" ht="15.75" thickBot="1" x14ac:dyDescent="0.3">
      <c r="A6004" s="1" t="str">
        <f>MID(TB_CECO[[#This Row],[CECO_T]],1,5)</f>
        <v>1E62M</v>
      </c>
      <c r="B6004" s="1" t="str">
        <f>MID(TB_CECO[[#This Row],[TRABAJO]],1,SEARCH(",",TB_CECO[[#This Row],[TRABAJO]],1)-1)</f>
        <v>Est 883 SW (Inc 863 SE)</v>
      </c>
      <c r="C600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883 SW (Inc 863 SE),LIMPIEZA</v>
      </c>
      <c r="D600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0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04" s="182" t="s">
        <v>12143</v>
      </c>
      <c r="G6004" s="182" t="s">
        <v>12144</v>
      </c>
      <c r="H600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05" spans="1:8" ht="15.75" thickBot="1" x14ac:dyDescent="0.3">
      <c r="A6005" s="1" t="str">
        <f>MID(TB_CECO[[#This Row],[CECO_T]],1,5)</f>
        <v>1E62M</v>
      </c>
      <c r="B6005" s="1" t="str">
        <f>MID(TB_CECO[[#This Row],[TRABAJO]],1,SEARCH(",",TB_CECO[[#This Row],[TRABAJO]],1)-1)</f>
        <v>Est 883 SW (Inc 863 SE)</v>
      </c>
      <c r="C600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883 SW (Inc 863 SE),SOSTENIMIENTO</v>
      </c>
      <c r="D600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0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05" s="182" t="s">
        <v>12145</v>
      </c>
      <c r="G6005" s="182" t="s">
        <v>12146</v>
      </c>
      <c r="H600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06" spans="1:8" ht="15.75" thickBot="1" x14ac:dyDescent="0.3">
      <c r="A6006" s="1" t="str">
        <f>MID(TB_CECO[[#This Row],[CECO_T]],1,5)</f>
        <v>1E62M</v>
      </c>
      <c r="B6006" s="1" t="str">
        <f>MID(TB_CECO[[#This Row],[TRABAJO]],1,SEARCH(",",TB_CECO[[#This Row],[TRABAJO]],1)-1)</f>
        <v>Est 883 SW (Inc 863 SE)</v>
      </c>
      <c r="C600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Est 883 SW (Inc 863 SE),SERVICIO</v>
      </c>
      <c r="D600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0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06" s="182" t="s">
        <v>12147</v>
      </c>
      <c r="G6006" s="182" t="s">
        <v>12148</v>
      </c>
      <c r="H600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07" spans="1:8" x14ac:dyDescent="0.25">
      <c r="A6007" s="1" t="str">
        <f>MID(TB_CECO[[#This Row],[CECO_T]],1,5)</f>
        <v>1E58Z</v>
      </c>
      <c r="B6007" s="1" t="str">
        <f>MID(TB_CECO[[#This Row],[TRABAJO]],1,SEARCH(",",TB_CECO[[#This Row],[TRABAJO]],1)-1)</f>
        <v xml:space="preserve">Snv 861 SW (Est 880 NW) </v>
      </c>
      <c r="C600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SW (Est 880 NW) ,PERFORACION</v>
      </c>
      <c r="D600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0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07" s="72" t="s">
        <v>12417</v>
      </c>
      <c r="G6007" t="s">
        <v>12418</v>
      </c>
      <c r="H600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08" spans="1:8" x14ac:dyDescent="0.25">
      <c r="A6008" s="1" t="str">
        <f>MID(TB_CECO[[#This Row],[CECO_T]],1,5)</f>
        <v>1E58Z</v>
      </c>
      <c r="B6008" s="1" t="str">
        <f>MID(TB_CECO[[#This Row],[TRABAJO]],1,SEARCH(",",TB_CECO[[#This Row],[TRABAJO]],1)-1)</f>
        <v xml:space="preserve">Snv 861 SW (Est 880 NW) </v>
      </c>
      <c r="C600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SW (Est 880 NW) ,VOLADURA</v>
      </c>
      <c r="D600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0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08" s="72" t="s">
        <v>12419</v>
      </c>
      <c r="G6008" t="s">
        <v>12420</v>
      </c>
      <c r="H600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09" spans="1:8" x14ac:dyDescent="0.25">
      <c r="A6009" s="1" t="str">
        <f>MID(TB_CECO[[#This Row],[CECO_T]],1,5)</f>
        <v>1E58Z</v>
      </c>
      <c r="B6009" s="1" t="str">
        <f>MID(TB_CECO[[#This Row],[TRABAJO]],1,SEARCH(",",TB_CECO[[#This Row],[TRABAJO]],1)-1)</f>
        <v xml:space="preserve">Snv 861 SW (Est 880 NW) </v>
      </c>
      <c r="C600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SW (Est 880 NW) ,LIMPIEZA</v>
      </c>
      <c r="D600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0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09" s="72" t="s">
        <v>12421</v>
      </c>
      <c r="G6009" t="s">
        <v>12422</v>
      </c>
      <c r="H600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10" spans="1:8" x14ac:dyDescent="0.25">
      <c r="A6010" s="1" t="str">
        <f>MID(TB_CECO[[#This Row],[CECO_T]],1,5)</f>
        <v>1E58Z</v>
      </c>
      <c r="B6010" s="1" t="str">
        <f>MID(TB_CECO[[#This Row],[TRABAJO]],1,SEARCH(",",TB_CECO[[#This Row],[TRABAJO]],1)-1)</f>
        <v xml:space="preserve">Snv 861 SW (Est 880 NW) </v>
      </c>
      <c r="C601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SW (Est 880 NW) ,SOSTENIMIENTO</v>
      </c>
      <c r="D601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1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10" s="72" t="s">
        <v>12423</v>
      </c>
      <c r="G6010" t="s">
        <v>12424</v>
      </c>
      <c r="H601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11" spans="1:8" x14ac:dyDescent="0.25">
      <c r="A6011" s="1" t="str">
        <f>MID(TB_CECO[[#This Row],[CECO_T]],1,5)</f>
        <v>1E58Z</v>
      </c>
      <c r="B6011" s="1" t="str">
        <f>MID(TB_CECO[[#This Row],[TRABAJO]],1,SEARCH(",",TB_CECO[[#This Row],[TRABAJO]],1)-1)</f>
        <v xml:space="preserve">Snv 861 SW (Est 880 NW) </v>
      </c>
      <c r="C601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SW (Est 880 NW) ,SERVICIO</v>
      </c>
      <c r="D601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1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11" s="72" t="s">
        <v>12425</v>
      </c>
      <c r="G6011" t="s">
        <v>12426</v>
      </c>
      <c r="H601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12" spans="1:8" x14ac:dyDescent="0.25">
      <c r="A6012" s="1" t="str">
        <f>MID(TB_CECO[[#This Row],[CECO_T]],1,5)</f>
        <v>1E58Y</v>
      </c>
      <c r="B6012" s="1" t="str">
        <f>MID(TB_CECO[[#This Row],[TRABAJO]],1,SEARCH(",",TB_CECO[[#This Row],[TRABAJO]],1)-1)</f>
        <v xml:space="preserve">Snv 861 NE (Est 880 NW) </v>
      </c>
      <c r="C601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NE (Est 880 NW) ,PERFORACION</v>
      </c>
      <c r="D601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1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12" s="72" t="s">
        <v>12427</v>
      </c>
      <c r="G6012" t="s">
        <v>12428</v>
      </c>
      <c r="H601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13" spans="1:8" x14ac:dyDescent="0.25">
      <c r="A6013" s="1" t="str">
        <f>MID(TB_CECO[[#This Row],[CECO_T]],1,5)</f>
        <v>1E58Y</v>
      </c>
      <c r="B6013" s="1" t="str">
        <f>MID(TB_CECO[[#This Row],[TRABAJO]],1,SEARCH(",",TB_CECO[[#This Row],[TRABAJO]],1)-1)</f>
        <v xml:space="preserve">Snv 861 NE (Est 880 NW) </v>
      </c>
      <c r="C601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NE (Est 880 NW) ,VOLADURA</v>
      </c>
      <c r="D601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1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13" s="72" t="s">
        <v>12429</v>
      </c>
      <c r="G6013" t="s">
        <v>12430</v>
      </c>
      <c r="H601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14" spans="1:8" x14ac:dyDescent="0.25">
      <c r="A6014" s="1" t="str">
        <f>MID(TB_CECO[[#This Row],[CECO_T]],1,5)</f>
        <v>1E58Y</v>
      </c>
      <c r="B6014" s="1" t="str">
        <f>MID(TB_CECO[[#This Row],[TRABAJO]],1,SEARCH(",",TB_CECO[[#This Row],[TRABAJO]],1)-1)</f>
        <v xml:space="preserve">Snv 861 NE (Est 880 NW) </v>
      </c>
      <c r="C601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NE (Est 880 NW) ,LIMPIEZA</v>
      </c>
      <c r="D601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1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14" s="72" t="s">
        <v>12431</v>
      </c>
      <c r="G6014" t="s">
        <v>12432</v>
      </c>
      <c r="H601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15" spans="1:8" x14ac:dyDescent="0.25">
      <c r="A6015" s="1" t="str">
        <f>MID(TB_CECO[[#This Row],[CECO_T]],1,5)</f>
        <v>1E58Y</v>
      </c>
      <c r="B6015" s="1" t="str">
        <f>MID(TB_CECO[[#This Row],[TRABAJO]],1,SEARCH(",",TB_CECO[[#This Row],[TRABAJO]],1)-1)</f>
        <v xml:space="preserve">Snv 861 NE (Est 880 NW) </v>
      </c>
      <c r="C601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NE (Est 880 NW) ,SOSTENIMIENTO</v>
      </c>
      <c r="D601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1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15" s="72" t="s">
        <v>12433</v>
      </c>
      <c r="G6015" t="s">
        <v>12434</v>
      </c>
      <c r="H601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16" spans="1:8" x14ac:dyDescent="0.25">
      <c r="A6016" s="1" t="str">
        <f>MID(TB_CECO[[#This Row],[CECO_T]],1,5)</f>
        <v>1E58Y</v>
      </c>
      <c r="B6016" s="1" t="str">
        <f>MID(TB_CECO[[#This Row],[TRABAJO]],1,SEARCH(",",TB_CECO[[#This Row],[TRABAJO]],1)-1)</f>
        <v xml:space="preserve">Snv 861 NE (Est 880 NW) </v>
      </c>
      <c r="C601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NE (Est 880 NW) ,SERVICIO</v>
      </c>
      <c r="D601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1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16" s="72" t="s">
        <v>12435</v>
      </c>
      <c r="G6016" t="s">
        <v>12436</v>
      </c>
      <c r="H601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17" spans="1:8" x14ac:dyDescent="0.25">
      <c r="A6017" s="1" t="str">
        <f>MID(TB_CECO[[#This Row],[CECO_T]],1,5)</f>
        <v>5N73R</v>
      </c>
      <c r="B6017" s="1" t="str">
        <f>MID(TB_CECO[[#This Row],[TRABAJO]],1,SEARCH(",",TB_CECO[[#This Row],[TRABAJO]],1)-1)</f>
        <v>Tj 883 NE (Snv 883 NE)</v>
      </c>
      <c r="C601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883 NE (Snv 883 NE),PERFORACION</v>
      </c>
      <c r="D601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1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17" s="72" t="s">
        <v>12438</v>
      </c>
      <c r="G6017" t="s">
        <v>12439</v>
      </c>
      <c r="H601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18" spans="1:8" x14ac:dyDescent="0.25">
      <c r="A6018" s="1" t="str">
        <f>MID(TB_CECO[[#This Row],[CECO_T]],1,5)</f>
        <v>5N73R</v>
      </c>
      <c r="B6018" s="1" t="str">
        <f>MID(TB_CECO[[#This Row],[TRABAJO]],1,SEARCH(",",TB_CECO[[#This Row],[TRABAJO]],1)-1)</f>
        <v>Tj 883 NE (Snv 883 NE)</v>
      </c>
      <c r="C601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883 NE (Snv 883 NE),VOLADURA</v>
      </c>
      <c r="D601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1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18" s="72" t="s">
        <v>12440</v>
      </c>
      <c r="G6018" t="s">
        <v>12441</v>
      </c>
      <c r="H601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19" spans="1:8" x14ac:dyDescent="0.25">
      <c r="A6019" s="1" t="str">
        <f>MID(TB_CECO[[#This Row],[CECO_T]],1,5)</f>
        <v>5N73R</v>
      </c>
      <c r="B6019" s="1" t="str">
        <f>MID(TB_CECO[[#This Row],[TRABAJO]],1,SEARCH(",",TB_CECO[[#This Row],[TRABAJO]],1)-1)</f>
        <v>Tj 883 NE (Snv 883 NE)</v>
      </c>
      <c r="C601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883 NE (Snv 883 NE),LIMPIEZA</v>
      </c>
      <c r="D601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1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19" s="72" t="s">
        <v>12442</v>
      </c>
      <c r="G6019" t="s">
        <v>12443</v>
      </c>
      <c r="H601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20" spans="1:8" x14ac:dyDescent="0.25">
      <c r="A6020" s="1" t="str">
        <f>MID(TB_CECO[[#This Row],[CECO_T]],1,5)</f>
        <v>5N73R</v>
      </c>
      <c r="B6020" s="1" t="str">
        <f>MID(TB_CECO[[#This Row],[TRABAJO]],1,SEARCH(",",TB_CECO[[#This Row],[TRABAJO]],1)-1)</f>
        <v>Tj 883 NE (Snv 883 NE)</v>
      </c>
      <c r="C602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883 NE (Snv 883 NE),SOSTENIMIENTO</v>
      </c>
      <c r="D602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2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20" s="72" t="s">
        <v>12444</v>
      </c>
      <c r="G6020" t="s">
        <v>12445</v>
      </c>
      <c r="H602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21" spans="1:8" x14ac:dyDescent="0.25">
      <c r="A6021" s="1" t="str">
        <f>MID(TB_CECO[[#This Row],[CECO_T]],1,5)</f>
        <v>5N73R</v>
      </c>
      <c r="B6021" s="1" t="str">
        <f>MID(TB_CECO[[#This Row],[TRABAJO]],1,SEARCH(",",TB_CECO[[#This Row],[TRABAJO]],1)-1)</f>
        <v>Tj 883 NE (Snv 883 NE)</v>
      </c>
      <c r="C602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883 NE (Snv 883 NE),SERVICIO</v>
      </c>
      <c r="D602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2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21" s="72" t="s">
        <v>12446</v>
      </c>
      <c r="G6021" t="s">
        <v>12447</v>
      </c>
      <c r="H602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22" spans="1:8" x14ac:dyDescent="0.25">
      <c r="A6022" s="1" t="str">
        <f>MID(TB_CECO[[#This Row],[CECO_T]],1,5)</f>
        <v>5N73R</v>
      </c>
      <c r="B6022" s="1" t="str">
        <f>MID(TB_CECO[[#This Row],[TRABAJO]],1,SEARCH(",",TB_CECO[[#This Row],[TRABAJO]],1)-1)</f>
        <v>Tj 883 NE (Snv 883 NE)</v>
      </c>
      <c r="C602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Tj 883 NE (Snv 883 NE),RELLENO</v>
      </c>
      <c r="D602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2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22" s="72" t="s">
        <v>12448</v>
      </c>
      <c r="G6022" t="s">
        <v>12449</v>
      </c>
      <c r="H602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TAJO</v>
      </c>
    </row>
    <row r="6023" spans="1:8" x14ac:dyDescent="0.25">
      <c r="A6023" s="1" t="str">
        <f>MID(TB_CECO[[#This Row],[CECO_T]],1,5)</f>
        <v/>
      </c>
      <c r="B6023" s="1" t="e">
        <f>MID(TB_CECO[[#This Row],[TRABAJO]],1,SEARCH(",",TB_CECO[[#This Row],[TRABAJO]],1)-1)</f>
        <v>#VALUE!</v>
      </c>
      <c r="C6023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2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2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23" s="72"/>
      <c r="H6023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24" spans="1:8" x14ac:dyDescent="0.25">
      <c r="A6024" s="1" t="str">
        <f>MID(TB_CECO[[#This Row],[CECO_T]],1,5)</f>
        <v/>
      </c>
      <c r="B6024" s="1" t="e">
        <f>MID(TB_CECO[[#This Row],[TRABAJO]],1,SEARCH(",",TB_CECO[[#This Row],[TRABAJO]],1)-1)</f>
        <v>#VALUE!</v>
      </c>
      <c r="C6024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2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2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24" s="72"/>
      <c r="H6024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25" spans="1:8" x14ac:dyDescent="0.25">
      <c r="A6025" s="1" t="str">
        <f>MID(TB_CECO[[#This Row],[CECO_T]],1,5)</f>
        <v/>
      </c>
      <c r="B6025" s="1" t="e">
        <f>MID(TB_CECO[[#This Row],[TRABAJO]],1,SEARCH(",",TB_CECO[[#This Row],[TRABAJO]],1)-1)</f>
        <v>#VALUE!</v>
      </c>
      <c r="C6025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2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2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25" s="72"/>
      <c r="H6025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26" spans="1:8" x14ac:dyDescent="0.25">
      <c r="A6026" s="1" t="str">
        <f>MID(TB_CECO[[#This Row],[CECO_T]],1,5)</f>
        <v/>
      </c>
      <c r="B6026" s="1" t="e">
        <f>MID(TB_CECO[[#This Row],[TRABAJO]],1,SEARCH(",",TB_CECO[[#This Row],[TRABAJO]],1)-1)</f>
        <v>#VALUE!</v>
      </c>
      <c r="C6026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2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2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26" s="72"/>
      <c r="H6026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27" spans="1:8" x14ac:dyDescent="0.25">
      <c r="A6027" s="1" t="str">
        <f>MID(TB_CECO[[#This Row],[CECO_T]],1,5)</f>
        <v/>
      </c>
      <c r="B6027" s="1" t="e">
        <f>MID(TB_CECO[[#This Row],[TRABAJO]],1,SEARCH(",",TB_CECO[[#This Row],[TRABAJO]],1)-1)</f>
        <v>#VALUE!</v>
      </c>
      <c r="C6027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2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2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27" s="72"/>
      <c r="H6027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28" spans="1:8" x14ac:dyDescent="0.25">
      <c r="A6028" s="1" t="str">
        <f>MID(TB_CECO[[#This Row],[CECO_T]],1,5)</f>
        <v/>
      </c>
      <c r="B6028" s="1" t="e">
        <f>MID(TB_CECO[[#This Row],[TRABAJO]],1,SEARCH(",",TB_CECO[[#This Row],[TRABAJO]],1)-1)</f>
        <v>#VALUE!</v>
      </c>
      <c r="C6028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2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2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28" s="72"/>
      <c r="H6028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29" spans="1:8" x14ac:dyDescent="0.25">
      <c r="A6029" s="1" t="str">
        <f>MID(TB_CECO[[#This Row],[CECO_T]],1,5)</f>
        <v/>
      </c>
      <c r="B6029" s="1" t="e">
        <f>MID(TB_CECO[[#This Row],[TRABAJO]],1,SEARCH(",",TB_CECO[[#This Row],[TRABAJO]],1)-1)</f>
        <v>#VALUE!</v>
      </c>
      <c r="C6029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2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2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29" s="72"/>
      <c r="H6029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30" spans="1:8" x14ac:dyDescent="0.25">
      <c r="A6030" s="1" t="str">
        <f>MID(TB_CECO[[#This Row],[CECO_T]],1,5)</f>
        <v/>
      </c>
      <c r="B6030" s="1" t="e">
        <f>MID(TB_CECO[[#This Row],[TRABAJO]],1,SEARCH(",",TB_CECO[[#This Row],[TRABAJO]],1)-1)</f>
        <v>#VALUE!</v>
      </c>
      <c r="C6030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3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3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30" s="72"/>
      <c r="H6030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31" spans="1:8" x14ac:dyDescent="0.25">
      <c r="A6031" s="1" t="str">
        <f>MID(TB_CECO[[#This Row],[CECO_T]],1,5)</f>
        <v/>
      </c>
      <c r="B6031" s="1" t="e">
        <f>MID(TB_CECO[[#This Row],[TRABAJO]],1,SEARCH(",",TB_CECO[[#This Row],[TRABAJO]],1)-1)</f>
        <v>#VALUE!</v>
      </c>
      <c r="C6031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3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3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31" s="72"/>
      <c r="H6031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32" spans="1:8" x14ac:dyDescent="0.25">
      <c r="A6032" s="1" t="str">
        <f>MID(TB_CECO[[#This Row],[CECO_T]],1,5)</f>
        <v/>
      </c>
      <c r="B6032" s="1" t="e">
        <f>MID(TB_CECO[[#This Row],[TRABAJO]],1,SEARCH(",",TB_CECO[[#This Row],[TRABAJO]],1)-1)</f>
        <v>#VALUE!</v>
      </c>
      <c r="C6032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3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3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32" s="72"/>
      <c r="H6032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33" spans="1:8" x14ac:dyDescent="0.25">
      <c r="A6033" s="1" t="str">
        <f>MID(TB_CECO[[#This Row],[CECO_T]],1,5)</f>
        <v>1E58Z</v>
      </c>
      <c r="B6033" s="1" t="str">
        <f>MID(TB_CECO[[#This Row],[TRABAJO]],1,SEARCH(",",TB_CECO[[#This Row],[TRABAJO]],1)-1)</f>
        <v xml:space="preserve">Snv 861 SW (Est 880 NW) </v>
      </c>
      <c r="C6033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SW (Est 880 NW) ,PERFORACION</v>
      </c>
      <c r="D603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3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33" s="490" t="s">
        <v>12417</v>
      </c>
      <c r="G6033" s="103" t="s">
        <v>12418</v>
      </c>
      <c r="H6033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34" spans="1:8" x14ac:dyDescent="0.25">
      <c r="A6034" s="1" t="str">
        <f>MID(TB_CECO[[#This Row],[CECO_T]],1,5)</f>
        <v>1E58Z</v>
      </c>
      <c r="B6034" s="1" t="str">
        <f>MID(TB_CECO[[#This Row],[TRABAJO]],1,SEARCH(",",TB_CECO[[#This Row],[TRABAJO]],1)-1)</f>
        <v xml:space="preserve">Snv 861 SW (Est 880 NW) </v>
      </c>
      <c r="C6034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SW (Est 880 NW) ,VOLADURA</v>
      </c>
      <c r="D603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3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34" s="490" t="s">
        <v>12419</v>
      </c>
      <c r="G6034" s="103" t="s">
        <v>12420</v>
      </c>
      <c r="H6034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35" spans="1:8" x14ac:dyDescent="0.25">
      <c r="A6035" s="1" t="str">
        <f>MID(TB_CECO[[#This Row],[CECO_T]],1,5)</f>
        <v>1E58Z</v>
      </c>
      <c r="B6035" s="1" t="str">
        <f>MID(TB_CECO[[#This Row],[TRABAJO]],1,SEARCH(",",TB_CECO[[#This Row],[TRABAJO]],1)-1)</f>
        <v xml:space="preserve">Snv 861 SW (Est 880 NW) </v>
      </c>
      <c r="C6035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SW (Est 880 NW) ,LIMPIEZA</v>
      </c>
      <c r="D603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3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35" s="490" t="s">
        <v>12421</v>
      </c>
      <c r="G6035" s="103" t="s">
        <v>12422</v>
      </c>
      <c r="H6035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36" spans="1:8" x14ac:dyDescent="0.25">
      <c r="A6036" s="1" t="str">
        <f>MID(TB_CECO[[#This Row],[CECO_T]],1,5)</f>
        <v>1E58Z</v>
      </c>
      <c r="B6036" s="1" t="str">
        <f>MID(TB_CECO[[#This Row],[TRABAJO]],1,SEARCH(",",TB_CECO[[#This Row],[TRABAJO]],1)-1)</f>
        <v xml:space="preserve">Snv 861 SW (Est 880 NW) </v>
      </c>
      <c r="C6036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SW (Est 880 NW) ,SOSTENIMIENTO</v>
      </c>
      <c r="D603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3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36" s="490" t="s">
        <v>12423</v>
      </c>
      <c r="G6036" s="103" t="s">
        <v>12424</v>
      </c>
      <c r="H6036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37" spans="1:8" x14ac:dyDescent="0.25">
      <c r="A6037" s="1" t="str">
        <f>MID(TB_CECO[[#This Row],[CECO_T]],1,5)</f>
        <v>1E58Z</v>
      </c>
      <c r="B6037" s="1" t="str">
        <f>MID(TB_CECO[[#This Row],[TRABAJO]],1,SEARCH(",",TB_CECO[[#This Row],[TRABAJO]],1)-1)</f>
        <v xml:space="preserve">Snv 861 SW (Est 880 NW) </v>
      </c>
      <c r="C6037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SW (Est 880 NW) ,SERVICIO</v>
      </c>
      <c r="D603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3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37" s="490" t="s">
        <v>12425</v>
      </c>
      <c r="G6037" s="103" t="s">
        <v>12426</v>
      </c>
      <c r="H6037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38" spans="1:8" x14ac:dyDescent="0.25">
      <c r="A6038" s="1" t="str">
        <f>MID(TB_CECO[[#This Row],[CECO_T]],1,5)</f>
        <v>1E58Y</v>
      </c>
      <c r="B6038" s="1" t="str">
        <f>MID(TB_CECO[[#This Row],[TRABAJO]],1,SEARCH(",",TB_CECO[[#This Row],[TRABAJO]],1)-1)</f>
        <v xml:space="preserve">Snv 861 NE (Est 880 NW) </v>
      </c>
      <c r="C6038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NE (Est 880 NW) ,PERFORACION</v>
      </c>
      <c r="D6038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38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38" s="490" t="s">
        <v>12427</v>
      </c>
      <c r="G6038" s="103" t="s">
        <v>12428</v>
      </c>
      <c r="H6038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39" spans="1:8" x14ac:dyDescent="0.25">
      <c r="A6039" s="1" t="str">
        <f>MID(TB_CECO[[#This Row],[CECO_T]],1,5)</f>
        <v>1E58Y</v>
      </c>
      <c r="B6039" s="1" t="str">
        <f>MID(TB_CECO[[#This Row],[TRABAJO]],1,SEARCH(",",TB_CECO[[#This Row],[TRABAJO]],1)-1)</f>
        <v xml:space="preserve">Snv 861 NE (Est 880 NW) </v>
      </c>
      <c r="C6039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NE (Est 880 NW) ,VOLADURA</v>
      </c>
      <c r="D6039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39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39" s="490" t="s">
        <v>12429</v>
      </c>
      <c r="G6039" s="103" t="s">
        <v>12430</v>
      </c>
      <c r="H6039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40" spans="1:8" x14ac:dyDescent="0.25">
      <c r="A6040" s="1" t="str">
        <f>MID(TB_CECO[[#This Row],[CECO_T]],1,5)</f>
        <v>1E58Y</v>
      </c>
      <c r="B6040" s="1" t="str">
        <f>MID(TB_CECO[[#This Row],[TRABAJO]],1,SEARCH(",",TB_CECO[[#This Row],[TRABAJO]],1)-1)</f>
        <v xml:space="preserve">Snv 861 NE (Est 880 NW) </v>
      </c>
      <c r="C6040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NE (Est 880 NW) ,LIMPIEZA</v>
      </c>
      <c r="D6040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40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40" s="490" t="s">
        <v>12431</v>
      </c>
      <c r="G6040" s="103" t="s">
        <v>12432</v>
      </c>
      <c r="H6040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41" spans="1:8" x14ac:dyDescent="0.25">
      <c r="A6041" s="1" t="str">
        <f>MID(TB_CECO[[#This Row],[CECO_T]],1,5)</f>
        <v>1E58Y</v>
      </c>
      <c r="B6041" s="1" t="str">
        <f>MID(TB_CECO[[#This Row],[TRABAJO]],1,SEARCH(",",TB_CECO[[#This Row],[TRABAJO]],1)-1)</f>
        <v xml:space="preserve">Snv 861 NE (Est 880 NW) </v>
      </c>
      <c r="C6041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NE (Est 880 NW) ,SOSTENIMIENTO</v>
      </c>
      <c r="D6041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41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41" s="490" t="s">
        <v>12433</v>
      </c>
      <c r="G6041" s="103" t="s">
        <v>12434</v>
      </c>
      <c r="H6041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42" spans="1:8" x14ac:dyDescent="0.25">
      <c r="A6042" s="1" t="str">
        <f>MID(TB_CECO[[#This Row],[CECO_T]],1,5)</f>
        <v>1E58Y</v>
      </c>
      <c r="B6042" s="1" t="str">
        <f>MID(TB_CECO[[#This Row],[TRABAJO]],1,SEARCH(",",TB_CECO[[#This Row],[TRABAJO]],1)-1)</f>
        <v xml:space="preserve">Snv 861 NE (Est 880 NW) </v>
      </c>
      <c r="C6042" s="1" t="str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Snv 861 NE (Est 880 NW) ,SERVICIO</v>
      </c>
      <c r="D6042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VANESSA</v>
      </c>
      <c r="E6042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EXPLORACION</v>
      </c>
      <c r="F6042" s="490" t="s">
        <v>12435</v>
      </c>
      <c r="G6042" s="103" t="s">
        <v>12436</v>
      </c>
      <c r="H6042" s="1" t="str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LINEAL</v>
      </c>
    </row>
    <row r="6043" spans="1:8" x14ac:dyDescent="0.25">
      <c r="A6043" s="1" t="str">
        <f>MID(TB_CECO[[#This Row],[CECO_T]],1,5)</f>
        <v/>
      </c>
      <c r="B6043" s="1" t="e">
        <f>MID(TB_CECO[[#This Row],[TRABAJO]],1,SEARCH(",",TB_CECO[[#This Row],[TRABAJO]],1)-1)</f>
        <v>#VALUE!</v>
      </c>
      <c r="C6043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43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43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43" s="72"/>
      <c r="H6043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44" spans="1:8" x14ac:dyDescent="0.25">
      <c r="A6044" s="1" t="str">
        <f>MID(TB_CECO[[#This Row],[CECO_T]],1,5)</f>
        <v/>
      </c>
      <c r="B6044" s="1" t="e">
        <f>MID(TB_CECO[[#This Row],[TRABAJO]],1,SEARCH(",",TB_CECO[[#This Row],[TRABAJO]],1)-1)</f>
        <v>#VALUE!</v>
      </c>
      <c r="C6044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44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44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44" s="72"/>
      <c r="H6044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45" spans="1:8" x14ac:dyDescent="0.25">
      <c r="A6045" s="1" t="str">
        <f>MID(TB_CECO[[#This Row],[CECO_T]],1,5)</f>
        <v/>
      </c>
      <c r="B6045" s="1" t="e">
        <f>MID(TB_CECO[[#This Row],[TRABAJO]],1,SEARCH(",",TB_CECO[[#This Row],[TRABAJO]],1)-1)</f>
        <v>#VALUE!</v>
      </c>
      <c r="C6045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45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45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45" s="72"/>
      <c r="H6045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46" spans="1:8" x14ac:dyDescent="0.25">
      <c r="A6046" s="1" t="str">
        <f>MID(TB_CECO[[#This Row],[CECO_T]],1,5)</f>
        <v/>
      </c>
      <c r="B6046" s="1" t="e">
        <f>MID(TB_CECO[[#This Row],[TRABAJO]],1,SEARCH(",",TB_CECO[[#This Row],[TRABAJO]],1)-1)</f>
        <v>#VALUE!</v>
      </c>
      <c r="C6046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46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46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46" s="72"/>
      <c r="H6046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  <row r="6047" spans="1:8" x14ac:dyDescent="0.25">
      <c r="A6047" s="1" t="str">
        <f>MID(TB_CECO[[#This Row],[CECO_T]],1,5)</f>
        <v/>
      </c>
      <c r="B6047" s="1" t="e">
        <f>MID(TB_CECO[[#This Row],[TRABAJO]],1,SEARCH(",",TB_CECO[[#This Row],[TRABAJO]],1)-1)</f>
        <v>#VALUE!</v>
      </c>
      <c r="C6047" s="1" t="e">
        <f>MID(TB_CECO[[#This Row],[CECO_COMPLETO]],SEARCH(",",TB_CECO[[#This Row],[CECO_COMPLETO]],SEARCH(",",TB_CECO[[#This Row],[CECO_COMPLETO]],1)+1)+1,LEN(TB_CECO[[#This Row],[CECO_COMPLETO]])-SEARCH(",",TB_CECO[[#This Row],[CECO_COMPLETO]],SEARCH(",",TB_CECO[[#This Row],[CECO_COMPLETO]],1)+1)+1)</f>
        <v>#VALUE!</v>
      </c>
      <c r="D6047" s="1" t="str">
        <f>IF(MID(TB_CECO[[#This Row],[CECO_COMPLETO]],8,2)="SH","SHOJO",IF(MID(TB_CECO[[#This Row],[CECO_COMPLETO]],8,2)="VA","VANESSA",IF(MID(TB_CECO[[#This Row],[CECO_COMPLETO]],8,2)="CA","CACHORRO",IF(MID(TB_CECO[[#This Row],[CECO_COMPLETO]],8,2)="AN","ANDREA",IF(MID(TB_CECO[[#This Row],[CECO_COMPLETO]],8,2)="MA","MANUEL",IF(MID(TB_CECO[[#This Row],[CECO_COMPLETO]],8,2)="CH","CHAPI",IF(MID(TB_CECO[[#This Row],[CECO_COMPLETO]],8,2)="IN","INCA",IF(MID(TB_CECO[[#This Row],[CECO_COMPLETO]],8,2)="PA","PAMELA",IF(MID(TB_CECO[[#This Row],[CECO_COMPLETO]],8,2)="JA","JACKY","ESCONDIDA")))))))))</f>
        <v>ESCONDIDA</v>
      </c>
      <c r="E6047" s="1" t="str">
        <f>IF(MID(TB_CECO[[#This Row],[CECO_COMPLETO]],1,6)="PREPAR","PREPARACION",IF(MID(TB_CECO[[#This Row],[CECO_COMPLETO]],1,6)="EXPLOR","EXPLORACION",IF(MID(TB_CECO[[#This Row],[CECO_COMPLETO]],1,6)="DESARR","DESARROLLO",IF(MID(TB_CECO[[#This Row],[CECO_COMPLETO]],1,6)="OPERAC","OPERACION",IF(MID(TB_CECO[[#This Row],[CECO_COMPLETO]],1,6)="SERVIC","SERVICIOS","EXPLOTACION")))))</f>
        <v>EXPLOTACION</v>
      </c>
      <c r="F6047" s="72"/>
      <c r="H6047" s="1" t="e">
        <f>IF(MID(TB_CECO[[#This Row],[TRABAJO]],1,2)="TJ","TAJO",IF(TB_CECO[[#This Row],[TRABAJO]]="MOTORISTAS,SERVICIOS","SERVICIOS",IF(TB_CECO[[#This Row],[TRABAJO]]="BODEGUERO,SERVICIOS","SERVICIOS",IF(TB_CECO[[#This Row],[TRABAJO]]="HERRERIA,SERVICIOS","SERVICIOS",IF(TB_CECO[[#This Row],[TRABAJO]]="CARRILANO,SERVICIOS","SERVICIOS","LINEAL")))))</f>
        <v>#VALUE!</v>
      </c>
    </row>
  </sheetData>
  <conditionalFormatting sqref="F5398:F5412">
    <cfRule type="duplicateValues" dxfId="475" priority="32"/>
  </conditionalFormatting>
  <conditionalFormatting sqref="F5487:F5536">
    <cfRule type="duplicateValues" dxfId="474" priority="31"/>
  </conditionalFormatting>
  <conditionalFormatting sqref="F5537:F5541">
    <cfRule type="duplicateValues" dxfId="473" priority="30"/>
  </conditionalFormatting>
  <conditionalFormatting sqref="F5567:F5576">
    <cfRule type="duplicateValues" dxfId="472" priority="29"/>
  </conditionalFormatting>
  <conditionalFormatting sqref="F5673">
    <cfRule type="duplicateValues" dxfId="471" priority="27"/>
  </conditionalFormatting>
  <conditionalFormatting sqref="F5679:F5688">
    <cfRule type="duplicateValues" dxfId="470" priority="26"/>
  </conditionalFormatting>
  <conditionalFormatting sqref="A5679:A5688">
    <cfRule type="duplicateValues" dxfId="469" priority="25"/>
  </conditionalFormatting>
  <conditionalFormatting sqref="F5726:F5729">
    <cfRule type="duplicateValues" dxfId="468" priority="24"/>
  </conditionalFormatting>
  <conditionalFormatting sqref="F5734:F5739">
    <cfRule type="duplicateValues" dxfId="467" priority="23"/>
  </conditionalFormatting>
  <conditionalFormatting sqref="F5740:F5744">
    <cfRule type="duplicateValues" dxfId="466" priority="22"/>
  </conditionalFormatting>
  <conditionalFormatting sqref="F5745:F5758">
    <cfRule type="duplicateValues" dxfId="465" priority="21"/>
  </conditionalFormatting>
  <conditionalFormatting sqref="F5759:F5763">
    <cfRule type="duplicateValues" dxfId="464" priority="20"/>
  </conditionalFormatting>
  <conditionalFormatting sqref="F5783:F5791">
    <cfRule type="duplicateValues" dxfId="463" priority="19"/>
  </conditionalFormatting>
  <conditionalFormatting sqref="F5796:F5800">
    <cfRule type="duplicateValues" dxfId="462" priority="18"/>
  </conditionalFormatting>
  <conditionalFormatting sqref="F5801:F5812">
    <cfRule type="duplicateValues" dxfId="461" priority="17"/>
  </conditionalFormatting>
  <conditionalFormatting sqref="F5818:F5823">
    <cfRule type="duplicateValues" dxfId="460" priority="16"/>
  </conditionalFormatting>
  <conditionalFormatting sqref="F5824:F5829">
    <cfRule type="duplicateValues" dxfId="459" priority="15"/>
  </conditionalFormatting>
  <conditionalFormatting sqref="F5831:F5835">
    <cfRule type="duplicateValues" dxfId="458" priority="14"/>
  </conditionalFormatting>
  <conditionalFormatting sqref="F5836:F5840">
    <cfRule type="duplicateValues" dxfId="457" priority="13"/>
  </conditionalFormatting>
  <conditionalFormatting sqref="F5841:F5845">
    <cfRule type="duplicateValues" dxfId="456" priority="12"/>
  </conditionalFormatting>
  <conditionalFormatting sqref="F5846:F5850">
    <cfRule type="duplicateValues" dxfId="455" priority="11"/>
  </conditionalFormatting>
  <conditionalFormatting sqref="F5872:F5876">
    <cfRule type="duplicateValues" dxfId="454" priority="10"/>
  </conditionalFormatting>
  <conditionalFormatting sqref="F5877:F5881">
    <cfRule type="duplicateValues" dxfId="453" priority="9"/>
  </conditionalFormatting>
  <conditionalFormatting sqref="F5882:F5886">
    <cfRule type="duplicateValues" dxfId="452" priority="8"/>
  </conditionalFormatting>
  <conditionalFormatting sqref="F5887:F5891">
    <cfRule type="duplicateValues" dxfId="451" priority="7"/>
  </conditionalFormatting>
  <conditionalFormatting sqref="F5892:F5896">
    <cfRule type="duplicateValues" dxfId="450" priority="6"/>
  </conditionalFormatting>
  <conditionalFormatting sqref="F5897:F5901">
    <cfRule type="duplicateValues" dxfId="449" priority="5"/>
  </conditionalFormatting>
  <conditionalFormatting sqref="F5944:F5949">
    <cfRule type="duplicateValues" dxfId="448" priority="4"/>
  </conditionalFormatting>
  <conditionalFormatting sqref="F5950:F5954">
    <cfRule type="duplicateValues" dxfId="447" priority="3"/>
  </conditionalFormatting>
  <conditionalFormatting sqref="F6033:F6037">
    <cfRule type="duplicateValues" dxfId="446" priority="2"/>
  </conditionalFormatting>
  <conditionalFormatting sqref="F6038:F6042">
    <cfRule type="duplicateValues" dxfId="445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2:DZ563"/>
  <sheetViews>
    <sheetView tabSelected="1" zoomScale="115" zoomScaleNormal="115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G211" sqref="G211"/>
    </sheetView>
  </sheetViews>
  <sheetFormatPr baseColWidth="10" defaultRowHeight="18" customHeight="1" x14ac:dyDescent="0.25"/>
  <cols>
    <col min="1" max="1" width="11.7109375" style="17" bestFit="1" customWidth="1"/>
    <col min="2" max="2" width="12.42578125" style="17" bestFit="1" customWidth="1"/>
    <col min="3" max="3" width="14.42578125" style="17" customWidth="1"/>
    <col min="4" max="4" width="22.85546875" style="39" customWidth="1"/>
    <col min="5" max="5" width="15.85546875" style="17" customWidth="1"/>
    <col min="6" max="6" width="11.28515625" style="17" customWidth="1"/>
    <col min="7" max="7" width="21.42578125" style="17" customWidth="1"/>
    <col min="8" max="8" width="16.140625" style="17" customWidth="1"/>
    <col min="9" max="9" width="11.5703125" style="17" customWidth="1"/>
    <col min="10" max="10" width="16.5703125" style="17" customWidth="1"/>
    <col min="11" max="11" width="13.7109375" style="17" customWidth="1"/>
    <col min="12" max="12" width="11.140625" style="17" customWidth="1"/>
    <col min="13" max="13" width="17.85546875" style="17" customWidth="1"/>
    <col min="14" max="14" width="14.140625" style="17" customWidth="1"/>
    <col min="15" max="15" width="9.7109375" style="27" customWidth="1"/>
    <col min="16" max="17" width="10.85546875" style="27" customWidth="1"/>
    <col min="18" max="18" width="10.85546875" style="17" customWidth="1"/>
    <col min="19" max="19" width="18.140625" style="17" customWidth="1"/>
    <col min="20" max="20" width="8.7109375" style="17" customWidth="1"/>
    <col min="21" max="21" width="10.42578125" style="17" customWidth="1"/>
    <col min="22" max="22" width="8.28515625" style="17" customWidth="1"/>
    <col min="23" max="24" width="10.5703125" style="17" customWidth="1"/>
    <col min="25" max="26" width="13" style="17" customWidth="1"/>
    <col min="27" max="27" width="12.7109375" style="17" customWidth="1"/>
    <col min="28" max="28" width="18.28515625" style="17" customWidth="1"/>
    <col min="29" max="29" width="12.140625" style="17" customWidth="1"/>
    <col min="30" max="30" width="18.140625" style="17" customWidth="1"/>
    <col min="31" max="31" width="19.42578125" style="17" customWidth="1"/>
    <col min="32" max="32" width="24.85546875" style="17" customWidth="1"/>
    <col min="33" max="35" width="29.85546875" style="17" customWidth="1"/>
    <col min="36" max="36" width="29.28515625" style="17" customWidth="1"/>
    <col min="37" max="37" width="15.7109375" style="17" customWidth="1"/>
    <col min="38" max="38" width="23.7109375" style="17" customWidth="1"/>
    <col min="39" max="39" width="23.140625" style="17" customWidth="1"/>
    <col min="40" max="40" width="26.85546875" style="17" customWidth="1"/>
    <col min="41" max="41" width="25.28515625" style="17" customWidth="1"/>
    <col min="42" max="42" width="21.7109375" style="17" customWidth="1"/>
    <col min="43" max="44" width="26.7109375" style="17" customWidth="1"/>
    <col min="45" max="45" width="20.85546875" style="17" customWidth="1"/>
    <col min="46" max="46" width="23.28515625" style="17" customWidth="1"/>
    <col min="47" max="47" width="20.85546875" customWidth="1"/>
    <col min="48" max="48" width="20.140625" customWidth="1"/>
    <col min="49" max="49" width="22.28515625" style="17" customWidth="1"/>
    <col min="50" max="50" width="19.85546875" style="17" customWidth="1"/>
    <col min="51" max="51" width="21.85546875" style="17" customWidth="1"/>
    <col min="52" max="52" width="22.85546875" style="17" customWidth="1"/>
    <col min="53" max="53" width="23" style="17" customWidth="1"/>
    <col min="54" max="54" width="18.140625" style="17" customWidth="1"/>
    <col min="55" max="55" width="28" style="17" customWidth="1"/>
    <col min="56" max="56" width="36.42578125" style="17" customWidth="1"/>
    <col min="57" max="57" width="27.42578125" style="17" customWidth="1"/>
    <col min="58" max="58" width="11" style="17" customWidth="1"/>
    <col min="59" max="59" width="12.42578125" style="17" customWidth="1"/>
    <col min="60" max="60" width="24.28515625" style="17" customWidth="1"/>
    <col min="61" max="61" width="19.28515625" style="17" customWidth="1"/>
    <col min="62" max="62" width="18.7109375" style="17" customWidth="1"/>
    <col min="63" max="63" width="28.140625" style="17" customWidth="1"/>
    <col min="64" max="64" width="21.42578125" style="17" customWidth="1"/>
    <col min="65" max="65" width="17" style="17" customWidth="1"/>
    <col min="66" max="66" width="15.28515625" style="17" customWidth="1"/>
    <col min="67" max="67" width="15.140625" style="17" customWidth="1"/>
    <col min="68" max="68" width="13.28515625" style="17" customWidth="1"/>
    <col min="69" max="69" width="19" style="17" customWidth="1"/>
    <col min="70" max="70" width="16.5703125" style="17" customWidth="1"/>
    <col min="71" max="71" width="12.7109375" style="17" customWidth="1"/>
    <col min="72" max="72" width="15" style="17" customWidth="1"/>
    <col min="73" max="73" width="23.28515625" style="17" customWidth="1"/>
    <col min="74" max="74" width="15.28515625" style="17" customWidth="1"/>
    <col min="75" max="80" width="18.85546875" style="17" customWidth="1"/>
    <col min="81" max="81" width="25" style="17" customWidth="1"/>
    <col min="82" max="82" width="17.140625" style="17" customWidth="1"/>
    <col min="83" max="83" width="13.28515625" style="17" customWidth="1"/>
    <col min="84" max="84" width="14.7109375" style="17" customWidth="1"/>
    <col min="85" max="85" width="15.7109375" style="17" customWidth="1"/>
    <col min="86" max="86" width="31.28515625" style="17" customWidth="1"/>
    <col min="87" max="87" width="29.85546875" style="17" customWidth="1"/>
    <col min="88" max="88" width="24.140625" style="17" customWidth="1"/>
    <col min="89" max="89" width="20.140625" style="17" customWidth="1"/>
    <col min="90" max="91" width="15.5703125" style="17" customWidth="1"/>
    <col min="92" max="92" width="20.85546875" style="17" customWidth="1"/>
    <col min="93" max="93" width="15.5703125" style="17" customWidth="1"/>
    <col min="94" max="94" width="22.5703125" style="17" customWidth="1"/>
    <col min="95" max="96" width="19.28515625" style="17" customWidth="1"/>
    <col min="97" max="97" width="17" style="17" customWidth="1"/>
    <col min="98" max="99" width="18.140625" style="17" customWidth="1"/>
    <col min="100" max="100" width="14.5703125" style="17" customWidth="1"/>
    <col min="101" max="102" width="20.7109375" style="17" customWidth="1"/>
    <col min="103" max="103" width="17.140625" style="26" customWidth="1"/>
    <col min="104" max="104" width="27.28515625" style="17" customWidth="1"/>
    <col min="105" max="105" width="28.7109375" style="17" customWidth="1"/>
    <col min="106" max="106" width="22.5703125" style="17" customWidth="1"/>
    <col min="107" max="107" width="23.28515625" style="17" customWidth="1"/>
    <col min="108" max="108" width="20.42578125" style="17" customWidth="1"/>
    <col min="109" max="109" width="10.5703125" style="17" customWidth="1"/>
    <col min="110" max="110" width="15.28515625" style="17" customWidth="1"/>
    <col min="111" max="111" width="13.5703125" style="17" customWidth="1"/>
    <col min="112" max="112" width="18.28515625" style="17" customWidth="1"/>
    <col min="113" max="113" width="21.42578125" style="26" customWidth="1"/>
    <col min="114" max="114" width="18.85546875" style="26" customWidth="1"/>
    <col min="115" max="115" width="14.42578125" style="26" customWidth="1"/>
    <col min="116" max="116" width="18" style="26" customWidth="1"/>
    <col min="117" max="117" width="11.5703125" style="24" customWidth="1"/>
    <col min="118" max="118" width="22.85546875" style="17" customWidth="1"/>
    <col min="119" max="119" width="18.28515625" style="17" customWidth="1"/>
    <col min="120" max="120" width="18" style="17" customWidth="1"/>
    <col min="121" max="121" width="19.42578125" style="17" customWidth="1"/>
    <col min="122" max="122" width="37.5703125" style="51" customWidth="1"/>
    <col min="123" max="127" width="12.7109375" style="51" customWidth="1"/>
    <col min="128" max="130" width="12.7109375" style="52" customWidth="1"/>
    <col min="131" max="16384" width="11.42578125" style="49"/>
  </cols>
  <sheetData>
    <row r="2" spans="1:130" ht="18" customHeight="1" x14ac:dyDescent="0.25">
      <c r="A2" s="17" t="s">
        <v>10587</v>
      </c>
      <c r="B2" s="17" t="s">
        <v>10588</v>
      </c>
      <c r="C2" s="17" t="s">
        <v>10589</v>
      </c>
      <c r="D2" s="17" t="s">
        <v>1</v>
      </c>
      <c r="E2" s="44" t="s">
        <v>10959</v>
      </c>
      <c r="F2" s="17" t="s">
        <v>10606</v>
      </c>
      <c r="G2" s="23" t="s">
        <v>10607</v>
      </c>
      <c r="H2" s="23" t="s">
        <v>10590</v>
      </c>
      <c r="I2" s="23" t="s">
        <v>3</v>
      </c>
      <c r="J2" s="23" t="s">
        <v>10591</v>
      </c>
      <c r="K2" s="23" t="s">
        <v>4</v>
      </c>
      <c r="L2" s="17" t="s">
        <v>10592</v>
      </c>
      <c r="M2" s="17" t="s">
        <v>10593</v>
      </c>
      <c r="N2" s="18" t="s">
        <v>10594</v>
      </c>
      <c r="O2" s="17" t="s">
        <v>10595</v>
      </c>
      <c r="P2" s="17" t="s">
        <v>10596</v>
      </c>
      <c r="Q2" s="17" t="s">
        <v>10597</v>
      </c>
      <c r="R2" s="17" t="s">
        <v>10598</v>
      </c>
      <c r="S2" s="19" t="s">
        <v>10599</v>
      </c>
      <c r="T2" s="19" t="s">
        <v>10600</v>
      </c>
      <c r="U2" s="17" t="s">
        <v>10601</v>
      </c>
      <c r="V2" s="17" t="s">
        <v>10602</v>
      </c>
      <c r="W2" s="17" t="s">
        <v>10603</v>
      </c>
      <c r="X2" s="17" t="s">
        <v>10604</v>
      </c>
      <c r="Y2" s="19" t="s">
        <v>10605</v>
      </c>
      <c r="Z2" s="20" t="s">
        <v>10725</v>
      </c>
      <c r="AA2" s="20" t="s">
        <v>10726</v>
      </c>
      <c r="AB2" s="20" t="s">
        <v>10727</v>
      </c>
      <c r="AC2" s="20" t="s">
        <v>10728</v>
      </c>
      <c r="AD2" s="29" t="s">
        <v>10729</v>
      </c>
      <c r="AE2" s="29" t="s">
        <v>10730</v>
      </c>
      <c r="AF2" s="29" t="s">
        <v>10731</v>
      </c>
      <c r="AG2" s="29" t="s">
        <v>10805</v>
      </c>
      <c r="AH2" s="29" t="s">
        <v>10804</v>
      </c>
      <c r="AI2" s="29" t="s">
        <v>10732</v>
      </c>
      <c r="AJ2" s="41" t="s">
        <v>10955</v>
      </c>
      <c r="AK2" s="29" t="s">
        <v>10735</v>
      </c>
      <c r="AL2" s="29" t="s">
        <v>10733</v>
      </c>
      <c r="AM2" s="29" t="s">
        <v>10734</v>
      </c>
      <c r="AN2" s="29" t="s">
        <v>10736</v>
      </c>
      <c r="AO2" s="29" t="s">
        <v>10737</v>
      </c>
      <c r="AP2" s="29" t="s">
        <v>10738</v>
      </c>
      <c r="AQ2" s="29" t="s">
        <v>10739</v>
      </c>
      <c r="AR2" s="29" t="s">
        <v>10741</v>
      </c>
      <c r="AS2" s="29" t="s">
        <v>10740</v>
      </c>
      <c r="AT2" s="41" t="s">
        <v>10956</v>
      </c>
      <c r="AU2" s="29" t="s">
        <v>10939</v>
      </c>
      <c r="AV2" s="21" t="s">
        <v>10742</v>
      </c>
      <c r="AW2" s="21" t="s">
        <v>10743</v>
      </c>
      <c r="AX2" s="21" t="s">
        <v>10744</v>
      </c>
      <c r="AY2" s="21" t="s">
        <v>10745</v>
      </c>
      <c r="AZ2" s="22" t="s">
        <v>10746</v>
      </c>
      <c r="BA2" s="22" t="s">
        <v>10747</v>
      </c>
      <c r="BB2" s="22" t="s">
        <v>10748</v>
      </c>
      <c r="BC2" s="22" t="s">
        <v>11503</v>
      </c>
      <c r="BD2" s="22" t="s">
        <v>10749</v>
      </c>
      <c r="BE2" s="22" t="s">
        <v>10750</v>
      </c>
      <c r="BF2" s="22" t="s">
        <v>10751</v>
      </c>
      <c r="BG2" s="22" t="s">
        <v>10752</v>
      </c>
      <c r="BH2" s="22" t="s">
        <v>10753</v>
      </c>
      <c r="BI2" s="22" t="s">
        <v>10754</v>
      </c>
      <c r="BJ2" s="22" t="s">
        <v>10755</v>
      </c>
      <c r="BK2" s="22" t="s">
        <v>10756</v>
      </c>
      <c r="BL2" s="22" t="s">
        <v>10757</v>
      </c>
      <c r="BM2" s="22" t="s">
        <v>10758</v>
      </c>
      <c r="BN2" s="22" t="s">
        <v>10759</v>
      </c>
      <c r="BO2" s="22" t="s">
        <v>10760</v>
      </c>
      <c r="BP2" s="22" t="s">
        <v>10761</v>
      </c>
      <c r="BQ2" s="22" t="s">
        <v>10762</v>
      </c>
      <c r="BR2" s="22" t="s">
        <v>10763</v>
      </c>
      <c r="BS2" s="22" t="s">
        <v>10764</v>
      </c>
      <c r="BT2" s="22" t="s">
        <v>10765</v>
      </c>
      <c r="BU2" s="22" t="s">
        <v>10766</v>
      </c>
      <c r="BV2" s="22" t="s">
        <v>10767</v>
      </c>
      <c r="BW2" s="22" t="s">
        <v>10768</v>
      </c>
      <c r="BX2" s="22" t="s">
        <v>10769</v>
      </c>
      <c r="BY2" s="43" t="s">
        <v>10957</v>
      </c>
      <c r="BZ2" s="43" t="s">
        <v>10958</v>
      </c>
      <c r="CA2" s="22" t="s">
        <v>10770</v>
      </c>
      <c r="CB2" s="22" t="s">
        <v>10771</v>
      </c>
      <c r="CC2" s="22" t="s">
        <v>10772</v>
      </c>
      <c r="CD2" s="22" t="s">
        <v>10773</v>
      </c>
      <c r="CE2" s="22" t="s">
        <v>10774</v>
      </c>
      <c r="CF2" s="22" t="s">
        <v>10775</v>
      </c>
      <c r="CG2" s="22" t="s">
        <v>10776</v>
      </c>
      <c r="CH2" s="22" t="s">
        <v>10777</v>
      </c>
      <c r="CI2" s="22" t="s">
        <v>10778</v>
      </c>
      <c r="CJ2" s="22" t="s">
        <v>10779</v>
      </c>
      <c r="CK2" s="30" t="s">
        <v>10780</v>
      </c>
      <c r="CL2" s="30" t="s">
        <v>10781</v>
      </c>
      <c r="CM2" s="30" t="s">
        <v>10782</v>
      </c>
      <c r="CN2" s="30" t="s">
        <v>10783</v>
      </c>
      <c r="CO2" s="30" t="s">
        <v>10784</v>
      </c>
      <c r="CP2" s="31" t="s">
        <v>10785</v>
      </c>
      <c r="CQ2" s="30" t="s">
        <v>10786</v>
      </c>
      <c r="CR2" s="30" t="s">
        <v>10787</v>
      </c>
      <c r="CS2" s="30" t="s">
        <v>10788</v>
      </c>
      <c r="CT2" s="30" t="s">
        <v>10789</v>
      </c>
      <c r="CU2" s="30" t="s">
        <v>10790</v>
      </c>
      <c r="CV2" s="30" t="s">
        <v>10791</v>
      </c>
      <c r="CW2" s="30" t="s">
        <v>10792</v>
      </c>
      <c r="CX2" s="30" t="s">
        <v>10793</v>
      </c>
      <c r="CY2" s="30" t="s">
        <v>10794</v>
      </c>
      <c r="CZ2" s="31" t="s">
        <v>10795</v>
      </c>
      <c r="DA2" s="31" t="s">
        <v>10796</v>
      </c>
      <c r="DB2" s="31" t="s">
        <v>10797</v>
      </c>
      <c r="DC2" s="31" t="s">
        <v>10798</v>
      </c>
      <c r="DD2" s="31" t="s">
        <v>10799</v>
      </c>
      <c r="DE2" s="37" t="s">
        <v>10800</v>
      </c>
      <c r="DF2" s="37" t="s">
        <v>10802</v>
      </c>
      <c r="DG2" s="37" t="s">
        <v>10801</v>
      </c>
      <c r="DH2" s="37" t="s">
        <v>10803</v>
      </c>
      <c r="DI2" s="28" t="s">
        <v>10932</v>
      </c>
      <c r="DJ2" s="28" t="s">
        <v>10930</v>
      </c>
      <c r="DK2" s="28" t="s">
        <v>10931</v>
      </c>
      <c r="DL2" s="28" t="s">
        <v>10933</v>
      </c>
      <c r="DM2" s="28" t="s">
        <v>10934</v>
      </c>
      <c r="DN2" s="28" t="s">
        <v>10935</v>
      </c>
      <c r="DO2" s="32" t="s">
        <v>10936</v>
      </c>
      <c r="DP2" s="32" t="s">
        <v>10937</v>
      </c>
      <c r="DQ2" s="32" t="s">
        <v>10938</v>
      </c>
      <c r="DR2" s="50" t="s">
        <v>12087</v>
      </c>
      <c r="DS2" s="49"/>
      <c r="DT2" s="49"/>
      <c r="DU2" s="49"/>
      <c r="DV2" s="49"/>
      <c r="DW2" s="49"/>
      <c r="DX2" s="49"/>
      <c r="DY2" s="49"/>
      <c r="DZ2" s="49"/>
    </row>
    <row r="3" spans="1:130" ht="18" customHeight="1" x14ac:dyDescent="0.25">
      <c r="A3" s="92">
        <v>44652</v>
      </c>
      <c r="B3" s="40" t="s">
        <v>10647</v>
      </c>
      <c r="C3" s="40" t="s">
        <v>10680</v>
      </c>
      <c r="D3" s="61" t="s">
        <v>10952</v>
      </c>
      <c r="E3" s="42" t="str">
        <f>LEFT(BD_MO[[#This Row],[LABOR]],2)</f>
        <v>In</v>
      </c>
      <c r="F3" s="46" t="s">
        <v>10687</v>
      </c>
      <c r="G3" s="46" t="s">
        <v>10648</v>
      </c>
      <c r="H3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" s="42" t="str">
        <f>IF(BD_MO[FECHA]&lt;&gt;"",VLOOKUP(BD_MO[LABOR],TB_CECO[[LABOR]:[CECO_T]],3,FALSE),"")</f>
        <v>VANESSA</v>
      </c>
      <c r="J3" s="42" t="str">
        <f>IF(BD_MO[FECHA]&lt;&gt;"",VLOOKUP(BD_MO[LABOR],D_CECO!B:H,7,FALSE),"")</f>
        <v>LINEAL</v>
      </c>
      <c r="K3" s="42" t="str">
        <f>IF(BD_MO[FECHA]&lt;&gt;"",VLOOKUP(BD_MO[LABOR],D_CECO!B:H,4,FALSE),"")</f>
        <v>EXPLORACION</v>
      </c>
      <c r="L3" s="42"/>
      <c r="M3" s="48" t="s">
        <v>10646</v>
      </c>
      <c r="N3" s="46"/>
      <c r="O3" s="93" t="s">
        <v>11904</v>
      </c>
      <c r="P3" s="93" t="s">
        <v>11926</v>
      </c>
      <c r="Q3" s="93"/>
      <c r="R3" s="45"/>
      <c r="S3" s="54" t="str">
        <f>IFERROR(VLOOKUP(BD_MO[DNI 4],#REF!,2,FALSE)," ")</f>
        <v xml:space="preserve"> </v>
      </c>
      <c r="T3" s="24">
        <f>+IF(BD_MO[[#This Row],[FECHA]]&lt;&gt;"",COUNTA(BD_MO[[#This Row],[DNI]],BD_MO[[#This Row],[DNI 2]],BD_MO[[#This Row],[DNI 3]],BD_MO[[#This Row],[DNI 4]]),"")</f>
        <v>2</v>
      </c>
      <c r="U3" s="24">
        <v>0.9</v>
      </c>
      <c r="V3" s="24">
        <v>0.4</v>
      </c>
      <c r="W3" s="24">
        <v>0.4</v>
      </c>
      <c r="X3" s="24">
        <v>0.3</v>
      </c>
      <c r="Y3" s="86">
        <f>SUM(BD_MO[[#This Row],[LIMP]:[SERV]])</f>
        <v>2</v>
      </c>
      <c r="Z3" s="46" t="s">
        <v>12121</v>
      </c>
      <c r="AA3" s="46">
        <f>+IF(BD_MO[[#This Row],[N° VALE]]&lt;&gt;"",1,"")</f>
        <v>1</v>
      </c>
      <c r="AB3" s="40" t="s">
        <v>10710</v>
      </c>
      <c r="AC3" s="46">
        <v>4</v>
      </c>
      <c r="AD3" s="46">
        <f>+IF(BD_MO[[#This Row],[N° VALE]]&lt;&gt;"",BD_MO[[#This Row],[FULMINANTE N° 08]]+BD_MO[CARMEX 7''],"")</f>
        <v>26</v>
      </c>
      <c r="AE3" s="46"/>
      <c r="AF3" s="46">
        <f>+IF(BD_MO[[#This Row],[N° VALE]]&lt;&gt;"",BD_MO[[#This Row],[N° TALADROS]]+BD_MO[[#This Row],[N° TAL. VACIOS]],"")</f>
        <v>26</v>
      </c>
      <c r="AG3" s="55">
        <v>54</v>
      </c>
      <c r="AH3" s="55">
        <v>61</v>
      </c>
      <c r="AI3" s="55"/>
      <c r="AJ3" s="55"/>
      <c r="AK3" s="55">
        <v>26</v>
      </c>
      <c r="AL3" s="55">
        <v>6</v>
      </c>
      <c r="AM3" s="42"/>
      <c r="AN3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" s="46">
        <f>+IF(BD_MO[[#This Row],[N° VALE]]&lt;&gt;"",IF(BD_MO[[#This Row],[FULMINANTE N° 08]]&lt;&gt;"",BD_MO[[#This Row],[FULMINANTE N° 08]],IF(BD_MO[[#This Row],[CARMEX 7'']]&lt;&gt;0,0,"")),"")</f>
        <v>0</v>
      </c>
      <c r="AP3" s="24">
        <f>+IF(BD_MO[[#This Row],[N° VALE]]&lt;&gt;"",BD_MO[[#This Row],[N°  TOTAL TALADROS]]*BD_MO[[#This Row],[BARRA]]*0.95,"")</f>
        <v>98.8</v>
      </c>
      <c r="AQ3" s="24">
        <f>+IF(BD_MO[[#This Row],[N° VALE]]&lt;&gt;"",BD_MO[[#This Row],[EMULNOR 1000 (N° CART.)]]*PE_EMUL_1000[PE],"")</f>
        <v>5.7766999999999999</v>
      </c>
      <c r="AR3" s="24">
        <f>+IF(BD_MO[[#This Row],[N° VALE]]&lt;&gt;"",BD_MO[[#This Row],[EMULNOR 3000 (N° CART.)]]*PE_EMUL_3000[PE],"")</f>
        <v>5.1923076923076952</v>
      </c>
      <c r="AS3" s="24">
        <f>+IF(BD_MO[[#This Row],[N° VALE]]&lt;&gt;"",BD_MO[[#This Row],[PULVERULENTA (N° CART.)]]*PE_PULV_65[PE],"")</f>
        <v>0</v>
      </c>
      <c r="AT3" s="24">
        <f>+IF(BD_MO[[#This Row],[N° DISP]]&lt;&gt;"",BD_MO[[#This Row],[SEMIGELATINA (N° CART.)]]*PE_SEMIGEL_65[PE],"")</f>
        <v>0</v>
      </c>
      <c r="AU3" s="24">
        <f>+IF(BD_MO[N° VALE]&lt;&gt;"",BD_MO[[#This Row],[KG EXPLO SEMIGEL]]+BD_MO[[#This Row],[KG EXPLO PULVE]]+BD_MO[[#This Row],[KG EXPLO EMULN 3000]]+BD_MO[[#This Row],[KG EXPLO EMULN 1000]],"")</f>
        <v>10.969007692307695</v>
      </c>
      <c r="AV3" s="46"/>
      <c r="AW3" s="46"/>
      <c r="AX3" s="46" t="str">
        <f>+IF(BD_MO[[#This Row],[MINERAL (U-35)]]&lt;&gt;"",BD_MO[[#This Row],[MINERAL (U-35)]]*1.45,"-")</f>
        <v>-</v>
      </c>
      <c r="AY3" s="46" t="str">
        <f>+IF(BD_MO[[#This Row],[DESMONTE (U-35)]]&lt;&gt;"",BD_MO[[#This Row],[DESMONTE (U-35)]]*1.23,"-")</f>
        <v>-</v>
      </c>
      <c r="AZ3" s="46"/>
      <c r="BA3" s="46"/>
      <c r="BB3" s="46"/>
      <c r="BC3" s="46"/>
      <c r="BD3" s="46"/>
      <c r="BE3" s="46"/>
      <c r="BF3" s="46"/>
      <c r="BG3" s="46"/>
      <c r="BH3" s="46"/>
      <c r="BI3" s="46">
        <v>1</v>
      </c>
      <c r="BJ3" s="46"/>
      <c r="BK3" s="46"/>
      <c r="BL3" s="46"/>
      <c r="BM3" s="46"/>
      <c r="BN3" s="42"/>
      <c r="BO3" s="46"/>
      <c r="BP3" s="46"/>
      <c r="BQ3" s="42"/>
      <c r="BR3" s="46"/>
      <c r="BS3" s="42"/>
      <c r="BT3" s="24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24">
        <f>+IF(BD_MO[[#This Row],[FECHA]]&lt;&gt;"",BD_MO[[#This Row],[PUNTAL 4"]]+BD_MO[[#This Row],[PUNTAL 5"]]+BD_MO[[#This Row],[PUNTAL 6"]]+BD_MO[[#This Row],[PUNTAL 7"]]+BD_MO[[#This Row],[PUNTAL 8"]],"")</f>
        <v>0</v>
      </c>
      <c r="CQ3" s="46"/>
      <c r="CR3" s="46"/>
      <c r="CS3" s="46"/>
      <c r="CT3" s="46"/>
      <c r="CU3" s="46"/>
      <c r="CV3" s="46"/>
      <c r="CW3" s="46"/>
      <c r="CX3" s="46"/>
      <c r="CY3" s="24"/>
      <c r="CZ3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" s="24">
        <f>+IF(BD_MO[[#This Row],[FECHA]]&lt;&gt;"",BD_MO[[#This Row],[DURMIENTE2]]*6.561+BD_MO[[#This Row],[LISTONES]]*4.921+BD_MO[[#This Row],[TABLA 1"x8"x3m]]*6.561+BD_MO[[#This Row],[TABLA 2"x8"x3m]]*13.122,"")</f>
        <v>0</v>
      </c>
      <c r="DB3" s="24">
        <f>+IF(BD_MO[[#This Row],[FECHA]]&lt;&gt;"",BD_MO[[#This Row],[PIE2 MADERA ASERRADA]]*1.95,"")</f>
        <v>0</v>
      </c>
      <c r="DC3" s="24">
        <f>+IF(BD_MO[[#This Row],[FECHA]]&lt;&gt;"",BD_MO[[#This Row],[KG. MADERA REDONDA]]+BD_MO[[#This Row],[KG MADERA ASERRADA]],"")</f>
        <v>0</v>
      </c>
      <c r="DD3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" s="46"/>
      <c r="DF3" s="46"/>
      <c r="DG3" s="46"/>
      <c r="DH3" s="46"/>
      <c r="DI3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" s="56"/>
      <c r="DK3" s="56"/>
      <c r="DL3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" s="66">
        <v>16.64</v>
      </c>
      <c r="DP3" s="56">
        <f>+IF(BD_MO[[#This Row],[M o D]]&lt;&gt;"",IF(BD_MO[[#This Row],[M o D]]="M",BD_MO[[#This Row],[ROTURA TMH]]/2.65,BD_MO[[#This Row],[ROTURA TMH]]/2.4),"")</f>
        <v>6.9333333333333336</v>
      </c>
      <c r="DQ3" s="56">
        <v>0.95</v>
      </c>
      <c r="DR3" s="116">
        <f>IF(BD_MO[[#This Row],[TIPO AVANCE]]="Avance",((BD_MO[[#This Row],[AVANCE (m)]]/BD_MO[[#This Row],[AVANCE TEÓRICO]]))," ")</f>
        <v>0.87962962962962954</v>
      </c>
    </row>
    <row r="4" spans="1:130" ht="18" customHeight="1" x14ac:dyDescent="0.25">
      <c r="A4" s="92">
        <v>44652</v>
      </c>
      <c r="B4" s="40" t="s">
        <v>10647</v>
      </c>
      <c r="C4" s="40" t="s">
        <v>10680</v>
      </c>
      <c r="D4" s="61" t="s">
        <v>11806</v>
      </c>
      <c r="E4" s="42" t="str">
        <f>LEFT(BD_MO[[#This Row],[LABOR]],2)</f>
        <v>CX</v>
      </c>
      <c r="F4" s="46"/>
      <c r="G4" s="46" t="s">
        <v>10662</v>
      </c>
      <c r="H4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4" s="42" t="str">
        <f>IF(BD_MO[FECHA]&lt;&gt;"",VLOOKUP(BD_MO[LABOR],TB_CECO[[LABOR]:[CECO_T]],3,FALSE),"")</f>
        <v>CACHORRO</v>
      </c>
      <c r="J4" s="42" t="str">
        <f>IF(BD_MO[FECHA]&lt;&gt;"",VLOOKUP(BD_MO[LABOR],D_CECO!B:H,7,FALSE),"")</f>
        <v>LINEAL</v>
      </c>
      <c r="K4" s="42" t="str">
        <f>IF(BD_MO[FECHA]&lt;&gt;"",VLOOKUP(BD_MO[LABOR],D_CECO!B:H,4,FALSE),"")</f>
        <v>EXPLORACION</v>
      </c>
      <c r="L4" s="42"/>
      <c r="M4" s="48"/>
      <c r="N4" s="46"/>
      <c r="O4" s="93" t="s">
        <v>11911</v>
      </c>
      <c r="P4" s="93" t="s">
        <v>11913</v>
      </c>
      <c r="Q4" s="93"/>
      <c r="R4" s="45"/>
      <c r="S4" s="54" t="str">
        <f>IFERROR(VLOOKUP(BD_MO[DNI 4],#REF!,2,FALSE)," ")</f>
        <v xml:space="preserve"> </v>
      </c>
      <c r="T4" s="24">
        <f>+IF(BD_MO[[#This Row],[FECHA]]&lt;&gt;"",COUNTA(BD_MO[[#This Row],[DNI]],BD_MO[[#This Row],[DNI 2]],BD_MO[[#This Row],[DNI 3]],BD_MO[[#This Row],[DNI 4]]),"")</f>
        <v>2</v>
      </c>
      <c r="U4" s="24">
        <v>1.3</v>
      </c>
      <c r="V4" s="24"/>
      <c r="W4" s="24">
        <v>0.6</v>
      </c>
      <c r="X4" s="24">
        <v>0.1</v>
      </c>
      <c r="Y4" s="86">
        <f>SUM(BD_MO[[#This Row],[LIMP]:[SERV]])</f>
        <v>2</v>
      </c>
      <c r="Z4" s="46"/>
      <c r="AA4" s="46" t="str">
        <f>+IF(BD_MO[[#This Row],[N° VALE]]&lt;&gt;"",1,"")</f>
        <v/>
      </c>
      <c r="AB4" s="40"/>
      <c r="AC4" s="46"/>
      <c r="AD4" s="46" t="str">
        <f>+IF(BD_MO[[#This Row],[N° VALE]]&lt;&gt;"",BD_MO[[#This Row],[FULMINANTE N° 08]]+BD_MO[CARMEX 7''],"")</f>
        <v/>
      </c>
      <c r="AE4" s="46"/>
      <c r="AF4" s="46" t="str">
        <f>+IF(BD_MO[[#This Row],[N° VALE]]&lt;&gt;"",BD_MO[[#This Row],[N° TALADROS]]+BD_MO[[#This Row],[N° TAL. VACIOS]],"")</f>
        <v/>
      </c>
      <c r="AG4" s="55"/>
      <c r="AH4" s="55"/>
      <c r="AI4" s="55"/>
      <c r="AJ4" s="55"/>
      <c r="AK4" s="55"/>
      <c r="AL4" s="55"/>
      <c r="AM4" s="42"/>
      <c r="AN4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" s="46" t="str">
        <f>+IF(BD_MO[[#This Row],[N° VALE]]&lt;&gt;"",IF(BD_MO[[#This Row],[FULMINANTE N° 08]]&lt;&gt;"",BD_MO[[#This Row],[FULMINANTE N° 08]],IF(BD_MO[[#This Row],[CARMEX 7'']]&lt;&gt;0,0,"")),"")</f>
        <v/>
      </c>
      <c r="AP4" s="24" t="str">
        <f>+IF(BD_MO[[#This Row],[N° VALE]]&lt;&gt;"",BD_MO[[#This Row],[N°  TOTAL TALADROS]]*BD_MO[[#This Row],[BARRA]]*0.95,"")</f>
        <v/>
      </c>
      <c r="AQ4" s="24" t="str">
        <f>+IF(BD_MO[[#This Row],[N° VALE]]&lt;&gt;"",BD_MO[[#This Row],[EMULNOR 1000 (N° CART.)]]*PE_EMUL_1000[PE],"")</f>
        <v/>
      </c>
      <c r="AR4" s="24" t="str">
        <f>+IF(BD_MO[[#This Row],[N° VALE]]&lt;&gt;"",BD_MO[[#This Row],[EMULNOR 3000 (N° CART.)]]*PE_EMUL_3000[PE],"")</f>
        <v/>
      </c>
      <c r="AS4" s="24" t="str">
        <f>+IF(BD_MO[[#This Row],[N° VALE]]&lt;&gt;"",BD_MO[[#This Row],[PULVERULENTA (N° CART.)]]*PE_PULV_65[PE],"")</f>
        <v/>
      </c>
      <c r="AT4" s="24" t="str">
        <f>+IF(BD_MO[[#This Row],[N° DISP]]&lt;&gt;"",BD_MO[[#This Row],[SEMIGELATINA (N° CART.)]]*PE_SEMIGEL_65[PE],"")</f>
        <v/>
      </c>
      <c r="AU4" s="24" t="str">
        <f>+IF(BD_MO[N° VALE]&lt;&gt;"",BD_MO[[#This Row],[KG EXPLO SEMIGEL]]+BD_MO[[#This Row],[KG EXPLO PULVE]]+BD_MO[[#This Row],[KG EXPLO EMULN 3000]]+BD_MO[[#This Row],[KG EXPLO EMULN 1000]],"")</f>
        <v/>
      </c>
      <c r="AV4" s="46"/>
      <c r="AW4" s="46"/>
      <c r="AX4" s="46" t="str">
        <f>+IF(BD_MO[[#This Row],[MINERAL (U-35)]]&lt;&gt;"",BD_MO[[#This Row],[MINERAL (U-35)]]*1.45,"-")</f>
        <v>-</v>
      </c>
      <c r="AY4" s="46" t="str">
        <f>+IF(BD_MO[[#This Row],[DESMONTE (U-35)]]&lt;&gt;"",BD_MO[[#This Row],[DESMONTE (U-35)]]*1.23,"-")</f>
        <v>-</v>
      </c>
      <c r="AZ4" s="46">
        <v>1</v>
      </c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2"/>
      <c r="BO4" s="46">
        <v>2</v>
      </c>
      <c r="BP4" s="46"/>
      <c r="BQ4" s="42"/>
      <c r="BR4" s="46"/>
      <c r="BS4" s="42"/>
      <c r="BT4" s="24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24">
        <f>+IF(BD_MO[[#This Row],[FECHA]]&lt;&gt;"",BD_MO[[#This Row],[PUNTAL 4"]]+BD_MO[[#This Row],[PUNTAL 5"]]+BD_MO[[#This Row],[PUNTAL 6"]]+BD_MO[[#This Row],[PUNTAL 7"]]+BD_MO[[#This Row],[PUNTAL 8"]],"")</f>
        <v>0</v>
      </c>
      <c r="CQ4" s="46"/>
      <c r="CR4" s="46"/>
      <c r="CS4" s="46"/>
      <c r="CT4" s="46"/>
      <c r="CU4" s="46"/>
      <c r="CV4" s="46"/>
      <c r="CW4" s="46"/>
      <c r="CX4" s="46"/>
      <c r="CY4" s="24"/>
      <c r="CZ4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" s="24">
        <f>+IF(BD_MO[[#This Row],[FECHA]]&lt;&gt;"",BD_MO[[#This Row],[DURMIENTE2]]*6.561+BD_MO[[#This Row],[LISTONES]]*4.921+BD_MO[[#This Row],[TABLA 1"x8"x3m]]*6.561+BD_MO[[#This Row],[TABLA 2"x8"x3m]]*13.122,"")</f>
        <v>0</v>
      </c>
      <c r="DB4" s="24">
        <f>+IF(BD_MO[[#This Row],[FECHA]]&lt;&gt;"",BD_MO[[#This Row],[PIE2 MADERA ASERRADA]]*1.95,"")</f>
        <v>0</v>
      </c>
      <c r="DC4" s="24">
        <f>+IF(BD_MO[[#This Row],[FECHA]]&lt;&gt;"",BD_MO[[#This Row],[KG. MADERA REDONDA]]+BD_MO[[#This Row],[KG MADERA ASERRADA]],"")</f>
        <v>0</v>
      </c>
      <c r="DD4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" s="46"/>
      <c r="DF4" s="46"/>
      <c r="DG4" s="46"/>
      <c r="DH4" s="46"/>
      <c r="DI4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" s="56"/>
      <c r="DK4" s="56"/>
      <c r="DL4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" s="66"/>
      <c r="DP4" s="56" t="str">
        <f>+IF(BD_MO[[#This Row],[M o D]]&lt;&gt;"",IF(BD_MO[[#This Row],[M o D]]="M",BD_MO[[#This Row],[ROTURA TMH]]/2.65,BD_MO[[#This Row],[ROTURA TMH]]/2.4),"")</f>
        <v/>
      </c>
      <c r="DQ4" s="56"/>
      <c r="DR4" s="116" t="str">
        <f>IF(BD_MO[[#This Row],[TIPO AVANCE]]="Avance",((BD_MO[[#This Row],[AVANCE (m)]]/BD_MO[[#This Row],[AVANCE TEÓRICO]]))," ")</f>
        <v xml:space="preserve"> </v>
      </c>
    </row>
    <row r="5" spans="1:130" ht="18" customHeight="1" x14ac:dyDescent="0.25">
      <c r="A5" s="92">
        <v>44652</v>
      </c>
      <c r="B5" s="40" t="s">
        <v>10647</v>
      </c>
      <c r="C5" s="40" t="s">
        <v>10680</v>
      </c>
      <c r="D5" s="61" t="s">
        <v>12116</v>
      </c>
      <c r="E5" s="42" t="str">
        <f>LEFT(BD_MO[[#This Row],[LABOR]],2)</f>
        <v>Cx</v>
      </c>
      <c r="F5" s="46"/>
      <c r="G5" s="46" t="s">
        <v>10662</v>
      </c>
      <c r="H5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5" s="42" t="str">
        <f>IF(BD_MO[FECHA]&lt;&gt;"",VLOOKUP(BD_MO[LABOR],TB_CECO[[LABOR]:[CECO_T]],3,FALSE),"")</f>
        <v>ESCONDIDA</v>
      </c>
      <c r="J5" s="42" t="str">
        <f>IF(BD_MO[FECHA]&lt;&gt;"",VLOOKUP(BD_MO[LABOR],D_CECO!B:H,7,FALSE),"")</f>
        <v>LINEAL</v>
      </c>
      <c r="K5" s="42" t="str">
        <f>IF(BD_MO[FECHA]&lt;&gt;"",VLOOKUP(BD_MO[LABOR],D_CECO!B:H,4,FALSE),"")</f>
        <v>EXPLOTACION</v>
      </c>
      <c r="L5" s="42"/>
      <c r="M5" s="48"/>
      <c r="N5" s="46"/>
      <c r="O5" s="93" t="s">
        <v>11910</v>
      </c>
      <c r="P5" s="93" t="s">
        <v>11912</v>
      </c>
      <c r="Q5" s="93"/>
      <c r="R5" s="45"/>
      <c r="S5" s="54" t="str">
        <f>IFERROR(VLOOKUP(BD_MO[DNI 4],#REF!,2,FALSE)," ")</f>
        <v xml:space="preserve"> </v>
      </c>
      <c r="T5" s="24">
        <f>+IF(BD_MO[[#This Row],[FECHA]]&lt;&gt;"",COUNTA(BD_MO[[#This Row],[DNI]],BD_MO[[#This Row],[DNI 2]],BD_MO[[#This Row],[DNI 3]],BD_MO[[#This Row],[DNI 4]]),"")</f>
        <v>2</v>
      </c>
      <c r="U5" s="24">
        <v>1.2</v>
      </c>
      <c r="V5" s="24"/>
      <c r="W5" s="24">
        <v>0.7</v>
      </c>
      <c r="X5" s="24">
        <v>0.1</v>
      </c>
      <c r="Y5" s="86">
        <f>SUM(BD_MO[[#This Row],[LIMP]:[SERV]])</f>
        <v>2</v>
      </c>
      <c r="Z5" s="46"/>
      <c r="AA5" s="46" t="str">
        <f>+IF(BD_MO[[#This Row],[N° VALE]]&lt;&gt;"",1,"")</f>
        <v/>
      </c>
      <c r="AB5" s="40"/>
      <c r="AC5" s="46"/>
      <c r="AD5" s="46" t="str">
        <f>+IF(BD_MO[[#This Row],[N° VALE]]&lt;&gt;"",BD_MO[[#This Row],[FULMINANTE N° 08]]+BD_MO[CARMEX 7''],"")</f>
        <v/>
      </c>
      <c r="AE5" s="46"/>
      <c r="AF5" s="46" t="str">
        <f>+IF(BD_MO[[#This Row],[N° VALE]]&lt;&gt;"",BD_MO[[#This Row],[N° TALADROS]]+BD_MO[[#This Row],[N° TAL. VACIOS]],"")</f>
        <v/>
      </c>
      <c r="AG5" s="55"/>
      <c r="AH5" s="55"/>
      <c r="AI5" s="55"/>
      <c r="AJ5" s="55"/>
      <c r="AK5" s="55"/>
      <c r="AL5" s="55"/>
      <c r="AM5" s="42"/>
      <c r="AN5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" s="46" t="str">
        <f>+IF(BD_MO[[#This Row],[N° VALE]]&lt;&gt;"",IF(BD_MO[[#This Row],[FULMINANTE N° 08]]&lt;&gt;"",BD_MO[[#This Row],[FULMINANTE N° 08]],IF(BD_MO[[#This Row],[CARMEX 7'']]&lt;&gt;0,0,"")),"")</f>
        <v/>
      </c>
      <c r="AP5" s="24" t="str">
        <f>+IF(BD_MO[[#This Row],[N° VALE]]&lt;&gt;"",BD_MO[[#This Row],[N°  TOTAL TALADROS]]*BD_MO[[#This Row],[BARRA]]*0.95,"")</f>
        <v/>
      </c>
      <c r="AQ5" s="24" t="str">
        <f>+IF(BD_MO[[#This Row],[N° VALE]]&lt;&gt;"",BD_MO[[#This Row],[EMULNOR 1000 (N° CART.)]]*PE_EMUL_1000[PE],"")</f>
        <v/>
      </c>
      <c r="AR5" s="24" t="str">
        <f>+IF(BD_MO[[#This Row],[N° VALE]]&lt;&gt;"",BD_MO[[#This Row],[EMULNOR 3000 (N° CART.)]]*PE_EMUL_3000[PE],"")</f>
        <v/>
      </c>
      <c r="AS5" s="24" t="str">
        <f>+IF(BD_MO[[#This Row],[N° VALE]]&lt;&gt;"",BD_MO[[#This Row],[PULVERULENTA (N° CART.)]]*PE_PULV_65[PE],"")</f>
        <v/>
      </c>
      <c r="AT5" s="24" t="str">
        <f>+IF(BD_MO[[#This Row],[N° DISP]]&lt;&gt;"",BD_MO[[#This Row],[SEMIGELATINA (N° CART.)]]*PE_SEMIGEL_65[PE],"")</f>
        <v/>
      </c>
      <c r="AU5" s="24" t="str">
        <f>+IF(BD_MO[N° VALE]&lt;&gt;"",BD_MO[[#This Row],[KG EXPLO SEMIGEL]]+BD_MO[[#This Row],[KG EXPLO PULVE]]+BD_MO[[#This Row],[KG EXPLO EMULN 3000]]+BD_MO[[#This Row],[KG EXPLO EMULN 1000]],"")</f>
        <v/>
      </c>
      <c r="AV5" s="46"/>
      <c r="AW5" s="46">
        <v>13</v>
      </c>
      <c r="AX5" s="46" t="str">
        <f>+IF(BD_MO[[#This Row],[MINERAL (U-35)]]&lt;&gt;"",BD_MO[[#This Row],[MINERAL (U-35)]]*1.45,"-")</f>
        <v>-</v>
      </c>
      <c r="AY5" s="46">
        <f>+IF(BD_MO[[#This Row],[DESMONTE (U-35)]]&lt;&gt;"",BD_MO[[#This Row],[DESMONTE (U-35)]]*1.23,"-")</f>
        <v>15.99</v>
      </c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2"/>
      <c r="BO5" s="46">
        <v>5</v>
      </c>
      <c r="BP5" s="46"/>
      <c r="BQ5" s="42"/>
      <c r="BR5" s="46"/>
      <c r="BS5" s="42"/>
      <c r="BT5" s="24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24">
        <f>+IF(BD_MO[[#This Row],[FECHA]]&lt;&gt;"",BD_MO[[#This Row],[PUNTAL 4"]]+BD_MO[[#This Row],[PUNTAL 5"]]+BD_MO[[#This Row],[PUNTAL 6"]]+BD_MO[[#This Row],[PUNTAL 7"]]+BD_MO[[#This Row],[PUNTAL 8"]],"")</f>
        <v>0</v>
      </c>
      <c r="CQ5" s="46"/>
      <c r="CR5" s="46"/>
      <c r="CS5" s="46"/>
      <c r="CT5" s="46"/>
      <c r="CU5" s="46"/>
      <c r="CV5" s="46"/>
      <c r="CW5" s="46"/>
      <c r="CX5" s="46"/>
      <c r="CY5" s="24"/>
      <c r="CZ5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" s="24">
        <f>+IF(BD_MO[[#This Row],[FECHA]]&lt;&gt;"",BD_MO[[#This Row],[DURMIENTE2]]*6.561+BD_MO[[#This Row],[LISTONES]]*4.921+BD_MO[[#This Row],[TABLA 1"x8"x3m]]*6.561+BD_MO[[#This Row],[TABLA 2"x8"x3m]]*13.122,"")</f>
        <v>0</v>
      </c>
      <c r="DB5" s="24">
        <f>+IF(BD_MO[[#This Row],[FECHA]]&lt;&gt;"",BD_MO[[#This Row],[PIE2 MADERA ASERRADA]]*1.95,"")</f>
        <v>0</v>
      </c>
      <c r="DC5" s="24">
        <f>+IF(BD_MO[[#This Row],[FECHA]]&lt;&gt;"",BD_MO[[#This Row],[KG. MADERA REDONDA]]+BD_MO[[#This Row],[KG MADERA ASERRADA]],"")</f>
        <v>0</v>
      </c>
      <c r="DD5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" s="46"/>
      <c r="DF5" s="46"/>
      <c r="DG5" s="46"/>
      <c r="DH5" s="46"/>
      <c r="DI5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" s="56"/>
      <c r="DK5" s="56"/>
      <c r="DL5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" s="66"/>
      <c r="DP5" s="56" t="str">
        <f>+IF(BD_MO[[#This Row],[M o D]]&lt;&gt;"",IF(BD_MO[[#This Row],[M o D]]="M",BD_MO[[#This Row],[ROTURA TMH]]/2.65,BD_MO[[#This Row],[ROTURA TMH]]/2.4),"")</f>
        <v/>
      </c>
      <c r="DQ5" s="56"/>
      <c r="DR5" s="116" t="str">
        <f>IF(BD_MO[[#This Row],[TIPO AVANCE]]="Avance",((BD_MO[[#This Row],[AVANCE (m)]]/BD_MO[[#This Row],[AVANCE TEÓRICO]]))," ")</f>
        <v xml:space="preserve"> </v>
      </c>
    </row>
    <row r="6" spans="1:130" ht="18" customHeight="1" x14ac:dyDescent="0.25">
      <c r="A6" s="92">
        <v>44652</v>
      </c>
      <c r="B6" s="40" t="s">
        <v>10647</v>
      </c>
      <c r="C6" s="40" t="s">
        <v>10680</v>
      </c>
      <c r="D6" s="61" t="s">
        <v>12119</v>
      </c>
      <c r="E6" s="42" t="str">
        <f>LEFT(BD_MO[[#This Row],[LABOR]],2)</f>
        <v>TJ</v>
      </c>
      <c r="F6" s="46"/>
      <c r="G6" s="46" t="s">
        <v>10662</v>
      </c>
      <c r="H6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6" s="42" t="e">
        <f>IF(BD_MO[FECHA]&lt;&gt;"",VLOOKUP(BD_MO[LABOR],TB_CECO[[LABOR]:[CECO_T]],3,FALSE),"")</f>
        <v>#N/A</v>
      </c>
      <c r="J6" s="42">
        <v>0</v>
      </c>
      <c r="K6" s="42" t="e">
        <f>IF(BD_MO[FECHA]&lt;&gt;"",VLOOKUP(BD_MO[LABOR],D_CECO!B:H,4,FALSE),"")</f>
        <v>#N/A</v>
      </c>
      <c r="L6" s="42"/>
      <c r="M6" s="48"/>
      <c r="N6" s="46"/>
      <c r="O6" s="93" t="s">
        <v>11976</v>
      </c>
      <c r="P6" s="93" t="s">
        <v>11924</v>
      </c>
      <c r="Q6" s="93"/>
      <c r="R6" s="45"/>
      <c r="S6" s="54" t="str">
        <f>IFERROR(VLOOKUP(BD_MO[DNI 4],#REF!,2,FALSE)," ")</f>
        <v xml:space="preserve"> </v>
      </c>
      <c r="T6" s="24">
        <f>+IF(BD_MO[[#This Row],[FECHA]]&lt;&gt;"",COUNTA(BD_MO[[#This Row],[DNI]],BD_MO[[#This Row],[DNI 2]],BD_MO[[#This Row],[DNI 3]],BD_MO[[#This Row],[DNI 4]]),"")</f>
        <v>2</v>
      </c>
      <c r="U6" s="24">
        <v>0.3</v>
      </c>
      <c r="V6" s="24"/>
      <c r="W6" s="24">
        <v>0.9</v>
      </c>
      <c r="X6" s="24">
        <v>0.4</v>
      </c>
      <c r="Y6" s="86">
        <f>SUM(BD_MO[[#This Row],[LIMP]:[SERV]])</f>
        <v>1.6</v>
      </c>
      <c r="Z6" s="46"/>
      <c r="AA6" s="46" t="str">
        <f>+IF(BD_MO[[#This Row],[N° VALE]]&lt;&gt;"",1,"")</f>
        <v/>
      </c>
      <c r="AB6" s="40"/>
      <c r="AC6" s="46"/>
      <c r="AD6" s="46" t="str">
        <f>+IF(BD_MO[[#This Row],[N° VALE]]&lt;&gt;"",BD_MO[[#This Row],[FULMINANTE N° 08]]+BD_MO[CARMEX 7''],"")</f>
        <v/>
      </c>
      <c r="AE6" s="46"/>
      <c r="AF6" s="46" t="str">
        <f>+IF(BD_MO[[#This Row],[N° VALE]]&lt;&gt;"",BD_MO[[#This Row],[N° TALADROS]]+BD_MO[[#This Row],[N° TAL. VACIOS]],"")</f>
        <v/>
      </c>
      <c r="AG6" s="55"/>
      <c r="AH6" s="55"/>
      <c r="AI6" s="55"/>
      <c r="AJ6" s="55"/>
      <c r="AK6" s="55"/>
      <c r="AL6" s="55"/>
      <c r="AM6" s="42"/>
      <c r="AN6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6" s="46" t="str">
        <f>+IF(BD_MO[[#This Row],[N° VALE]]&lt;&gt;"",IF(BD_MO[[#This Row],[FULMINANTE N° 08]]&lt;&gt;"",BD_MO[[#This Row],[FULMINANTE N° 08]],IF(BD_MO[[#This Row],[CARMEX 7'']]&lt;&gt;0,0,"")),"")</f>
        <v/>
      </c>
      <c r="AP6" s="24" t="str">
        <f>+IF(BD_MO[[#This Row],[N° VALE]]&lt;&gt;"",BD_MO[[#This Row],[N°  TOTAL TALADROS]]*BD_MO[[#This Row],[BARRA]]*0.95,"")</f>
        <v/>
      </c>
      <c r="AQ6" s="24" t="str">
        <f>+IF(BD_MO[[#This Row],[N° VALE]]&lt;&gt;"",BD_MO[[#This Row],[EMULNOR 1000 (N° CART.)]]*PE_EMUL_1000[PE],"")</f>
        <v/>
      </c>
      <c r="AR6" s="24" t="str">
        <f>+IF(BD_MO[[#This Row],[N° VALE]]&lt;&gt;"",BD_MO[[#This Row],[EMULNOR 3000 (N° CART.)]]*PE_EMUL_3000[PE],"")</f>
        <v/>
      </c>
      <c r="AS6" s="24" t="str">
        <f>+IF(BD_MO[[#This Row],[N° VALE]]&lt;&gt;"",BD_MO[[#This Row],[PULVERULENTA (N° CART.)]]*PE_PULV_65[PE],"")</f>
        <v/>
      </c>
      <c r="AT6" s="24" t="str">
        <f>+IF(BD_MO[[#This Row],[N° DISP]]&lt;&gt;"",BD_MO[[#This Row],[SEMIGELATINA (N° CART.)]]*PE_SEMIGEL_65[PE],"")</f>
        <v/>
      </c>
      <c r="AU6" s="24" t="str">
        <f>+IF(BD_MO[N° VALE]&lt;&gt;"",BD_MO[[#This Row],[KG EXPLO SEMIGEL]]+BD_MO[[#This Row],[KG EXPLO PULVE]]+BD_MO[[#This Row],[KG EXPLO EMULN 3000]]+BD_MO[[#This Row],[KG EXPLO EMULN 1000]],"")</f>
        <v/>
      </c>
      <c r="AV6" s="46"/>
      <c r="AW6" s="46"/>
      <c r="AX6" s="46" t="str">
        <f>+IF(BD_MO[[#This Row],[MINERAL (U-35)]]&lt;&gt;"",BD_MO[[#This Row],[MINERAL (U-35)]]*1.45,"-")</f>
        <v>-</v>
      </c>
      <c r="AY6" s="46" t="str">
        <f>+IF(BD_MO[[#This Row],[DESMONTE (U-35)]]&lt;&gt;"",BD_MO[[#This Row],[DESMONTE (U-35)]]*1.23,"-")</f>
        <v>-</v>
      </c>
      <c r="AZ6" s="46"/>
      <c r="BA6" s="46"/>
      <c r="BB6" s="46"/>
      <c r="BC6" s="46"/>
      <c r="BD6" s="46"/>
      <c r="BE6" s="46"/>
      <c r="BF6" s="46"/>
      <c r="BG6" s="46"/>
      <c r="BH6" s="46"/>
      <c r="BI6" s="46">
        <v>2</v>
      </c>
      <c r="BJ6" s="46"/>
      <c r="BK6" s="46"/>
      <c r="BL6" s="46"/>
      <c r="BM6" s="46"/>
      <c r="BN6" s="42"/>
      <c r="BO6" s="46"/>
      <c r="BP6" s="46"/>
      <c r="BQ6" s="42"/>
      <c r="BR6" s="46"/>
      <c r="BS6" s="42"/>
      <c r="BT6" s="24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24">
        <f>+IF(BD_MO[[#This Row],[FECHA]]&lt;&gt;"",BD_MO[[#This Row],[PUNTAL 4"]]+BD_MO[[#This Row],[PUNTAL 5"]]+BD_MO[[#This Row],[PUNTAL 6"]]+BD_MO[[#This Row],[PUNTAL 7"]]+BD_MO[[#This Row],[PUNTAL 8"]],"")</f>
        <v>0</v>
      </c>
      <c r="CQ6" s="46"/>
      <c r="CR6" s="46"/>
      <c r="CS6" s="46"/>
      <c r="CT6" s="46"/>
      <c r="CU6" s="46"/>
      <c r="CV6" s="46"/>
      <c r="CW6" s="46"/>
      <c r="CX6" s="46"/>
      <c r="CY6" s="24"/>
      <c r="CZ6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6" s="24">
        <f>+IF(BD_MO[[#This Row],[FECHA]]&lt;&gt;"",BD_MO[[#This Row],[DURMIENTE2]]*6.561+BD_MO[[#This Row],[LISTONES]]*4.921+BD_MO[[#This Row],[TABLA 1"x8"x3m]]*6.561+BD_MO[[#This Row],[TABLA 2"x8"x3m]]*13.122,"")</f>
        <v>0</v>
      </c>
      <c r="DB6" s="24">
        <f>+IF(BD_MO[[#This Row],[FECHA]]&lt;&gt;"",BD_MO[[#This Row],[PIE2 MADERA ASERRADA]]*1.95,"")</f>
        <v>0</v>
      </c>
      <c r="DC6" s="24">
        <f>+IF(BD_MO[[#This Row],[FECHA]]&lt;&gt;"",BD_MO[[#This Row],[KG. MADERA REDONDA]]+BD_MO[[#This Row],[KG MADERA ASERRADA]],"")</f>
        <v>0</v>
      </c>
      <c r="DD6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6" s="46"/>
      <c r="DF6" s="46"/>
      <c r="DG6" s="46"/>
      <c r="DH6" s="46"/>
      <c r="DI6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6" s="56"/>
      <c r="DK6" s="56"/>
      <c r="DL6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6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6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6" s="66"/>
      <c r="DP6" s="56" t="str">
        <f>+IF(BD_MO[[#This Row],[M o D]]&lt;&gt;"",IF(BD_MO[[#This Row],[M o D]]="M",BD_MO[[#This Row],[ROTURA TMH]]/2.65,BD_MO[[#This Row],[ROTURA TMH]]/2.4),"")</f>
        <v/>
      </c>
      <c r="DQ6" s="56"/>
      <c r="DR6" s="116" t="str">
        <f>IF(BD_MO[[#This Row],[TIPO AVANCE]]="Avance",((BD_MO[[#This Row],[AVANCE (m)]]/BD_MO[[#This Row],[AVANCE TEÓRICO]]))," ")</f>
        <v xml:space="preserve"> </v>
      </c>
    </row>
    <row r="7" spans="1:130" ht="18" customHeight="1" x14ac:dyDescent="0.25">
      <c r="A7" s="92">
        <v>44652</v>
      </c>
      <c r="B7" s="137" t="s">
        <v>10647</v>
      </c>
      <c r="C7" s="137" t="s">
        <v>10680</v>
      </c>
      <c r="D7" s="140" t="s">
        <v>12115</v>
      </c>
      <c r="E7" s="141" t="str">
        <f>LEFT(BD_MO[[#This Row],[LABOR]],2)</f>
        <v>Tj</v>
      </c>
      <c r="F7" s="142" t="s">
        <v>10950</v>
      </c>
      <c r="G7" s="142" t="s">
        <v>10648</v>
      </c>
      <c r="H7" s="14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7" s="141" t="str">
        <f>IF(BD_MO[FECHA]&lt;&gt;"",VLOOKUP(BD_MO[LABOR],TB_CECO[[LABOR]:[CECO_T]],3,FALSE),"")</f>
        <v>CACHORRO</v>
      </c>
      <c r="J7" s="141" t="str">
        <f>IF(BD_MO[FECHA]&lt;&gt;"",VLOOKUP(BD_MO[LABOR],D_CECO!B:H,7,FALSE),"")</f>
        <v>TAJO</v>
      </c>
      <c r="K7" s="141" t="str">
        <f>IF(BD_MO[FECHA]&lt;&gt;"",VLOOKUP(BD_MO[LABOR],D_CECO!B:H,4,FALSE),"")</f>
        <v>EXPLOTACION</v>
      </c>
      <c r="L7" s="141"/>
      <c r="M7" s="143" t="s">
        <v>10661</v>
      </c>
      <c r="N7" s="142"/>
      <c r="O7" s="138" t="s">
        <v>12101</v>
      </c>
      <c r="P7" s="138" t="s">
        <v>12120</v>
      </c>
      <c r="Q7" s="138"/>
      <c r="R7" s="144"/>
      <c r="S7" s="145" t="str">
        <f>IFERROR(VLOOKUP(BD_MO[DNI 4],#REF!,2,FALSE)," ")</f>
        <v xml:space="preserve"> </v>
      </c>
      <c r="T7" s="146">
        <f>+IF(BD_MO[[#This Row],[FECHA]]&lt;&gt;"",COUNTA(BD_MO[[#This Row],[DNI]],BD_MO[[#This Row],[DNI 2]],BD_MO[[#This Row],[DNI 3]],BD_MO[[#This Row],[DNI 4]]),"")</f>
        <v>2</v>
      </c>
      <c r="U7" s="146">
        <v>0.1</v>
      </c>
      <c r="V7" s="146">
        <v>0.3</v>
      </c>
      <c r="W7" s="146">
        <v>1.5</v>
      </c>
      <c r="X7" s="146">
        <v>0.1</v>
      </c>
      <c r="Y7" s="139">
        <f>SUM(BD_MO[[#This Row],[LIMP]:[SERV]])</f>
        <v>2</v>
      </c>
      <c r="Z7" s="142" t="s">
        <v>12122</v>
      </c>
      <c r="AA7" s="142">
        <f>+IF(BD_MO[[#This Row],[N° VALE]]&lt;&gt;"",1,"")</f>
        <v>1</v>
      </c>
      <c r="AB7" s="137" t="s">
        <v>10691</v>
      </c>
      <c r="AC7" s="142">
        <v>4</v>
      </c>
      <c r="AD7" s="142">
        <f>+IF(BD_MO[[#This Row],[N° VALE]]&lt;&gt;"",BD_MO[[#This Row],[FULMINANTE N° 08]]+BD_MO[CARMEX 7''],"")</f>
        <v>5</v>
      </c>
      <c r="AE7" s="142">
        <v>3</v>
      </c>
      <c r="AF7" s="142">
        <f>+IF(BD_MO[[#This Row],[N° VALE]]&lt;&gt;"",BD_MO[[#This Row],[N° TALADROS]]+BD_MO[[#This Row],[N° TAL. VACIOS]],"")</f>
        <v>8</v>
      </c>
      <c r="AG7" s="147"/>
      <c r="AH7" s="147">
        <v>25</v>
      </c>
      <c r="AI7" s="147"/>
      <c r="AJ7" s="147"/>
      <c r="AK7" s="147">
        <v>5</v>
      </c>
      <c r="AL7" s="147">
        <v>1</v>
      </c>
      <c r="AM7" s="141"/>
      <c r="AN7" s="14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7" s="142">
        <f>+IF(BD_MO[[#This Row],[N° VALE]]&lt;&gt;"",IF(BD_MO[[#This Row],[FULMINANTE N° 08]]&lt;&gt;"",BD_MO[[#This Row],[FULMINANTE N° 08]],IF(BD_MO[[#This Row],[CARMEX 7'']]&lt;&gt;0,0,"")),"")</f>
        <v>0</v>
      </c>
      <c r="AP7" s="146">
        <f>+IF(BD_MO[[#This Row],[N° VALE]]&lt;&gt;"",BD_MO[[#This Row],[N°  TOTAL TALADROS]]*BD_MO[[#This Row],[BARRA]]*0.95,"")</f>
        <v>30.4</v>
      </c>
      <c r="AQ7" s="146">
        <f>+IF(BD_MO[[#This Row],[N° VALE]]&lt;&gt;"",BD_MO[[#This Row],[EMULNOR 1000 (N° CART.)]]*PE_EMUL_1000[PE],"")</f>
        <v>2.3675000000000002</v>
      </c>
      <c r="AR7" s="146">
        <f>+IF(BD_MO[[#This Row],[N° VALE]]&lt;&gt;"",BD_MO[[#This Row],[EMULNOR 3000 (N° CART.)]]*PE_EMUL_3000[PE],"")</f>
        <v>0</v>
      </c>
      <c r="AS7" s="146">
        <f>+IF(BD_MO[[#This Row],[N° VALE]]&lt;&gt;"",BD_MO[[#This Row],[PULVERULENTA (N° CART.)]]*PE_PULV_65[PE],"")</f>
        <v>0</v>
      </c>
      <c r="AT7" s="146">
        <f>+IF(BD_MO[[#This Row],[N° DISP]]&lt;&gt;"",BD_MO[[#This Row],[SEMIGELATINA (N° CART.)]]*PE_SEMIGEL_65[PE],"")</f>
        <v>0</v>
      </c>
      <c r="AU7" s="146">
        <f>+IF(BD_MO[N° VALE]&lt;&gt;"",BD_MO[[#This Row],[KG EXPLO SEMIGEL]]+BD_MO[[#This Row],[KG EXPLO PULVE]]+BD_MO[[#This Row],[KG EXPLO EMULN 3000]]+BD_MO[[#This Row],[KG EXPLO EMULN 1000]],"")</f>
        <v>2.3675000000000002</v>
      </c>
      <c r="AV7" s="142"/>
      <c r="AW7" s="142"/>
      <c r="AX7" s="142" t="str">
        <f>+IF(BD_MO[[#This Row],[MINERAL (U-35)]]&lt;&gt;"",BD_MO[[#This Row],[MINERAL (U-35)]]*1.45,"-")</f>
        <v>-</v>
      </c>
      <c r="AY7" s="142" t="str">
        <f>+IF(BD_MO[[#This Row],[DESMONTE (U-35)]]&lt;&gt;"",BD_MO[[#This Row],[DESMONTE (U-35)]]*1.23,"-")</f>
        <v>-</v>
      </c>
      <c r="AZ7" s="142"/>
      <c r="BA7" s="142">
        <v>1</v>
      </c>
      <c r="BB7" s="142"/>
      <c r="BC7" s="142"/>
      <c r="BD7" s="142"/>
      <c r="BE7" s="142"/>
      <c r="BF7" s="142"/>
      <c r="BG7" s="142"/>
      <c r="BH7" s="142"/>
      <c r="BI7" s="142">
        <v>1</v>
      </c>
      <c r="BJ7" s="142"/>
      <c r="BK7" s="142"/>
      <c r="BL7" s="142"/>
      <c r="BM7" s="142"/>
      <c r="BN7" s="141">
        <v>3</v>
      </c>
      <c r="BO7" s="142"/>
      <c r="BP7" s="142"/>
      <c r="BQ7" s="141"/>
      <c r="BR7" s="142"/>
      <c r="BS7" s="141"/>
      <c r="BT7" s="146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6">
        <f>+IF(BD_MO[[#This Row],[FECHA]]&lt;&gt;"",BD_MO[[#This Row],[PUNTAL 4"]]+BD_MO[[#This Row],[PUNTAL 5"]]+BD_MO[[#This Row],[PUNTAL 6"]]+BD_MO[[#This Row],[PUNTAL 7"]]+BD_MO[[#This Row],[PUNTAL 8"]],"")</f>
        <v>0</v>
      </c>
      <c r="CQ7" s="142"/>
      <c r="CR7" s="142"/>
      <c r="CS7" s="142"/>
      <c r="CT7" s="142"/>
      <c r="CU7" s="142"/>
      <c r="CV7" s="142"/>
      <c r="CW7" s="142"/>
      <c r="CX7" s="142"/>
      <c r="CY7" s="146"/>
      <c r="CZ7" s="14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7" s="146">
        <f>+IF(BD_MO[[#This Row],[FECHA]]&lt;&gt;"",BD_MO[[#This Row],[DURMIENTE2]]*6.561+BD_MO[[#This Row],[LISTONES]]*4.921+BD_MO[[#This Row],[TABLA 1"x8"x3m]]*6.561+BD_MO[[#This Row],[TABLA 2"x8"x3m]]*13.122,"")</f>
        <v>0</v>
      </c>
      <c r="DB7" s="146">
        <f>+IF(BD_MO[[#This Row],[FECHA]]&lt;&gt;"",BD_MO[[#This Row],[PIE2 MADERA ASERRADA]]*1.95,"")</f>
        <v>0</v>
      </c>
      <c r="DC7" s="146">
        <f>+IF(BD_MO[[#This Row],[FECHA]]&lt;&gt;"",BD_MO[[#This Row],[KG. MADERA REDONDA]]+BD_MO[[#This Row],[KG MADERA ASERRADA]],"")</f>
        <v>0</v>
      </c>
      <c r="DD7" s="14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7" s="142"/>
      <c r="DF7" s="142"/>
      <c r="DG7" s="142"/>
      <c r="DH7" s="142"/>
      <c r="DI7" s="149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7" s="149"/>
      <c r="DK7" s="149"/>
      <c r="DL7" s="149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1.87</v>
      </c>
      <c r="DM7" s="149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1.9448000000000001</v>
      </c>
      <c r="DN7" s="149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7" s="150"/>
      <c r="DP7" s="56">
        <f>+IF(BD_MO[[#This Row],[M o D]]&lt;&gt;"",IF(BD_MO[[#This Row],[M o D]]="M",BD_MO[[#This Row],[ROTURA TMH]]/2.65,BD_MO[[#This Row],[ROTURA TMH]]/2.4),"")</f>
        <v>0</v>
      </c>
      <c r="DQ7" s="149"/>
      <c r="DR7" s="116" t="str">
        <f>IF(BD_MO[[#This Row],[TIPO AVANCE]]="Avance",((BD_MO[[#This Row],[AVANCE (m)]]/BD_MO[[#This Row],[AVANCE TEÓRICO]]))," ")</f>
        <v xml:space="preserve"> </v>
      </c>
    </row>
    <row r="8" spans="1:130" ht="18" customHeight="1" x14ac:dyDescent="0.25">
      <c r="A8" s="92">
        <v>44652</v>
      </c>
      <c r="B8" s="137" t="s">
        <v>10647</v>
      </c>
      <c r="C8" s="137" t="s">
        <v>10680</v>
      </c>
      <c r="D8" s="140" t="s">
        <v>10952</v>
      </c>
      <c r="E8" s="141" t="str">
        <f>LEFT(BD_MO[[#This Row],[LABOR]],2)</f>
        <v>In</v>
      </c>
      <c r="F8" s="142"/>
      <c r="G8" s="142" t="s">
        <v>10669</v>
      </c>
      <c r="H8" s="14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8" s="141" t="str">
        <f>IF(BD_MO[FECHA]&lt;&gt;"",VLOOKUP(BD_MO[LABOR],TB_CECO[[LABOR]:[CECO_T]],3,FALSE),"")</f>
        <v>VANESSA</v>
      </c>
      <c r="J8" s="141" t="str">
        <f>IF(BD_MO[FECHA]&lt;&gt;"",VLOOKUP(BD_MO[LABOR],D_CECO!B:H,7,FALSE),"")</f>
        <v>LINEAL</v>
      </c>
      <c r="K8" s="141" t="str">
        <f>IF(BD_MO[FECHA]&lt;&gt;"",VLOOKUP(BD_MO[LABOR],D_CECO!B:H,4,FALSE),"")</f>
        <v>EXPLORACION</v>
      </c>
      <c r="L8" s="141"/>
      <c r="M8" s="143"/>
      <c r="N8" s="142"/>
      <c r="O8" s="138" t="s">
        <v>11925</v>
      </c>
      <c r="P8" s="138" t="s">
        <v>12102</v>
      </c>
      <c r="Q8" s="138"/>
      <c r="R8" s="144"/>
      <c r="S8" s="145" t="str">
        <f>IFERROR(VLOOKUP(BD_MO[DNI 4],#REF!,2,FALSE)," ")</f>
        <v xml:space="preserve"> </v>
      </c>
      <c r="T8" s="146">
        <f>+IF(BD_MO[[#This Row],[FECHA]]&lt;&gt;"",COUNTA(BD_MO[[#This Row],[DNI]],BD_MO[[#This Row],[DNI 2]],BD_MO[[#This Row],[DNI 3]],BD_MO[[#This Row],[DNI 4]]),"")</f>
        <v>2</v>
      </c>
      <c r="U8" s="146"/>
      <c r="V8" s="146"/>
      <c r="W8" s="146"/>
      <c r="X8" s="146">
        <v>2</v>
      </c>
      <c r="Y8" s="139">
        <f>SUM(BD_MO[[#This Row],[LIMP]:[SERV]])</f>
        <v>2</v>
      </c>
      <c r="Z8" s="142"/>
      <c r="AA8" s="142" t="str">
        <f>+IF(BD_MO[[#This Row],[N° VALE]]&lt;&gt;"",1,"")</f>
        <v/>
      </c>
      <c r="AB8" s="137"/>
      <c r="AC8" s="142"/>
      <c r="AD8" s="142" t="str">
        <f>+IF(BD_MO[[#This Row],[N° VALE]]&lt;&gt;"",BD_MO[[#This Row],[FULMINANTE N° 08]]+BD_MO[CARMEX 7''],"")</f>
        <v/>
      </c>
      <c r="AE8" s="142"/>
      <c r="AF8" s="142" t="str">
        <f>+IF(BD_MO[[#This Row],[N° VALE]]&lt;&gt;"",BD_MO[[#This Row],[N° TALADROS]]+BD_MO[[#This Row],[N° TAL. VACIOS]],"")</f>
        <v/>
      </c>
      <c r="AG8" s="147"/>
      <c r="AH8" s="147"/>
      <c r="AI8" s="147"/>
      <c r="AJ8" s="147"/>
      <c r="AK8" s="147"/>
      <c r="AL8" s="147"/>
      <c r="AM8" s="141"/>
      <c r="AN8" s="14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8" s="142" t="str">
        <f>+IF(BD_MO[[#This Row],[N° VALE]]&lt;&gt;"",IF(BD_MO[[#This Row],[FULMINANTE N° 08]]&lt;&gt;"",BD_MO[[#This Row],[FULMINANTE N° 08]],IF(BD_MO[[#This Row],[CARMEX 7'']]&lt;&gt;0,0,"")),"")</f>
        <v/>
      </c>
      <c r="AP8" s="146" t="str">
        <f>+IF(BD_MO[[#This Row],[N° VALE]]&lt;&gt;"",BD_MO[[#This Row],[N°  TOTAL TALADROS]]*BD_MO[[#This Row],[BARRA]]*0.95,"")</f>
        <v/>
      </c>
      <c r="AQ8" s="146" t="str">
        <f>+IF(BD_MO[[#This Row],[N° VALE]]&lt;&gt;"",BD_MO[[#This Row],[EMULNOR 1000 (N° CART.)]]*PE_EMUL_1000[PE],"")</f>
        <v/>
      </c>
      <c r="AR8" s="146" t="str">
        <f>+IF(BD_MO[[#This Row],[N° VALE]]&lt;&gt;"",BD_MO[[#This Row],[EMULNOR 3000 (N° CART.)]]*PE_EMUL_3000[PE],"")</f>
        <v/>
      </c>
      <c r="AS8" s="146" t="str">
        <f>+IF(BD_MO[[#This Row],[N° VALE]]&lt;&gt;"",BD_MO[[#This Row],[PULVERULENTA (N° CART.)]]*PE_PULV_65[PE],"")</f>
        <v/>
      </c>
      <c r="AT8" s="146" t="str">
        <f>+IF(BD_MO[[#This Row],[N° DISP]]&lt;&gt;"",BD_MO[[#This Row],[SEMIGELATINA (N° CART.)]]*PE_SEMIGEL_65[PE],"")</f>
        <v/>
      </c>
      <c r="AU8" s="146" t="str">
        <f>+IF(BD_MO[N° VALE]&lt;&gt;"",BD_MO[[#This Row],[KG EXPLO SEMIGEL]]+BD_MO[[#This Row],[KG EXPLO PULVE]]+BD_MO[[#This Row],[KG EXPLO EMULN 3000]]+BD_MO[[#This Row],[KG EXPLO EMULN 1000]],"")</f>
        <v/>
      </c>
      <c r="AV8" s="142"/>
      <c r="AW8" s="142"/>
      <c r="AX8" s="142" t="str">
        <f>+IF(BD_MO[[#This Row],[MINERAL (U-35)]]&lt;&gt;"",BD_MO[[#This Row],[MINERAL (U-35)]]*1.45,"-")</f>
        <v>-</v>
      </c>
      <c r="AY8" s="142" t="str">
        <f>+IF(BD_MO[[#This Row],[DESMONTE (U-35)]]&lt;&gt;"",BD_MO[[#This Row],[DESMONTE (U-35)]]*1.23,"-")</f>
        <v>-</v>
      </c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1"/>
      <c r="BO8" s="142"/>
      <c r="BP8" s="142"/>
      <c r="BQ8" s="141"/>
      <c r="BR8" s="142"/>
      <c r="BS8" s="141"/>
      <c r="BT8" s="146"/>
      <c r="BU8" s="142"/>
      <c r="BV8" s="142"/>
      <c r="BW8" s="142"/>
      <c r="BX8" s="142"/>
      <c r="BY8" s="142"/>
      <c r="BZ8" s="142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42"/>
      <c r="CM8" s="142"/>
      <c r="CN8" s="142"/>
      <c r="CO8" s="142"/>
      <c r="CP8" s="146">
        <f>+IF(BD_MO[[#This Row],[FECHA]]&lt;&gt;"",BD_MO[[#This Row],[PUNTAL 4"]]+BD_MO[[#This Row],[PUNTAL 5"]]+BD_MO[[#This Row],[PUNTAL 6"]]+BD_MO[[#This Row],[PUNTAL 7"]]+BD_MO[[#This Row],[PUNTAL 8"]],"")</f>
        <v>0</v>
      </c>
      <c r="CQ8" s="142"/>
      <c r="CR8" s="142"/>
      <c r="CS8" s="142"/>
      <c r="CT8" s="142"/>
      <c r="CU8" s="142"/>
      <c r="CV8" s="142"/>
      <c r="CW8" s="142"/>
      <c r="CX8" s="142"/>
      <c r="CY8" s="146"/>
      <c r="CZ8" s="14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8" s="146">
        <f>+IF(BD_MO[[#This Row],[FECHA]]&lt;&gt;"",BD_MO[[#This Row],[DURMIENTE2]]*6.561+BD_MO[[#This Row],[LISTONES]]*4.921+BD_MO[[#This Row],[TABLA 1"x8"x3m]]*6.561+BD_MO[[#This Row],[TABLA 2"x8"x3m]]*13.122,"")</f>
        <v>0</v>
      </c>
      <c r="DB8" s="146">
        <f>+IF(BD_MO[[#This Row],[FECHA]]&lt;&gt;"",BD_MO[[#This Row],[PIE2 MADERA ASERRADA]]*1.95,"")</f>
        <v>0</v>
      </c>
      <c r="DC8" s="146">
        <f>+IF(BD_MO[[#This Row],[FECHA]]&lt;&gt;"",BD_MO[[#This Row],[KG. MADERA REDONDA]]+BD_MO[[#This Row],[KG MADERA ASERRADA]],"")</f>
        <v>0</v>
      </c>
      <c r="DD8" s="14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8" s="142"/>
      <c r="DF8" s="142"/>
      <c r="DG8" s="142"/>
      <c r="DH8" s="142"/>
      <c r="DI8" s="14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8" s="149"/>
      <c r="DK8" s="149"/>
      <c r="DL8" s="14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8" s="14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8" s="14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8" s="150"/>
      <c r="DP8" s="56" t="str">
        <f>+IF(BD_MO[[#This Row],[M o D]]&lt;&gt;"",IF(BD_MO[[#This Row],[M o D]]="M",BD_MO[[#This Row],[ROTURA TMH]]/2.65,BD_MO[[#This Row],[ROTURA TMH]]/2.4),"")</f>
        <v/>
      </c>
      <c r="DQ8" s="149"/>
      <c r="DR8" s="116" t="str">
        <f>IF(BD_MO[[#This Row],[TIPO AVANCE]]="Avance",((BD_MO[[#This Row],[AVANCE (m)]]/BD_MO[[#This Row],[AVANCE TEÓRICO]]))," ")</f>
        <v xml:space="preserve"> </v>
      </c>
    </row>
    <row r="9" spans="1:130" ht="18" customHeight="1" x14ac:dyDescent="0.25">
      <c r="A9" s="92">
        <v>44652</v>
      </c>
      <c r="B9" s="137" t="s">
        <v>10647</v>
      </c>
      <c r="C9" s="137" t="s">
        <v>10680</v>
      </c>
      <c r="D9" s="140" t="s">
        <v>11872</v>
      </c>
      <c r="E9" s="141" t="str">
        <f>LEFT(BD_MO[[#This Row],[LABOR]],2)</f>
        <v>PQ</v>
      </c>
      <c r="F9" s="142"/>
      <c r="G9" s="142" t="s">
        <v>10669</v>
      </c>
      <c r="H9" s="14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9" s="141" t="str">
        <f>IF(BD_MO[FECHA]&lt;&gt;"",VLOOKUP(BD_MO[LABOR],TB_CECO[[LABOR]:[CECO_T]],3,FALSE),"")</f>
        <v>ANDREA</v>
      </c>
      <c r="J9" s="141" t="str">
        <f>IF(BD_MO[FECHA]&lt;&gt;"",VLOOKUP(BD_MO[LABOR],D_CECO!B:H,7,FALSE),"")</f>
        <v>LINEAL</v>
      </c>
      <c r="K9" s="141" t="str">
        <f>IF(BD_MO[FECHA]&lt;&gt;"",VLOOKUP(BD_MO[LABOR],D_CECO!B:H,4,FALSE),"")</f>
        <v>EXPLOTACION</v>
      </c>
      <c r="L9" s="141"/>
      <c r="M9" s="143"/>
      <c r="N9" s="142"/>
      <c r="O9" s="138" t="s">
        <v>11908</v>
      </c>
      <c r="P9" s="138" t="s">
        <v>11905</v>
      </c>
      <c r="Q9" s="138"/>
      <c r="R9" s="144"/>
      <c r="S9" s="145" t="str">
        <f>IFERROR(VLOOKUP(BD_MO[DNI 4],#REF!,2,FALSE)," ")</f>
        <v xml:space="preserve"> </v>
      </c>
      <c r="T9" s="146">
        <f>+IF(BD_MO[[#This Row],[FECHA]]&lt;&gt;"",COUNTA(BD_MO[[#This Row],[DNI]],BD_MO[[#This Row],[DNI 2]],BD_MO[[#This Row],[DNI 3]],BD_MO[[#This Row],[DNI 4]]),"")</f>
        <v>2</v>
      </c>
      <c r="U9" s="146"/>
      <c r="V9" s="146"/>
      <c r="W9" s="146"/>
      <c r="X9" s="146">
        <v>2</v>
      </c>
      <c r="Y9" s="139">
        <f>SUM(BD_MO[[#This Row],[LIMP]:[SERV]])</f>
        <v>2</v>
      </c>
      <c r="Z9" s="142"/>
      <c r="AA9" s="142" t="str">
        <f>+IF(BD_MO[[#This Row],[N° VALE]]&lt;&gt;"",1,"")</f>
        <v/>
      </c>
      <c r="AB9" s="137"/>
      <c r="AC9" s="142"/>
      <c r="AD9" s="142" t="str">
        <f>+IF(BD_MO[[#This Row],[N° VALE]]&lt;&gt;"",BD_MO[[#This Row],[FULMINANTE N° 08]]+BD_MO[CARMEX 7''],"")</f>
        <v/>
      </c>
      <c r="AE9" s="142"/>
      <c r="AF9" s="142" t="str">
        <f>+IF(BD_MO[[#This Row],[N° VALE]]&lt;&gt;"",BD_MO[[#This Row],[N° TALADROS]]+BD_MO[[#This Row],[N° TAL. VACIOS]],"")</f>
        <v/>
      </c>
      <c r="AG9" s="147"/>
      <c r="AH9" s="147"/>
      <c r="AI9" s="147"/>
      <c r="AJ9" s="147"/>
      <c r="AK9" s="147"/>
      <c r="AL9" s="147"/>
      <c r="AM9" s="141"/>
      <c r="AN9" s="14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9" s="142" t="str">
        <f>+IF(BD_MO[[#This Row],[N° VALE]]&lt;&gt;"",IF(BD_MO[[#This Row],[FULMINANTE N° 08]]&lt;&gt;"",BD_MO[[#This Row],[FULMINANTE N° 08]],IF(BD_MO[[#This Row],[CARMEX 7'']]&lt;&gt;0,0,"")),"")</f>
        <v/>
      </c>
      <c r="AP9" s="146" t="str">
        <f>+IF(BD_MO[[#This Row],[N° VALE]]&lt;&gt;"",BD_MO[[#This Row],[N°  TOTAL TALADROS]]*BD_MO[[#This Row],[BARRA]]*0.95,"")</f>
        <v/>
      </c>
      <c r="AQ9" s="146" t="str">
        <f>+IF(BD_MO[[#This Row],[N° VALE]]&lt;&gt;"",BD_MO[[#This Row],[EMULNOR 1000 (N° CART.)]]*PE_EMUL_1000[PE],"")</f>
        <v/>
      </c>
      <c r="AR9" s="146" t="str">
        <f>+IF(BD_MO[[#This Row],[N° VALE]]&lt;&gt;"",BD_MO[[#This Row],[EMULNOR 3000 (N° CART.)]]*PE_EMUL_3000[PE],"")</f>
        <v/>
      </c>
      <c r="AS9" s="146" t="str">
        <f>+IF(BD_MO[[#This Row],[N° VALE]]&lt;&gt;"",BD_MO[[#This Row],[PULVERULENTA (N° CART.)]]*PE_PULV_65[PE],"")</f>
        <v/>
      </c>
      <c r="AT9" s="146" t="str">
        <f>+IF(BD_MO[[#This Row],[N° DISP]]&lt;&gt;"",BD_MO[[#This Row],[SEMIGELATINA (N° CART.)]]*PE_SEMIGEL_65[PE],"")</f>
        <v/>
      </c>
      <c r="AU9" s="146" t="str">
        <f>+IF(BD_MO[N° VALE]&lt;&gt;"",BD_MO[[#This Row],[KG EXPLO SEMIGEL]]+BD_MO[[#This Row],[KG EXPLO PULVE]]+BD_MO[[#This Row],[KG EXPLO EMULN 3000]]+BD_MO[[#This Row],[KG EXPLO EMULN 1000]],"")</f>
        <v/>
      </c>
      <c r="AV9" s="142"/>
      <c r="AW9" s="142"/>
      <c r="AX9" s="142" t="str">
        <f>+IF(BD_MO[[#This Row],[MINERAL (U-35)]]&lt;&gt;"",BD_MO[[#This Row],[MINERAL (U-35)]]*1.45,"-")</f>
        <v>-</v>
      </c>
      <c r="AY9" s="142" t="str">
        <f>+IF(BD_MO[[#This Row],[DESMONTE (U-35)]]&lt;&gt;"",BD_MO[[#This Row],[DESMONTE (U-35)]]*1.23,"-")</f>
        <v>-</v>
      </c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1"/>
      <c r="BO9" s="142"/>
      <c r="BP9" s="142"/>
      <c r="BQ9" s="141"/>
      <c r="BR9" s="142"/>
      <c r="BS9" s="141"/>
      <c r="BT9" s="146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6">
        <f>+IF(BD_MO[[#This Row],[FECHA]]&lt;&gt;"",BD_MO[[#This Row],[PUNTAL 4"]]+BD_MO[[#This Row],[PUNTAL 5"]]+BD_MO[[#This Row],[PUNTAL 6"]]+BD_MO[[#This Row],[PUNTAL 7"]]+BD_MO[[#This Row],[PUNTAL 8"]],"")</f>
        <v>0</v>
      </c>
      <c r="CQ9" s="142"/>
      <c r="CR9" s="142"/>
      <c r="CS9" s="142"/>
      <c r="CT9" s="142"/>
      <c r="CU9" s="142"/>
      <c r="CV9" s="142"/>
      <c r="CW9" s="142"/>
      <c r="CX9" s="142"/>
      <c r="CY9" s="146"/>
      <c r="CZ9" s="14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9" s="146">
        <f>+IF(BD_MO[[#This Row],[FECHA]]&lt;&gt;"",BD_MO[[#This Row],[DURMIENTE2]]*6.561+BD_MO[[#This Row],[LISTONES]]*4.921+BD_MO[[#This Row],[TABLA 1"x8"x3m]]*6.561+BD_MO[[#This Row],[TABLA 2"x8"x3m]]*13.122,"")</f>
        <v>0</v>
      </c>
      <c r="DB9" s="146">
        <f>+IF(BD_MO[[#This Row],[FECHA]]&lt;&gt;"",BD_MO[[#This Row],[PIE2 MADERA ASERRADA]]*1.95,"")</f>
        <v>0</v>
      </c>
      <c r="DC9" s="146">
        <f>+IF(BD_MO[[#This Row],[FECHA]]&lt;&gt;"",BD_MO[[#This Row],[KG. MADERA REDONDA]]+BD_MO[[#This Row],[KG MADERA ASERRADA]],"")</f>
        <v>0</v>
      </c>
      <c r="DD9" s="14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9" s="142"/>
      <c r="DF9" s="142"/>
      <c r="DG9" s="142"/>
      <c r="DH9" s="142"/>
      <c r="DI9" s="14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9" s="149"/>
      <c r="DK9" s="149"/>
      <c r="DL9" s="14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9" s="14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9" s="14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9" s="150"/>
      <c r="DP9" s="56" t="str">
        <f>+IF(BD_MO[[#This Row],[M o D]]&lt;&gt;"",IF(BD_MO[[#This Row],[M o D]]="M",BD_MO[[#This Row],[ROTURA TMH]]/2.65,BD_MO[[#This Row],[ROTURA TMH]]/2.4),"")</f>
        <v/>
      </c>
      <c r="DQ9" s="149"/>
      <c r="DR9" s="116" t="str">
        <f>IF(BD_MO[[#This Row],[TIPO AVANCE]]="Avance",((BD_MO[[#This Row],[AVANCE (m)]]/BD_MO[[#This Row],[AVANCE TEÓRICO]]))," ")</f>
        <v xml:space="preserve"> </v>
      </c>
    </row>
    <row r="10" spans="1:130" ht="18" customHeight="1" x14ac:dyDescent="0.25">
      <c r="A10" s="92">
        <v>44652</v>
      </c>
      <c r="B10" s="137" t="s">
        <v>10647</v>
      </c>
      <c r="C10" s="137" t="s">
        <v>10680</v>
      </c>
      <c r="D10" s="140" t="s">
        <v>10951</v>
      </c>
      <c r="E10" s="141" t="str">
        <f>LEFT(BD_MO[[#This Row],[LABOR]],2)</f>
        <v>In</v>
      </c>
      <c r="F10" s="142"/>
      <c r="G10" s="142" t="s">
        <v>10669</v>
      </c>
      <c r="H10" s="14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0" s="141" t="str">
        <f>IF(BD_MO[FECHA]&lt;&gt;"",VLOOKUP(BD_MO[LABOR],TB_CECO[[LABOR]:[CECO_T]],3,FALSE),"")</f>
        <v>CACHORRO</v>
      </c>
      <c r="J10" s="141" t="str">
        <f>IF(BD_MO[FECHA]&lt;&gt;"",VLOOKUP(BD_MO[LABOR],D_CECO!B:H,7,FALSE),"")</f>
        <v>LINEAL</v>
      </c>
      <c r="K10" s="141" t="str">
        <f>IF(BD_MO[FECHA]&lt;&gt;"",VLOOKUP(BD_MO[LABOR],D_CECO!B:H,4,FALSE),"")</f>
        <v>EXPLORACION</v>
      </c>
      <c r="L10" s="141"/>
      <c r="M10" s="143"/>
      <c r="N10" s="142"/>
      <c r="O10" s="138" t="s">
        <v>11906</v>
      </c>
      <c r="P10" s="138"/>
      <c r="Q10" s="138"/>
      <c r="R10" s="144"/>
      <c r="S10" s="145" t="str">
        <f>IFERROR(VLOOKUP(BD_MO[DNI 4],#REF!,2,FALSE)," ")</f>
        <v xml:space="preserve"> </v>
      </c>
      <c r="T10" s="146">
        <f>+IF(BD_MO[[#This Row],[FECHA]]&lt;&gt;"",COUNTA(BD_MO[[#This Row],[DNI]],BD_MO[[#This Row],[DNI 2]],BD_MO[[#This Row],[DNI 3]],BD_MO[[#This Row],[DNI 4]]),"")</f>
        <v>1</v>
      </c>
      <c r="U10" s="146"/>
      <c r="V10" s="146"/>
      <c r="W10" s="146"/>
      <c r="X10" s="146">
        <v>1</v>
      </c>
      <c r="Y10" s="139">
        <f>SUM(BD_MO[[#This Row],[LIMP]:[SERV]])</f>
        <v>1</v>
      </c>
      <c r="Z10" s="142"/>
      <c r="AA10" s="142" t="str">
        <f>+IF(BD_MO[[#This Row],[N° VALE]]&lt;&gt;"",1,"")</f>
        <v/>
      </c>
      <c r="AB10" s="137"/>
      <c r="AC10" s="142"/>
      <c r="AD10" s="142" t="str">
        <f>+IF(BD_MO[[#This Row],[N° VALE]]&lt;&gt;"",BD_MO[[#This Row],[FULMINANTE N° 08]]+BD_MO[CARMEX 7''],"")</f>
        <v/>
      </c>
      <c r="AE10" s="142"/>
      <c r="AF10" s="142" t="str">
        <f>+IF(BD_MO[[#This Row],[N° VALE]]&lt;&gt;"",BD_MO[[#This Row],[N° TALADROS]]+BD_MO[[#This Row],[N° TAL. VACIOS]],"")</f>
        <v/>
      </c>
      <c r="AG10" s="147"/>
      <c r="AH10" s="147"/>
      <c r="AI10" s="147"/>
      <c r="AJ10" s="147"/>
      <c r="AK10" s="147"/>
      <c r="AL10" s="147"/>
      <c r="AM10" s="141"/>
      <c r="AN10" s="14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0" s="142" t="str">
        <f>+IF(BD_MO[[#This Row],[N° VALE]]&lt;&gt;"",IF(BD_MO[[#This Row],[FULMINANTE N° 08]]&lt;&gt;"",BD_MO[[#This Row],[FULMINANTE N° 08]],IF(BD_MO[[#This Row],[CARMEX 7'']]&lt;&gt;0,0,"")),"")</f>
        <v/>
      </c>
      <c r="AP10" s="146" t="str">
        <f>+IF(BD_MO[[#This Row],[N° VALE]]&lt;&gt;"",BD_MO[[#This Row],[N°  TOTAL TALADROS]]*BD_MO[[#This Row],[BARRA]]*0.95,"")</f>
        <v/>
      </c>
      <c r="AQ10" s="146" t="str">
        <f>+IF(BD_MO[[#This Row],[N° VALE]]&lt;&gt;"",BD_MO[[#This Row],[EMULNOR 1000 (N° CART.)]]*PE_EMUL_1000[PE],"")</f>
        <v/>
      </c>
      <c r="AR10" s="146" t="str">
        <f>+IF(BD_MO[[#This Row],[N° VALE]]&lt;&gt;"",BD_MO[[#This Row],[EMULNOR 3000 (N° CART.)]]*PE_EMUL_3000[PE],"")</f>
        <v/>
      </c>
      <c r="AS10" s="146" t="str">
        <f>+IF(BD_MO[[#This Row],[N° VALE]]&lt;&gt;"",BD_MO[[#This Row],[PULVERULENTA (N° CART.)]]*PE_PULV_65[PE],"")</f>
        <v/>
      </c>
      <c r="AT10" s="146" t="str">
        <f>+IF(BD_MO[[#This Row],[N° DISP]]&lt;&gt;"",BD_MO[[#This Row],[SEMIGELATINA (N° CART.)]]*PE_SEMIGEL_65[PE],"")</f>
        <v/>
      </c>
      <c r="AU10" s="146" t="str">
        <f>+IF(BD_MO[N° VALE]&lt;&gt;"",BD_MO[[#This Row],[KG EXPLO SEMIGEL]]+BD_MO[[#This Row],[KG EXPLO PULVE]]+BD_MO[[#This Row],[KG EXPLO EMULN 3000]]+BD_MO[[#This Row],[KG EXPLO EMULN 1000]],"")</f>
        <v/>
      </c>
      <c r="AV10" s="142"/>
      <c r="AW10" s="142"/>
      <c r="AX10" s="142" t="str">
        <f>+IF(BD_MO[[#This Row],[MINERAL (U-35)]]&lt;&gt;"",BD_MO[[#This Row],[MINERAL (U-35)]]*1.45,"-")</f>
        <v>-</v>
      </c>
      <c r="AY10" s="142" t="str">
        <f>+IF(BD_MO[[#This Row],[DESMONTE (U-35)]]&lt;&gt;"",BD_MO[[#This Row],[DESMONTE (U-35)]]*1.23,"-")</f>
        <v>-</v>
      </c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1"/>
      <c r="BO10" s="142"/>
      <c r="BP10" s="142"/>
      <c r="BQ10" s="141"/>
      <c r="BR10" s="142"/>
      <c r="BS10" s="141"/>
      <c r="BT10" s="146"/>
      <c r="BU10" s="142"/>
      <c r="BV10" s="142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6">
        <f>+IF(BD_MO[[#This Row],[FECHA]]&lt;&gt;"",BD_MO[[#This Row],[PUNTAL 4"]]+BD_MO[[#This Row],[PUNTAL 5"]]+BD_MO[[#This Row],[PUNTAL 6"]]+BD_MO[[#This Row],[PUNTAL 7"]]+BD_MO[[#This Row],[PUNTAL 8"]],"")</f>
        <v>0</v>
      </c>
      <c r="CQ10" s="142"/>
      <c r="CR10" s="142"/>
      <c r="CS10" s="142"/>
      <c r="CT10" s="142"/>
      <c r="CU10" s="142"/>
      <c r="CV10" s="142"/>
      <c r="CW10" s="142"/>
      <c r="CX10" s="142"/>
      <c r="CY10" s="146"/>
      <c r="CZ10" s="14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0" s="146">
        <f>+IF(BD_MO[[#This Row],[FECHA]]&lt;&gt;"",BD_MO[[#This Row],[DURMIENTE2]]*6.561+BD_MO[[#This Row],[LISTONES]]*4.921+BD_MO[[#This Row],[TABLA 1"x8"x3m]]*6.561+BD_MO[[#This Row],[TABLA 2"x8"x3m]]*13.122,"")</f>
        <v>0</v>
      </c>
      <c r="DB10" s="146">
        <f>+IF(BD_MO[[#This Row],[FECHA]]&lt;&gt;"",BD_MO[[#This Row],[PIE2 MADERA ASERRADA]]*1.95,"")</f>
        <v>0</v>
      </c>
      <c r="DC10" s="146">
        <f>+IF(BD_MO[[#This Row],[FECHA]]&lt;&gt;"",BD_MO[[#This Row],[KG. MADERA REDONDA]]+BD_MO[[#This Row],[KG MADERA ASERRADA]],"")</f>
        <v>0</v>
      </c>
      <c r="DD10" s="14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0" s="142"/>
      <c r="DF10" s="142"/>
      <c r="DG10" s="142"/>
      <c r="DH10" s="142"/>
      <c r="DI10" s="14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0" s="149"/>
      <c r="DK10" s="149"/>
      <c r="DL10" s="14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0" s="14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0" s="14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0" s="150"/>
      <c r="DP10" s="56" t="str">
        <f>+IF(BD_MO[[#This Row],[M o D]]&lt;&gt;"",IF(BD_MO[[#This Row],[M o D]]="M",BD_MO[[#This Row],[ROTURA TMH]]/2.65,BD_MO[[#This Row],[ROTURA TMH]]/2.4),"")</f>
        <v/>
      </c>
      <c r="DQ10" s="149"/>
      <c r="DR10" s="116" t="str">
        <f>IF(BD_MO[[#This Row],[TIPO AVANCE]]="Avance",((BD_MO[[#This Row],[AVANCE (m)]]/BD_MO[[#This Row],[AVANCE TEÓRICO]]))," ")</f>
        <v xml:space="preserve"> </v>
      </c>
    </row>
    <row r="11" spans="1:130" ht="18" customHeight="1" x14ac:dyDescent="0.25">
      <c r="A11" s="92">
        <v>44652</v>
      </c>
      <c r="B11" s="137" t="s">
        <v>10647</v>
      </c>
      <c r="C11" s="137" t="s">
        <v>10680</v>
      </c>
      <c r="D11" s="140" t="s">
        <v>10954</v>
      </c>
      <c r="E11" s="141" t="str">
        <f>LEFT(BD_MO[[#This Row],[LABOR]],2)</f>
        <v>MO</v>
      </c>
      <c r="F11" s="142"/>
      <c r="G11" s="142" t="s">
        <v>10669</v>
      </c>
      <c r="H11" s="14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1" s="141" t="str">
        <f>IF(BD_MO[FECHA]&lt;&gt;"",VLOOKUP(BD_MO[LABOR],TB_CECO[[LABOR]:[CECO_T]],3,FALSE),"")</f>
        <v>INCA</v>
      </c>
      <c r="J11" s="141" t="str">
        <f>IF(BD_MO[FECHA]&lt;&gt;"",VLOOKUP(BD_MO[LABOR],D_CECO!B:H,7,FALSE),"")</f>
        <v>SERVICIOS</v>
      </c>
      <c r="K11" s="141" t="str">
        <f>IF(BD_MO[FECHA]&lt;&gt;"",VLOOKUP(BD_MO[LABOR],D_CECO!B:H,4,FALSE),"")</f>
        <v>SERVICIOS</v>
      </c>
      <c r="L11" s="141"/>
      <c r="M11" s="143"/>
      <c r="N11" s="142"/>
      <c r="O11" s="138" t="s">
        <v>12117</v>
      </c>
      <c r="P11" s="138" t="s">
        <v>11907</v>
      </c>
      <c r="Q11" s="138"/>
      <c r="R11" s="144"/>
      <c r="S11" s="145" t="str">
        <f>IFERROR(VLOOKUP(BD_MO[DNI 4],#REF!,2,FALSE)," ")</f>
        <v xml:space="preserve"> </v>
      </c>
      <c r="T11" s="146">
        <f>+IF(BD_MO[[#This Row],[FECHA]]&lt;&gt;"",COUNTA(BD_MO[[#This Row],[DNI]],BD_MO[[#This Row],[DNI 2]],BD_MO[[#This Row],[DNI 3]],BD_MO[[#This Row],[DNI 4]]),"")</f>
        <v>2</v>
      </c>
      <c r="U11" s="146"/>
      <c r="V11" s="146"/>
      <c r="W11" s="146"/>
      <c r="X11" s="146">
        <v>2</v>
      </c>
      <c r="Y11" s="139">
        <f>SUM(BD_MO[[#This Row],[LIMP]:[SERV]])</f>
        <v>2</v>
      </c>
      <c r="Z11" s="142"/>
      <c r="AA11" s="142" t="str">
        <f>+IF(BD_MO[[#This Row],[N° VALE]]&lt;&gt;"",1,"")</f>
        <v/>
      </c>
      <c r="AB11" s="137"/>
      <c r="AC11" s="142"/>
      <c r="AD11" s="142" t="str">
        <f>+IF(BD_MO[[#This Row],[N° VALE]]&lt;&gt;"",BD_MO[[#This Row],[FULMINANTE N° 08]]+BD_MO[CARMEX 7''],"")</f>
        <v/>
      </c>
      <c r="AE11" s="142"/>
      <c r="AF11" s="142" t="str">
        <f>+IF(BD_MO[[#This Row],[N° VALE]]&lt;&gt;"",BD_MO[[#This Row],[N° TALADROS]]+BD_MO[[#This Row],[N° TAL. VACIOS]],"")</f>
        <v/>
      </c>
      <c r="AG11" s="147"/>
      <c r="AH11" s="147"/>
      <c r="AI11" s="147"/>
      <c r="AJ11" s="147"/>
      <c r="AK11" s="147"/>
      <c r="AL11" s="147"/>
      <c r="AM11" s="141"/>
      <c r="AN11" s="14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1" s="142" t="str">
        <f>+IF(BD_MO[[#This Row],[N° VALE]]&lt;&gt;"",IF(BD_MO[[#This Row],[FULMINANTE N° 08]]&lt;&gt;"",BD_MO[[#This Row],[FULMINANTE N° 08]],IF(BD_MO[[#This Row],[CARMEX 7'']]&lt;&gt;0,0,"")),"")</f>
        <v/>
      </c>
      <c r="AP11" s="146" t="str">
        <f>+IF(BD_MO[[#This Row],[N° VALE]]&lt;&gt;"",BD_MO[[#This Row],[N°  TOTAL TALADROS]]*BD_MO[[#This Row],[BARRA]]*0.95,"")</f>
        <v/>
      </c>
      <c r="AQ11" s="146" t="str">
        <f>+IF(BD_MO[[#This Row],[N° VALE]]&lt;&gt;"",BD_MO[[#This Row],[EMULNOR 1000 (N° CART.)]]*PE_EMUL_1000[PE],"")</f>
        <v/>
      </c>
      <c r="AR11" s="146" t="str">
        <f>+IF(BD_MO[[#This Row],[N° VALE]]&lt;&gt;"",BD_MO[[#This Row],[EMULNOR 3000 (N° CART.)]]*PE_EMUL_3000[PE],"")</f>
        <v/>
      </c>
      <c r="AS11" s="146" t="str">
        <f>+IF(BD_MO[[#This Row],[N° VALE]]&lt;&gt;"",BD_MO[[#This Row],[PULVERULENTA (N° CART.)]]*PE_PULV_65[PE],"")</f>
        <v/>
      </c>
      <c r="AT11" s="146" t="str">
        <f>+IF(BD_MO[[#This Row],[N° DISP]]&lt;&gt;"",BD_MO[[#This Row],[SEMIGELATINA (N° CART.)]]*PE_SEMIGEL_65[PE],"")</f>
        <v/>
      </c>
      <c r="AU11" s="146" t="str">
        <f>+IF(BD_MO[N° VALE]&lt;&gt;"",BD_MO[[#This Row],[KG EXPLO SEMIGEL]]+BD_MO[[#This Row],[KG EXPLO PULVE]]+BD_MO[[#This Row],[KG EXPLO EMULN 3000]]+BD_MO[[#This Row],[KG EXPLO EMULN 1000]],"")</f>
        <v/>
      </c>
      <c r="AV11" s="142"/>
      <c r="AW11" s="142"/>
      <c r="AX11" s="142" t="str">
        <f>+IF(BD_MO[[#This Row],[MINERAL (U-35)]]&lt;&gt;"",BD_MO[[#This Row],[MINERAL (U-35)]]*1.45,"-")</f>
        <v>-</v>
      </c>
      <c r="AY11" s="142" t="str">
        <f>+IF(BD_MO[[#This Row],[DESMONTE (U-35)]]&lt;&gt;"",BD_MO[[#This Row],[DESMONTE (U-35)]]*1.23,"-")</f>
        <v>-</v>
      </c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1"/>
      <c r="BO11" s="142"/>
      <c r="BP11" s="142"/>
      <c r="BQ11" s="141"/>
      <c r="BR11" s="142"/>
      <c r="BS11" s="141"/>
      <c r="BT11" s="146"/>
      <c r="BU11" s="142"/>
      <c r="BV11" s="142"/>
      <c r="BW11" s="142"/>
      <c r="BX11" s="142"/>
      <c r="BY11" s="142"/>
      <c r="BZ11" s="142"/>
      <c r="CA11" s="142"/>
      <c r="CB11" s="142"/>
      <c r="CC11" s="142"/>
      <c r="CD11" s="142"/>
      <c r="CE11" s="142"/>
      <c r="CF11" s="142"/>
      <c r="CG11" s="142"/>
      <c r="CH11" s="142"/>
      <c r="CI11" s="142"/>
      <c r="CJ11" s="142"/>
      <c r="CK11" s="142"/>
      <c r="CL11" s="142"/>
      <c r="CM11" s="142"/>
      <c r="CN11" s="142"/>
      <c r="CO11" s="142"/>
      <c r="CP11" s="146">
        <f>+IF(BD_MO[[#This Row],[FECHA]]&lt;&gt;"",BD_MO[[#This Row],[PUNTAL 4"]]+BD_MO[[#This Row],[PUNTAL 5"]]+BD_MO[[#This Row],[PUNTAL 6"]]+BD_MO[[#This Row],[PUNTAL 7"]]+BD_MO[[#This Row],[PUNTAL 8"]],"")</f>
        <v>0</v>
      </c>
      <c r="CQ11" s="142"/>
      <c r="CR11" s="142"/>
      <c r="CS11" s="142"/>
      <c r="CT11" s="142"/>
      <c r="CU11" s="142"/>
      <c r="CV11" s="142"/>
      <c r="CW11" s="142"/>
      <c r="CX11" s="142"/>
      <c r="CY11" s="146"/>
      <c r="CZ11" s="14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1" s="146">
        <f>+IF(BD_MO[[#This Row],[FECHA]]&lt;&gt;"",BD_MO[[#This Row],[DURMIENTE2]]*6.561+BD_MO[[#This Row],[LISTONES]]*4.921+BD_MO[[#This Row],[TABLA 1"x8"x3m]]*6.561+BD_MO[[#This Row],[TABLA 2"x8"x3m]]*13.122,"")</f>
        <v>0</v>
      </c>
      <c r="DB11" s="146">
        <f>+IF(BD_MO[[#This Row],[FECHA]]&lt;&gt;"",BD_MO[[#This Row],[PIE2 MADERA ASERRADA]]*1.95,"")</f>
        <v>0</v>
      </c>
      <c r="DC11" s="146">
        <f>+IF(BD_MO[[#This Row],[FECHA]]&lt;&gt;"",BD_MO[[#This Row],[KG. MADERA REDONDA]]+BD_MO[[#This Row],[KG MADERA ASERRADA]],"")</f>
        <v>0</v>
      </c>
      <c r="DD11" s="14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1" s="142"/>
      <c r="DF11" s="142"/>
      <c r="DG11" s="142"/>
      <c r="DH11" s="142"/>
      <c r="DI11" s="14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1" s="149"/>
      <c r="DK11" s="149"/>
      <c r="DL11" s="14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1" s="14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1" s="14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1" s="150"/>
      <c r="DP11" s="56" t="str">
        <f>+IF(BD_MO[[#This Row],[M o D]]&lt;&gt;"",IF(BD_MO[[#This Row],[M o D]]="M",BD_MO[[#This Row],[ROTURA TMH]]/2.65,BD_MO[[#This Row],[ROTURA TMH]]/2.4),"")</f>
        <v/>
      </c>
      <c r="DQ11" s="149"/>
      <c r="DR11" s="116" t="str">
        <f>IF(BD_MO[[#This Row],[TIPO AVANCE]]="Avance",((BD_MO[[#This Row],[AVANCE (m)]]/BD_MO[[#This Row],[AVANCE TEÓRICO]]))," ")</f>
        <v xml:space="preserve"> </v>
      </c>
    </row>
    <row r="12" spans="1:130" s="112" customFormat="1" ht="18" customHeight="1" thickBot="1" x14ac:dyDescent="0.3">
      <c r="A12" s="109">
        <v>44652</v>
      </c>
      <c r="B12" s="151" t="s">
        <v>10647</v>
      </c>
      <c r="C12" s="151" t="s">
        <v>10680</v>
      </c>
      <c r="D12" s="152" t="s">
        <v>10717</v>
      </c>
      <c r="E12" s="153" t="str">
        <f>LEFT(BD_MO[[#This Row],[LABOR]],2)</f>
        <v>BO</v>
      </c>
      <c r="F12" s="154"/>
      <c r="G12" s="154" t="s">
        <v>10669</v>
      </c>
      <c r="H12" s="1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2" s="153" t="str">
        <f>IF(BD_MO[FECHA]&lt;&gt;"",VLOOKUP(BD_MO[LABOR],TB_CECO[[LABOR]:[CECO_T]],3,FALSE),"")</f>
        <v>CACHORRO</v>
      </c>
      <c r="J12" s="153" t="str">
        <f>IF(BD_MO[FECHA]&lt;&gt;"",VLOOKUP(BD_MO[LABOR],D_CECO!B:H,7,FALSE),"")</f>
        <v>SERVICIOS</v>
      </c>
      <c r="K12" s="153" t="str">
        <f>IF(BD_MO[FECHA]&lt;&gt;"",VLOOKUP(BD_MO[LABOR],D_CECO!B:H,4,FALSE),"")</f>
        <v>SERVICIOS</v>
      </c>
      <c r="L12" s="153"/>
      <c r="M12" s="151"/>
      <c r="N12" s="154"/>
      <c r="O12" s="155" t="s">
        <v>11909</v>
      </c>
      <c r="P12" s="155"/>
      <c r="Q12" s="155"/>
      <c r="R12" s="156"/>
      <c r="S12" s="157" t="str">
        <f>IFERROR(VLOOKUP(BD_MO[DNI 4],#REF!,2,FALSE)," ")</f>
        <v xml:space="preserve"> </v>
      </c>
      <c r="T12" s="158">
        <f>+IF(BD_MO[[#This Row],[FECHA]]&lt;&gt;"",COUNTA(BD_MO[[#This Row],[DNI]],BD_MO[[#This Row],[DNI 2]],BD_MO[[#This Row],[DNI 3]],BD_MO[[#This Row],[DNI 4]]),"")</f>
        <v>1</v>
      </c>
      <c r="U12" s="158"/>
      <c r="V12" s="158"/>
      <c r="W12" s="158"/>
      <c r="X12" s="158">
        <v>1</v>
      </c>
      <c r="Y12" s="159">
        <f>SUM(BD_MO[[#This Row],[LIMP]:[SERV]])</f>
        <v>1</v>
      </c>
      <c r="Z12" s="154"/>
      <c r="AA12" s="154" t="str">
        <f>+IF(BD_MO[[#This Row],[N° VALE]]&lt;&gt;"",1,"")</f>
        <v/>
      </c>
      <c r="AB12" s="151"/>
      <c r="AC12" s="154"/>
      <c r="AD12" s="154" t="str">
        <f>+IF(BD_MO[[#This Row],[N° VALE]]&lt;&gt;"",BD_MO[[#This Row],[FULMINANTE N° 08]]+BD_MO[CARMEX 7''],"")</f>
        <v/>
      </c>
      <c r="AE12" s="154"/>
      <c r="AF12" s="154" t="str">
        <f>+IF(BD_MO[[#This Row],[N° VALE]]&lt;&gt;"",BD_MO[[#This Row],[N° TALADROS]]+BD_MO[[#This Row],[N° TAL. VACIOS]],"")</f>
        <v/>
      </c>
      <c r="AG12" s="160"/>
      <c r="AH12" s="160"/>
      <c r="AI12" s="160"/>
      <c r="AJ12" s="160"/>
      <c r="AK12" s="160"/>
      <c r="AL12" s="160"/>
      <c r="AM12" s="153"/>
      <c r="AN12" s="1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2" s="154" t="str">
        <f>+IF(BD_MO[[#This Row],[N° VALE]]&lt;&gt;"",IF(BD_MO[[#This Row],[FULMINANTE N° 08]]&lt;&gt;"",BD_MO[[#This Row],[FULMINANTE N° 08]],IF(BD_MO[[#This Row],[CARMEX 7'']]&lt;&gt;0,0,"")),"")</f>
        <v/>
      </c>
      <c r="AP12" s="158" t="str">
        <f>+IF(BD_MO[[#This Row],[N° VALE]]&lt;&gt;"",BD_MO[[#This Row],[N°  TOTAL TALADROS]]*BD_MO[[#This Row],[BARRA]]*0.95,"")</f>
        <v/>
      </c>
      <c r="AQ12" s="158" t="str">
        <f>+IF(BD_MO[[#This Row],[N° VALE]]&lt;&gt;"",BD_MO[[#This Row],[EMULNOR 1000 (N° CART.)]]*PE_EMUL_1000[PE],"")</f>
        <v/>
      </c>
      <c r="AR12" s="158" t="str">
        <f>+IF(BD_MO[[#This Row],[N° VALE]]&lt;&gt;"",BD_MO[[#This Row],[EMULNOR 3000 (N° CART.)]]*PE_EMUL_3000[PE],"")</f>
        <v/>
      </c>
      <c r="AS12" s="158" t="str">
        <f>+IF(BD_MO[[#This Row],[N° VALE]]&lt;&gt;"",BD_MO[[#This Row],[PULVERULENTA (N° CART.)]]*PE_PULV_65[PE],"")</f>
        <v/>
      </c>
      <c r="AT12" s="158" t="str">
        <f>+IF(BD_MO[[#This Row],[N° DISP]]&lt;&gt;"",BD_MO[[#This Row],[SEMIGELATINA (N° CART.)]]*PE_SEMIGEL_65[PE],"")</f>
        <v/>
      </c>
      <c r="AU12" s="158" t="str">
        <f>+IF(BD_MO[N° VALE]&lt;&gt;"",BD_MO[[#This Row],[KG EXPLO SEMIGEL]]+BD_MO[[#This Row],[KG EXPLO PULVE]]+BD_MO[[#This Row],[KG EXPLO EMULN 3000]]+BD_MO[[#This Row],[KG EXPLO EMULN 1000]],"")</f>
        <v/>
      </c>
      <c r="AV12" s="154"/>
      <c r="AW12" s="154"/>
      <c r="AX12" s="154" t="str">
        <f>+IF(BD_MO[[#This Row],[MINERAL (U-35)]]&lt;&gt;"",BD_MO[[#This Row],[MINERAL (U-35)]]*1.45,"-")</f>
        <v>-</v>
      </c>
      <c r="AY12" s="154" t="str">
        <f>+IF(BD_MO[[#This Row],[DESMONTE (U-35)]]&lt;&gt;"",BD_MO[[#This Row],[DESMONTE (U-35)]]*1.23,"-")</f>
        <v>-</v>
      </c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3"/>
      <c r="BO12" s="154"/>
      <c r="BP12" s="154"/>
      <c r="BQ12" s="153"/>
      <c r="BR12" s="154"/>
      <c r="BS12" s="153"/>
      <c r="BT12" s="158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8">
        <f>+IF(BD_MO[[#This Row],[FECHA]]&lt;&gt;"",BD_MO[[#This Row],[PUNTAL 4"]]+BD_MO[[#This Row],[PUNTAL 5"]]+BD_MO[[#This Row],[PUNTAL 6"]]+BD_MO[[#This Row],[PUNTAL 7"]]+BD_MO[[#This Row],[PUNTAL 8"]],"")</f>
        <v>0</v>
      </c>
      <c r="CQ12" s="154"/>
      <c r="CR12" s="154"/>
      <c r="CS12" s="154"/>
      <c r="CT12" s="154"/>
      <c r="CU12" s="154"/>
      <c r="CV12" s="154"/>
      <c r="CW12" s="154"/>
      <c r="CX12" s="154"/>
      <c r="CY12" s="158"/>
      <c r="CZ12" s="15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2" s="158">
        <f>+IF(BD_MO[[#This Row],[FECHA]]&lt;&gt;"",BD_MO[[#This Row],[DURMIENTE2]]*6.561+BD_MO[[#This Row],[LISTONES]]*4.921+BD_MO[[#This Row],[TABLA 1"x8"x3m]]*6.561+BD_MO[[#This Row],[TABLA 2"x8"x3m]]*13.122,"")</f>
        <v>0</v>
      </c>
      <c r="DB12" s="158">
        <f>+IF(BD_MO[[#This Row],[FECHA]]&lt;&gt;"",BD_MO[[#This Row],[PIE2 MADERA ASERRADA]]*1.95,"")</f>
        <v>0</v>
      </c>
      <c r="DC12" s="158">
        <f>+IF(BD_MO[[#This Row],[FECHA]]&lt;&gt;"",BD_MO[[#This Row],[KG. MADERA REDONDA]]+BD_MO[[#This Row],[KG MADERA ASERRADA]],"")</f>
        <v>0</v>
      </c>
      <c r="DD12" s="16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2" s="154"/>
      <c r="DF12" s="154"/>
      <c r="DG12" s="154"/>
      <c r="DH12" s="154"/>
      <c r="DI12" s="16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2" s="162"/>
      <c r="DK12" s="162"/>
      <c r="DL12" s="16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2" s="16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2" s="16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2" s="163"/>
      <c r="DP12" s="56" t="str">
        <f>+IF(BD_MO[[#This Row],[M o D]]&lt;&gt;"",IF(BD_MO[[#This Row],[M o D]]="M",BD_MO[[#This Row],[ROTURA TMH]]/2.65,BD_MO[[#This Row],[ROTURA TMH]]/2.4),"")</f>
        <v/>
      </c>
      <c r="DQ12" s="162"/>
      <c r="DR12" s="116" t="str">
        <f>IF(BD_MO[[#This Row],[TIPO AVANCE]]="Avance",((BD_MO[[#This Row],[AVANCE (m)]]/BD_MO[[#This Row],[AVANCE TEÓRICO]]))," ")</f>
        <v xml:space="preserve"> </v>
      </c>
      <c r="DS12" s="110"/>
      <c r="DT12" s="110"/>
      <c r="DU12" s="110"/>
      <c r="DV12" s="110"/>
      <c r="DW12" s="110"/>
      <c r="DX12" s="111"/>
      <c r="DY12" s="111"/>
      <c r="DZ12" s="111"/>
    </row>
    <row r="13" spans="1:130" ht="18" customHeight="1" x14ac:dyDescent="0.25">
      <c r="A13" s="92">
        <v>44652</v>
      </c>
      <c r="B13" s="137" t="s">
        <v>10655</v>
      </c>
      <c r="C13" s="137" t="s">
        <v>10668</v>
      </c>
      <c r="D13" s="140" t="s">
        <v>12115</v>
      </c>
      <c r="E13" s="141" t="str">
        <f>LEFT(BD_MO[[#This Row],[LABOR]],2)</f>
        <v>Tj</v>
      </c>
      <c r="F13" s="142" t="s">
        <v>10950</v>
      </c>
      <c r="G13" s="142" t="s">
        <v>10648</v>
      </c>
      <c r="H13" s="14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3" s="141" t="str">
        <f>IF(BD_MO[FECHA]&lt;&gt;"",VLOOKUP(BD_MO[LABOR],TB_CECO[[LABOR]:[CECO_T]],3,FALSE),"")</f>
        <v>CACHORRO</v>
      </c>
      <c r="J13" s="141" t="str">
        <f>IF(BD_MO[FECHA]&lt;&gt;"",VLOOKUP(BD_MO[LABOR],D_CECO!B:H,7,FALSE),"")</f>
        <v>TAJO</v>
      </c>
      <c r="K13" s="141" t="str">
        <f>IF(BD_MO[FECHA]&lt;&gt;"",VLOOKUP(BD_MO[LABOR],D_CECO!B:H,4,FALSE),"")</f>
        <v>EXPLOTACION</v>
      </c>
      <c r="L13" s="141"/>
      <c r="M13" s="143" t="s">
        <v>10661</v>
      </c>
      <c r="N13" s="142"/>
      <c r="O13" s="138" t="s">
        <v>12123</v>
      </c>
      <c r="P13" s="138" t="s">
        <v>12124</v>
      </c>
      <c r="Q13" s="138" t="s">
        <v>12094</v>
      </c>
      <c r="R13" s="144"/>
      <c r="S13" s="145" t="str">
        <f>IFERROR(VLOOKUP(BD_MO[DNI 4],#REF!,2,FALSE)," ")</f>
        <v xml:space="preserve"> </v>
      </c>
      <c r="T13" s="146">
        <f>+IF(BD_MO[[#This Row],[FECHA]]&lt;&gt;"",COUNTA(BD_MO[[#This Row],[DNI]],BD_MO[[#This Row],[DNI 2]],BD_MO[[#This Row],[DNI 3]],BD_MO[[#This Row],[DNI 4]]),"")</f>
        <v>3</v>
      </c>
      <c r="U13" s="146">
        <v>0.6</v>
      </c>
      <c r="V13" s="146">
        <v>0.5</v>
      </c>
      <c r="W13" s="146">
        <v>1.1000000000000001</v>
      </c>
      <c r="X13" s="146">
        <v>0.8</v>
      </c>
      <c r="Y13" s="139">
        <f>SUM(BD_MO[[#This Row],[LIMP]:[SERV]])</f>
        <v>3</v>
      </c>
      <c r="Z13" s="142" t="s">
        <v>12127</v>
      </c>
      <c r="AA13" s="142">
        <f>+IF(BD_MO[[#This Row],[N° VALE]]&lt;&gt;"",1,"")</f>
        <v>1</v>
      </c>
      <c r="AB13" s="137" t="s">
        <v>10691</v>
      </c>
      <c r="AC13" s="142">
        <v>4</v>
      </c>
      <c r="AD13" s="142">
        <f>+IF(BD_MO[[#This Row],[N° VALE]]&lt;&gt;"",BD_MO[[#This Row],[FULMINANTE N° 08]]+BD_MO[CARMEX 7''],"")</f>
        <v>9</v>
      </c>
      <c r="AE13" s="142"/>
      <c r="AF13" s="142">
        <f>+IF(BD_MO[[#This Row],[N° VALE]]&lt;&gt;"",BD_MO[[#This Row],[N° TALADROS]]+BD_MO[[#This Row],[N° TAL. VACIOS]],"")</f>
        <v>9</v>
      </c>
      <c r="AG13" s="147"/>
      <c r="AH13" s="147">
        <v>36</v>
      </c>
      <c r="AI13" s="147"/>
      <c r="AJ13" s="147"/>
      <c r="AK13" s="147">
        <v>9</v>
      </c>
      <c r="AL13" s="147">
        <v>2</v>
      </c>
      <c r="AM13" s="141"/>
      <c r="AN13" s="14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3" s="142">
        <f>+IF(BD_MO[[#This Row],[N° VALE]]&lt;&gt;"",IF(BD_MO[[#This Row],[FULMINANTE N° 08]]&lt;&gt;"",BD_MO[[#This Row],[FULMINANTE N° 08]],IF(BD_MO[[#This Row],[CARMEX 7'']]&lt;&gt;0,0,"")),"")</f>
        <v>0</v>
      </c>
      <c r="AP13" s="146">
        <f>+IF(BD_MO[[#This Row],[N° VALE]]&lt;&gt;"",BD_MO[[#This Row],[N°  TOTAL TALADROS]]*BD_MO[[#This Row],[BARRA]]*0.95,"")</f>
        <v>34.199999999999996</v>
      </c>
      <c r="AQ13" s="146">
        <f>+IF(BD_MO[[#This Row],[N° VALE]]&lt;&gt;"",BD_MO[[#This Row],[EMULNOR 1000 (N° CART.)]]*PE_EMUL_1000[PE],"")</f>
        <v>3.4092000000000002</v>
      </c>
      <c r="AR13" s="146">
        <f>+IF(BD_MO[[#This Row],[N° VALE]]&lt;&gt;"",BD_MO[[#This Row],[EMULNOR 3000 (N° CART.)]]*PE_EMUL_3000[PE],"")</f>
        <v>0</v>
      </c>
      <c r="AS13" s="146">
        <f>+IF(BD_MO[[#This Row],[N° VALE]]&lt;&gt;"",BD_MO[[#This Row],[PULVERULENTA (N° CART.)]]*PE_PULV_65[PE],"")</f>
        <v>0</v>
      </c>
      <c r="AT13" s="146">
        <f>+IF(BD_MO[[#This Row],[N° DISP]]&lt;&gt;"",BD_MO[[#This Row],[SEMIGELATINA (N° CART.)]]*PE_SEMIGEL_65[PE],"")</f>
        <v>0</v>
      </c>
      <c r="AU13" s="146">
        <f>+IF(BD_MO[N° VALE]&lt;&gt;"",BD_MO[[#This Row],[KG EXPLO SEMIGEL]]+BD_MO[[#This Row],[KG EXPLO PULVE]]+BD_MO[[#This Row],[KG EXPLO EMULN 3000]]+BD_MO[[#This Row],[KG EXPLO EMULN 1000]],"")</f>
        <v>3.4092000000000002</v>
      </c>
      <c r="AV13" s="142">
        <v>3</v>
      </c>
      <c r="AW13" s="142"/>
      <c r="AX13" s="142">
        <f>+IF(BD_MO[[#This Row],[MINERAL (U-35)]]&lt;&gt;"",BD_MO[[#This Row],[MINERAL (U-35)]]*1.45,"-")</f>
        <v>4.3499999999999996</v>
      </c>
      <c r="AY13" s="142" t="str">
        <f>+IF(BD_MO[[#This Row],[DESMONTE (U-35)]]&lt;&gt;"",BD_MO[[#This Row],[DESMONTE (U-35)]]*1.23,"-")</f>
        <v>-</v>
      </c>
      <c r="AZ13" s="142"/>
      <c r="BA13" s="142">
        <v>1</v>
      </c>
      <c r="BB13" s="142"/>
      <c r="BC13" s="142"/>
      <c r="BD13" s="142"/>
      <c r="BE13" s="142"/>
      <c r="BF13" s="142"/>
      <c r="BG13" s="142"/>
      <c r="BH13" s="142"/>
      <c r="BI13" s="142">
        <v>1</v>
      </c>
      <c r="BJ13" s="142"/>
      <c r="BK13" s="142"/>
      <c r="BL13" s="142"/>
      <c r="BM13" s="142"/>
      <c r="BN13" s="141"/>
      <c r="BO13" s="142">
        <v>1</v>
      </c>
      <c r="BP13" s="142"/>
      <c r="BQ13" s="141"/>
      <c r="BR13" s="142"/>
      <c r="BS13" s="141"/>
      <c r="BT13" s="146">
        <v>3.64</v>
      </c>
      <c r="BU13" s="142"/>
      <c r="BV13" s="142"/>
      <c r="BW13" s="142"/>
      <c r="BX13" s="142"/>
      <c r="BY13" s="142"/>
      <c r="BZ13" s="142"/>
      <c r="CA13" s="142"/>
      <c r="CB13" s="142"/>
      <c r="CC13" s="142"/>
      <c r="CD13" s="142"/>
      <c r="CE13" s="142"/>
      <c r="CF13" s="142"/>
      <c r="CG13" s="142"/>
      <c r="CH13" s="142"/>
      <c r="CI13" s="142"/>
      <c r="CJ13" s="142"/>
      <c r="CK13" s="142"/>
      <c r="CL13" s="142">
        <v>2</v>
      </c>
      <c r="CM13" s="142">
        <v>2</v>
      </c>
      <c r="CN13" s="142">
        <v>2</v>
      </c>
      <c r="CO13" s="142"/>
      <c r="CP13" s="146">
        <f>+IF(BD_MO[[#This Row],[FECHA]]&lt;&gt;"",BD_MO[[#This Row],[PUNTAL 4"]]+BD_MO[[#This Row],[PUNTAL 5"]]+BD_MO[[#This Row],[PUNTAL 6"]]+BD_MO[[#This Row],[PUNTAL 7"]]+BD_MO[[#This Row],[PUNTAL 8"]],"")</f>
        <v>6</v>
      </c>
      <c r="CQ13" s="142"/>
      <c r="CR13" s="142"/>
      <c r="CS13" s="142">
        <v>10</v>
      </c>
      <c r="CT13" s="142"/>
      <c r="CU13" s="142"/>
      <c r="CV13" s="142"/>
      <c r="CW13" s="142"/>
      <c r="CX13" s="142"/>
      <c r="CY13" s="146"/>
      <c r="CZ13" s="14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520.23199999999997</v>
      </c>
      <c r="DA13" s="146">
        <f>+IF(BD_MO[[#This Row],[FECHA]]&lt;&gt;"",BD_MO[[#This Row],[DURMIENTE2]]*6.561+BD_MO[[#This Row],[LISTONES]]*4.921+BD_MO[[#This Row],[TABLA 1"x8"x3m]]*6.561+BD_MO[[#This Row],[TABLA 2"x8"x3m]]*13.122,"")</f>
        <v>0</v>
      </c>
      <c r="DB13" s="146">
        <f>+IF(BD_MO[[#This Row],[FECHA]]&lt;&gt;"",BD_MO[[#This Row],[PIE2 MADERA ASERRADA]]*1.95,"")</f>
        <v>0</v>
      </c>
      <c r="DC13" s="146">
        <f>+IF(BD_MO[[#This Row],[FECHA]]&lt;&gt;"",BD_MO[[#This Row],[KG. MADERA REDONDA]]+BD_MO[[#This Row],[KG MADERA ASERRADA]],"")</f>
        <v>520.23199999999997</v>
      </c>
      <c r="DD13" s="14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229.7</v>
      </c>
      <c r="DE13" s="142"/>
      <c r="DF13" s="142"/>
      <c r="DG13" s="142"/>
      <c r="DH13" s="142"/>
      <c r="DI13" s="149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3" s="149"/>
      <c r="DK13" s="149"/>
      <c r="DL13" s="149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2.1</v>
      </c>
      <c r="DM13" s="149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2.1840000000000002</v>
      </c>
      <c r="DN13" s="149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3" s="150">
        <v>10</v>
      </c>
      <c r="DP13" s="56">
        <f>+IF(BD_MO[[#This Row],[M o D]]&lt;&gt;"",IF(BD_MO[[#This Row],[M o D]]="M",BD_MO[[#This Row],[ROTURA TMH]]/2.65,BD_MO[[#This Row],[ROTURA TMH]]/2.4),"")</f>
        <v>3.7735849056603774</v>
      </c>
      <c r="DQ13" s="149"/>
      <c r="DR13" s="116" t="str">
        <f>IF(BD_MO[[#This Row],[TIPO AVANCE]]="Avance",((BD_MO[[#This Row],[AVANCE (m)]]/BD_MO[[#This Row],[AVANCE TEÓRICO]]))," ")</f>
        <v xml:space="preserve"> </v>
      </c>
    </row>
    <row r="14" spans="1:130" ht="18" customHeight="1" x14ac:dyDescent="0.25">
      <c r="A14" s="92">
        <v>44652</v>
      </c>
      <c r="B14" s="137" t="s">
        <v>10655</v>
      </c>
      <c r="C14" s="137" t="s">
        <v>10668</v>
      </c>
      <c r="D14" s="61" t="s">
        <v>12119</v>
      </c>
      <c r="E14" s="141" t="str">
        <f>LEFT(BD_MO[[#This Row],[LABOR]],2)</f>
        <v>TJ</v>
      </c>
      <c r="F14" s="142"/>
      <c r="G14" s="142" t="s">
        <v>10662</v>
      </c>
      <c r="H14" s="14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14" s="141" t="e">
        <f>IF(BD_MO[FECHA]&lt;&gt;"",VLOOKUP(BD_MO[LABOR],TB_CECO[[LABOR]:[CECO_T]],3,FALSE),"")</f>
        <v>#N/A</v>
      </c>
      <c r="J14" s="42" t="s">
        <v>10502</v>
      </c>
      <c r="K14" s="141" t="e">
        <f>IF(BD_MO[FECHA]&lt;&gt;"",VLOOKUP(BD_MO[LABOR],D_CECO!B:H,4,FALSE),"")</f>
        <v>#N/A</v>
      </c>
      <c r="L14" s="141"/>
      <c r="M14" s="143"/>
      <c r="N14" s="142"/>
      <c r="O14" s="138" t="s">
        <v>12095</v>
      </c>
      <c r="P14" s="138" t="s">
        <v>12096</v>
      </c>
      <c r="Q14" s="138"/>
      <c r="R14" s="144"/>
      <c r="S14" s="145" t="str">
        <f>IFERROR(VLOOKUP(BD_MO[DNI 4],#REF!,2,FALSE)," ")</f>
        <v xml:space="preserve"> </v>
      </c>
      <c r="T14" s="146">
        <f>+IF(BD_MO[[#This Row],[FECHA]]&lt;&gt;"",COUNTA(BD_MO[[#This Row],[DNI]],BD_MO[[#This Row],[DNI 2]],BD_MO[[#This Row],[DNI 3]],BD_MO[[#This Row],[DNI 4]]),"")</f>
        <v>2</v>
      </c>
      <c r="U14" s="146"/>
      <c r="V14" s="146"/>
      <c r="W14" s="146">
        <v>1.2</v>
      </c>
      <c r="X14" s="146">
        <v>0.08</v>
      </c>
      <c r="Y14" s="139">
        <f>SUM(BD_MO[[#This Row],[LIMP]:[SERV]])</f>
        <v>1.28</v>
      </c>
      <c r="Z14" s="142"/>
      <c r="AA14" s="142" t="str">
        <f>+IF(BD_MO[[#This Row],[N° VALE]]&lt;&gt;"",1,"")</f>
        <v/>
      </c>
      <c r="AB14" s="137"/>
      <c r="AC14" s="142"/>
      <c r="AD14" s="142" t="str">
        <f>+IF(BD_MO[[#This Row],[N° VALE]]&lt;&gt;"",BD_MO[[#This Row],[FULMINANTE N° 08]]+BD_MO[CARMEX 7''],"")</f>
        <v/>
      </c>
      <c r="AE14" s="142"/>
      <c r="AF14" s="142" t="str">
        <f>+IF(BD_MO[[#This Row],[N° VALE]]&lt;&gt;"",BD_MO[[#This Row],[N° TALADROS]]+BD_MO[[#This Row],[N° TAL. VACIOS]],"")</f>
        <v/>
      </c>
      <c r="AG14" s="147"/>
      <c r="AH14" s="147"/>
      <c r="AI14" s="147"/>
      <c r="AJ14" s="147"/>
      <c r="AK14" s="147"/>
      <c r="AL14" s="147"/>
      <c r="AM14" s="141"/>
      <c r="AN14" s="14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4" s="142" t="str">
        <f>+IF(BD_MO[[#This Row],[N° VALE]]&lt;&gt;"",IF(BD_MO[[#This Row],[FULMINANTE N° 08]]&lt;&gt;"",BD_MO[[#This Row],[FULMINANTE N° 08]],IF(BD_MO[[#This Row],[CARMEX 7'']]&lt;&gt;0,0,"")),"")</f>
        <v/>
      </c>
      <c r="AP14" s="146" t="str">
        <f>+IF(BD_MO[[#This Row],[N° VALE]]&lt;&gt;"",BD_MO[[#This Row],[N°  TOTAL TALADROS]]*BD_MO[[#This Row],[BARRA]]*0.95,"")</f>
        <v/>
      </c>
      <c r="AQ14" s="146" t="str">
        <f>+IF(BD_MO[[#This Row],[N° VALE]]&lt;&gt;"",BD_MO[[#This Row],[EMULNOR 1000 (N° CART.)]]*PE_EMUL_1000[PE],"")</f>
        <v/>
      </c>
      <c r="AR14" s="146" t="str">
        <f>+IF(BD_MO[[#This Row],[N° VALE]]&lt;&gt;"",BD_MO[[#This Row],[EMULNOR 3000 (N° CART.)]]*PE_EMUL_3000[PE],"")</f>
        <v/>
      </c>
      <c r="AS14" s="146" t="str">
        <f>+IF(BD_MO[[#This Row],[N° VALE]]&lt;&gt;"",BD_MO[[#This Row],[PULVERULENTA (N° CART.)]]*PE_PULV_65[PE],"")</f>
        <v/>
      </c>
      <c r="AT14" s="146" t="str">
        <f>+IF(BD_MO[[#This Row],[N° DISP]]&lt;&gt;"",BD_MO[[#This Row],[SEMIGELATINA (N° CART.)]]*PE_SEMIGEL_65[PE],"")</f>
        <v/>
      </c>
      <c r="AU14" s="146" t="str">
        <f>+IF(BD_MO[N° VALE]&lt;&gt;"",BD_MO[[#This Row],[KG EXPLO SEMIGEL]]+BD_MO[[#This Row],[KG EXPLO PULVE]]+BD_MO[[#This Row],[KG EXPLO EMULN 3000]]+BD_MO[[#This Row],[KG EXPLO EMULN 1000]],"")</f>
        <v/>
      </c>
      <c r="AV14" s="142"/>
      <c r="AW14" s="142"/>
      <c r="AX14" s="142" t="str">
        <f>+IF(BD_MO[[#This Row],[MINERAL (U-35)]]&lt;&gt;"",BD_MO[[#This Row],[MINERAL (U-35)]]*1.45,"-")</f>
        <v>-</v>
      </c>
      <c r="AY14" s="142" t="str">
        <f>+IF(BD_MO[[#This Row],[DESMONTE (U-35)]]&lt;&gt;"",BD_MO[[#This Row],[DESMONTE (U-35)]]*1.23,"-")</f>
        <v>-</v>
      </c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1"/>
      <c r="BO14" s="142"/>
      <c r="BP14" s="142"/>
      <c r="BQ14" s="141"/>
      <c r="BR14" s="142"/>
      <c r="BS14" s="141"/>
      <c r="BT14" s="146"/>
      <c r="BU14" s="142"/>
      <c r="BV14" s="142"/>
      <c r="BW14" s="142"/>
      <c r="BX14" s="142">
        <v>8</v>
      </c>
      <c r="BY14" s="142"/>
      <c r="BZ14" s="142"/>
      <c r="CA14" s="142"/>
      <c r="CB14" s="142">
        <v>5</v>
      </c>
      <c r="CC14" s="142"/>
      <c r="CD14" s="142"/>
      <c r="CE14" s="142"/>
      <c r="CF14" s="142"/>
      <c r="CG14" s="142"/>
      <c r="CH14" s="142"/>
      <c r="CI14" s="142"/>
      <c r="CJ14" s="142"/>
      <c r="CK14" s="142"/>
      <c r="CL14" s="142"/>
      <c r="CM14" s="142"/>
      <c r="CN14" s="142"/>
      <c r="CO14" s="142"/>
      <c r="CP14" s="146">
        <f>+IF(BD_MO[[#This Row],[FECHA]]&lt;&gt;"",BD_MO[[#This Row],[PUNTAL 4"]]+BD_MO[[#This Row],[PUNTAL 5"]]+BD_MO[[#This Row],[PUNTAL 6"]]+BD_MO[[#This Row],[PUNTAL 7"]]+BD_MO[[#This Row],[PUNTAL 8"]],"")</f>
        <v>0</v>
      </c>
      <c r="CQ14" s="142"/>
      <c r="CR14" s="142"/>
      <c r="CS14" s="142"/>
      <c r="CT14" s="142"/>
      <c r="CU14" s="142"/>
      <c r="CV14" s="142"/>
      <c r="CW14" s="142"/>
      <c r="CX14" s="142"/>
      <c r="CY14" s="146"/>
      <c r="CZ14" s="14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4" s="146">
        <f>+IF(BD_MO[[#This Row],[FECHA]]&lt;&gt;"",BD_MO[[#This Row],[DURMIENTE2]]*6.561+BD_MO[[#This Row],[LISTONES]]*4.921+BD_MO[[#This Row],[TABLA 1"x8"x3m]]*6.561+BD_MO[[#This Row],[TABLA 2"x8"x3m]]*13.122,"")</f>
        <v>0</v>
      </c>
      <c r="DB14" s="146">
        <f>+IF(BD_MO[[#This Row],[FECHA]]&lt;&gt;"",BD_MO[[#This Row],[PIE2 MADERA ASERRADA]]*1.95,"")</f>
        <v>0</v>
      </c>
      <c r="DC14" s="146">
        <f>+IF(BD_MO[[#This Row],[FECHA]]&lt;&gt;"",BD_MO[[#This Row],[KG. MADERA REDONDA]]+BD_MO[[#This Row],[KG MADERA ASERRADA]],"")</f>
        <v>0</v>
      </c>
      <c r="DD14" s="14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4" s="142"/>
      <c r="DF14" s="142"/>
      <c r="DG14" s="142"/>
      <c r="DH14" s="142"/>
      <c r="DI14" s="14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4" s="149"/>
      <c r="DK14" s="149"/>
      <c r="DL14" s="14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4" s="14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4" s="14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4" s="150"/>
      <c r="DP14" s="56" t="str">
        <f>+IF(BD_MO[[#This Row],[M o D]]&lt;&gt;"",IF(BD_MO[[#This Row],[M o D]]="M",BD_MO[[#This Row],[ROTURA TMH]]/2.65,BD_MO[[#This Row],[ROTURA TMH]]/2.4),"")</f>
        <v/>
      </c>
      <c r="DQ14" s="149"/>
      <c r="DR14" s="116" t="str">
        <f>IF(BD_MO[[#This Row],[TIPO AVANCE]]="Avance",((BD_MO[[#This Row],[AVANCE (m)]]/BD_MO[[#This Row],[AVANCE TEÓRICO]]))," ")</f>
        <v xml:space="preserve"> </v>
      </c>
    </row>
    <row r="15" spans="1:130" ht="18" customHeight="1" x14ac:dyDescent="0.25">
      <c r="A15" s="92">
        <v>44652</v>
      </c>
      <c r="B15" s="137" t="s">
        <v>10655</v>
      </c>
      <c r="C15" s="137" t="s">
        <v>10668</v>
      </c>
      <c r="D15" s="140" t="s">
        <v>10952</v>
      </c>
      <c r="E15" s="141" t="str">
        <f>LEFT(BD_MO[[#This Row],[LABOR]],2)</f>
        <v>In</v>
      </c>
      <c r="F15" s="142"/>
      <c r="G15" s="142" t="s">
        <v>10656</v>
      </c>
      <c r="H15" s="14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15" s="141" t="str">
        <f>IF(BD_MO[FECHA]&lt;&gt;"",VLOOKUP(BD_MO[LABOR],TB_CECO[[LABOR]:[CECO_T]],3,FALSE),"")</f>
        <v>VANESSA</v>
      </c>
      <c r="J15" s="141" t="str">
        <f>IF(BD_MO[FECHA]&lt;&gt;"",VLOOKUP(BD_MO[LABOR],D_CECO!B:H,7,FALSE),"")</f>
        <v>LINEAL</v>
      </c>
      <c r="K15" s="141" t="str">
        <f>IF(BD_MO[FECHA]&lt;&gt;"",VLOOKUP(BD_MO[LABOR],D_CECO!B:H,4,FALSE),"")</f>
        <v>EXPLORACION</v>
      </c>
      <c r="L15" s="141"/>
      <c r="M15" s="143"/>
      <c r="N15" s="142"/>
      <c r="O15" s="138" t="s">
        <v>12091</v>
      </c>
      <c r="P15" s="138" t="s">
        <v>12125</v>
      </c>
      <c r="Q15" s="138"/>
      <c r="R15" s="144"/>
      <c r="S15" s="145" t="str">
        <f>IFERROR(VLOOKUP(BD_MO[DNI 4],#REF!,2,FALSE)," ")</f>
        <v xml:space="preserve"> </v>
      </c>
      <c r="T15" s="146">
        <f>+IF(BD_MO[[#This Row],[FECHA]]&lt;&gt;"",COUNTA(BD_MO[[#This Row],[DNI]],BD_MO[[#This Row],[DNI 2]],BD_MO[[#This Row],[DNI 3]],BD_MO[[#This Row],[DNI 4]]),"")</f>
        <v>2</v>
      </c>
      <c r="U15" s="146">
        <v>1.2</v>
      </c>
      <c r="V15" s="146"/>
      <c r="W15" s="146"/>
      <c r="X15" s="146">
        <v>0.8</v>
      </c>
      <c r="Y15" s="139">
        <f>SUM(BD_MO[[#This Row],[LIMP]:[SERV]])</f>
        <v>2</v>
      </c>
      <c r="Z15" s="142"/>
      <c r="AA15" s="142" t="str">
        <f>+IF(BD_MO[[#This Row],[N° VALE]]&lt;&gt;"",1,"")</f>
        <v/>
      </c>
      <c r="AB15" s="137"/>
      <c r="AC15" s="142"/>
      <c r="AD15" s="142" t="str">
        <f>+IF(BD_MO[[#This Row],[N° VALE]]&lt;&gt;"",BD_MO[[#This Row],[FULMINANTE N° 08]]+BD_MO[CARMEX 7''],"")</f>
        <v/>
      </c>
      <c r="AE15" s="142"/>
      <c r="AF15" s="142" t="str">
        <f>+IF(BD_MO[[#This Row],[N° VALE]]&lt;&gt;"",BD_MO[[#This Row],[N° TALADROS]]+BD_MO[[#This Row],[N° TAL. VACIOS]],"")</f>
        <v/>
      </c>
      <c r="AG15" s="147"/>
      <c r="AH15" s="147"/>
      <c r="AI15" s="147"/>
      <c r="AJ15" s="147"/>
      <c r="AK15" s="147"/>
      <c r="AL15" s="147"/>
      <c r="AM15" s="141"/>
      <c r="AN15" s="14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5" s="142" t="str">
        <f>+IF(BD_MO[[#This Row],[N° VALE]]&lt;&gt;"",IF(BD_MO[[#This Row],[FULMINANTE N° 08]]&lt;&gt;"",BD_MO[[#This Row],[FULMINANTE N° 08]],IF(BD_MO[[#This Row],[CARMEX 7'']]&lt;&gt;0,0,"")),"")</f>
        <v/>
      </c>
      <c r="AP15" s="146" t="str">
        <f>+IF(BD_MO[[#This Row],[N° VALE]]&lt;&gt;"",BD_MO[[#This Row],[N°  TOTAL TALADROS]]*BD_MO[[#This Row],[BARRA]]*0.95,"")</f>
        <v/>
      </c>
      <c r="AQ15" s="146" t="str">
        <f>+IF(BD_MO[[#This Row],[N° VALE]]&lt;&gt;"",BD_MO[[#This Row],[EMULNOR 1000 (N° CART.)]]*PE_EMUL_1000[PE],"")</f>
        <v/>
      </c>
      <c r="AR15" s="146" t="str">
        <f>+IF(BD_MO[[#This Row],[N° VALE]]&lt;&gt;"",BD_MO[[#This Row],[EMULNOR 3000 (N° CART.)]]*PE_EMUL_3000[PE],"")</f>
        <v/>
      </c>
      <c r="AS15" s="146" t="str">
        <f>+IF(BD_MO[[#This Row],[N° VALE]]&lt;&gt;"",BD_MO[[#This Row],[PULVERULENTA (N° CART.)]]*PE_PULV_65[PE],"")</f>
        <v/>
      </c>
      <c r="AT15" s="146" t="str">
        <f>+IF(BD_MO[[#This Row],[N° DISP]]&lt;&gt;"",BD_MO[[#This Row],[SEMIGELATINA (N° CART.)]]*PE_SEMIGEL_65[PE],"")</f>
        <v/>
      </c>
      <c r="AU15" s="146" t="str">
        <f>+IF(BD_MO[N° VALE]&lt;&gt;"",BD_MO[[#This Row],[KG EXPLO SEMIGEL]]+BD_MO[[#This Row],[KG EXPLO PULVE]]+BD_MO[[#This Row],[KG EXPLO EMULN 3000]]+BD_MO[[#This Row],[KG EXPLO EMULN 1000]],"")</f>
        <v/>
      </c>
      <c r="AV15" s="142"/>
      <c r="AW15" s="142">
        <v>5</v>
      </c>
      <c r="AX15" s="142" t="str">
        <f>+IF(BD_MO[[#This Row],[MINERAL (U-35)]]&lt;&gt;"",BD_MO[[#This Row],[MINERAL (U-35)]]*1.45,"-")</f>
        <v>-</v>
      </c>
      <c r="AY15" s="142">
        <f>+IF(BD_MO[[#This Row],[DESMONTE (U-35)]]&lt;&gt;"",BD_MO[[#This Row],[DESMONTE (U-35)]]*1.23,"-")</f>
        <v>6.15</v>
      </c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1"/>
      <c r="BO15" s="142"/>
      <c r="BP15" s="142"/>
      <c r="BQ15" s="141"/>
      <c r="BR15" s="142"/>
      <c r="BS15" s="141"/>
      <c r="BT15" s="146"/>
      <c r="BU15" s="142"/>
      <c r="BV15" s="142"/>
      <c r="BW15" s="142"/>
      <c r="BX15" s="142"/>
      <c r="BY15" s="142"/>
      <c r="BZ15" s="142"/>
      <c r="CA15" s="142"/>
      <c r="CB15" s="142"/>
      <c r="CC15" s="142"/>
      <c r="CD15" s="142"/>
      <c r="CE15" s="142"/>
      <c r="CF15" s="142"/>
      <c r="CG15" s="142"/>
      <c r="CH15" s="142"/>
      <c r="CI15" s="142"/>
      <c r="CJ15" s="142"/>
      <c r="CK15" s="142"/>
      <c r="CL15" s="142"/>
      <c r="CM15" s="142"/>
      <c r="CN15" s="142"/>
      <c r="CO15" s="142"/>
      <c r="CP15" s="146">
        <f>+IF(BD_MO[[#This Row],[FECHA]]&lt;&gt;"",BD_MO[[#This Row],[PUNTAL 4"]]+BD_MO[[#This Row],[PUNTAL 5"]]+BD_MO[[#This Row],[PUNTAL 6"]]+BD_MO[[#This Row],[PUNTAL 7"]]+BD_MO[[#This Row],[PUNTAL 8"]],"")</f>
        <v>0</v>
      </c>
      <c r="CQ15" s="142"/>
      <c r="CR15" s="142"/>
      <c r="CS15" s="142"/>
      <c r="CT15" s="142"/>
      <c r="CU15" s="142"/>
      <c r="CV15" s="142"/>
      <c r="CW15" s="142"/>
      <c r="CX15" s="142"/>
      <c r="CY15" s="146"/>
      <c r="CZ15" s="14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5" s="146">
        <f>+IF(BD_MO[[#This Row],[FECHA]]&lt;&gt;"",BD_MO[[#This Row],[DURMIENTE2]]*6.561+BD_MO[[#This Row],[LISTONES]]*4.921+BD_MO[[#This Row],[TABLA 1"x8"x3m]]*6.561+BD_MO[[#This Row],[TABLA 2"x8"x3m]]*13.122,"")</f>
        <v>0</v>
      </c>
      <c r="DB15" s="146">
        <f>+IF(BD_MO[[#This Row],[FECHA]]&lt;&gt;"",BD_MO[[#This Row],[PIE2 MADERA ASERRADA]]*1.95,"")</f>
        <v>0</v>
      </c>
      <c r="DC15" s="146">
        <f>+IF(BD_MO[[#This Row],[FECHA]]&lt;&gt;"",BD_MO[[#This Row],[KG. MADERA REDONDA]]+BD_MO[[#This Row],[KG MADERA ASERRADA]],"")</f>
        <v>0</v>
      </c>
      <c r="DD15" s="14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5" s="142"/>
      <c r="DF15" s="142"/>
      <c r="DG15" s="142"/>
      <c r="DH15" s="142"/>
      <c r="DI15" s="14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5" s="149"/>
      <c r="DK15" s="149"/>
      <c r="DL15" s="14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5" s="14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5" s="14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5" s="150"/>
      <c r="DP15" s="56" t="str">
        <f>+IF(BD_MO[[#This Row],[M o D]]&lt;&gt;"",IF(BD_MO[[#This Row],[M o D]]="M",BD_MO[[#This Row],[ROTURA TMH]]/2.65,BD_MO[[#This Row],[ROTURA TMH]]/2.4),"")</f>
        <v/>
      </c>
      <c r="DQ15" s="149"/>
      <c r="DR15" s="116" t="str">
        <f>IF(BD_MO[[#This Row],[TIPO AVANCE]]="Avance",((BD_MO[[#This Row],[AVANCE (m)]]/BD_MO[[#This Row],[AVANCE TEÓRICO]]))," ")</f>
        <v xml:space="preserve"> </v>
      </c>
    </row>
    <row r="16" spans="1:130" ht="18" customHeight="1" x14ac:dyDescent="0.25">
      <c r="A16" s="92">
        <v>44652</v>
      </c>
      <c r="B16" s="137" t="s">
        <v>10655</v>
      </c>
      <c r="C16" s="137" t="s">
        <v>10668</v>
      </c>
      <c r="D16" s="140" t="s">
        <v>11806</v>
      </c>
      <c r="E16" s="141" t="str">
        <f>LEFT(BD_MO[[#This Row],[LABOR]],2)</f>
        <v>CX</v>
      </c>
      <c r="F16" s="142"/>
      <c r="G16" s="142" t="s">
        <v>10662</v>
      </c>
      <c r="H16" s="14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16" s="141" t="str">
        <f>IF(BD_MO[FECHA]&lt;&gt;"",VLOOKUP(BD_MO[LABOR],TB_CECO[[LABOR]:[CECO_T]],3,FALSE),"")</f>
        <v>CACHORRO</v>
      </c>
      <c r="J16" s="141" t="str">
        <f>IF(BD_MO[FECHA]&lt;&gt;"",VLOOKUP(BD_MO[LABOR],D_CECO!B:H,7,FALSE),"")</f>
        <v>LINEAL</v>
      </c>
      <c r="K16" s="141" t="str">
        <f>IF(BD_MO[FECHA]&lt;&gt;"",VLOOKUP(BD_MO[LABOR],D_CECO!B:H,4,FALSE),"")</f>
        <v>EXPLORACION</v>
      </c>
      <c r="L16" s="141"/>
      <c r="M16" s="143"/>
      <c r="N16" s="142"/>
      <c r="O16" s="138" t="s">
        <v>12126</v>
      </c>
      <c r="P16" s="138" t="s">
        <v>12088</v>
      </c>
      <c r="Q16" s="138"/>
      <c r="R16" s="144"/>
      <c r="S16" s="145" t="str">
        <f>IFERROR(VLOOKUP(BD_MO[DNI 4],#REF!,2,FALSE)," ")</f>
        <v xml:space="preserve"> </v>
      </c>
      <c r="T16" s="146">
        <f>+IF(BD_MO[[#This Row],[FECHA]]&lt;&gt;"",COUNTA(BD_MO[[#This Row],[DNI]],BD_MO[[#This Row],[DNI 2]],BD_MO[[#This Row],[DNI 3]],BD_MO[[#This Row],[DNI 4]]),"")</f>
        <v>2</v>
      </c>
      <c r="U16" s="146">
        <v>0.4</v>
      </c>
      <c r="V16" s="146"/>
      <c r="W16" s="146">
        <v>1.1000000000000001</v>
      </c>
      <c r="X16" s="146">
        <v>0.5</v>
      </c>
      <c r="Y16" s="139">
        <f>SUM(BD_MO[[#This Row],[LIMP]:[SERV]])</f>
        <v>2</v>
      </c>
      <c r="Z16" s="142"/>
      <c r="AA16" s="142" t="str">
        <f>+IF(BD_MO[[#This Row],[N° VALE]]&lt;&gt;"",1,"")</f>
        <v/>
      </c>
      <c r="AB16" s="137"/>
      <c r="AC16" s="142"/>
      <c r="AD16" s="142" t="str">
        <f>+IF(BD_MO[[#This Row],[N° VALE]]&lt;&gt;"",BD_MO[[#This Row],[FULMINANTE N° 08]]+BD_MO[CARMEX 7''],"")</f>
        <v/>
      </c>
      <c r="AE16" s="142"/>
      <c r="AF16" s="142" t="str">
        <f>+IF(BD_MO[[#This Row],[N° VALE]]&lt;&gt;"",BD_MO[[#This Row],[N° TALADROS]]+BD_MO[[#This Row],[N° TAL. VACIOS]],"")</f>
        <v/>
      </c>
      <c r="AG16" s="147"/>
      <c r="AH16" s="147"/>
      <c r="AI16" s="147"/>
      <c r="AJ16" s="147"/>
      <c r="AK16" s="147"/>
      <c r="AL16" s="147"/>
      <c r="AM16" s="141"/>
      <c r="AN16" s="14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6" s="142" t="str">
        <f>+IF(BD_MO[[#This Row],[N° VALE]]&lt;&gt;"",IF(BD_MO[[#This Row],[FULMINANTE N° 08]]&lt;&gt;"",BD_MO[[#This Row],[FULMINANTE N° 08]],IF(BD_MO[[#This Row],[CARMEX 7'']]&lt;&gt;0,0,"")),"")</f>
        <v/>
      </c>
      <c r="AP16" s="146" t="str">
        <f>+IF(BD_MO[[#This Row],[N° VALE]]&lt;&gt;"",BD_MO[[#This Row],[N°  TOTAL TALADROS]]*BD_MO[[#This Row],[BARRA]]*0.95,"")</f>
        <v/>
      </c>
      <c r="AQ16" s="146" t="str">
        <f>+IF(BD_MO[[#This Row],[N° VALE]]&lt;&gt;"",BD_MO[[#This Row],[EMULNOR 1000 (N° CART.)]]*PE_EMUL_1000[PE],"")</f>
        <v/>
      </c>
      <c r="AR16" s="146" t="str">
        <f>+IF(BD_MO[[#This Row],[N° VALE]]&lt;&gt;"",BD_MO[[#This Row],[EMULNOR 3000 (N° CART.)]]*PE_EMUL_3000[PE],"")</f>
        <v/>
      </c>
      <c r="AS16" s="146" t="str">
        <f>+IF(BD_MO[[#This Row],[N° VALE]]&lt;&gt;"",BD_MO[[#This Row],[PULVERULENTA (N° CART.)]]*PE_PULV_65[PE],"")</f>
        <v/>
      </c>
      <c r="AT16" s="146" t="str">
        <f>+IF(BD_MO[[#This Row],[N° DISP]]&lt;&gt;"",BD_MO[[#This Row],[SEMIGELATINA (N° CART.)]]*PE_SEMIGEL_65[PE],"")</f>
        <v/>
      </c>
      <c r="AU16" s="146" t="str">
        <f>+IF(BD_MO[N° VALE]&lt;&gt;"",BD_MO[[#This Row],[KG EXPLO SEMIGEL]]+BD_MO[[#This Row],[KG EXPLO PULVE]]+BD_MO[[#This Row],[KG EXPLO EMULN 3000]]+BD_MO[[#This Row],[KG EXPLO EMULN 1000]],"")</f>
        <v/>
      </c>
      <c r="AV16" s="142"/>
      <c r="AW16" s="142">
        <v>2</v>
      </c>
      <c r="AX16" s="142" t="str">
        <f>+IF(BD_MO[[#This Row],[MINERAL (U-35)]]&lt;&gt;"",BD_MO[[#This Row],[MINERAL (U-35)]]*1.45,"-")</f>
        <v>-</v>
      </c>
      <c r="AY16" s="142">
        <f>+IF(BD_MO[[#This Row],[DESMONTE (U-35)]]&lt;&gt;"",BD_MO[[#This Row],[DESMONTE (U-35)]]*1.23,"-")</f>
        <v>2.46</v>
      </c>
      <c r="AZ16" s="142"/>
      <c r="BA16" s="142"/>
      <c r="BB16" s="142"/>
      <c r="BC16" s="142"/>
      <c r="BD16" s="142"/>
      <c r="BE16" s="142"/>
      <c r="BF16" s="142"/>
      <c r="BG16" s="142">
        <v>2</v>
      </c>
      <c r="BH16" s="142"/>
      <c r="BI16" s="142"/>
      <c r="BJ16" s="142"/>
      <c r="BK16" s="142"/>
      <c r="BL16" s="142"/>
      <c r="BM16" s="142"/>
      <c r="BN16" s="141"/>
      <c r="BO16" s="142">
        <v>5</v>
      </c>
      <c r="BP16" s="142"/>
      <c r="BQ16" s="141"/>
      <c r="BR16" s="142"/>
      <c r="BS16" s="141"/>
      <c r="BT16" s="146">
        <v>5.88</v>
      </c>
      <c r="BU16" s="142"/>
      <c r="BV16" s="142"/>
      <c r="BW16" s="142"/>
      <c r="BX16" s="142"/>
      <c r="BY16" s="142"/>
      <c r="BZ16" s="142"/>
      <c r="CA16" s="142"/>
      <c r="CB16" s="142"/>
      <c r="CC16" s="142"/>
      <c r="CD16" s="142"/>
      <c r="CE16" s="142"/>
      <c r="CF16" s="142"/>
      <c r="CG16" s="142"/>
      <c r="CH16" s="142"/>
      <c r="CI16" s="142"/>
      <c r="CJ16" s="142"/>
      <c r="CK16" s="142"/>
      <c r="CL16" s="142"/>
      <c r="CM16" s="142">
        <v>15</v>
      </c>
      <c r="CN16" s="142"/>
      <c r="CO16" s="142"/>
      <c r="CP16" s="146">
        <f>+IF(BD_MO[[#This Row],[FECHA]]&lt;&gt;"",BD_MO[[#This Row],[PUNTAL 4"]]+BD_MO[[#This Row],[PUNTAL 5"]]+BD_MO[[#This Row],[PUNTAL 6"]]+BD_MO[[#This Row],[PUNTAL 7"]]+BD_MO[[#This Row],[PUNTAL 8"]],"")</f>
        <v>15</v>
      </c>
      <c r="CQ16" s="142"/>
      <c r="CR16" s="142"/>
      <c r="CS16" s="142">
        <v>15</v>
      </c>
      <c r="CT16" s="142"/>
      <c r="CU16" s="142"/>
      <c r="CV16" s="142"/>
      <c r="CW16" s="142"/>
      <c r="CX16" s="142"/>
      <c r="CY16" s="146"/>
      <c r="CZ16" s="14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1042.1100000000001</v>
      </c>
      <c r="DA16" s="146">
        <f>+IF(BD_MO[[#This Row],[FECHA]]&lt;&gt;"",BD_MO[[#This Row],[DURMIENTE2]]*6.561+BD_MO[[#This Row],[LISTONES]]*4.921+BD_MO[[#This Row],[TABLA 1"x8"x3m]]*6.561+BD_MO[[#This Row],[TABLA 2"x8"x3m]]*13.122,"")</f>
        <v>0</v>
      </c>
      <c r="DB16" s="146">
        <f>+IF(BD_MO[[#This Row],[FECHA]]&lt;&gt;"",BD_MO[[#This Row],[PIE2 MADERA ASERRADA]]*1.95,"")</f>
        <v>0</v>
      </c>
      <c r="DC16" s="146">
        <f>+IF(BD_MO[[#This Row],[FECHA]]&lt;&gt;"",BD_MO[[#This Row],[KG. MADERA REDONDA]]+BD_MO[[#This Row],[KG MADERA ASERRADA]],"")</f>
        <v>1042.1100000000001</v>
      </c>
      <c r="DD16" s="14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451.35</v>
      </c>
      <c r="DE16" s="142"/>
      <c r="DF16" s="142"/>
      <c r="DG16" s="142"/>
      <c r="DH16" s="142"/>
      <c r="DI16" s="14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6" s="149"/>
      <c r="DK16" s="149"/>
      <c r="DL16" s="14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6" s="14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6" s="14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6" s="150"/>
      <c r="DP16" s="56" t="str">
        <f>+IF(BD_MO[[#This Row],[M o D]]&lt;&gt;"",IF(BD_MO[[#This Row],[M o D]]="M",BD_MO[[#This Row],[ROTURA TMH]]/2.65,BD_MO[[#This Row],[ROTURA TMH]]/2.4),"")</f>
        <v/>
      </c>
      <c r="DQ16" s="149"/>
      <c r="DR16" s="116" t="str">
        <f>IF(BD_MO[[#This Row],[TIPO AVANCE]]="Avance",((BD_MO[[#This Row],[AVANCE (m)]]/BD_MO[[#This Row],[AVANCE TEÓRICO]]))," ")</f>
        <v xml:space="preserve"> </v>
      </c>
    </row>
    <row r="17" spans="1:130" ht="18" customHeight="1" x14ac:dyDescent="0.25">
      <c r="A17" s="92">
        <v>44652</v>
      </c>
      <c r="B17" s="40" t="s">
        <v>10655</v>
      </c>
      <c r="C17" s="40" t="s">
        <v>10668</v>
      </c>
      <c r="D17" s="61" t="s">
        <v>10952</v>
      </c>
      <c r="E17" s="42" t="str">
        <f>LEFT(BD_MO[[#This Row],[LABOR]],2)</f>
        <v>In</v>
      </c>
      <c r="F17" s="46"/>
      <c r="G17" s="46" t="s">
        <v>10669</v>
      </c>
      <c r="H17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7" s="42" t="str">
        <f>IF(BD_MO[FECHA]&lt;&gt;"",VLOOKUP(BD_MO[LABOR],TB_CECO[[LABOR]:[CECO_T]],3,FALSE),"")</f>
        <v>VANESSA</v>
      </c>
      <c r="J17" s="42" t="str">
        <f>IF(BD_MO[FECHA]&lt;&gt;"",VLOOKUP(BD_MO[LABOR],D_CECO!B:H,7,FALSE),"")</f>
        <v>LINEAL</v>
      </c>
      <c r="K17" s="42" t="str">
        <f>IF(BD_MO[FECHA]&lt;&gt;"",VLOOKUP(BD_MO[LABOR],D_CECO!B:H,4,FALSE),"")</f>
        <v>EXPLORACION</v>
      </c>
      <c r="L17" s="42"/>
      <c r="M17" s="48"/>
      <c r="N17" s="46"/>
      <c r="O17" s="93" t="s">
        <v>12092</v>
      </c>
      <c r="P17" s="93" t="s">
        <v>12093</v>
      </c>
      <c r="Q17" s="93"/>
      <c r="R17" s="45"/>
      <c r="S17" s="54" t="str">
        <f>IFERROR(VLOOKUP(BD_MO[DNI 4],#REF!,2,FALSE)," ")</f>
        <v xml:space="preserve"> </v>
      </c>
      <c r="T17" s="24">
        <f>+IF(BD_MO[[#This Row],[FECHA]]&lt;&gt;"",COUNTA(BD_MO[[#This Row],[DNI]],BD_MO[[#This Row],[DNI 2]],BD_MO[[#This Row],[DNI 3]],BD_MO[[#This Row],[DNI 4]]),"")</f>
        <v>2</v>
      </c>
      <c r="U17" s="24"/>
      <c r="V17" s="24"/>
      <c r="W17" s="24"/>
      <c r="X17" s="24">
        <v>2</v>
      </c>
      <c r="Y17" s="86">
        <f>SUM(BD_MO[[#This Row],[LIMP]:[SERV]])</f>
        <v>2</v>
      </c>
      <c r="Z17" s="46"/>
      <c r="AA17" s="46" t="str">
        <f>+IF(BD_MO[[#This Row],[N° VALE]]&lt;&gt;"",1,"")</f>
        <v/>
      </c>
      <c r="AB17" s="40"/>
      <c r="AC17" s="46"/>
      <c r="AD17" s="46" t="str">
        <f>+IF(BD_MO[[#This Row],[N° VALE]]&lt;&gt;"",BD_MO[[#This Row],[FULMINANTE N° 08]]+BD_MO[CARMEX 7''],"")</f>
        <v/>
      </c>
      <c r="AE17" s="46"/>
      <c r="AF17" s="46" t="str">
        <f>+IF(BD_MO[[#This Row],[N° VALE]]&lt;&gt;"",BD_MO[[#This Row],[N° TALADROS]]+BD_MO[[#This Row],[N° TAL. VACIOS]],"")</f>
        <v/>
      </c>
      <c r="AG17" s="55"/>
      <c r="AH17" s="55"/>
      <c r="AI17" s="55"/>
      <c r="AJ17" s="55"/>
      <c r="AK17" s="55"/>
      <c r="AL17" s="55"/>
      <c r="AM17" s="42"/>
      <c r="AN17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7" s="46" t="str">
        <f>+IF(BD_MO[[#This Row],[N° VALE]]&lt;&gt;"",IF(BD_MO[[#This Row],[FULMINANTE N° 08]]&lt;&gt;"",BD_MO[[#This Row],[FULMINANTE N° 08]],IF(BD_MO[[#This Row],[CARMEX 7'']]&lt;&gt;0,0,"")),"")</f>
        <v/>
      </c>
      <c r="AP17" s="24" t="str">
        <f>+IF(BD_MO[[#This Row],[N° VALE]]&lt;&gt;"",BD_MO[[#This Row],[N°  TOTAL TALADROS]]*BD_MO[[#This Row],[BARRA]]*0.95,"")</f>
        <v/>
      </c>
      <c r="AQ17" s="24" t="str">
        <f>+IF(BD_MO[[#This Row],[N° VALE]]&lt;&gt;"",BD_MO[[#This Row],[EMULNOR 1000 (N° CART.)]]*PE_EMUL_1000[PE],"")</f>
        <v/>
      </c>
      <c r="AR17" s="24" t="str">
        <f>+IF(BD_MO[[#This Row],[N° VALE]]&lt;&gt;"",BD_MO[[#This Row],[EMULNOR 3000 (N° CART.)]]*PE_EMUL_3000[PE],"")</f>
        <v/>
      </c>
      <c r="AS17" s="24" t="str">
        <f>+IF(BD_MO[[#This Row],[N° VALE]]&lt;&gt;"",BD_MO[[#This Row],[PULVERULENTA (N° CART.)]]*PE_PULV_65[PE],"")</f>
        <v/>
      </c>
      <c r="AT17" s="24" t="str">
        <f>+IF(BD_MO[[#This Row],[N° DISP]]&lt;&gt;"",BD_MO[[#This Row],[SEMIGELATINA (N° CART.)]]*PE_SEMIGEL_65[PE],"")</f>
        <v/>
      </c>
      <c r="AU17" s="24" t="str">
        <f>+IF(BD_MO[N° VALE]&lt;&gt;"",BD_MO[[#This Row],[KG EXPLO SEMIGEL]]+BD_MO[[#This Row],[KG EXPLO PULVE]]+BD_MO[[#This Row],[KG EXPLO EMULN 3000]]+BD_MO[[#This Row],[KG EXPLO EMULN 1000]],"")</f>
        <v/>
      </c>
      <c r="AV17" s="46"/>
      <c r="AW17" s="46"/>
      <c r="AX17" s="46" t="str">
        <f>+IF(BD_MO[[#This Row],[MINERAL (U-35)]]&lt;&gt;"",BD_MO[[#This Row],[MINERAL (U-35)]]*1.45,"-")</f>
        <v>-</v>
      </c>
      <c r="AY17" s="46" t="str">
        <f>+IF(BD_MO[[#This Row],[DESMONTE (U-35)]]&lt;&gt;"",BD_MO[[#This Row],[DESMONTE (U-35)]]*1.23,"-")</f>
        <v>-</v>
      </c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2"/>
      <c r="BO17" s="46"/>
      <c r="BP17" s="46"/>
      <c r="BQ17" s="42"/>
      <c r="BR17" s="46"/>
      <c r="BS17" s="42"/>
      <c r="BT17" s="24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24">
        <f>+IF(BD_MO[[#This Row],[FECHA]]&lt;&gt;"",BD_MO[[#This Row],[PUNTAL 4"]]+BD_MO[[#This Row],[PUNTAL 5"]]+BD_MO[[#This Row],[PUNTAL 6"]]+BD_MO[[#This Row],[PUNTAL 7"]]+BD_MO[[#This Row],[PUNTAL 8"]],"")</f>
        <v>0</v>
      </c>
      <c r="CQ17" s="46"/>
      <c r="CR17" s="46"/>
      <c r="CS17" s="46"/>
      <c r="CT17" s="46"/>
      <c r="CU17" s="46"/>
      <c r="CV17" s="46"/>
      <c r="CW17" s="46"/>
      <c r="CX17" s="46"/>
      <c r="CY17" s="24"/>
      <c r="CZ17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7" s="24">
        <f>+IF(BD_MO[[#This Row],[FECHA]]&lt;&gt;"",BD_MO[[#This Row],[DURMIENTE2]]*6.561+BD_MO[[#This Row],[LISTONES]]*4.921+BD_MO[[#This Row],[TABLA 1"x8"x3m]]*6.561+BD_MO[[#This Row],[TABLA 2"x8"x3m]]*13.122,"")</f>
        <v>0</v>
      </c>
      <c r="DB17" s="24">
        <f>+IF(BD_MO[[#This Row],[FECHA]]&lt;&gt;"",BD_MO[[#This Row],[PIE2 MADERA ASERRADA]]*1.95,"")</f>
        <v>0</v>
      </c>
      <c r="DC17" s="24">
        <f>+IF(BD_MO[[#This Row],[FECHA]]&lt;&gt;"",BD_MO[[#This Row],[KG. MADERA REDONDA]]+BD_MO[[#This Row],[KG MADERA ASERRADA]],"")</f>
        <v>0</v>
      </c>
      <c r="DD17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7" s="46"/>
      <c r="DF17" s="46"/>
      <c r="DG17" s="46"/>
      <c r="DH17" s="46"/>
      <c r="DI17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7" s="56"/>
      <c r="DK17" s="56"/>
      <c r="DL17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7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7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7" s="66"/>
      <c r="DP17" s="56" t="str">
        <f>+IF(BD_MO[[#This Row],[M o D]]&lt;&gt;"",IF(BD_MO[[#This Row],[M o D]]="M",BD_MO[[#This Row],[ROTURA TMH]]/2.65,BD_MO[[#This Row],[ROTURA TMH]]/2.4),"")</f>
        <v/>
      </c>
      <c r="DQ17" s="56"/>
      <c r="DR17" s="116" t="str">
        <f>IF(BD_MO[[#This Row],[TIPO AVANCE]]="Avance",((BD_MO[[#This Row],[AVANCE (m)]]/BD_MO[[#This Row],[AVANCE TEÓRICO]]))," ")</f>
        <v xml:space="preserve"> </v>
      </c>
    </row>
    <row r="18" spans="1:130" ht="18" customHeight="1" x14ac:dyDescent="0.25">
      <c r="A18" s="92">
        <v>44652</v>
      </c>
      <c r="B18" s="40" t="s">
        <v>10655</v>
      </c>
      <c r="C18" s="40" t="s">
        <v>10668</v>
      </c>
      <c r="D18" s="61" t="s">
        <v>10951</v>
      </c>
      <c r="E18" s="42" t="str">
        <f>LEFT(BD_MO[[#This Row],[LABOR]],2)</f>
        <v>In</v>
      </c>
      <c r="F18" s="46"/>
      <c r="G18" s="46" t="s">
        <v>10669</v>
      </c>
      <c r="H18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8" s="42" t="str">
        <f>IF(BD_MO[FECHA]&lt;&gt;"",VLOOKUP(BD_MO[LABOR],TB_CECO[[LABOR]:[CECO_T]],3,FALSE),"")</f>
        <v>CACHORRO</v>
      </c>
      <c r="J18" s="42" t="str">
        <f>IF(BD_MO[FECHA]&lt;&gt;"",VLOOKUP(BD_MO[LABOR],D_CECO!B:H,7,FALSE),"")</f>
        <v>LINEAL</v>
      </c>
      <c r="K18" s="42" t="str">
        <f>IF(BD_MO[FECHA]&lt;&gt;"",VLOOKUP(BD_MO[LABOR],D_CECO!B:H,4,FALSE),"")</f>
        <v>EXPLORACION</v>
      </c>
      <c r="L18" s="42"/>
      <c r="M18" s="48"/>
      <c r="N18" s="46"/>
      <c r="O18" s="93" t="s">
        <v>12099</v>
      </c>
      <c r="P18" s="93" t="s">
        <v>12100</v>
      </c>
      <c r="Q18" s="93"/>
      <c r="R18" s="45"/>
      <c r="S18" s="54" t="str">
        <f>IFERROR(VLOOKUP(BD_MO[DNI 4],#REF!,2,FALSE)," ")</f>
        <v xml:space="preserve"> </v>
      </c>
      <c r="T18" s="24">
        <f>+IF(BD_MO[[#This Row],[FECHA]]&lt;&gt;"",COUNTA(BD_MO[[#This Row],[DNI]],BD_MO[[#This Row],[DNI 2]],BD_MO[[#This Row],[DNI 3]],BD_MO[[#This Row],[DNI 4]]),"")</f>
        <v>2</v>
      </c>
      <c r="U18" s="24"/>
      <c r="V18" s="24"/>
      <c r="W18" s="24"/>
      <c r="X18" s="24">
        <v>2</v>
      </c>
      <c r="Y18" s="86">
        <f>SUM(BD_MO[[#This Row],[LIMP]:[SERV]])</f>
        <v>2</v>
      </c>
      <c r="Z18" s="46"/>
      <c r="AA18" s="46" t="str">
        <f>+IF(BD_MO[[#This Row],[N° VALE]]&lt;&gt;"",1,"")</f>
        <v/>
      </c>
      <c r="AB18" s="40"/>
      <c r="AC18" s="46"/>
      <c r="AD18" s="46" t="str">
        <f>+IF(BD_MO[[#This Row],[N° VALE]]&lt;&gt;"",BD_MO[[#This Row],[FULMINANTE N° 08]]+BD_MO[CARMEX 7''],"")</f>
        <v/>
      </c>
      <c r="AE18" s="46"/>
      <c r="AF18" s="46" t="str">
        <f>+IF(BD_MO[[#This Row],[N° VALE]]&lt;&gt;"",BD_MO[[#This Row],[N° TALADROS]]+BD_MO[[#This Row],[N° TAL. VACIOS]],"")</f>
        <v/>
      </c>
      <c r="AG18" s="55"/>
      <c r="AH18" s="55"/>
      <c r="AI18" s="55"/>
      <c r="AJ18" s="55"/>
      <c r="AK18" s="55"/>
      <c r="AL18" s="55"/>
      <c r="AM18" s="42"/>
      <c r="AN18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8" s="46" t="str">
        <f>+IF(BD_MO[[#This Row],[N° VALE]]&lt;&gt;"",IF(BD_MO[[#This Row],[FULMINANTE N° 08]]&lt;&gt;"",BD_MO[[#This Row],[FULMINANTE N° 08]],IF(BD_MO[[#This Row],[CARMEX 7'']]&lt;&gt;0,0,"")),"")</f>
        <v/>
      </c>
      <c r="AP18" s="24" t="str">
        <f>+IF(BD_MO[[#This Row],[N° VALE]]&lt;&gt;"",BD_MO[[#This Row],[N°  TOTAL TALADROS]]*BD_MO[[#This Row],[BARRA]]*0.95,"")</f>
        <v/>
      </c>
      <c r="AQ18" s="24" t="str">
        <f>+IF(BD_MO[[#This Row],[N° VALE]]&lt;&gt;"",BD_MO[[#This Row],[EMULNOR 1000 (N° CART.)]]*PE_EMUL_1000[PE],"")</f>
        <v/>
      </c>
      <c r="AR18" s="24" t="str">
        <f>+IF(BD_MO[[#This Row],[N° VALE]]&lt;&gt;"",BD_MO[[#This Row],[EMULNOR 3000 (N° CART.)]]*PE_EMUL_3000[PE],"")</f>
        <v/>
      </c>
      <c r="AS18" s="24" t="str">
        <f>+IF(BD_MO[[#This Row],[N° VALE]]&lt;&gt;"",BD_MO[[#This Row],[PULVERULENTA (N° CART.)]]*PE_PULV_65[PE],"")</f>
        <v/>
      </c>
      <c r="AT18" s="24" t="str">
        <f>+IF(BD_MO[[#This Row],[N° DISP]]&lt;&gt;"",BD_MO[[#This Row],[SEMIGELATINA (N° CART.)]]*PE_SEMIGEL_65[PE],"")</f>
        <v/>
      </c>
      <c r="AU18" s="24" t="str">
        <f>+IF(BD_MO[N° VALE]&lt;&gt;"",BD_MO[[#This Row],[KG EXPLO SEMIGEL]]+BD_MO[[#This Row],[KG EXPLO PULVE]]+BD_MO[[#This Row],[KG EXPLO EMULN 3000]]+BD_MO[[#This Row],[KG EXPLO EMULN 1000]],"")</f>
        <v/>
      </c>
      <c r="AV18" s="46"/>
      <c r="AW18" s="46"/>
      <c r="AX18" s="46" t="str">
        <f>+IF(BD_MO[[#This Row],[MINERAL (U-35)]]&lt;&gt;"",BD_MO[[#This Row],[MINERAL (U-35)]]*1.45,"-")</f>
        <v>-</v>
      </c>
      <c r="AY18" s="46" t="str">
        <f>+IF(BD_MO[[#This Row],[DESMONTE (U-35)]]&lt;&gt;"",BD_MO[[#This Row],[DESMONTE (U-35)]]*1.23,"-")</f>
        <v>-</v>
      </c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2"/>
      <c r="BO18" s="46"/>
      <c r="BP18" s="46"/>
      <c r="BQ18" s="42"/>
      <c r="BR18" s="46"/>
      <c r="BS18" s="42"/>
      <c r="BT18" s="24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24">
        <f>+IF(BD_MO[[#This Row],[FECHA]]&lt;&gt;"",BD_MO[[#This Row],[PUNTAL 4"]]+BD_MO[[#This Row],[PUNTAL 5"]]+BD_MO[[#This Row],[PUNTAL 6"]]+BD_MO[[#This Row],[PUNTAL 7"]]+BD_MO[[#This Row],[PUNTAL 8"]],"")</f>
        <v>0</v>
      </c>
      <c r="CQ18" s="46"/>
      <c r="CR18" s="46"/>
      <c r="CS18" s="46"/>
      <c r="CT18" s="46"/>
      <c r="CU18" s="46"/>
      <c r="CV18" s="46"/>
      <c r="CW18" s="46"/>
      <c r="CX18" s="46"/>
      <c r="CY18" s="24"/>
      <c r="CZ18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8" s="24">
        <f>+IF(BD_MO[[#This Row],[FECHA]]&lt;&gt;"",BD_MO[[#This Row],[DURMIENTE2]]*6.561+BD_MO[[#This Row],[LISTONES]]*4.921+BD_MO[[#This Row],[TABLA 1"x8"x3m]]*6.561+BD_MO[[#This Row],[TABLA 2"x8"x3m]]*13.122,"")</f>
        <v>0</v>
      </c>
      <c r="DB18" s="24">
        <f>+IF(BD_MO[[#This Row],[FECHA]]&lt;&gt;"",BD_MO[[#This Row],[PIE2 MADERA ASERRADA]]*1.95,"")</f>
        <v>0</v>
      </c>
      <c r="DC18" s="24">
        <f>+IF(BD_MO[[#This Row],[FECHA]]&lt;&gt;"",BD_MO[[#This Row],[KG. MADERA REDONDA]]+BD_MO[[#This Row],[KG MADERA ASERRADA]],"")</f>
        <v>0</v>
      </c>
      <c r="DD18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8" s="46"/>
      <c r="DF18" s="46"/>
      <c r="DG18" s="46"/>
      <c r="DH18" s="46"/>
      <c r="DI18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8" s="56"/>
      <c r="DK18" s="56"/>
      <c r="DL18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8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8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8" s="66"/>
      <c r="DP18" s="56" t="str">
        <f>+IF(BD_MO[[#This Row],[M o D]]&lt;&gt;"",IF(BD_MO[[#This Row],[M o D]]="M",BD_MO[[#This Row],[ROTURA TMH]]/2.65,BD_MO[[#This Row],[ROTURA TMH]]/2.4),"")</f>
        <v/>
      </c>
      <c r="DQ18" s="56"/>
      <c r="DR18" s="116" t="str">
        <f>IF(BD_MO[[#This Row],[TIPO AVANCE]]="Avance",((BD_MO[[#This Row],[AVANCE (m)]]/BD_MO[[#This Row],[AVANCE TEÓRICO]]))," ")</f>
        <v xml:space="preserve"> </v>
      </c>
    </row>
    <row r="19" spans="1:130" ht="18" customHeight="1" x14ac:dyDescent="0.25">
      <c r="A19" s="92">
        <v>44652</v>
      </c>
      <c r="B19" s="40" t="s">
        <v>10655</v>
      </c>
      <c r="C19" s="40" t="s">
        <v>10668</v>
      </c>
      <c r="D19" s="61" t="s">
        <v>11872</v>
      </c>
      <c r="E19" s="42" t="str">
        <f>LEFT(BD_MO[[#This Row],[LABOR]],2)</f>
        <v>PQ</v>
      </c>
      <c r="F19" s="46"/>
      <c r="G19" s="46" t="s">
        <v>10669</v>
      </c>
      <c r="H19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9" s="42" t="str">
        <f>IF(BD_MO[FECHA]&lt;&gt;"",VLOOKUP(BD_MO[LABOR],TB_CECO[[LABOR]:[CECO_T]],3,FALSE),"")</f>
        <v>ANDREA</v>
      </c>
      <c r="J19" s="42" t="str">
        <f>IF(BD_MO[FECHA]&lt;&gt;"",VLOOKUP(BD_MO[LABOR],D_CECO!B:H,7,FALSE),"")</f>
        <v>LINEAL</v>
      </c>
      <c r="K19" s="42" t="str">
        <f>IF(BD_MO[FECHA]&lt;&gt;"",VLOOKUP(BD_MO[LABOR],D_CECO!B:H,4,FALSE),"")</f>
        <v>EXPLOTACION</v>
      </c>
      <c r="L19" s="42"/>
      <c r="M19" s="48"/>
      <c r="N19" s="46"/>
      <c r="O19" s="93" t="s">
        <v>12097</v>
      </c>
      <c r="P19" s="93" t="s">
        <v>12089</v>
      </c>
      <c r="Q19" s="93" t="s">
        <v>12090</v>
      </c>
      <c r="R19" s="45"/>
      <c r="S19" s="54" t="str">
        <f>IFERROR(VLOOKUP(BD_MO[DNI 4],#REF!,2,FALSE)," ")</f>
        <v xml:space="preserve"> </v>
      </c>
      <c r="T19" s="24">
        <f>+IF(BD_MO[[#This Row],[FECHA]]&lt;&gt;"",COUNTA(BD_MO[[#This Row],[DNI]],BD_MO[[#This Row],[DNI 2]],BD_MO[[#This Row],[DNI 3]],BD_MO[[#This Row],[DNI 4]]),"")</f>
        <v>3</v>
      </c>
      <c r="U19" s="24"/>
      <c r="V19" s="24"/>
      <c r="W19" s="24"/>
      <c r="X19" s="24">
        <v>3</v>
      </c>
      <c r="Y19" s="86">
        <f>SUM(BD_MO[[#This Row],[LIMP]:[SERV]])</f>
        <v>3</v>
      </c>
      <c r="Z19" s="46"/>
      <c r="AA19" s="46" t="str">
        <f>+IF(BD_MO[[#This Row],[N° VALE]]&lt;&gt;"",1,"")</f>
        <v/>
      </c>
      <c r="AB19" s="40"/>
      <c r="AC19" s="46"/>
      <c r="AD19" s="46" t="str">
        <f>+IF(BD_MO[[#This Row],[N° VALE]]&lt;&gt;"",BD_MO[[#This Row],[FULMINANTE N° 08]]+BD_MO[CARMEX 7''],"")</f>
        <v/>
      </c>
      <c r="AE19" s="46"/>
      <c r="AF19" s="46" t="str">
        <f>+IF(BD_MO[[#This Row],[N° VALE]]&lt;&gt;"",BD_MO[[#This Row],[N° TALADROS]]+BD_MO[[#This Row],[N° TAL. VACIOS]],"")</f>
        <v/>
      </c>
      <c r="AG19" s="55"/>
      <c r="AH19" s="55"/>
      <c r="AI19" s="55"/>
      <c r="AJ19" s="55"/>
      <c r="AK19" s="55"/>
      <c r="AL19" s="55"/>
      <c r="AM19" s="42"/>
      <c r="AN19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9" s="46" t="str">
        <f>+IF(BD_MO[[#This Row],[N° VALE]]&lt;&gt;"",IF(BD_MO[[#This Row],[FULMINANTE N° 08]]&lt;&gt;"",BD_MO[[#This Row],[FULMINANTE N° 08]],IF(BD_MO[[#This Row],[CARMEX 7'']]&lt;&gt;0,0,"")),"")</f>
        <v/>
      </c>
      <c r="AP19" s="24" t="str">
        <f>+IF(BD_MO[[#This Row],[N° VALE]]&lt;&gt;"",BD_MO[[#This Row],[N°  TOTAL TALADROS]]*BD_MO[[#This Row],[BARRA]]*0.95,"")</f>
        <v/>
      </c>
      <c r="AQ19" s="24" t="str">
        <f>+IF(BD_MO[[#This Row],[N° VALE]]&lt;&gt;"",BD_MO[[#This Row],[EMULNOR 1000 (N° CART.)]]*PE_EMUL_1000[PE],"")</f>
        <v/>
      </c>
      <c r="AR19" s="24" t="str">
        <f>+IF(BD_MO[[#This Row],[N° VALE]]&lt;&gt;"",BD_MO[[#This Row],[EMULNOR 3000 (N° CART.)]]*PE_EMUL_3000[PE],"")</f>
        <v/>
      </c>
      <c r="AS19" s="24" t="str">
        <f>+IF(BD_MO[[#This Row],[N° VALE]]&lt;&gt;"",BD_MO[[#This Row],[PULVERULENTA (N° CART.)]]*PE_PULV_65[PE],"")</f>
        <v/>
      </c>
      <c r="AT19" s="24" t="str">
        <f>+IF(BD_MO[[#This Row],[N° DISP]]&lt;&gt;"",BD_MO[[#This Row],[SEMIGELATINA (N° CART.)]]*PE_SEMIGEL_65[PE],"")</f>
        <v/>
      </c>
      <c r="AU19" s="24" t="str">
        <f>+IF(BD_MO[N° VALE]&lt;&gt;"",BD_MO[[#This Row],[KG EXPLO SEMIGEL]]+BD_MO[[#This Row],[KG EXPLO PULVE]]+BD_MO[[#This Row],[KG EXPLO EMULN 3000]]+BD_MO[[#This Row],[KG EXPLO EMULN 1000]],"")</f>
        <v/>
      </c>
      <c r="AV19" s="46"/>
      <c r="AW19" s="46"/>
      <c r="AX19" s="46" t="str">
        <f>+IF(BD_MO[[#This Row],[MINERAL (U-35)]]&lt;&gt;"",BD_MO[[#This Row],[MINERAL (U-35)]]*1.45,"-")</f>
        <v>-</v>
      </c>
      <c r="AY19" s="46" t="str">
        <f>+IF(BD_MO[[#This Row],[DESMONTE (U-35)]]&lt;&gt;"",BD_MO[[#This Row],[DESMONTE (U-35)]]*1.23,"-")</f>
        <v>-</v>
      </c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2"/>
      <c r="BO19" s="46"/>
      <c r="BP19" s="46"/>
      <c r="BQ19" s="42"/>
      <c r="BR19" s="46"/>
      <c r="BS19" s="42"/>
      <c r="BT19" s="24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24">
        <f>+IF(BD_MO[[#This Row],[FECHA]]&lt;&gt;"",BD_MO[[#This Row],[PUNTAL 4"]]+BD_MO[[#This Row],[PUNTAL 5"]]+BD_MO[[#This Row],[PUNTAL 6"]]+BD_MO[[#This Row],[PUNTAL 7"]]+BD_MO[[#This Row],[PUNTAL 8"]],"")</f>
        <v>0</v>
      </c>
      <c r="CQ19" s="46"/>
      <c r="CR19" s="46"/>
      <c r="CS19" s="46"/>
      <c r="CT19" s="46"/>
      <c r="CU19" s="46"/>
      <c r="CV19" s="46"/>
      <c r="CW19" s="46"/>
      <c r="CX19" s="46"/>
      <c r="CY19" s="24"/>
      <c r="CZ19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9" s="24">
        <f>+IF(BD_MO[[#This Row],[FECHA]]&lt;&gt;"",BD_MO[[#This Row],[DURMIENTE2]]*6.561+BD_MO[[#This Row],[LISTONES]]*4.921+BD_MO[[#This Row],[TABLA 1"x8"x3m]]*6.561+BD_MO[[#This Row],[TABLA 2"x8"x3m]]*13.122,"")</f>
        <v>0</v>
      </c>
      <c r="DB19" s="24">
        <f>+IF(BD_MO[[#This Row],[FECHA]]&lt;&gt;"",BD_MO[[#This Row],[PIE2 MADERA ASERRADA]]*1.95,"")</f>
        <v>0</v>
      </c>
      <c r="DC19" s="24">
        <f>+IF(BD_MO[[#This Row],[FECHA]]&lt;&gt;"",BD_MO[[#This Row],[KG. MADERA REDONDA]]+BD_MO[[#This Row],[KG MADERA ASERRADA]],"")</f>
        <v>0</v>
      </c>
      <c r="DD19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9" s="46"/>
      <c r="DF19" s="46"/>
      <c r="DG19" s="46"/>
      <c r="DH19" s="46"/>
      <c r="DI19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9" s="56"/>
      <c r="DK19" s="56"/>
      <c r="DL19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9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9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9" s="66"/>
      <c r="DP19" s="56" t="str">
        <f>+IF(BD_MO[[#This Row],[M o D]]&lt;&gt;"",IF(BD_MO[[#This Row],[M o D]]="M",BD_MO[[#This Row],[ROTURA TMH]]/2.65,BD_MO[[#This Row],[ROTURA TMH]]/2.4),"")</f>
        <v/>
      </c>
      <c r="DQ19" s="56"/>
      <c r="DR19" s="116" t="str">
        <f>IF(BD_MO[[#This Row],[TIPO AVANCE]]="Avance",((BD_MO[[#This Row],[AVANCE (m)]]/BD_MO[[#This Row],[AVANCE TEÓRICO]]))," ")</f>
        <v xml:space="preserve"> </v>
      </c>
    </row>
    <row r="20" spans="1:130" ht="18" customHeight="1" x14ac:dyDescent="0.25">
      <c r="A20" s="92">
        <v>44652</v>
      </c>
      <c r="B20" s="40" t="s">
        <v>10655</v>
      </c>
      <c r="C20" s="40" t="s">
        <v>10668</v>
      </c>
      <c r="D20" s="61" t="s">
        <v>10954</v>
      </c>
      <c r="E20" s="42" t="str">
        <f>LEFT(BD_MO[[#This Row],[LABOR]],2)</f>
        <v>MO</v>
      </c>
      <c r="F20" s="46"/>
      <c r="G20" s="46" t="s">
        <v>10669</v>
      </c>
      <c r="H20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0" s="42" t="str">
        <f>IF(BD_MO[FECHA]&lt;&gt;"",VLOOKUP(BD_MO[LABOR],TB_CECO[[LABOR]:[CECO_T]],3,FALSE),"")</f>
        <v>INCA</v>
      </c>
      <c r="J20" s="42" t="str">
        <f>IF(BD_MO[FECHA]&lt;&gt;"",VLOOKUP(BD_MO[LABOR],D_CECO!B:H,7,FALSE),"")</f>
        <v>SERVICIOS</v>
      </c>
      <c r="K20" s="42" t="str">
        <f>IF(BD_MO[FECHA]&lt;&gt;"",VLOOKUP(BD_MO[LABOR],D_CECO!B:H,4,FALSE),"")</f>
        <v>SERVICIOS</v>
      </c>
      <c r="L20" s="42"/>
      <c r="M20" s="48"/>
      <c r="N20" s="46"/>
      <c r="O20" s="93" t="s">
        <v>12098</v>
      </c>
      <c r="P20" s="93"/>
      <c r="Q20" s="93"/>
      <c r="R20" s="45"/>
      <c r="S20" s="54" t="str">
        <f>IFERROR(VLOOKUP(BD_MO[DNI 4],#REF!,2,FALSE)," ")</f>
        <v xml:space="preserve"> </v>
      </c>
      <c r="T20" s="24">
        <f>+IF(BD_MO[[#This Row],[FECHA]]&lt;&gt;"",COUNTA(BD_MO[[#This Row],[DNI]],BD_MO[[#This Row],[DNI 2]],BD_MO[[#This Row],[DNI 3]],BD_MO[[#This Row],[DNI 4]]),"")</f>
        <v>1</v>
      </c>
      <c r="U20" s="24"/>
      <c r="V20" s="24"/>
      <c r="W20" s="24"/>
      <c r="X20" s="24">
        <v>1</v>
      </c>
      <c r="Y20" s="86">
        <f>SUM(BD_MO[[#This Row],[LIMP]:[SERV]])</f>
        <v>1</v>
      </c>
      <c r="Z20" s="46"/>
      <c r="AA20" s="46" t="str">
        <f>+IF(BD_MO[[#This Row],[N° VALE]]&lt;&gt;"",1,"")</f>
        <v/>
      </c>
      <c r="AB20" s="40"/>
      <c r="AC20" s="46"/>
      <c r="AD20" s="46" t="str">
        <f>+IF(BD_MO[[#This Row],[N° VALE]]&lt;&gt;"",BD_MO[[#This Row],[FULMINANTE N° 08]]+BD_MO[CARMEX 7''],"")</f>
        <v/>
      </c>
      <c r="AE20" s="46"/>
      <c r="AF20" s="46" t="str">
        <f>+IF(BD_MO[[#This Row],[N° VALE]]&lt;&gt;"",BD_MO[[#This Row],[N° TALADROS]]+BD_MO[[#This Row],[N° TAL. VACIOS]],"")</f>
        <v/>
      </c>
      <c r="AG20" s="55"/>
      <c r="AH20" s="55"/>
      <c r="AI20" s="55"/>
      <c r="AJ20" s="55"/>
      <c r="AK20" s="55"/>
      <c r="AL20" s="55"/>
      <c r="AM20" s="42"/>
      <c r="AN20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0" s="46" t="str">
        <f>+IF(BD_MO[[#This Row],[N° VALE]]&lt;&gt;"",IF(BD_MO[[#This Row],[FULMINANTE N° 08]]&lt;&gt;"",BD_MO[[#This Row],[FULMINANTE N° 08]],IF(BD_MO[[#This Row],[CARMEX 7'']]&lt;&gt;0,0,"")),"")</f>
        <v/>
      </c>
      <c r="AP20" s="24" t="str">
        <f>+IF(BD_MO[[#This Row],[N° VALE]]&lt;&gt;"",BD_MO[[#This Row],[N°  TOTAL TALADROS]]*BD_MO[[#This Row],[BARRA]]*0.95,"")</f>
        <v/>
      </c>
      <c r="AQ20" s="24" t="str">
        <f>+IF(BD_MO[[#This Row],[N° VALE]]&lt;&gt;"",BD_MO[[#This Row],[EMULNOR 1000 (N° CART.)]]*PE_EMUL_1000[PE],"")</f>
        <v/>
      </c>
      <c r="AR20" s="24" t="str">
        <f>+IF(BD_MO[[#This Row],[N° VALE]]&lt;&gt;"",BD_MO[[#This Row],[EMULNOR 3000 (N° CART.)]]*PE_EMUL_3000[PE],"")</f>
        <v/>
      </c>
      <c r="AS20" s="24" t="str">
        <f>+IF(BD_MO[[#This Row],[N° VALE]]&lt;&gt;"",BD_MO[[#This Row],[PULVERULENTA (N° CART.)]]*PE_PULV_65[PE],"")</f>
        <v/>
      </c>
      <c r="AT20" s="24" t="str">
        <f>+IF(BD_MO[[#This Row],[N° DISP]]&lt;&gt;"",BD_MO[[#This Row],[SEMIGELATINA (N° CART.)]]*PE_SEMIGEL_65[PE],"")</f>
        <v/>
      </c>
      <c r="AU20" s="24" t="str">
        <f>+IF(BD_MO[N° VALE]&lt;&gt;"",BD_MO[[#This Row],[KG EXPLO SEMIGEL]]+BD_MO[[#This Row],[KG EXPLO PULVE]]+BD_MO[[#This Row],[KG EXPLO EMULN 3000]]+BD_MO[[#This Row],[KG EXPLO EMULN 1000]],"")</f>
        <v/>
      </c>
      <c r="AV20" s="46"/>
      <c r="AW20" s="46"/>
      <c r="AX20" s="46" t="str">
        <f>+IF(BD_MO[[#This Row],[MINERAL (U-35)]]&lt;&gt;"",BD_MO[[#This Row],[MINERAL (U-35)]]*1.45,"-")</f>
        <v>-</v>
      </c>
      <c r="AY20" s="46" t="str">
        <f>+IF(BD_MO[[#This Row],[DESMONTE (U-35)]]&lt;&gt;"",BD_MO[[#This Row],[DESMONTE (U-35)]]*1.23,"-")</f>
        <v>-</v>
      </c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2"/>
      <c r="BO20" s="46"/>
      <c r="BP20" s="46"/>
      <c r="BQ20" s="42"/>
      <c r="BR20" s="46"/>
      <c r="BS20" s="42"/>
      <c r="BT20" s="24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24">
        <f>+IF(BD_MO[[#This Row],[FECHA]]&lt;&gt;"",BD_MO[[#This Row],[PUNTAL 4"]]+BD_MO[[#This Row],[PUNTAL 5"]]+BD_MO[[#This Row],[PUNTAL 6"]]+BD_MO[[#This Row],[PUNTAL 7"]]+BD_MO[[#This Row],[PUNTAL 8"]],"")</f>
        <v>0</v>
      </c>
      <c r="CQ20" s="46"/>
      <c r="CR20" s="46"/>
      <c r="CS20" s="46"/>
      <c r="CT20" s="46"/>
      <c r="CU20" s="46"/>
      <c r="CV20" s="46"/>
      <c r="CW20" s="46"/>
      <c r="CX20" s="46"/>
      <c r="CY20" s="24"/>
      <c r="CZ20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0" s="24">
        <f>+IF(BD_MO[[#This Row],[FECHA]]&lt;&gt;"",BD_MO[[#This Row],[DURMIENTE2]]*6.561+BD_MO[[#This Row],[LISTONES]]*4.921+BD_MO[[#This Row],[TABLA 1"x8"x3m]]*6.561+BD_MO[[#This Row],[TABLA 2"x8"x3m]]*13.122,"")</f>
        <v>0</v>
      </c>
      <c r="DB20" s="24">
        <f>+IF(BD_MO[[#This Row],[FECHA]]&lt;&gt;"",BD_MO[[#This Row],[PIE2 MADERA ASERRADA]]*1.95,"")</f>
        <v>0</v>
      </c>
      <c r="DC20" s="24">
        <f>+IF(BD_MO[[#This Row],[FECHA]]&lt;&gt;"",BD_MO[[#This Row],[KG. MADERA REDONDA]]+BD_MO[[#This Row],[KG MADERA ASERRADA]],"")</f>
        <v>0</v>
      </c>
      <c r="DD20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0" s="46"/>
      <c r="DF20" s="46"/>
      <c r="DG20" s="46"/>
      <c r="DH20" s="46"/>
      <c r="DI20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0" s="56"/>
      <c r="DK20" s="56"/>
      <c r="DL20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0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0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0" s="66"/>
      <c r="DP20" s="56" t="str">
        <f>+IF(BD_MO[[#This Row],[M o D]]&lt;&gt;"",IF(BD_MO[[#This Row],[M o D]]="M",BD_MO[[#This Row],[ROTURA TMH]]/2.65,BD_MO[[#This Row],[ROTURA TMH]]/2.4),"")</f>
        <v/>
      </c>
      <c r="DQ20" s="56"/>
      <c r="DR20" s="116" t="str">
        <f>IF(BD_MO[[#This Row],[TIPO AVANCE]]="Avance",((BD_MO[[#This Row],[AVANCE (m)]]/BD_MO[[#This Row],[AVANCE TEÓRICO]]))," ")</f>
        <v xml:space="preserve"> </v>
      </c>
    </row>
    <row r="21" spans="1:130" s="115" customFormat="1" ht="18" customHeight="1" thickBot="1" x14ac:dyDescent="0.3">
      <c r="A21" s="130">
        <v>44652</v>
      </c>
      <c r="B21" s="117" t="s">
        <v>10655</v>
      </c>
      <c r="C21" s="117" t="s">
        <v>10668</v>
      </c>
      <c r="D21" s="118" t="s">
        <v>10717</v>
      </c>
      <c r="E21" s="119" t="str">
        <f>LEFT(BD_MO[[#This Row],[LABOR]],2)</f>
        <v>BO</v>
      </c>
      <c r="F21" s="120"/>
      <c r="G21" s="120" t="s">
        <v>10669</v>
      </c>
      <c r="H21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1" s="119" t="str">
        <f>IF(BD_MO[FECHA]&lt;&gt;"",VLOOKUP(BD_MO[LABOR],TB_CECO[[LABOR]:[CECO_T]],3,FALSE),"")</f>
        <v>CACHORRO</v>
      </c>
      <c r="J21" s="119" t="str">
        <f>IF(BD_MO[FECHA]&lt;&gt;"",VLOOKUP(BD_MO[LABOR],D_CECO!B:H,7,FALSE),"")</f>
        <v>SERVICIOS</v>
      </c>
      <c r="K21" s="119" t="str">
        <f>IF(BD_MO[FECHA]&lt;&gt;"",VLOOKUP(BD_MO[LABOR],D_CECO!B:H,4,FALSE),"")</f>
        <v>SERVICIOS</v>
      </c>
      <c r="L21" s="119"/>
      <c r="M21" s="117"/>
      <c r="N21" s="120"/>
      <c r="O21" s="121" t="s">
        <v>12118</v>
      </c>
      <c r="P21" s="121"/>
      <c r="Q21" s="121"/>
      <c r="R21" s="122"/>
      <c r="S21" s="123" t="str">
        <f>IFERROR(VLOOKUP(BD_MO[DNI 4],#REF!,2,FALSE)," ")</f>
        <v xml:space="preserve"> </v>
      </c>
      <c r="T21" s="124">
        <f>+IF(BD_MO[[#This Row],[FECHA]]&lt;&gt;"",COUNTA(BD_MO[[#This Row],[DNI]],BD_MO[[#This Row],[DNI 2]],BD_MO[[#This Row],[DNI 3]],BD_MO[[#This Row],[DNI 4]]),"")</f>
        <v>1</v>
      </c>
      <c r="U21" s="124"/>
      <c r="V21" s="124"/>
      <c r="W21" s="124"/>
      <c r="X21" s="124">
        <v>1</v>
      </c>
      <c r="Y21" s="125">
        <f>SUM(BD_MO[[#This Row],[LIMP]:[SERV]])</f>
        <v>1</v>
      </c>
      <c r="Z21" s="120"/>
      <c r="AA21" s="120" t="str">
        <f>+IF(BD_MO[[#This Row],[N° VALE]]&lt;&gt;"",1,"")</f>
        <v/>
      </c>
      <c r="AB21" s="117"/>
      <c r="AC21" s="120"/>
      <c r="AD21" s="120" t="str">
        <f>+IF(BD_MO[[#This Row],[N° VALE]]&lt;&gt;"",BD_MO[[#This Row],[FULMINANTE N° 08]]+BD_MO[CARMEX 7''],"")</f>
        <v/>
      </c>
      <c r="AE21" s="120"/>
      <c r="AF21" s="120" t="str">
        <f>+IF(BD_MO[[#This Row],[N° VALE]]&lt;&gt;"",BD_MO[[#This Row],[N° TALADROS]]+BD_MO[[#This Row],[N° TAL. VACIOS]],"")</f>
        <v/>
      </c>
      <c r="AG21" s="126"/>
      <c r="AH21" s="126"/>
      <c r="AI21" s="126"/>
      <c r="AJ21" s="126"/>
      <c r="AK21" s="126"/>
      <c r="AL21" s="126"/>
      <c r="AM21" s="119"/>
      <c r="AN21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1" s="120" t="str">
        <f>+IF(BD_MO[[#This Row],[N° VALE]]&lt;&gt;"",IF(BD_MO[[#This Row],[FULMINANTE N° 08]]&lt;&gt;"",BD_MO[[#This Row],[FULMINANTE N° 08]],IF(BD_MO[[#This Row],[CARMEX 7'']]&lt;&gt;0,0,"")),"")</f>
        <v/>
      </c>
      <c r="AP21" s="124" t="str">
        <f>+IF(BD_MO[[#This Row],[N° VALE]]&lt;&gt;"",BD_MO[[#This Row],[N°  TOTAL TALADROS]]*BD_MO[[#This Row],[BARRA]]*0.95,"")</f>
        <v/>
      </c>
      <c r="AQ21" s="124" t="str">
        <f>+IF(BD_MO[[#This Row],[N° VALE]]&lt;&gt;"",BD_MO[[#This Row],[EMULNOR 1000 (N° CART.)]]*PE_EMUL_1000[PE],"")</f>
        <v/>
      </c>
      <c r="AR21" s="124" t="str">
        <f>+IF(BD_MO[[#This Row],[N° VALE]]&lt;&gt;"",BD_MO[[#This Row],[EMULNOR 3000 (N° CART.)]]*PE_EMUL_3000[PE],"")</f>
        <v/>
      </c>
      <c r="AS21" s="124" t="str">
        <f>+IF(BD_MO[[#This Row],[N° VALE]]&lt;&gt;"",BD_MO[[#This Row],[PULVERULENTA (N° CART.)]]*PE_PULV_65[PE],"")</f>
        <v/>
      </c>
      <c r="AT21" s="124" t="str">
        <f>+IF(BD_MO[[#This Row],[N° DISP]]&lt;&gt;"",BD_MO[[#This Row],[SEMIGELATINA (N° CART.)]]*PE_SEMIGEL_65[PE],"")</f>
        <v/>
      </c>
      <c r="AU21" s="124" t="str">
        <f>+IF(BD_MO[N° VALE]&lt;&gt;"",BD_MO[[#This Row],[KG EXPLO SEMIGEL]]+BD_MO[[#This Row],[KG EXPLO PULVE]]+BD_MO[[#This Row],[KG EXPLO EMULN 3000]]+BD_MO[[#This Row],[KG EXPLO EMULN 1000]],"")</f>
        <v/>
      </c>
      <c r="AV21" s="120"/>
      <c r="AW21" s="120"/>
      <c r="AX21" s="120" t="str">
        <f>+IF(BD_MO[[#This Row],[MINERAL (U-35)]]&lt;&gt;"",BD_MO[[#This Row],[MINERAL (U-35)]]*1.45,"-")</f>
        <v>-</v>
      </c>
      <c r="AY21" s="120" t="str">
        <f>+IF(BD_MO[[#This Row],[DESMONTE (U-35)]]&lt;&gt;"",BD_MO[[#This Row],[DESMONTE (U-35)]]*1.23,"-")</f>
        <v>-</v>
      </c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19"/>
      <c r="BO21" s="120"/>
      <c r="BP21" s="120"/>
      <c r="BQ21" s="119"/>
      <c r="BR21" s="120"/>
      <c r="BS21" s="119"/>
      <c r="BT21" s="124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4">
        <f>+IF(BD_MO[[#This Row],[FECHA]]&lt;&gt;"",BD_MO[[#This Row],[PUNTAL 4"]]+BD_MO[[#This Row],[PUNTAL 5"]]+BD_MO[[#This Row],[PUNTAL 6"]]+BD_MO[[#This Row],[PUNTAL 7"]]+BD_MO[[#This Row],[PUNTAL 8"]],"")</f>
        <v>0</v>
      </c>
      <c r="CQ21" s="120"/>
      <c r="CR21" s="120"/>
      <c r="CS21" s="120"/>
      <c r="CT21" s="120"/>
      <c r="CU21" s="120"/>
      <c r="CV21" s="120"/>
      <c r="CW21" s="120"/>
      <c r="CX21" s="120"/>
      <c r="CY21" s="124"/>
      <c r="CZ21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1" s="124">
        <f>+IF(BD_MO[[#This Row],[FECHA]]&lt;&gt;"",BD_MO[[#This Row],[DURMIENTE2]]*6.561+BD_MO[[#This Row],[LISTONES]]*4.921+BD_MO[[#This Row],[TABLA 1"x8"x3m]]*6.561+BD_MO[[#This Row],[TABLA 2"x8"x3m]]*13.122,"")</f>
        <v>0</v>
      </c>
      <c r="DB21" s="124">
        <f>+IF(BD_MO[[#This Row],[FECHA]]&lt;&gt;"",BD_MO[[#This Row],[PIE2 MADERA ASERRADA]]*1.95,"")</f>
        <v>0</v>
      </c>
      <c r="DC21" s="124">
        <f>+IF(BD_MO[[#This Row],[FECHA]]&lt;&gt;"",BD_MO[[#This Row],[KG. MADERA REDONDA]]+BD_MO[[#This Row],[KG MADERA ASERRADA]],"")</f>
        <v>0</v>
      </c>
      <c r="DD21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1" s="120"/>
      <c r="DF21" s="120"/>
      <c r="DG21" s="120"/>
      <c r="DH21" s="120"/>
      <c r="DI21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1" s="128"/>
      <c r="DK21" s="128"/>
      <c r="DL21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1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1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1" s="129"/>
      <c r="DP21" s="56" t="str">
        <f>+IF(BD_MO[[#This Row],[M o D]]&lt;&gt;"",IF(BD_MO[[#This Row],[M o D]]="M",BD_MO[[#This Row],[ROTURA TMH]]/2.65,BD_MO[[#This Row],[ROTURA TMH]]/2.4),"")</f>
        <v/>
      </c>
      <c r="DQ21" s="128"/>
      <c r="DR21" s="116" t="str">
        <f>IF(BD_MO[[#This Row],[TIPO AVANCE]]="Avance",((BD_MO[[#This Row],[AVANCE (m)]]/BD_MO[[#This Row],[AVANCE TEÓRICO]]))," ")</f>
        <v xml:space="preserve"> </v>
      </c>
      <c r="DS21" s="113"/>
      <c r="DT21" s="113"/>
      <c r="DU21" s="113"/>
      <c r="DV21" s="113"/>
      <c r="DW21" s="113"/>
      <c r="DX21" s="114"/>
      <c r="DY21" s="114"/>
      <c r="DZ21" s="114"/>
    </row>
    <row r="22" spans="1:130" s="136" customFormat="1" ht="18" customHeight="1" x14ac:dyDescent="0.25">
      <c r="A22" s="168">
        <v>44653</v>
      </c>
      <c r="B22" s="169" t="s">
        <v>10647</v>
      </c>
      <c r="C22" s="169" t="s">
        <v>10680</v>
      </c>
      <c r="D22" s="170" t="s">
        <v>11806</v>
      </c>
      <c r="E22" s="171" t="str">
        <f>LEFT(BD_MO[[#This Row],[LABOR]],2)</f>
        <v>CX</v>
      </c>
      <c r="F22" s="172"/>
      <c r="G22" s="172" t="s">
        <v>10673</v>
      </c>
      <c r="H2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REHABILITACION</v>
      </c>
      <c r="I22" s="171" t="str">
        <f>IF(BD_MO[FECHA]&lt;&gt;"",VLOOKUP(BD_MO[LABOR],TB_CECO[[LABOR]:[CECO_T]],3,FALSE),"")</f>
        <v>CACHORRO</v>
      </c>
      <c r="J22" s="171" t="str">
        <f>IF(BD_MO[FECHA]&lt;&gt;"",VLOOKUP(BD_MO[LABOR],D_CECO!B:H,7,FALSE),"")</f>
        <v>LINEAL</v>
      </c>
      <c r="K22" s="171" t="str">
        <f>IF(BD_MO[FECHA]&lt;&gt;"",VLOOKUP(BD_MO[LABOR],D_CECO!B:H,4,FALSE),"")</f>
        <v>EXPLORACION</v>
      </c>
      <c r="L22" s="171"/>
      <c r="M22" s="169"/>
      <c r="N22" s="172"/>
      <c r="O22" s="173" t="s">
        <v>11911</v>
      </c>
      <c r="P22" s="173" t="s">
        <v>11913</v>
      </c>
      <c r="Q22" s="173"/>
      <c r="R22" s="174"/>
      <c r="S22" s="175" t="str">
        <f>IFERROR(VLOOKUP(BD_MO[DNI 4],#REF!,2,FALSE)," ")</f>
        <v xml:space="preserve"> </v>
      </c>
      <c r="T22" s="176">
        <f>+IF(BD_MO[[#This Row],[FECHA]]&lt;&gt;"",COUNTA(BD_MO[[#This Row],[DNI]],BD_MO[[#This Row],[DNI 2]],BD_MO[[#This Row],[DNI 3]],BD_MO[[#This Row],[DNI 4]]),"")</f>
        <v>2</v>
      </c>
      <c r="U22" s="176">
        <v>1.7</v>
      </c>
      <c r="V22" s="176"/>
      <c r="W22" s="176">
        <v>1</v>
      </c>
      <c r="X22" s="176">
        <v>0.3</v>
      </c>
      <c r="Y22" s="177">
        <f>SUM(BD_MO[[#This Row],[LIMP]:[SERV]])</f>
        <v>3</v>
      </c>
      <c r="Z22" s="172"/>
      <c r="AA22" s="172" t="str">
        <f>+IF(BD_MO[[#This Row],[N° VALE]]&lt;&gt;"",1,"")</f>
        <v/>
      </c>
      <c r="AB22" s="169"/>
      <c r="AC22" s="172"/>
      <c r="AD22" s="172" t="str">
        <f>+IF(BD_MO[[#This Row],[N° VALE]]&lt;&gt;"",BD_MO[[#This Row],[FULMINANTE N° 08]]+BD_MO[CARMEX 7''],"")</f>
        <v/>
      </c>
      <c r="AE22" s="172"/>
      <c r="AF22" s="172" t="str">
        <f>+IF(BD_MO[[#This Row],[N° VALE]]&lt;&gt;"",BD_MO[[#This Row],[N° TALADROS]]+BD_MO[[#This Row],[N° TAL. VACIOS]],"")</f>
        <v/>
      </c>
      <c r="AG22" s="178"/>
      <c r="AH22" s="178"/>
      <c r="AI22" s="178"/>
      <c r="AJ22" s="178"/>
      <c r="AK22" s="178"/>
      <c r="AL22" s="178"/>
      <c r="AM22" s="171"/>
      <c r="AN22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2" s="172" t="str">
        <f>+IF(BD_MO[[#This Row],[N° VALE]]&lt;&gt;"",IF(BD_MO[[#This Row],[FULMINANTE N° 08]]&lt;&gt;"",BD_MO[[#This Row],[FULMINANTE N° 08]],IF(BD_MO[[#This Row],[CARMEX 7'']]&lt;&gt;0,0,"")),"")</f>
        <v/>
      </c>
      <c r="AP22" s="176" t="str">
        <f>+IF(BD_MO[[#This Row],[N° VALE]]&lt;&gt;"",BD_MO[[#This Row],[N°  TOTAL TALADROS]]*BD_MO[[#This Row],[BARRA]]*0.95,"")</f>
        <v/>
      </c>
      <c r="AQ22" s="176" t="str">
        <f>+IF(BD_MO[[#This Row],[N° VALE]]&lt;&gt;"",BD_MO[[#This Row],[EMULNOR 1000 (N° CART.)]]*PE_EMUL_1000[PE],"")</f>
        <v/>
      </c>
      <c r="AR22" s="176" t="str">
        <f>+IF(BD_MO[[#This Row],[N° VALE]]&lt;&gt;"",BD_MO[[#This Row],[EMULNOR 3000 (N° CART.)]]*PE_EMUL_3000[PE],"")</f>
        <v/>
      </c>
      <c r="AS22" s="176" t="str">
        <f>+IF(BD_MO[[#This Row],[N° VALE]]&lt;&gt;"",BD_MO[[#This Row],[PULVERULENTA (N° CART.)]]*PE_PULV_65[PE],"")</f>
        <v/>
      </c>
      <c r="AT22" s="176" t="str">
        <f>+IF(BD_MO[[#This Row],[N° DISP]]&lt;&gt;"",BD_MO[[#This Row],[SEMIGELATINA (N° CART.)]]*PE_SEMIGEL_65[PE],"")</f>
        <v/>
      </c>
      <c r="AU22" s="176" t="str">
        <f>+IF(BD_MO[N° VALE]&lt;&gt;"",BD_MO[[#This Row],[KG EXPLO SEMIGEL]]+BD_MO[[#This Row],[KG EXPLO PULVE]]+BD_MO[[#This Row],[KG EXPLO EMULN 3000]]+BD_MO[[#This Row],[KG EXPLO EMULN 1000]],"")</f>
        <v/>
      </c>
      <c r="AV22" s="172"/>
      <c r="AW22" s="172">
        <v>5</v>
      </c>
      <c r="AX22" s="172" t="str">
        <f>+IF(BD_MO[[#This Row],[MINERAL (U-35)]]&lt;&gt;"",BD_MO[[#This Row],[MINERAL (U-35)]]*1.45,"-")</f>
        <v>-</v>
      </c>
      <c r="AY22" s="172">
        <f>+IF(BD_MO[[#This Row],[DESMONTE (U-35)]]&lt;&gt;"",BD_MO[[#This Row],[DESMONTE (U-35)]]*1.23,"-")</f>
        <v>6.15</v>
      </c>
      <c r="AZ22" s="172"/>
      <c r="BA22" s="172"/>
      <c r="BB22" s="172"/>
      <c r="BC22" s="172"/>
      <c r="BD22" s="172"/>
      <c r="BE22" s="172"/>
      <c r="BF22" s="172"/>
      <c r="BG22" s="172">
        <v>2</v>
      </c>
      <c r="BH22" s="172"/>
      <c r="BI22" s="172"/>
      <c r="BJ22" s="172"/>
      <c r="BK22" s="172"/>
      <c r="BL22" s="172"/>
      <c r="BM22" s="172"/>
      <c r="BN22" s="171">
        <v>2</v>
      </c>
      <c r="BO22" s="172">
        <v>5</v>
      </c>
      <c r="BP22" s="172"/>
      <c r="BQ22" s="171"/>
      <c r="BR22" s="172"/>
      <c r="BS22" s="171"/>
      <c r="BT22" s="176"/>
      <c r="BU22" s="172"/>
      <c r="BV22" s="172"/>
      <c r="BW22" s="172"/>
      <c r="BX22" s="172"/>
      <c r="BY22" s="172"/>
      <c r="BZ22" s="172"/>
      <c r="CA22" s="172"/>
      <c r="CB22" s="172"/>
      <c r="CC22" s="172"/>
      <c r="CD22" s="172"/>
      <c r="CE22" s="172"/>
      <c r="CF22" s="172"/>
      <c r="CG22" s="172"/>
      <c r="CH22" s="172"/>
      <c r="CI22" s="172"/>
      <c r="CJ22" s="172"/>
      <c r="CK22" s="172"/>
      <c r="CL22" s="172">
        <v>1</v>
      </c>
      <c r="CM22" s="172">
        <v>6</v>
      </c>
      <c r="CN22" s="172"/>
      <c r="CO22" s="172"/>
      <c r="CP22" s="176">
        <f>+IF(BD_MO[[#This Row],[FECHA]]&lt;&gt;"",BD_MO[[#This Row],[PUNTAL 4"]]+BD_MO[[#This Row],[PUNTAL 5"]]+BD_MO[[#This Row],[PUNTAL 6"]]+BD_MO[[#This Row],[PUNTAL 7"]]+BD_MO[[#This Row],[PUNTAL 8"]],"")</f>
        <v>7</v>
      </c>
      <c r="CQ22" s="172"/>
      <c r="CR22" s="172"/>
      <c r="CS22" s="172"/>
      <c r="CT22" s="172"/>
      <c r="CU22" s="172"/>
      <c r="CV22" s="172"/>
      <c r="CW22" s="172"/>
      <c r="CX22" s="172"/>
      <c r="CY22" s="176"/>
      <c r="CZ2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300.40700000000004</v>
      </c>
      <c r="DA22" s="176">
        <f>+IF(BD_MO[[#This Row],[FECHA]]&lt;&gt;"",BD_MO[[#This Row],[DURMIENTE2]]*6.561+BD_MO[[#This Row],[LISTONES]]*4.921+BD_MO[[#This Row],[TABLA 1"x8"x3m]]*6.561+BD_MO[[#This Row],[TABLA 2"x8"x3m]]*13.122,"")</f>
        <v>0</v>
      </c>
      <c r="DB22" s="176">
        <f>+IF(BD_MO[[#This Row],[FECHA]]&lt;&gt;"",BD_MO[[#This Row],[PIE2 MADERA ASERRADA]]*1.95,"")</f>
        <v>0</v>
      </c>
      <c r="DC22" s="176">
        <f>+IF(BD_MO[[#This Row],[FECHA]]&lt;&gt;"",BD_MO[[#This Row],[KG. MADERA REDONDA]]+BD_MO[[#This Row],[KG MADERA ASERRADA]],"")</f>
        <v>300.40700000000004</v>
      </c>
      <c r="DD2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124.60000000000001</v>
      </c>
      <c r="DE22" s="172"/>
      <c r="DF22" s="172"/>
      <c r="DG22" s="172"/>
      <c r="DH22" s="172"/>
      <c r="DI22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2" s="180"/>
      <c r="DK22" s="180"/>
      <c r="DL22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2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2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2" s="181"/>
      <c r="DP22" s="56" t="str">
        <f>+IF(BD_MO[[#This Row],[M o D]]&lt;&gt;"",IF(BD_MO[[#This Row],[M o D]]="M",BD_MO[[#This Row],[ROTURA TMH]]/2.65,BD_MO[[#This Row],[ROTURA TMH]]/2.4),"")</f>
        <v/>
      </c>
      <c r="DQ22" s="180"/>
      <c r="DR22" s="116" t="str">
        <f>IF(BD_MO[[#This Row],[TIPO AVANCE]]="Avance",((BD_MO[[#This Row],[AVANCE (m)]]/BD_MO[[#This Row],[AVANCE TEÓRICO]]))," ")</f>
        <v xml:space="preserve"> </v>
      </c>
      <c r="DS22" s="134"/>
      <c r="DT22" s="134"/>
      <c r="DU22" s="134"/>
      <c r="DV22" s="134"/>
      <c r="DW22" s="134"/>
      <c r="DX22" s="135"/>
      <c r="DY22" s="135"/>
      <c r="DZ22" s="135"/>
    </row>
    <row r="23" spans="1:130" s="136" customFormat="1" ht="18" customHeight="1" x14ac:dyDescent="0.25">
      <c r="A23" s="168">
        <v>44653</v>
      </c>
      <c r="B23" s="169" t="s">
        <v>10647</v>
      </c>
      <c r="C23" s="169" t="s">
        <v>10680</v>
      </c>
      <c r="D23" s="170" t="s">
        <v>12116</v>
      </c>
      <c r="E23" s="171" t="str">
        <f>LEFT(BD_MO[[#This Row],[LABOR]],2)</f>
        <v>Cx</v>
      </c>
      <c r="F23" s="172"/>
      <c r="G23" s="172" t="s">
        <v>10673</v>
      </c>
      <c r="H2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REHABILITACION</v>
      </c>
      <c r="I23" s="171" t="str">
        <f>IF(BD_MO[FECHA]&lt;&gt;"",VLOOKUP(BD_MO[LABOR],TB_CECO[[LABOR]:[CECO_T]],3,FALSE),"")</f>
        <v>ESCONDIDA</v>
      </c>
      <c r="J23" s="171" t="str">
        <f>IF(BD_MO[FECHA]&lt;&gt;"",VLOOKUP(BD_MO[LABOR],D_CECO!B:H,7,FALSE),"")</f>
        <v>LINEAL</v>
      </c>
      <c r="K23" s="171" t="str">
        <f>IF(BD_MO[FECHA]&lt;&gt;"",VLOOKUP(BD_MO[LABOR],D_CECO!B:H,4,FALSE),"")</f>
        <v>EXPLOTACION</v>
      </c>
      <c r="L23" s="171"/>
      <c r="M23" s="169"/>
      <c r="N23" s="172"/>
      <c r="O23" s="173" t="s">
        <v>11910</v>
      </c>
      <c r="P23" s="173" t="s">
        <v>11912</v>
      </c>
      <c r="Q23" s="173"/>
      <c r="R23" s="174"/>
      <c r="S23" s="175" t="str">
        <f>IFERROR(VLOOKUP(BD_MO[DNI 4],#REF!,2,FALSE)," ")</f>
        <v xml:space="preserve"> </v>
      </c>
      <c r="T23" s="176">
        <f>+IF(BD_MO[[#This Row],[FECHA]]&lt;&gt;"",COUNTA(BD_MO[[#This Row],[DNI]],BD_MO[[#This Row],[DNI 2]],BD_MO[[#This Row],[DNI 3]],BD_MO[[#This Row],[DNI 4]]),"")</f>
        <v>2</v>
      </c>
      <c r="U23" s="176">
        <v>0.2</v>
      </c>
      <c r="V23" s="176"/>
      <c r="W23" s="176">
        <v>1.6</v>
      </c>
      <c r="X23" s="176">
        <v>0.2</v>
      </c>
      <c r="Y23" s="177">
        <f>SUM(BD_MO[[#This Row],[LIMP]:[SERV]])</f>
        <v>2</v>
      </c>
      <c r="Z23" s="172"/>
      <c r="AA23" s="172" t="str">
        <f>+IF(BD_MO[[#This Row],[N° VALE]]&lt;&gt;"",1,"")</f>
        <v/>
      </c>
      <c r="AB23" s="169"/>
      <c r="AC23" s="172"/>
      <c r="AD23" s="172" t="str">
        <f>+IF(BD_MO[[#This Row],[N° VALE]]&lt;&gt;"",BD_MO[[#This Row],[FULMINANTE N° 08]]+BD_MO[CARMEX 7''],"")</f>
        <v/>
      </c>
      <c r="AE23" s="172"/>
      <c r="AF23" s="172" t="str">
        <f>+IF(BD_MO[[#This Row],[N° VALE]]&lt;&gt;"",BD_MO[[#This Row],[N° TALADROS]]+BD_MO[[#This Row],[N° TAL. VACIOS]],"")</f>
        <v/>
      </c>
      <c r="AG23" s="178"/>
      <c r="AH23" s="178"/>
      <c r="AI23" s="178"/>
      <c r="AJ23" s="178"/>
      <c r="AK23" s="178"/>
      <c r="AL23" s="178"/>
      <c r="AM23" s="171"/>
      <c r="AN23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3" s="172" t="str">
        <f>+IF(BD_MO[[#This Row],[N° VALE]]&lt;&gt;"",IF(BD_MO[[#This Row],[FULMINANTE N° 08]]&lt;&gt;"",BD_MO[[#This Row],[FULMINANTE N° 08]],IF(BD_MO[[#This Row],[CARMEX 7'']]&lt;&gt;0,0,"")),"")</f>
        <v/>
      </c>
      <c r="AP23" s="176" t="str">
        <f>+IF(BD_MO[[#This Row],[N° VALE]]&lt;&gt;"",BD_MO[[#This Row],[N°  TOTAL TALADROS]]*BD_MO[[#This Row],[BARRA]]*0.95,"")</f>
        <v/>
      </c>
      <c r="AQ23" s="176" t="str">
        <f>+IF(BD_MO[[#This Row],[N° VALE]]&lt;&gt;"",BD_MO[[#This Row],[EMULNOR 1000 (N° CART.)]]*PE_EMUL_1000[PE],"")</f>
        <v/>
      </c>
      <c r="AR23" s="176" t="str">
        <f>+IF(BD_MO[[#This Row],[N° VALE]]&lt;&gt;"",BD_MO[[#This Row],[EMULNOR 3000 (N° CART.)]]*PE_EMUL_3000[PE],"")</f>
        <v/>
      </c>
      <c r="AS23" s="176" t="str">
        <f>+IF(BD_MO[[#This Row],[N° VALE]]&lt;&gt;"",BD_MO[[#This Row],[PULVERULENTA (N° CART.)]]*PE_PULV_65[PE],"")</f>
        <v/>
      </c>
      <c r="AT23" s="176" t="str">
        <f>+IF(BD_MO[[#This Row],[N° DISP]]&lt;&gt;"",BD_MO[[#This Row],[SEMIGELATINA (N° CART.)]]*PE_SEMIGEL_65[PE],"")</f>
        <v/>
      </c>
      <c r="AU23" s="176" t="str">
        <f>+IF(BD_MO[N° VALE]&lt;&gt;"",BD_MO[[#This Row],[KG EXPLO SEMIGEL]]+BD_MO[[#This Row],[KG EXPLO PULVE]]+BD_MO[[#This Row],[KG EXPLO EMULN 3000]]+BD_MO[[#This Row],[KG EXPLO EMULN 1000]],"")</f>
        <v/>
      </c>
      <c r="AV23" s="172"/>
      <c r="AW23" s="172"/>
      <c r="AX23" s="172" t="str">
        <f>+IF(BD_MO[[#This Row],[MINERAL (U-35)]]&lt;&gt;"",BD_MO[[#This Row],[MINERAL (U-35)]]*1.45,"-")</f>
        <v>-</v>
      </c>
      <c r="AY23" s="172" t="str">
        <f>+IF(BD_MO[[#This Row],[DESMONTE (U-35)]]&lt;&gt;"",BD_MO[[#This Row],[DESMONTE (U-35)]]*1.23,"-")</f>
        <v>-</v>
      </c>
      <c r="AZ23" s="172">
        <v>2</v>
      </c>
      <c r="BA23" s="172"/>
      <c r="BB23" s="172"/>
      <c r="BC23" s="172"/>
      <c r="BD23" s="172"/>
      <c r="BE23" s="172"/>
      <c r="BF23" s="172"/>
      <c r="BG23" s="172">
        <v>4</v>
      </c>
      <c r="BH23" s="172"/>
      <c r="BI23" s="172"/>
      <c r="BJ23" s="172"/>
      <c r="BK23" s="172"/>
      <c r="BL23" s="172"/>
      <c r="BM23" s="172"/>
      <c r="BN23" s="171">
        <v>4.5</v>
      </c>
      <c r="BO23" s="172">
        <v>2</v>
      </c>
      <c r="BP23" s="172"/>
      <c r="BQ23" s="171"/>
      <c r="BR23" s="172"/>
      <c r="BS23" s="171"/>
      <c r="BT23" s="176"/>
      <c r="BU23" s="172"/>
      <c r="BV23" s="172"/>
      <c r="BW23" s="172"/>
      <c r="BX23" s="172"/>
      <c r="BY23" s="172"/>
      <c r="BZ23" s="172"/>
      <c r="CA23" s="172"/>
      <c r="CB23" s="172"/>
      <c r="CC23" s="172"/>
      <c r="CD23" s="172"/>
      <c r="CE23" s="172"/>
      <c r="CF23" s="172"/>
      <c r="CG23" s="172"/>
      <c r="CH23" s="172"/>
      <c r="CI23" s="172"/>
      <c r="CJ23" s="172"/>
      <c r="CK23" s="172"/>
      <c r="CL23" s="172">
        <v>3</v>
      </c>
      <c r="CM23" s="172">
        <v>3</v>
      </c>
      <c r="CN23" s="172"/>
      <c r="CO23" s="172">
        <v>6</v>
      </c>
      <c r="CP23" s="176">
        <f>+IF(BD_MO[[#This Row],[FECHA]]&lt;&gt;"",BD_MO[[#This Row],[PUNTAL 4"]]+BD_MO[[#This Row],[PUNTAL 5"]]+BD_MO[[#This Row],[PUNTAL 6"]]+BD_MO[[#This Row],[PUNTAL 7"]]+BD_MO[[#This Row],[PUNTAL 8"]],"")</f>
        <v>12</v>
      </c>
      <c r="CQ23" s="172"/>
      <c r="CR23" s="172"/>
      <c r="CS23" s="172">
        <v>4</v>
      </c>
      <c r="CT23" s="172"/>
      <c r="CU23" s="172"/>
      <c r="CV23" s="172"/>
      <c r="CW23" s="172"/>
      <c r="CX23" s="172"/>
      <c r="CY23" s="176"/>
      <c r="CZ2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805.16699999999992</v>
      </c>
      <c r="DA23" s="176">
        <f>+IF(BD_MO[[#This Row],[FECHA]]&lt;&gt;"",BD_MO[[#This Row],[DURMIENTE2]]*6.561+BD_MO[[#This Row],[LISTONES]]*4.921+BD_MO[[#This Row],[TABLA 1"x8"x3m]]*6.561+BD_MO[[#This Row],[TABLA 2"x8"x3m]]*13.122,"")</f>
        <v>0</v>
      </c>
      <c r="DB23" s="176">
        <f>+IF(BD_MO[[#This Row],[FECHA]]&lt;&gt;"",BD_MO[[#This Row],[PIE2 MADERA ASERRADA]]*1.95,"")</f>
        <v>0</v>
      </c>
      <c r="DC23" s="176">
        <f>+IF(BD_MO[[#This Row],[FECHA]]&lt;&gt;"",BD_MO[[#This Row],[KG. MADERA REDONDA]]+BD_MO[[#This Row],[KG MADERA ASERRADA]],"")</f>
        <v>805.16699999999992</v>
      </c>
      <c r="DD2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262.76</v>
      </c>
      <c r="DE23" s="172"/>
      <c r="DF23" s="172"/>
      <c r="DG23" s="172"/>
      <c r="DH23" s="172"/>
      <c r="DI23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3" s="180"/>
      <c r="DK23" s="180"/>
      <c r="DL23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3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3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3" s="181"/>
      <c r="DP23" s="56" t="str">
        <f>+IF(BD_MO[[#This Row],[M o D]]&lt;&gt;"",IF(BD_MO[[#This Row],[M o D]]="M",BD_MO[[#This Row],[ROTURA TMH]]/2.65,BD_MO[[#This Row],[ROTURA TMH]]/2.4),"")</f>
        <v/>
      </c>
      <c r="DQ23" s="180"/>
      <c r="DR23" s="116" t="str">
        <f>IF(BD_MO[[#This Row],[TIPO AVANCE]]="Avance",((BD_MO[[#This Row],[AVANCE (m)]]/BD_MO[[#This Row],[AVANCE TEÓRICO]]))," ")</f>
        <v xml:space="preserve"> </v>
      </c>
      <c r="DS23" s="134"/>
      <c r="DT23" s="134"/>
      <c r="DU23" s="134"/>
      <c r="DV23" s="134"/>
      <c r="DW23" s="134"/>
      <c r="DX23" s="135"/>
      <c r="DY23" s="135"/>
      <c r="DZ23" s="135"/>
    </row>
    <row r="24" spans="1:130" s="136" customFormat="1" ht="18" customHeight="1" x14ac:dyDescent="0.25">
      <c r="A24" s="168">
        <v>44653</v>
      </c>
      <c r="B24" s="169" t="s">
        <v>10647</v>
      </c>
      <c r="C24" s="169" t="s">
        <v>10680</v>
      </c>
      <c r="D24" s="170" t="s">
        <v>12128</v>
      </c>
      <c r="E24" s="171" t="str">
        <f>LEFT(BD_MO[[#This Row],[LABOR]],2)</f>
        <v>Tj</v>
      </c>
      <c r="F24" s="172"/>
      <c r="G24" s="172" t="s">
        <v>10662</v>
      </c>
      <c r="H2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24" s="171" t="str">
        <f>IF(BD_MO[FECHA]&lt;&gt;"",VLOOKUP(BD_MO[LABOR],TB_CECO[[LABOR]:[CECO_T]],3,FALSE),"")</f>
        <v>VANESSA</v>
      </c>
      <c r="J24" s="171" t="str">
        <f>IF(BD_MO[FECHA]&lt;&gt;"",VLOOKUP(BD_MO[LABOR],D_CECO!B:H,7,FALSE),"")</f>
        <v>TAJO</v>
      </c>
      <c r="K24" s="171" t="str">
        <f>IF(BD_MO[FECHA]&lt;&gt;"",VLOOKUP(BD_MO[LABOR],D_CECO!B:H,4,FALSE),"")</f>
        <v>EXPLOTACION</v>
      </c>
      <c r="L24" s="171"/>
      <c r="M24" s="169"/>
      <c r="N24" s="172"/>
      <c r="O24" s="173" t="s">
        <v>11976</v>
      </c>
      <c r="P24" s="173" t="s">
        <v>11924</v>
      </c>
      <c r="Q24" s="173"/>
      <c r="R24" s="174"/>
      <c r="S24" s="175" t="str">
        <f>IFERROR(VLOOKUP(BD_MO[DNI 4],#REF!,2,FALSE)," ")</f>
        <v xml:space="preserve"> </v>
      </c>
      <c r="T24" s="176">
        <f>+IF(BD_MO[[#This Row],[FECHA]]&lt;&gt;"",COUNTA(BD_MO[[#This Row],[DNI]],BD_MO[[#This Row],[DNI 2]],BD_MO[[#This Row],[DNI 3]],BD_MO[[#This Row],[DNI 4]]),"")</f>
        <v>2</v>
      </c>
      <c r="U24" s="176">
        <v>0.2</v>
      </c>
      <c r="V24" s="176">
        <v>0.1</v>
      </c>
      <c r="W24" s="176">
        <v>1.4</v>
      </c>
      <c r="X24" s="176">
        <v>0.3</v>
      </c>
      <c r="Y24" s="177">
        <f>SUM(BD_MO[[#This Row],[LIMP]:[SERV]])</f>
        <v>2</v>
      </c>
      <c r="Z24" s="172"/>
      <c r="AA24" s="172" t="str">
        <f>+IF(BD_MO[[#This Row],[N° VALE]]&lt;&gt;"",1,"")</f>
        <v/>
      </c>
      <c r="AB24" s="169"/>
      <c r="AC24" s="172"/>
      <c r="AD24" s="172" t="str">
        <f>+IF(BD_MO[[#This Row],[N° VALE]]&lt;&gt;"",BD_MO[[#This Row],[FULMINANTE N° 08]]+BD_MO[CARMEX 7''],"")</f>
        <v/>
      </c>
      <c r="AE24" s="172"/>
      <c r="AF24" s="172" t="str">
        <f>+IF(BD_MO[[#This Row],[N° VALE]]&lt;&gt;"",BD_MO[[#This Row],[N° TALADROS]]+BD_MO[[#This Row],[N° TAL. VACIOS]],"")</f>
        <v/>
      </c>
      <c r="AG24" s="178"/>
      <c r="AH24" s="178"/>
      <c r="AI24" s="178"/>
      <c r="AJ24" s="178"/>
      <c r="AK24" s="178"/>
      <c r="AL24" s="178"/>
      <c r="AM24" s="171"/>
      <c r="AN2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4" s="172" t="str">
        <f>+IF(BD_MO[[#This Row],[N° VALE]]&lt;&gt;"",IF(BD_MO[[#This Row],[FULMINANTE N° 08]]&lt;&gt;"",BD_MO[[#This Row],[FULMINANTE N° 08]],IF(BD_MO[[#This Row],[CARMEX 7'']]&lt;&gt;0,0,"")),"")</f>
        <v/>
      </c>
      <c r="AP24" s="176" t="str">
        <f>+IF(BD_MO[[#This Row],[N° VALE]]&lt;&gt;"",BD_MO[[#This Row],[N°  TOTAL TALADROS]]*BD_MO[[#This Row],[BARRA]]*0.95,"")</f>
        <v/>
      </c>
      <c r="AQ24" s="176" t="str">
        <f>+IF(BD_MO[[#This Row],[N° VALE]]&lt;&gt;"",BD_MO[[#This Row],[EMULNOR 1000 (N° CART.)]]*PE_EMUL_1000[PE],"")</f>
        <v/>
      </c>
      <c r="AR24" s="176" t="str">
        <f>+IF(BD_MO[[#This Row],[N° VALE]]&lt;&gt;"",BD_MO[[#This Row],[EMULNOR 3000 (N° CART.)]]*PE_EMUL_3000[PE],"")</f>
        <v/>
      </c>
      <c r="AS24" s="176" t="str">
        <f>+IF(BD_MO[[#This Row],[N° VALE]]&lt;&gt;"",BD_MO[[#This Row],[PULVERULENTA (N° CART.)]]*PE_PULV_65[PE],"")</f>
        <v/>
      </c>
      <c r="AT24" s="176" t="str">
        <f>+IF(BD_MO[[#This Row],[N° DISP]]&lt;&gt;"",BD_MO[[#This Row],[SEMIGELATINA (N° CART.)]]*PE_SEMIGEL_65[PE],"")</f>
        <v/>
      </c>
      <c r="AU24" s="176" t="str">
        <f>+IF(BD_MO[N° VALE]&lt;&gt;"",BD_MO[[#This Row],[KG EXPLO SEMIGEL]]+BD_MO[[#This Row],[KG EXPLO PULVE]]+BD_MO[[#This Row],[KG EXPLO EMULN 3000]]+BD_MO[[#This Row],[KG EXPLO EMULN 1000]],"")</f>
        <v/>
      </c>
      <c r="AV24" s="172"/>
      <c r="AW24" s="172"/>
      <c r="AX24" s="172" t="str">
        <f>+IF(BD_MO[[#This Row],[MINERAL (U-35)]]&lt;&gt;"",BD_MO[[#This Row],[MINERAL (U-35)]]*1.45,"-")</f>
        <v>-</v>
      </c>
      <c r="AY24" s="172" t="str">
        <f>+IF(BD_MO[[#This Row],[DESMONTE (U-35)]]&lt;&gt;"",BD_MO[[#This Row],[DESMONTE (U-35)]]*1.23,"-")</f>
        <v>-</v>
      </c>
      <c r="AZ24" s="172"/>
      <c r="BA24" s="172"/>
      <c r="BB24" s="172"/>
      <c r="BC24" s="172"/>
      <c r="BD24" s="172"/>
      <c r="BE24" s="172"/>
      <c r="BF24" s="172"/>
      <c r="BG24" s="172"/>
      <c r="BH24" s="172"/>
      <c r="BI24" s="172">
        <v>1</v>
      </c>
      <c r="BJ24" s="172"/>
      <c r="BK24" s="172"/>
      <c r="BL24" s="172"/>
      <c r="BM24" s="172"/>
      <c r="BN24" s="171">
        <v>3</v>
      </c>
      <c r="BO24" s="172"/>
      <c r="BP24" s="172"/>
      <c r="BQ24" s="171"/>
      <c r="BR24" s="172"/>
      <c r="BS24" s="171"/>
      <c r="BT24" s="176"/>
      <c r="BU24" s="172"/>
      <c r="BV24" s="172"/>
      <c r="BW24" s="172"/>
      <c r="BX24" s="172"/>
      <c r="BY24" s="172"/>
      <c r="BZ24" s="172"/>
      <c r="CA24" s="172">
        <v>9</v>
      </c>
      <c r="CB24" s="172"/>
      <c r="CC24" s="172"/>
      <c r="CD24" s="172"/>
      <c r="CE24" s="172"/>
      <c r="CF24" s="172"/>
      <c r="CG24" s="172"/>
      <c r="CH24" s="172"/>
      <c r="CI24" s="172"/>
      <c r="CJ24" s="172"/>
      <c r="CK24" s="172"/>
      <c r="CL24" s="172"/>
      <c r="CM24" s="172"/>
      <c r="CN24" s="172"/>
      <c r="CO24" s="172"/>
      <c r="CP24" s="176">
        <f>+IF(BD_MO[[#This Row],[FECHA]]&lt;&gt;"",BD_MO[[#This Row],[PUNTAL 4"]]+BD_MO[[#This Row],[PUNTAL 5"]]+BD_MO[[#This Row],[PUNTAL 6"]]+BD_MO[[#This Row],[PUNTAL 7"]]+BD_MO[[#This Row],[PUNTAL 8"]],"")</f>
        <v>0</v>
      </c>
      <c r="CQ24" s="172"/>
      <c r="CR24" s="172"/>
      <c r="CS24" s="172"/>
      <c r="CT24" s="172"/>
      <c r="CU24" s="172"/>
      <c r="CV24" s="172"/>
      <c r="CW24" s="172"/>
      <c r="CX24" s="172"/>
      <c r="CY24" s="176"/>
      <c r="CZ2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4" s="176">
        <f>+IF(BD_MO[[#This Row],[FECHA]]&lt;&gt;"",BD_MO[[#This Row],[DURMIENTE2]]*6.561+BD_MO[[#This Row],[LISTONES]]*4.921+BD_MO[[#This Row],[TABLA 1"x8"x3m]]*6.561+BD_MO[[#This Row],[TABLA 2"x8"x3m]]*13.122,"")</f>
        <v>0</v>
      </c>
      <c r="DB24" s="176">
        <f>+IF(BD_MO[[#This Row],[FECHA]]&lt;&gt;"",BD_MO[[#This Row],[PIE2 MADERA ASERRADA]]*1.95,"")</f>
        <v>0</v>
      </c>
      <c r="DC24" s="176">
        <f>+IF(BD_MO[[#This Row],[FECHA]]&lt;&gt;"",BD_MO[[#This Row],[KG. MADERA REDONDA]]+BD_MO[[#This Row],[KG MADERA ASERRADA]],"")</f>
        <v>0</v>
      </c>
      <c r="DD2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4" s="172"/>
      <c r="DF24" s="172"/>
      <c r="DG24" s="172"/>
      <c r="DH24" s="172"/>
      <c r="DI2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4" s="180"/>
      <c r="DK24" s="180"/>
      <c r="DL2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4" s="181"/>
      <c r="DP24" s="56" t="str">
        <f>+IF(BD_MO[[#This Row],[M o D]]&lt;&gt;"",IF(BD_MO[[#This Row],[M o D]]="M",BD_MO[[#This Row],[ROTURA TMH]]/2.65,BD_MO[[#This Row],[ROTURA TMH]]/2.4),"")</f>
        <v/>
      </c>
      <c r="DQ24" s="180"/>
      <c r="DR24" s="116" t="str">
        <f>IF(BD_MO[[#This Row],[TIPO AVANCE]]="Avance",((BD_MO[[#This Row],[AVANCE (m)]]/BD_MO[[#This Row],[AVANCE TEÓRICO]]))," ")</f>
        <v xml:space="preserve"> </v>
      </c>
      <c r="DS24" s="134"/>
      <c r="DT24" s="134"/>
      <c r="DU24" s="134"/>
      <c r="DV24" s="134"/>
      <c r="DW24" s="134"/>
      <c r="DX24" s="135"/>
      <c r="DY24" s="135"/>
      <c r="DZ24" s="135"/>
    </row>
    <row r="25" spans="1:130" s="136" customFormat="1" ht="18" customHeight="1" x14ac:dyDescent="0.25">
      <c r="A25" s="168">
        <v>44653</v>
      </c>
      <c r="B25" s="169" t="s">
        <v>10647</v>
      </c>
      <c r="C25" s="169" t="s">
        <v>10680</v>
      </c>
      <c r="D25" s="170" t="s">
        <v>12115</v>
      </c>
      <c r="E25" s="171" t="str">
        <f>LEFT(BD_MO[[#This Row],[LABOR]],2)</f>
        <v>Tj</v>
      </c>
      <c r="F25" s="172" t="s">
        <v>10950</v>
      </c>
      <c r="G25" s="172" t="s">
        <v>10648</v>
      </c>
      <c r="H25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5" s="171" t="str">
        <f>IF(BD_MO[FECHA]&lt;&gt;"",VLOOKUP(BD_MO[LABOR],TB_CECO[[LABOR]:[CECO_T]],3,FALSE),"")</f>
        <v>CACHORRO</v>
      </c>
      <c r="J25" s="171" t="str">
        <f>IF(BD_MO[FECHA]&lt;&gt;"",VLOOKUP(BD_MO[LABOR],D_CECO!B:H,7,FALSE),"")</f>
        <v>TAJO</v>
      </c>
      <c r="K25" s="171" t="str">
        <f>IF(BD_MO[FECHA]&lt;&gt;"",VLOOKUP(BD_MO[LABOR],D_CECO!B:H,4,FALSE),"")</f>
        <v>EXPLOTACION</v>
      </c>
      <c r="L25" s="171"/>
      <c r="M25" s="169" t="s">
        <v>10661</v>
      </c>
      <c r="N25" s="172"/>
      <c r="O25" s="173" t="s">
        <v>12101</v>
      </c>
      <c r="P25" s="173" t="s">
        <v>12151</v>
      </c>
      <c r="Q25" s="173"/>
      <c r="R25" s="174"/>
      <c r="S25" s="175" t="str">
        <f>IFERROR(VLOOKUP(BD_MO[DNI 4],#REF!,2,FALSE)," ")</f>
        <v xml:space="preserve"> </v>
      </c>
      <c r="T25" s="176">
        <f>+IF(BD_MO[[#This Row],[FECHA]]&lt;&gt;"",COUNTA(BD_MO[[#This Row],[DNI]],BD_MO[[#This Row],[DNI 2]],BD_MO[[#This Row],[DNI 3]],BD_MO[[#This Row],[DNI 4]]),"")</f>
        <v>2</v>
      </c>
      <c r="U25" s="176">
        <v>0.8</v>
      </c>
      <c r="V25" s="176">
        <v>0.2</v>
      </c>
      <c r="W25" s="176">
        <v>0.8</v>
      </c>
      <c r="X25" s="176">
        <v>0.2</v>
      </c>
      <c r="Y25" s="177">
        <f>SUM(BD_MO[[#This Row],[LIMP]:[SERV]])</f>
        <v>2</v>
      </c>
      <c r="Z25" s="172" t="s">
        <v>12153</v>
      </c>
      <c r="AA25" s="172">
        <f>+IF(BD_MO[[#This Row],[N° VALE]]&lt;&gt;"",1,"")</f>
        <v>1</v>
      </c>
      <c r="AB25" s="169" t="s">
        <v>10691</v>
      </c>
      <c r="AC25" s="172">
        <v>4</v>
      </c>
      <c r="AD25" s="172">
        <f>+IF(BD_MO[[#This Row],[N° VALE]]&lt;&gt;"",BD_MO[[#This Row],[FULMINANTE N° 08]]+BD_MO[CARMEX 7''],"")</f>
        <v>5</v>
      </c>
      <c r="AE25" s="172"/>
      <c r="AF25" s="172">
        <f>+IF(BD_MO[[#This Row],[N° VALE]]&lt;&gt;"",BD_MO[[#This Row],[N° TALADROS]]+BD_MO[[#This Row],[N° TAL. VACIOS]],"")</f>
        <v>5</v>
      </c>
      <c r="AG25" s="178"/>
      <c r="AH25" s="178">
        <v>20</v>
      </c>
      <c r="AI25" s="178"/>
      <c r="AJ25" s="178"/>
      <c r="AK25" s="178">
        <v>5</v>
      </c>
      <c r="AL25" s="178">
        <v>2</v>
      </c>
      <c r="AM25" s="171"/>
      <c r="AN25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5" s="172">
        <f>+IF(BD_MO[[#This Row],[N° VALE]]&lt;&gt;"",IF(BD_MO[[#This Row],[FULMINANTE N° 08]]&lt;&gt;"",BD_MO[[#This Row],[FULMINANTE N° 08]],IF(BD_MO[[#This Row],[CARMEX 7'']]&lt;&gt;0,0,"")),"")</f>
        <v>0</v>
      </c>
      <c r="AP25" s="176">
        <f>+IF(BD_MO[[#This Row],[N° VALE]]&lt;&gt;"",BD_MO[[#This Row],[N°  TOTAL TALADROS]]*BD_MO[[#This Row],[BARRA]]*0.95,"")</f>
        <v>19</v>
      </c>
      <c r="AQ25" s="176">
        <f>+IF(BD_MO[[#This Row],[N° VALE]]&lt;&gt;"",BD_MO[[#This Row],[EMULNOR 1000 (N° CART.)]]*PE_EMUL_1000[PE],"")</f>
        <v>1.8940000000000001</v>
      </c>
      <c r="AR25" s="176">
        <f>+IF(BD_MO[[#This Row],[N° VALE]]&lt;&gt;"",BD_MO[[#This Row],[EMULNOR 3000 (N° CART.)]]*PE_EMUL_3000[PE],"")</f>
        <v>0</v>
      </c>
      <c r="AS25" s="176">
        <f>+IF(BD_MO[[#This Row],[N° VALE]]&lt;&gt;"",BD_MO[[#This Row],[PULVERULENTA (N° CART.)]]*PE_PULV_65[PE],"")</f>
        <v>0</v>
      </c>
      <c r="AT25" s="176">
        <f>+IF(BD_MO[[#This Row],[N° DISP]]&lt;&gt;"",BD_MO[[#This Row],[SEMIGELATINA (N° CART.)]]*PE_SEMIGEL_65[PE],"")</f>
        <v>0</v>
      </c>
      <c r="AU25" s="176">
        <f>+IF(BD_MO[N° VALE]&lt;&gt;"",BD_MO[[#This Row],[KG EXPLO SEMIGEL]]+BD_MO[[#This Row],[KG EXPLO PULVE]]+BD_MO[[#This Row],[KG EXPLO EMULN 3000]]+BD_MO[[#This Row],[KG EXPLO EMULN 1000]],"")</f>
        <v>1.8940000000000001</v>
      </c>
      <c r="AV25" s="172">
        <v>4</v>
      </c>
      <c r="AW25" s="172"/>
      <c r="AX25" s="172">
        <f>+IF(BD_MO[[#This Row],[MINERAL (U-35)]]&lt;&gt;"",BD_MO[[#This Row],[MINERAL (U-35)]]*1.45,"-")</f>
        <v>5.8</v>
      </c>
      <c r="AY25" s="172" t="str">
        <f>+IF(BD_MO[[#This Row],[DESMONTE (U-35)]]&lt;&gt;"",BD_MO[[#This Row],[DESMONTE (U-35)]]*1.23,"-")</f>
        <v>-</v>
      </c>
      <c r="AZ25" s="172"/>
      <c r="BA25" s="172">
        <v>1</v>
      </c>
      <c r="BB25" s="172"/>
      <c r="BC25" s="172"/>
      <c r="BD25" s="172"/>
      <c r="BE25" s="172"/>
      <c r="BF25" s="172"/>
      <c r="BG25" s="172">
        <v>2</v>
      </c>
      <c r="BH25" s="172"/>
      <c r="BI25" s="172">
        <v>1</v>
      </c>
      <c r="BJ25" s="172"/>
      <c r="BK25" s="172"/>
      <c r="BL25" s="172"/>
      <c r="BM25" s="172"/>
      <c r="BN25" s="171"/>
      <c r="BO25" s="172">
        <v>2</v>
      </c>
      <c r="BP25" s="172"/>
      <c r="BQ25" s="171"/>
      <c r="BR25" s="172"/>
      <c r="BS25" s="171"/>
      <c r="BT25" s="176">
        <v>3.8</v>
      </c>
      <c r="BU25" s="172"/>
      <c r="BV25" s="172"/>
      <c r="BW25" s="172"/>
      <c r="BX25" s="172"/>
      <c r="BY25" s="172"/>
      <c r="BZ25" s="172"/>
      <c r="CA25" s="172"/>
      <c r="CB25" s="172"/>
      <c r="CC25" s="172"/>
      <c r="CD25" s="172"/>
      <c r="CE25" s="172"/>
      <c r="CF25" s="172"/>
      <c r="CG25" s="172"/>
      <c r="CH25" s="172"/>
      <c r="CI25" s="172"/>
      <c r="CJ25" s="172"/>
      <c r="CK25" s="172"/>
      <c r="CL25" s="172">
        <v>1</v>
      </c>
      <c r="CM25" s="172">
        <v>2</v>
      </c>
      <c r="CN25" s="172">
        <v>3</v>
      </c>
      <c r="CO25" s="172"/>
      <c r="CP25" s="176">
        <f>+IF(BD_MO[[#This Row],[FECHA]]&lt;&gt;"",BD_MO[[#This Row],[PUNTAL 4"]]+BD_MO[[#This Row],[PUNTAL 5"]]+BD_MO[[#This Row],[PUNTAL 6"]]+BD_MO[[#This Row],[PUNTAL 7"]]+BD_MO[[#This Row],[PUNTAL 8"]],"")</f>
        <v>6</v>
      </c>
      <c r="CQ25" s="172"/>
      <c r="CR25" s="172"/>
      <c r="CS25" s="172">
        <v>6</v>
      </c>
      <c r="CT25" s="172"/>
      <c r="CU25" s="172"/>
      <c r="CV25" s="172"/>
      <c r="CW25" s="172"/>
      <c r="CX25" s="172"/>
      <c r="CY25" s="176"/>
      <c r="CZ25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451.74800000000005</v>
      </c>
      <c r="DA25" s="176">
        <f>+IF(BD_MO[[#This Row],[FECHA]]&lt;&gt;"",BD_MO[[#This Row],[DURMIENTE2]]*6.561+BD_MO[[#This Row],[LISTONES]]*4.921+BD_MO[[#This Row],[TABLA 1"x8"x3m]]*6.561+BD_MO[[#This Row],[TABLA 2"x8"x3m]]*13.122,"")</f>
        <v>0</v>
      </c>
      <c r="DB25" s="176">
        <f>+IF(BD_MO[[#This Row],[FECHA]]&lt;&gt;"",BD_MO[[#This Row],[PIE2 MADERA ASERRADA]]*1.95,"")</f>
        <v>0</v>
      </c>
      <c r="DC25" s="176">
        <f>+IF(BD_MO[[#This Row],[FECHA]]&lt;&gt;"",BD_MO[[#This Row],[KG. MADERA REDONDA]]+BD_MO[[#This Row],[KG MADERA ASERRADA]],"")</f>
        <v>451.74800000000005</v>
      </c>
      <c r="DD25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180.54000000000002</v>
      </c>
      <c r="DE25" s="172"/>
      <c r="DF25" s="172"/>
      <c r="DG25" s="172"/>
      <c r="DH25" s="172"/>
      <c r="DI25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5" s="180"/>
      <c r="DK25" s="180"/>
      <c r="DL25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1.17</v>
      </c>
      <c r="DM25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1.2167999999999999</v>
      </c>
      <c r="DN25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5" s="181">
        <v>9.9634999999999998</v>
      </c>
      <c r="DP25" s="56">
        <f>+IF(BD_MO[[#This Row],[M o D]]&lt;&gt;"",IF(BD_MO[[#This Row],[M o D]]="M",BD_MO[[#This Row],[ROTURA TMH]]/2.65,BD_MO[[#This Row],[ROTURA TMH]]/2.4),"")</f>
        <v>3.759811320754717</v>
      </c>
      <c r="DQ25" s="180"/>
      <c r="DR25" s="116" t="str">
        <f>IF(BD_MO[[#This Row],[TIPO AVANCE]]="Avance",((BD_MO[[#This Row],[AVANCE (m)]]/BD_MO[[#This Row],[AVANCE TEÓRICO]]))," ")</f>
        <v xml:space="preserve"> </v>
      </c>
      <c r="DS25" s="134"/>
      <c r="DT25" s="134"/>
      <c r="DU25" s="134"/>
      <c r="DV25" s="134"/>
      <c r="DW25" s="134"/>
      <c r="DX25" s="135"/>
      <c r="DY25" s="135"/>
      <c r="DZ25" s="135"/>
    </row>
    <row r="26" spans="1:130" s="136" customFormat="1" ht="18" customHeight="1" x14ac:dyDescent="0.25">
      <c r="A26" s="168">
        <v>44653</v>
      </c>
      <c r="B26" s="169" t="s">
        <v>10647</v>
      </c>
      <c r="C26" s="169"/>
      <c r="D26" s="170" t="s">
        <v>12149</v>
      </c>
      <c r="E26" s="171" t="str">
        <f>LEFT(BD_MO[[#This Row],[LABOR]],2)</f>
        <v>Es</v>
      </c>
      <c r="F26" s="172" t="s">
        <v>10687</v>
      </c>
      <c r="G26" s="172" t="s">
        <v>10648</v>
      </c>
      <c r="H2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6" s="171" t="str">
        <f>IF(BD_MO[FECHA]&lt;&gt;"",VLOOKUP(BD_MO[LABOR],TB_CECO[[LABOR]:[CECO_T]],3,FALSE),"")</f>
        <v>VANESSA</v>
      </c>
      <c r="J26" s="171" t="str">
        <f>IF(BD_MO[FECHA]&lt;&gt;"",VLOOKUP(BD_MO[LABOR],D_CECO!B:H,7,FALSE),"")</f>
        <v>LINEAL</v>
      </c>
      <c r="K26" s="171" t="str">
        <f>IF(BD_MO[FECHA]&lt;&gt;"",VLOOKUP(BD_MO[LABOR],D_CECO!B:H,4,FALSE),"")</f>
        <v>EXPLORACION</v>
      </c>
      <c r="L26" s="171"/>
      <c r="M26" s="169" t="s">
        <v>10646</v>
      </c>
      <c r="N26" s="172"/>
      <c r="O26" s="173" t="s">
        <v>11904</v>
      </c>
      <c r="P26" s="173" t="s">
        <v>11926</v>
      </c>
      <c r="Q26" s="173"/>
      <c r="R26" s="174"/>
      <c r="S26" s="175" t="str">
        <f>IFERROR(VLOOKUP(BD_MO[DNI 4],#REF!,2,FALSE)," ")</f>
        <v xml:space="preserve"> </v>
      </c>
      <c r="T26" s="176">
        <v>1</v>
      </c>
      <c r="U26" s="176">
        <v>0.65</v>
      </c>
      <c r="V26" s="176">
        <v>0.3</v>
      </c>
      <c r="W26" s="176"/>
      <c r="X26" s="176">
        <v>0.05</v>
      </c>
      <c r="Y26" s="177">
        <f>SUM(BD_MO[[#This Row],[LIMP]:[SERV]])</f>
        <v>1</v>
      </c>
      <c r="Z26" s="172" t="s">
        <v>12154</v>
      </c>
      <c r="AA26" s="172">
        <f>+IF(BD_MO[[#This Row],[N° VALE]]&lt;&gt;"",1,"")</f>
        <v>1</v>
      </c>
      <c r="AB26" s="169" t="s">
        <v>10710</v>
      </c>
      <c r="AC26" s="172">
        <v>4</v>
      </c>
      <c r="AD26" s="172">
        <f>+IF(BD_MO[[#This Row],[N° VALE]]&lt;&gt;"",BD_MO[[#This Row],[FULMINANTE N° 08]]+BD_MO[CARMEX 7''],"")</f>
        <v>18</v>
      </c>
      <c r="AE26" s="172">
        <v>3</v>
      </c>
      <c r="AF26" s="172">
        <f>+IF(BD_MO[[#This Row],[N° VALE]]&lt;&gt;"",BD_MO[[#This Row],[N° TALADROS]]+BD_MO[[#This Row],[N° TAL. VACIOS]],"")</f>
        <v>21</v>
      </c>
      <c r="AG26" s="178">
        <v>21</v>
      </c>
      <c r="AH26" s="178">
        <v>73</v>
      </c>
      <c r="AI26" s="178"/>
      <c r="AJ26" s="178"/>
      <c r="AK26" s="178">
        <v>18</v>
      </c>
      <c r="AL26" s="178">
        <v>4</v>
      </c>
      <c r="AM26" s="171"/>
      <c r="AN26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6" s="172">
        <f>+IF(BD_MO[[#This Row],[N° VALE]]&lt;&gt;"",IF(BD_MO[[#This Row],[FULMINANTE N° 08]]&lt;&gt;"",BD_MO[[#This Row],[FULMINANTE N° 08]],IF(BD_MO[[#This Row],[CARMEX 7'']]&lt;&gt;0,0,"")),"")</f>
        <v>0</v>
      </c>
      <c r="AP26" s="176">
        <f>+IF(BD_MO[[#This Row],[N° VALE]]&lt;&gt;"",BD_MO[[#This Row],[N°  TOTAL TALADROS]]*BD_MO[[#This Row],[BARRA]]*0.95,"")</f>
        <v>79.8</v>
      </c>
      <c r="AQ26" s="176">
        <f>+IF(BD_MO[[#This Row],[N° VALE]]&lt;&gt;"",BD_MO[[#This Row],[EMULNOR 1000 (N° CART.)]]*PE_EMUL_1000[PE],"")</f>
        <v>6.9131</v>
      </c>
      <c r="AR26" s="176">
        <f>+IF(BD_MO[[#This Row],[N° VALE]]&lt;&gt;"",BD_MO[[#This Row],[EMULNOR 3000 (N° CART.)]]*PE_EMUL_3000[PE],"")</f>
        <v>2.0192307692307701</v>
      </c>
      <c r="AS26" s="176">
        <f>+IF(BD_MO[[#This Row],[N° VALE]]&lt;&gt;"",BD_MO[[#This Row],[PULVERULENTA (N° CART.)]]*PE_PULV_65[PE],"")</f>
        <v>0</v>
      </c>
      <c r="AT26" s="176">
        <f>+IF(BD_MO[[#This Row],[N° DISP]]&lt;&gt;"",BD_MO[[#This Row],[SEMIGELATINA (N° CART.)]]*PE_SEMIGEL_65[PE],"")</f>
        <v>0</v>
      </c>
      <c r="AU26" s="176">
        <f>+IF(BD_MO[N° VALE]&lt;&gt;"",BD_MO[[#This Row],[KG EXPLO SEMIGEL]]+BD_MO[[#This Row],[KG EXPLO PULVE]]+BD_MO[[#This Row],[KG EXPLO EMULN 3000]]+BD_MO[[#This Row],[KG EXPLO EMULN 1000]],"")</f>
        <v>8.9323307692307701</v>
      </c>
      <c r="AV26" s="172"/>
      <c r="AW26" s="172"/>
      <c r="AX26" s="172" t="str">
        <f>+IF(BD_MO[[#This Row],[MINERAL (U-35)]]&lt;&gt;"",BD_MO[[#This Row],[MINERAL (U-35)]]*1.45,"-")</f>
        <v>-</v>
      </c>
      <c r="AY26" s="172" t="str">
        <f>+IF(BD_MO[[#This Row],[DESMONTE (U-35)]]&lt;&gt;"",BD_MO[[#This Row],[DESMONTE (U-35)]]*1.23,"-")</f>
        <v>-</v>
      </c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2"/>
      <c r="BN26" s="171"/>
      <c r="BO26" s="172"/>
      <c r="BP26" s="172"/>
      <c r="BQ26" s="171"/>
      <c r="BR26" s="172"/>
      <c r="BS26" s="171"/>
      <c r="BT26" s="176"/>
      <c r="BU26" s="172"/>
      <c r="BV26" s="172"/>
      <c r="BW26" s="172"/>
      <c r="BX26" s="172"/>
      <c r="BY26" s="172"/>
      <c r="BZ26" s="172"/>
      <c r="CA26" s="172"/>
      <c r="CB26" s="172"/>
      <c r="CC26" s="172"/>
      <c r="CD26" s="172"/>
      <c r="CE26" s="172"/>
      <c r="CF26" s="172"/>
      <c r="CG26" s="172"/>
      <c r="CH26" s="172"/>
      <c r="CI26" s="172"/>
      <c r="CJ26" s="172"/>
      <c r="CK26" s="172"/>
      <c r="CL26" s="172"/>
      <c r="CM26" s="172"/>
      <c r="CN26" s="172"/>
      <c r="CO26" s="172"/>
      <c r="CP26" s="176">
        <f>+IF(BD_MO[[#This Row],[FECHA]]&lt;&gt;"",BD_MO[[#This Row],[PUNTAL 4"]]+BD_MO[[#This Row],[PUNTAL 5"]]+BD_MO[[#This Row],[PUNTAL 6"]]+BD_MO[[#This Row],[PUNTAL 7"]]+BD_MO[[#This Row],[PUNTAL 8"]],"")</f>
        <v>0</v>
      </c>
      <c r="CQ26" s="172"/>
      <c r="CR26" s="172"/>
      <c r="CS26" s="172"/>
      <c r="CT26" s="172"/>
      <c r="CU26" s="172"/>
      <c r="CV26" s="172"/>
      <c r="CW26" s="172"/>
      <c r="CX26" s="172"/>
      <c r="CY26" s="176"/>
      <c r="CZ2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6" s="176">
        <f>+IF(BD_MO[[#This Row],[FECHA]]&lt;&gt;"",BD_MO[[#This Row],[DURMIENTE2]]*6.561+BD_MO[[#This Row],[LISTONES]]*4.921+BD_MO[[#This Row],[TABLA 1"x8"x3m]]*6.561+BD_MO[[#This Row],[TABLA 2"x8"x3m]]*13.122,"")</f>
        <v>0</v>
      </c>
      <c r="DB26" s="176">
        <f>+IF(BD_MO[[#This Row],[FECHA]]&lt;&gt;"",BD_MO[[#This Row],[PIE2 MADERA ASERRADA]]*1.95,"")</f>
        <v>0</v>
      </c>
      <c r="DC26" s="176">
        <f>+IF(BD_MO[[#This Row],[FECHA]]&lt;&gt;"",BD_MO[[#This Row],[KG. MADERA REDONDA]]+BD_MO[[#This Row],[KG MADERA ASERRADA]],"")</f>
        <v>0</v>
      </c>
      <c r="DD2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6" s="172"/>
      <c r="DF26" s="172"/>
      <c r="DG26" s="172"/>
      <c r="DH26" s="172"/>
      <c r="DI26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6" s="180"/>
      <c r="DK26" s="180"/>
      <c r="DL2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6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6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6" s="181">
        <v>9.98</v>
      </c>
      <c r="DP26" s="56">
        <f>+IF(BD_MO[[#This Row],[M o D]]&lt;&gt;"",IF(BD_MO[[#This Row],[M o D]]="M",BD_MO[[#This Row],[ROTURA TMH]]/2.65,BD_MO[[#This Row],[ROTURA TMH]]/2.4),"")</f>
        <v>4.1583333333333341</v>
      </c>
      <c r="DQ26" s="180">
        <v>0.6</v>
      </c>
      <c r="DR26" s="116">
        <f>IF(BD_MO[[#This Row],[TIPO AVANCE]]="Avance",((BD_MO[[#This Row],[AVANCE (m)]]/BD_MO[[#This Row],[AVANCE TEÓRICO]]))," ")</f>
        <v>0.55555555555555547</v>
      </c>
      <c r="DS26" s="134"/>
      <c r="DT26" s="134"/>
      <c r="DU26" s="134"/>
      <c r="DV26" s="134"/>
      <c r="DW26" s="134"/>
      <c r="DX26" s="135"/>
      <c r="DY26" s="135"/>
      <c r="DZ26" s="135"/>
    </row>
    <row r="27" spans="1:130" s="136" customFormat="1" ht="18" customHeight="1" x14ac:dyDescent="0.25">
      <c r="A27" s="168">
        <v>44653</v>
      </c>
      <c r="B27" s="169" t="s">
        <v>10647</v>
      </c>
      <c r="C27" s="169" t="s">
        <v>10680</v>
      </c>
      <c r="D27" s="170" t="s">
        <v>12150</v>
      </c>
      <c r="E27" s="171" t="str">
        <f>LEFT(BD_MO[[#This Row],[LABOR]],2)</f>
        <v>Es</v>
      </c>
      <c r="F27" s="172" t="s">
        <v>10687</v>
      </c>
      <c r="G27" s="172" t="s">
        <v>10648</v>
      </c>
      <c r="H2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7" s="171" t="str">
        <f>IF(BD_MO[FECHA]&lt;&gt;"",VLOOKUP(BD_MO[LABOR],TB_CECO[[LABOR]:[CECO_T]],3,FALSE),"")</f>
        <v>VANESSA</v>
      </c>
      <c r="J27" s="171" t="str">
        <f>IF(BD_MO[FECHA]&lt;&gt;"",VLOOKUP(BD_MO[LABOR],D_CECO!B:H,7,FALSE),"")</f>
        <v>LINEAL</v>
      </c>
      <c r="K27" s="171" t="str">
        <f>IF(BD_MO[FECHA]&lt;&gt;"",VLOOKUP(BD_MO[LABOR],D_CECO!B:H,4,FALSE),"")</f>
        <v>EXPLORACION</v>
      </c>
      <c r="L27" s="171"/>
      <c r="M27" s="169" t="s">
        <v>10646</v>
      </c>
      <c r="N27" s="172"/>
      <c r="O27" s="173" t="s">
        <v>11904</v>
      </c>
      <c r="P27" s="173" t="s">
        <v>11926</v>
      </c>
      <c r="Q27" s="173"/>
      <c r="R27" s="174"/>
      <c r="S27" s="175" t="str">
        <f>IFERROR(VLOOKUP(BD_MO[DNI 4],#REF!,2,FALSE)," ")</f>
        <v xml:space="preserve"> </v>
      </c>
      <c r="T27" s="176">
        <v>1</v>
      </c>
      <c r="U27" s="176">
        <v>0.65</v>
      </c>
      <c r="V27" s="176">
        <v>0.3</v>
      </c>
      <c r="W27" s="176"/>
      <c r="X27" s="176">
        <v>0.05</v>
      </c>
      <c r="Y27" s="177">
        <f>SUM(BD_MO[[#This Row],[LIMP]:[SERV]])</f>
        <v>1</v>
      </c>
      <c r="Z27" s="172" t="s">
        <v>12155</v>
      </c>
      <c r="AA27" s="172">
        <f>+IF(BD_MO[[#This Row],[N° VALE]]&lt;&gt;"",1,"")</f>
        <v>1</v>
      </c>
      <c r="AB27" s="169" t="s">
        <v>10710</v>
      </c>
      <c r="AC27" s="172">
        <v>6</v>
      </c>
      <c r="AD27" s="172">
        <f>+IF(BD_MO[[#This Row],[N° VALE]]&lt;&gt;"",BD_MO[[#This Row],[FULMINANTE N° 08]]+BD_MO[CARMEX 7''],"")</f>
        <v>18</v>
      </c>
      <c r="AE27" s="172">
        <v>3</v>
      </c>
      <c r="AF27" s="172">
        <f>+IF(BD_MO[[#This Row],[N° VALE]]&lt;&gt;"",BD_MO[[#This Row],[N° TALADROS]]+BD_MO[[#This Row],[N° TAL. VACIOS]],"")</f>
        <v>21</v>
      </c>
      <c r="AG27" s="178">
        <v>21</v>
      </c>
      <c r="AH27" s="178">
        <v>73</v>
      </c>
      <c r="AI27" s="178"/>
      <c r="AJ27" s="178"/>
      <c r="AK27" s="178">
        <v>18</v>
      </c>
      <c r="AL27" s="178">
        <v>4</v>
      </c>
      <c r="AM27" s="171"/>
      <c r="AN27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7" s="172">
        <f>+IF(BD_MO[[#This Row],[N° VALE]]&lt;&gt;"",IF(BD_MO[[#This Row],[FULMINANTE N° 08]]&lt;&gt;"",BD_MO[[#This Row],[FULMINANTE N° 08]],IF(BD_MO[[#This Row],[CARMEX 7'']]&lt;&gt;0,0,"")),"")</f>
        <v>0</v>
      </c>
      <c r="AP27" s="176">
        <f>+IF(BD_MO[[#This Row],[N° VALE]]&lt;&gt;"",BD_MO[[#This Row],[N°  TOTAL TALADROS]]*BD_MO[[#This Row],[BARRA]]*0.95,"")</f>
        <v>119.69999999999999</v>
      </c>
      <c r="AQ27" s="176">
        <f>+IF(BD_MO[[#This Row],[N° VALE]]&lt;&gt;"",BD_MO[[#This Row],[EMULNOR 1000 (N° CART.)]]*PE_EMUL_1000[PE],"")</f>
        <v>6.9131</v>
      </c>
      <c r="AR27" s="176">
        <f>+IF(BD_MO[[#This Row],[N° VALE]]&lt;&gt;"",BD_MO[[#This Row],[EMULNOR 3000 (N° CART.)]]*PE_EMUL_3000[PE],"")</f>
        <v>2.0192307692307701</v>
      </c>
      <c r="AS27" s="176">
        <f>+IF(BD_MO[[#This Row],[N° VALE]]&lt;&gt;"",BD_MO[[#This Row],[PULVERULENTA (N° CART.)]]*PE_PULV_65[PE],"")</f>
        <v>0</v>
      </c>
      <c r="AT27" s="176">
        <f>+IF(BD_MO[[#This Row],[N° DISP]]&lt;&gt;"",BD_MO[[#This Row],[SEMIGELATINA (N° CART.)]]*PE_SEMIGEL_65[PE],"")</f>
        <v>0</v>
      </c>
      <c r="AU27" s="176">
        <f>+IF(BD_MO[N° VALE]&lt;&gt;"",BD_MO[[#This Row],[KG EXPLO SEMIGEL]]+BD_MO[[#This Row],[KG EXPLO PULVE]]+BD_MO[[#This Row],[KG EXPLO EMULN 3000]]+BD_MO[[#This Row],[KG EXPLO EMULN 1000]],"")</f>
        <v>8.9323307692307701</v>
      </c>
      <c r="AV27" s="172"/>
      <c r="AW27" s="172"/>
      <c r="AX27" s="172" t="str">
        <f>+IF(BD_MO[[#This Row],[MINERAL (U-35)]]&lt;&gt;"",BD_MO[[#This Row],[MINERAL (U-35)]]*1.45,"-")</f>
        <v>-</v>
      </c>
      <c r="AY27" s="172" t="str">
        <f>+IF(BD_MO[[#This Row],[DESMONTE (U-35)]]&lt;&gt;"",BD_MO[[#This Row],[DESMONTE (U-35)]]*1.23,"-")</f>
        <v>-</v>
      </c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71"/>
      <c r="BO27" s="172"/>
      <c r="BP27" s="172"/>
      <c r="BQ27" s="171"/>
      <c r="BR27" s="172"/>
      <c r="BS27" s="171"/>
      <c r="BT27" s="176"/>
      <c r="BU27" s="172"/>
      <c r="BV27" s="172"/>
      <c r="BW27" s="172"/>
      <c r="BX27" s="172"/>
      <c r="BY27" s="172"/>
      <c r="BZ27" s="172"/>
      <c r="CA27" s="172"/>
      <c r="CB27" s="172"/>
      <c r="CC27" s="172"/>
      <c r="CD27" s="172"/>
      <c r="CE27" s="172"/>
      <c r="CF27" s="172"/>
      <c r="CG27" s="172"/>
      <c r="CH27" s="172"/>
      <c r="CI27" s="172"/>
      <c r="CJ27" s="172"/>
      <c r="CK27" s="172"/>
      <c r="CL27" s="172"/>
      <c r="CM27" s="172"/>
      <c r="CN27" s="172"/>
      <c r="CO27" s="172"/>
      <c r="CP27" s="176">
        <f>+IF(BD_MO[[#This Row],[FECHA]]&lt;&gt;"",BD_MO[[#This Row],[PUNTAL 4"]]+BD_MO[[#This Row],[PUNTAL 5"]]+BD_MO[[#This Row],[PUNTAL 6"]]+BD_MO[[#This Row],[PUNTAL 7"]]+BD_MO[[#This Row],[PUNTAL 8"]],"")</f>
        <v>0</v>
      </c>
      <c r="CQ27" s="172"/>
      <c r="CR27" s="172"/>
      <c r="CS27" s="172"/>
      <c r="CT27" s="172"/>
      <c r="CU27" s="172"/>
      <c r="CV27" s="172"/>
      <c r="CW27" s="172"/>
      <c r="CX27" s="172"/>
      <c r="CY27" s="176"/>
      <c r="CZ2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7" s="176">
        <f>+IF(BD_MO[[#This Row],[FECHA]]&lt;&gt;"",BD_MO[[#This Row],[DURMIENTE2]]*6.561+BD_MO[[#This Row],[LISTONES]]*4.921+BD_MO[[#This Row],[TABLA 1"x8"x3m]]*6.561+BD_MO[[#This Row],[TABLA 2"x8"x3m]]*13.122,"")</f>
        <v>0</v>
      </c>
      <c r="DB27" s="176">
        <f>+IF(BD_MO[[#This Row],[FECHA]]&lt;&gt;"",BD_MO[[#This Row],[PIE2 MADERA ASERRADA]]*1.95,"")</f>
        <v>0</v>
      </c>
      <c r="DC27" s="176">
        <f>+IF(BD_MO[[#This Row],[FECHA]]&lt;&gt;"",BD_MO[[#This Row],[KG. MADERA REDONDA]]+BD_MO[[#This Row],[KG MADERA ASERRADA]],"")</f>
        <v>0</v>
      </c>
      <c r="DD2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7" s="172"/>
      <c r="DF27" s="172"/>
      <c r="DG27" s="172"/>
      <c r="DH27" s="172"/>
      <c r="DI27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1.62</v>
      </c>
      <c r="DJ27" s="180"/>
      <c r="DK27" s="180"/>
      <c r="DL2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7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7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7" s="181">
        <v>13</v>
      </c>
      <c r="DP27" s="56">
        <f>+IF(BD_MO[[#This Row],[M o D]]&lt;&gt;"",IF(BD_MO[[#This Row],[M o D]]="M",BD_MO[[#This Row],[ROTURA TMH]]/2.65,BD_MO[[#This Row],[ROTURA TMH]]/2.4),"")</f>
        <v>5.416666666666667</v>
      </c>
      <c r="DQ27" s="180">
        <v>1.78</v>
      </c>
      <c r="DR27" s="116">
        <f>IF(BD_MO[[#This Row],[TIPO AVANCE]]="Avance",((BD_MO[[#This Row],[AVANCE (m)]]/BD_MO[[#This Row],[AVANCE TEÓRICO]]))," ")</f>
        <v>1.0987654320987654</v>
      </c>
      <c r="DS27" s="134"/>
      <c r="DT27" s="134"/>
      <c r="DU27" s="134"/>
      <c r="DV27" s="134"/>
      <c r="DW27" s="134"/>
      <c r="DX27" s="135"/>
      <c r="DY27" s="135"/>
      <c r="DZ27" s="135"/>
    </row>
    <row r="28" spans="1:130" s="136" customFormat="1" ht="18" customHeight="1" x14ac:dyDescent="0.25">
      <c r="A28" s="168">
        <v>44653</v>
      </c>
      <c r="B28" s="169" t="s">
        <v>10647</v>
      </c>
      <c r="C28" s="169" t="s">
        <v>10680</v>
      </c>
      <c r="D28" s="94" t="s">
        <v>10952</v>
      </c>
      <c r="E28" s="171" t="str">
        <f>LEFT(BD_MO[[#This Row],[LABOR]],2)</f>
        <v>In</v>
      </c>
      <c r="F28" s="172"/>
      <c r="G28" s="172" t="s">
        <v>10669</v>
      </c>
      <c r="H28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8" s="171" t="str">
        <f>IF(BD_MO[FECHA]&lt;&gt;"",VLOOKUP(BD_MO[LABOR],TB_CECO[[LABOR]:[CECO_T]],3,FALSE),"")</f>
        <v>VANESSA</v>
      </c>
      <c r="J28" s="171" t="str">
        <f>IF(BD_MO[FECHA]&lt;&gt;"",VLOOKUP(BD_MO[LABOR],D_CECO!B:H,7,FALSE),"")</f>
        <v>LINEAL</v>
      </c>
      <c r="K28" s="171" t="str">
        <f>IF(BD_MO[FECHA]&lt;&gt;"",VLOOKUP(BD_MO[LABOR],D_CECO!B:H,4,FALSE),"")</f>
        <v>EXPLORACION</v>
      </c>
      <c r="L28" s="171"/>
      <c r="M28" s="169"/>
      <c r="N28" s="172"/>
      <c r="O28" s="173" t="s">
        <v>11925</v>
      </c>
      <c r="P28" s="173" t="s">
        <v>12102</v>
      </c>
      <c r="Q28" s="173"/>
      <c r="R28" s="174"/>
      <c r="S28" s="175" t="str">
        <f>IFERROR(VLOOKUP(BD_MO[DNI 4],#REF!,2,FALSE)," ")</f>
        <v xml:space="preserve"> </v>
      </c>
      <c r="T28" s="176">
        <f>+IF(BD_MO[[#This Row],[FECHA]]&lt;&gt;"",COUNTA(BD_MO[[#This Row],[DNI]],BD_MO[[#This Row],[DNI 2]],BD_MO[[#This Row],[DNI 3]],BD_MO[[#This Row],[DNI 4]]),"")</f>
        <v>2</v>
      </c>
      <c r="U28" s="176"/>
      <c r="V28" s="176"/>
      <c r="W28" s="176"/>
      <c r="X28" s="176">
        <v>2</v>
      </c>
      <c r="Y28" s="177">
        <f>SUM(BD_MO[[#This Row],[LIMP]:[SERV]])</f>
        <v>2</v>
      </c>
      <c r="Z28" s="172"/>
      <c r="AA28" s="172" t="str">
        <f>+IF(BD_MO[[#This Row],[N° VALE]]&lt;&gt;"",1,"")</f>
        <v/>
      </c>
      <c r="AB28" s="169"/>
      <c r="AC28" s="172"/>
      <c r="AD28" s="172" t="str">
        <f>+IF(BD_MO[[#This Row],[N° VALE]]&lt;&gt;"",BD_MO[[#This Row],[FULMINANTE N° 08]]+BD_MO[CARMEX 7''],"")</f>
        <v/>
      </c>
      <c r="AE28" s="172"/>
      <c r="AF28" s="172" t="str">
        <f>+IF(BD_MO[[#This Row],[N° VALE]]&lt;&gt;"",BD_MO[[#This Row],[N° TALADROS]]+BD_MO[[#This Row],[N° TAL. VACIOS]],"")</f>
        <v/>
      </c>
      <c r="AG28" s="178"/>
      <c r="AH28" s="178"/>
      <c r="AI28" s="178"/>
      <c r="AJ28" s="178"/>
      <c r="AK28" s="178"/>
      <c r="AL28" s="178"/>
      <c r="AM28" s="171"/>
      <c r="AN28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8" s="172" t="str">
        <f>+IF(BD_MO[[#This Row],[N° VALE]]&lt;&gt;"",IF(BD_MO[[#This Row],[FULMINANTE N° 08]]&lt;&gt;"",BD_MO[[#This Row],[FULMINANTE N° 08]],IF(BD_MO[[#This Row],[CARMEX 7'']]&lt;&gt;0,0,"")),"")</f>
        <v/>
      </c>
      <c r="AP28" s="176" t="str">
        <f>+IF(BD_MO[[#This Row],[N° VALE]]&lt;&gt;"",BD_MO[[#This Row],[N°  TOTAL TALADROS]]*BD_MO[[#This Row],[BARRA]]*0.95,"")</f>
        <v/>
      </c>
      <c r="AQ28" s="176" t="str">
        <f>+IF(BD_MO[[#This Row],[N° VALE]]&lt;&gt;"",BD_MO[[#This Row],[EMULNOR 1000 (N° CART.)]]*PE_EMUL_1000[PE],"")</f>
        <v/>
      </c>
      <c r="AR28" s="176" t="str">
        <f>+IF(BD_MO[[#This Row],[N° VALE]]&lt;&gt;"",BD_MO[[#This Row],[EMULNOR 3000 (N° CART.)]]*PE_EMUL_3000[PE],"")</f>
        <v/>
      </c>
      <c r="AS28" s="176" t="str">
        <f>+IF(BD_MO[[#This Row],[N° VALE]]&lt;&gt;"",BD_MO[[#This Row],[PULVERULENTA (N° CART.)]]*PE_PULV_65[PE],"")</f>
        <v/>
      </c>
      <c r="AT28" s="176" t="str">
        <f>+IF(BD_MO[[#This Row],[N° DISP]]&lt;&gt;"",BD_MO[[#This Row],[SEMIGELATINA (N° CART.)]]*PE_SEMIGEL_65[PE],"")</f>
        <v/>
      </c>
      <c r="AU28" s="176" t="str">
        <f>+IF(BD_MO[N° VALE]&lt;&gt;"",BD_MO[[#This Row],[KG EXPLO SEMIGEL]]+BD_MO[[#This Row],[KG EXPLO PULVE]]+BD_MO[[#This Row],[KG EXPLO EMULN 3000]]+BD_MO[[#This Row],[KG EXPLO EMULN 1000]],"")</f>
        <v/>
      </c>
      <c r="AV28" s="172"/>
      <c r="AW28" s="172">
        <v>9</v>
      </c>
      <c r="AX28" s="172" t="str">
        <f>+IF(BD_MO[[#This Row],[MINERAL (U-35)]]&lt;&gt;"",BD_MO[[#This Row],[MINERAL (U-35)]]*1.45,"-")</f>
        <v>-</v>
      </c>
      <c r="AY28" s="172">
        <f>+IF(BD_MO[[#This Row],[DESMONTE (U-35)]]&lt;&gt;"",BD_MO[[#This Row],[DESMONTE (U-35)]]*1.23,"-")</f>
        <v>11.07</v>
      </c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172"/>
      <c r="BN28" s="171"/>
      <c r="BO28" s="172"/>
      <c r="BP28" s="172"/>
      <c r="BQ28" s="171"/>
      <c r="BR28" s="172"/>
      <c r="BS28" s="171"/>
      <c r="BT28" s="176"/>
      <c r="BU28" s="172"/>
      <c r="BV28" s="172"/>
      <c r="BW28" s="172"/>
      <c r="BX28" s="172"/>
      <c r="BY28" s="172"/>
      <c r="BZ28" s="172"/>
      <c r="CA28" s="172"/>
      <c r="CB28" s="172"/>
      <c r="CC28" s="172"/>
      <c r="CD28" s="172"/>
      <c r="CE28" s="172"/>
      <c r="CF28" s="172"/>
      <c r="CG28" s="172"/>
      <c r="CH28" s="172"/>
      <c r="CI28" s="172"/>
      <c r="CJ28" s="172"/>
      <c r="CK28" s="172"/>
      <c r="CL28" s="172"/>
      <c r="CM28" s="172"/>
      <c r="CN28" s="172"/>
      <c r="CO28" s="172"/>
      <c r="CP28" s="176">
        <f>+IF(BD_MO[[#This Row],[FECHA]]&lt;&gt;"",BD_MO[[#This Row],[PUNTAL 4"]]+BD_MO[[#This Row],[PUNTAL 5"]]+BD_MO[[#This Row],[PUNTAL 6"]]+BD_MO[[#This Row],[PUNTAL 7"]]+BD_MO[[#This Row],[PUNTAL 8"]],"")</f>
        <v>0</v>
      </c>
      <c r="CQ28" s="172"/>
      <c r="CR28" s="172"/>
      <c r="CS28" s="172"/>
      <c r="CT28" s="172"/>
      <c r="CU28" s="172"/>
      <c r="CV28" s="172"/>
      <c r="CW28" s="172"/>
      <c r="CX28" s="172"/>
      <c r="CY28" s="176"/>
      <c r="CZ28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8" s="176">
        <f>+IF(BD_MO[[#This Row],[FECHA]]&lt;&gt;"",BD_MO[[#This Row],[DURMIENTE2]]*6.561+BD_MO[[#This Row],[LISTONES]]*4.921+BD_MO[[#This Row],[TABLA 1"x8"x3m]]*6.561+BD_MO[[#This Row],[TABLA 2"x8"x3m]]*13.122,"")</f>
        <v>0</v>
      </c>
      <c r="DB28" s="176">
        <f>+IF(BD_MO[[#This Row],[FECHA]]&lt;&gt;"",BD_MO[[#This Row],[PIE2 MADERA ASERRADA]]*1.95,"")</f>
        <v>0</v>
      </c>
      <c r="DC28" s="176">
        <f>+IF(BD_MO[[#This Row],[FECHA]]&lt;&gt;"",BD_MO[[#This Row],[KG. MADERA REDONDA]]+BD_MO[[#This Row],[KG MADERA ASERRADA]],"")</f>
        <v>0</v>
      </c>
      <c r="DD28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8" s="172"/>
      <c r="DF28" s="172"/>
      <c r="DG28" s="172"/>
      <c r="DH28" s="172"/>
      <c r="DI28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8" s="180"/>
      <c r="DK28" s="180"/>
      <c r="DL28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8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8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8" s="181"/>
      <c r="DP28" s="56" t="str">
        <f>+IF(BD_MO[[#This Row],[M o D]]&lt;&gt;"",IF(BD_MO[[#This Row],[M o D]]="M",BD_MO[[#This Row],[ROTURA TMH]]/2.65,BD_MO[[#This Row],[ROTURA TMH]]/2.4),"")</f>
        <v/>
      </c>
      <c r="DQ28" s="180"/>
      <c r="DR28" s="116" t="str">
        <f>IF(BD_MO[[#This Row],[TIPO AVANCE]]="Avance",((BD_MO[[#This Row],[AVANCE (m)]]/BD_MO[[#This Row],[AVANCE TEÓRICO]]))," ")</f>
        <v xml:space="preserve"> </v>
      </c>
      <c r="DS28" s="134"/>
      <c r="DT28" s="134"/>
      <c r="DU28" s="134"/>
      <c r="DV28" s="134"/>
      <c r="DW28" s="134"/>
      <c r="DX28" s="135"/>
      <c r="DY28" s="135"/>
      <c r="DZ28" s="135"/>
    </row>
    <row r="29" spans="1:130" s="136" customFormat="1" ht="18" customHeight="1" x14ac:dyDescent="0.25">
      <c r="A29" s="168">
        <v>44653</v>
      </c>
      <c r="B29" s="169" t="s">
        <v>10647</v>
      </c>
      <c r="C29" s="169" t="s">
        <v>10680</v>
      </c>
      <c r="D29" s="94" t="s">
        <v>11872</v>
      </c>
      <c r="E29" s="171" t="str">
        <f>LEFT(BD_MO[[#This Row],[LABOR]],2)</f>
        <v>PQ</v>
      </c>
      <c r="F29" s="172"/>
      <c r="G29" s="172" t="s">
        <v>10669</v>
      </c>
      <c r="H2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9" s="171" t="str">
        <f>IF(BD_MO[FECHA]&lt;&gt;"",VLOOKUP(BD_MO[LABOR],TB_CECO[[LABOR]:[CECO_T]],3,FALSE),"")</f>
        <v>ANDREA</v>
      </c>
      <c r="J29" s="171" t="str">
        <f>IF(BD_MO[FECHA]&lt;&gt;"",VLOOKUP(BD_MO[LABOR],D_CECO!B:H,7,FALSE),"")</f>
        <v>LINEAL</v>
      </c>
      <c r="K29" s="171" t="str">
        <f>IF(BD_MO[FECHA]&lt;&gt;"",VLOOKUP(BD_MO[LABOR],D_CECO!B:H,4,FALSE),"")</f>
        <v>EXPLOTACION</v>
      </c>
      <c r="L29" s="171"/>
      <c r="M29" s="169"/>
      <c r="N29" s="172"/>
      <c r="O29" s="173" t="s">
        <v>11908</v>
      </c>
      <c r="P29" s="173" t="s">
        <v>11905</v>
      </c>
      <c r="Q29" s="173" t="s">
        <v>12152</v>
      </c>
      <c r="R29" s="174"/>
      <c r="S29" s="175" t="str">
        <f>IFERROR(VLOOKUP(BD_MO[DNI 4],#REF!,2,FALSE)," ")</f>
        <v xml:space="preserve"> </v>
      </c>
      <c r="T29" s="176">
        <f>+IF(BD_MO[[#This Row],[FECHA]]&lt;&gt;"",COUNTA(BD_MO[[#This Row],[DNI]],BD_MO[[#This Row],[DNI 2]],BD_MO[[#This Row],[DNI 3]],BD_MO[[#This Row],[DNI 4]]),"")</f>
        <v>3</v>
      </c>
      <c r="U29" s="176"/>
      <c r="V29" s="176"/>
      <c r="W29" s="176"/>
      <c r="X29" s="176">
        <v>3</v>
      </c>
      <c r="Y29" s="177">
        <f>SUM(BD_MO[[#This Row],[LIMP]:[SERV]])</f>
        <v>3</v>
      </c>
      <c r="Z29" s="172"/>
      <c r="AA29" s="172" t="str">
        <f>+IF(BD_MO[[#This Row],[N° VALE]]&lt;&gt;"",1,"")</f>
        <v/>
      </c>
      <c r="AB29" s="169"/>
      <c r="AC29" s="172"/>
      <c r="AD29" s="172" t="str">
        <f>+IF(BD_MO[[#This Row],[N° VALE]]&lt;&gt;"",BD_MO[[#This Row],[FULMINANTE N° 08]]+BD_MO[CARMEX 7''],"")</f>
        <v/>
      </c>
      <c r="AE29" s="172"/>
      <c r="AF29" s="172" t="str">
        <f>+IF(BD_MO[[#This Row],[N° VALE]]&lt;&gt;"",BD_MO[[#This Row],[N° TALADROS]]+BD_MO[[#This Row],[N° TAL. VACIOS]],"")</f>
        <v/>
      </c>
      <c r="AG29" s="178"/>
      <c r="AH29" s="178"/>
      <c r="AI29" s="178"/>
      <c r="AJ29" s="178"/>
      <c r="AK29" s="178"/>
      <c r="AL29" s="178"/>
      <c r="AM29" s="171"/>
      <c r="AN29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9" s="172" t="str">
        <f>+IF(BD_MO[[#This Row],[N° VALE]]&lt;&gt;"",IF(BD_MO[[#This Row],[FULMINANTE N° 08]]&lt;&gt;"",BD_MO[[#This Row],[FULMINANTE N° 08]],IF(BD_MO[[#This Row],[CARMEX 7'']]&lt;&gt;0,0,"")),"")</f>
        <v/>
      </c>
      <c r="AP29" s="176" t="str">
        <f>+IF(BD_MO[[#This Row],[N° VALE]]&lt;&gt;"",BD_MO[[#This Row],[N°  TOTAL TALADROS]]*BD_MO[[#This Row],[BARRA]]*0.95,"")</f>
        <v/>
      </c>
      <c r="AQ29" s="176" t="str">
        <f>+IF(BD_MO[[#This Row],[N° VALE]]&lt;&gt;"",BD_MO[[#This Row],[EMULNOR 1000 (N° CART.)]]*PE_EMUL_1000[PE],"")</f>
        <v/>
      </c>
      <c r="AR29" s="176" t="str">
        <f>+IF(BD_MO[[#This Row],[N° VALE]]&lt;&gt;"",BD_MO[[#This Row],[EMULNOR 3000 (N° CART.)]]*PE_EMUL_3000[PE],"")</f>
        <v/>
      </c>
      <c r="AS29" s="176" t="str">
        <f>+IF(BD_MO[[#This Row],[N° VALE]]&lt;&gt;"",BD_MO[[#This Row],[PULVERULENTA (N° CART.)]]*PE_PULV_65[PE],"")</f>
        <v/>
      </c>
      <c r="AT29" s="176" t="str">
        <f>+IF(BD_MO[[#This Row],[N° DISP]]&lt;&gt;"",BD_MO[[#This Row],[SEMIGELATINA (N° CART.)]]*PE_SEMIGEL_65[PE],"")</f>
        <v/>
      </c>
      <c r="AU29" s="176" t="str">
        <f>+IF(BD_MO[N° VALE]&lt;&gt;"",BD_MO[[#This Row],[KG EXPLO SEMIGEL]]+BD_MO[[#This Row],[KG EXPLO PULVE]]+BD_MO[[#This Row],[KG EXPLO EMULN 3000]]+BD_MO[[#This Row],[KG EXPLO EMULN 1000]],"")</f>
        <v/>
      </c>
      <c r="AV29" s="172"/>
      <c r="AW29" s="172"/>
      <c r="AX29" s="172" t="str">
        <f>+IF(BD_MO[[#This Row],[MINERAL (U-35)]]&lt;&gt;"",BD_MO[[#This Row],[MINERAL (U-35)]]*1.45,"-")</f>
        <v>-</v>
      </c>
      <c r="AY29" s="172" t="str">
        <f>+IF(BD_MO[[#This Row],[DESMONTE (U-35)]]&lt;&gt;"",BD_MO[[#This Row],[DESMONTE (U-35)]]*1.23,"-")</f>
        <v>-</v>
      </c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  <c r="BK29" s="172"/>
      <c r="BL29" s="172"/>
      <c r="BM29" s="172"/>
      <c r="BN29" s="171"/>
      <c r="BO29" s="172"/>
      <c r="BP29" s="172"/>
      <c r="BQ29" s="171"/>
      <c r="BR29" s="172"/>
      <c r="BS29" s="171"/>
      <c r="BT29" s="176"/>
      <c r="BU29" s="172"/>
      <c r="BV29" s="172"/>
      <c r="BW29" s="172"/>
      <c r="BX29" s="172"/>
      <c r="BY29" s="172"/>
      <c r="BZ29" s="172"/>
      <c r="CA29" s="172"/>
      <c r="CB29" s="172"/>
      <c r="CC29" s="172"/>
      <c r="CD29" s="172"/>
      <c r="CE29" s="172"/>
      <c r="CF29" s="172"/>
      <c r="CG29" s="172"/>
      <c r="CH29" s="172"/>
      <c r="CI29" s="172"/>
      <c r="CJ29" s="172"/>
      <c r="CK29" s="172"/>
      <c r="CL29" s="172"/>
      <c r="CM29" s="172"/>
      <c r="CN29" s="172"/>
      <c r="CO29" s="172"/>
      <c r="CP29" s="176">
        <f>+IF(BD_MO[[#This Row],[FECHA]]&lt;&gt;"",BD_MO[[#This Row],[PUNTAL 4"]]+BD_MO[[#This Row],[PUNTAL 5"]]+BD_MO[[#This Row],[PUNTAL 6"]]+BD_MO[[#This Row],[PUNTAL 7"]]+BD_MO[[#This Row],[PUNTAL 8"]],"")</f>
        <v>0</v>
      </c>
      <c r="CQ29" s="172"/>
      <c r="CR29" s="172"/>
      <c r="CS29" s="172"/>
      <c r="CT29" s="172"/>
      <c r="CU29" s="172"/>
      <c r="CV29" s="172"/>
      <c r="CW29" s="172"/>
      <c r="CX29" s="172"/>
      <c r="CY29" s="176"/>
      <c r="CZ2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9" s="176">
        <f>+IF(BD_MO[[#This Row],[FECHA]]&lt;&gt;"",BD_MO[[#This Row],[DURMIENTE2]]*6.561+BD_MO[[#This Row],[LISTONES]]*4.921+BD_MO[[#This Row],[TABLA 1"x8"x3m]]*6.561+BD_MO[[#This Row],[TABLA 2"x8"x3m]]*13.122,"")</f>
        <v>0</v>
      </c>
      <c r="DB29" s="176">
        <f>+IF(BD_MO[[#This Row],[FECHA]]&lt;&gt;"",BD_MO[[#This Row],[PIE2 MADERA ASERRADA]]*1.95,"")</f>
        <v>0</v>
      </c>
      <c r="DC29" s="176">
        <f>+IF(BD_MO[[#This Row],[FECHA]]&lt;&gt;"",BD_MO[[#This Row],[KG. MADERA REDONDA]]+BD_MO[[#This Row],[KG MADERA ASERRADA]],"")</f>
        <v>0</v>
      </c>
      <c r="DD2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9" s="172"/>
      <c r="DF29" s="172"/>
      <c r="DG29" s="172"/>
      <c r="DH29" s="172"/>
      <c r="DI29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9" s="180"/>
      <c r="DK29" s="180"/>
      <c r="DL29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9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9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9" s="181"/>
      <c r="DP29" s="56" t="str">
        <f>+IF(BD_MO[[#This Row],[M o D]]&lt;&gt;"",IF(BD_MO[[#This Row],[M o D]]="M",BD_MO[[#This Row],[ROTURA TMH]]/2.65,BD_MO[[#This Row],[ROTURA TMH]]/2.4),"")</f>
        <v/>
      </c>
      <c r="DQ29" s="180"/>
      <c r="DR29" s="116" t="str">
        <f>IF(BD_MO[[#This Row],[TIPO AVANCE]]="Avance",((BD_MO[[#This Row],[AVANCE (m)]]/BD_MO[[#This Row],[AVANCE TEÓRICO]]))," ")</f>
        <v xml:space="preserve"> </v>
      </c>
      <c r="DS29" s="134"/>
      <c r="DT29" s="134"/>
      <c r="DU29" s="134"/>
      <c r="DV29" s="134"/>
      <c r="DW29" s="134"/>
      <c r="DX29" s="135"/>
      <c r="DY29" s="135"/>
      <c r="DZ29" s="135"/>
    </row>
    <row r="30" spans="1:130" s="136" customFormat="1" ht="18" customHeight="1" x14ac:dyDescent="0.25">
      <c r="A30" s="168">
        <v>44653</v>
      </c>
      <c r="B30" s="169" t="s">
        <v>10647</v>
      </c>
      <c r="C30" s="169" t="s">
        <v>10680</v>
      </c>
      <c r="D30" s="94" t="s">
        <v>10954</v>
      </c>
      <c r="E30" s="171" t="str">
        <f>LEFT(BD_MO[[#This Row],[LABOR]],2)</f>
        <v>MO</v>
      </c>
      <c r="F30" s="172"/>
      <c r="G30" s="172" t="s">
        <v>10669</v>
      </c>
      <c r="H3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0" s="171" t="str">
        <f>IF(BD_MO[FECHA]&lt;&gt;"",VLOOKUP(BD_MO[LABOR],TB_CECO[[LABOR]:[CECO_T]],3,FALSE),"")</f>
        <v>INCA</v>
      </c>
      <c r="J30" s="171" t="str">
        <f>IF(BD_MO[FECHA]&lt;&gt;"",VLOOKUP(BD_MO[LABOR],D_CECO!B:H,7,FALSE),"")</f>
        <v>SERVICIOS</v>
      </c>
      <c r="K30" s="171" t="str">
        <f>IF(BD_MO[FECHA]&lt;&gt;"",VLOOKUP(BD_MO[LABOR],D_CECO!B:H,4,FALSE),"")</f>
        <v>SERVICIOS</v>
      </c>
      <c r="L30" s="171"/>
      <c r="M30" s="169"/>
      <c r="N30" s="172"/>
      <c r="O30" s="173" t="s">
        <v>12117</v>
      </c>
      <c r="P30" s="173" t="s">
        <v>11907</v>
      </c>
      <c r="Q30" s="173"/>
      <c r="R30" s="174"/>
      <c r="S30" s="175" t="str">
        <f>IFERROR(VLOOKUP(BD_MO[DNI 4],#REF!,2,FALSE)," ")</f>
        <v xml:space="preserve"> </v>
      </c>
      <c r="T30" s="176">
        <f>+IF(BD_MO[[#This Row],[FECHA]]&lt;&gt;"",COUNTA(BD_MO[[#This Row],[DNI]],BD_MO[[#This Row],[DNI 2]],BD_MO[[#This Row],[DNI 3]],BD_MO[[#This Row],[DNI 4]]),"")</f>
        <v>2</v>
      </c>
      <c r="U30" s="176"/>
      <c r="V30" s="176"/>
      <c r="W30" s="176"/>
      <c r="X30" s="176">
        <v>2</v>
      </c>
      <c r="Y30" s="177">
        <f>SUM(BD_MO[[#This Row],[LIMP]:[SERV]])</f>
        <v>2</v>
      </c>
      <c r="Z30" s="172"/>
      <c r="AA30" s="172" t="str">
        <f>+IF(BD_MO[[#This Row],[N° VALE]]&lt;&gt;"",1,"")</f>
        <v/>
      </c>
      <c r="AB30" s="169"/>
      <c r="AC30" s="172"/>
      <c r="AD30" s="172" t="str">
        <f>+IF(BD_MO[[#This Row],[N° VALE]]&lt;&gt;"",BD_MO[[#This Row],[FULMINANTE N° 08]]+BD_MO[CARMEX 7''],"")</f>
        <v/>
      </c>
      <c r="AE30" s="172"/>
      <c r="AF30" s="172" t="str">
        <f>+IF(BD_MO[[#This Row],[N° VALE]]&lt;&gt;"",BD_MO[[#This Row],[N° TALADROS]]+BD_MO[[#This Row],[N° TAL. VACIOS]],"")</f>
        <v/>
      </c>
      <c r="AG30" s="178"/>
      <c r="AH30" s="178"/>
      <c r="AI30" s="178"/>
      <c r="AJ30" s="178"/>
      <c r="AK30" s="178"/>
      <c r="AL30" s="178"/>
      <c r="AM30" s="171"/>
      <c r="AN30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0" s="172" t="str">
        <f>+IF(BD_MO[[#This Row],[N° VALE]]&lt;&gt;"",IF(BD_MO[[#This Row],[FULMINANTE N° 08]]&lt;&gt;"",BD_MO[[#This Row],[FULMINANTE N° 08]],IF(BD_MO[[#This Row],[CARMEX 7'']]&lt;&gt;0,0,"")),"")</f>
        <v/>
      </c>
      <c r="AP30" s="176" t="str">
        <f>+IF(BD_MO[[#This Row],[N° VALE]]&lt;&gt;"",BD_MO[[#This Row],[N°  TOTAL TALADROS]]*BD_MO[[#This Row],[BARRA]]*0.95,"")</f>
        <v/>
      </c>
      <c r="AQ30" s="176" t="str">
        <f>+IF(BD_MO[[#This Row],[N° VALE]]&lt;&gt;"",BD_MO[[#This Row],[EMULNOR 1000 (N° CART.)]]*PE_EMUL_1000[PE],"")</f>
        <v/>
      </c>
      <c r="AR30" s="176" t="str">
        <f>+IF(BD_MO[[#This Row],[N° VALE]]&lt;&gt;"",BD_MO[[#This Row],[EMULNOR 3000 (N° CART.)]]*PE_EMUL_3000[PE],"")</f>
        <v/>
      </c>
      <c r="AS30" s="176" t="str">
        <f>+IF(BD_MO[[#This Row],[N° VALE]]&lt;&gt;"",BD_MO[[#This Row],[PULVERULENTA (N° CART.)]]*PE_PULV_65[PE],"")</f>
        <v/>
      </c>
      <c r="AT30" s="176" t="str">
        <f>+IF(BD_MO[[#This Row],[N° DISP]]&lt;&gt;"",BD_MO[[#This Row],[SEMIGELATINA (N° CART.)]]*PE_SEMIGEL_65[PE],"")</f>
        <v/>
      </c>
      <c r="AU30" s="176" t="str">
        <f>+IF(BD_MO[N° VALE]&lt;&gt;"",BD_MO[[#This Row],[KG EXPLO SEMIGEL]]+BD_MO[[#This Row],[KG EXPLO PULVE]]+BD_MO[[#This Row],[KG EXPLO EMULN 3000]]+BD_MO[[#This Row],[KG EXPLO EMULN 1000]],"")</f>
        <v/>
      </c>
      <c r="AV30" s="172"/>
      <c r="AW30" s="172"/>
      <c r="AX30" s="172" t="str">
        <f>+IF(BD_MO[[#This Row],[MINERAL (U-35)]]&lt;&gt;"",BD_MO[[#This Row],[MINERAL (U-35)]]*1.45,"-")</f>
        <v>-</v>
      </c>
      <c r="AY30" s="172" t="str">
        <f>+IF(BD_MO[[#This Row],[DESMONTE (U-35)]]&lt;&gt;"",BD_MO[[#This Row],[DESMONTE (U-35)]]*1.23,"-")</f>
        <v>-</v>
      </c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1"/>
      <c r="BO30" s="172"/>
      <c r="BP30" s="172"/>
      <c r="BQ30" s="171"/>
      <c r="BR30" s="172"/>
      <c r="BS30" s="171"/>
      <c r="BT30" s="176"/>
      <c r="BU30" s="172"/>
      <c r="BV30" s="172"/>
      <c r="BW30" s="172"/>
      <c r="BX30" s="172"/>
      <c r="BY30" s="172"/>
      <c r="BZ30" s="172"/>
      <c r="CA30" s="172"/>
      <c r="CB30" s="172"/>
      <c r="CC30" s="172"/>
      <c r="CD30" s="172"/>
      <c r="CE30" s="172"/>
      <c r="CF30" s="172"/>
      <c r="CG30" s="172"/>
      <c r="CH30" s="172"/>
      <c r="CI30" s="172"/>
      <c r="CJ30" s="172"/>
      <c r="CK30" s="172"/>
      <c r="CL30" s="172"/>
      <c r="CM30" s="172"/>
      <c r="CN30" s="172"/>
      <c r="CO30" s="172"/>
      <c r="CP30" s="176">
        <f>+IF(BD_MO[[#This Row],[FECHA]]&lt;&gt;"",BD_MO[[#This Row],[PUNTAL 4"]]+BD_MO[[#This Row],[PUNTAL 5"]]+BD_MO[[#This Row],[PUNTAL 6"]]+BD_MO[[#This Row],[PUNTAL 7"]]+BD_MO[[#This Row],[PUNTAL 8"]],"")</f>
        <v>0</v>
      </c>
      <c r="CQ30" s="172"/>
      <c r="CR30" s="172"/>
      <c r="CS30" s="172"/>
      <c r="CT30" s="172"/>
      <c r="CU30" s="172"/>
      <c r="CV30" s="172"/>
      <c r="CW30" s="172"/>
      <c r="CX30" s="172"/>
      <c r="CY30" s="176"/>
      <c r="CZ3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0" s="176">
        <f>+IF(BD_MO[[#This Row],[FECHA]]&lt;&gt;"",BD_MO[[#This Row],[DURMIENTE2]]*6.561+BD_MO[[#This Row],[LISTONES]]*4.921+BD_MO[[#This Row],[TABLA 1"x8"x3m]]*6.561+BD_MO[[#This Row],[TABLA 2"x8"x3m]]*13.122,"")</f>
        <v>0</v>
      </c>
      <c r="DB30" s="176">
        <f>+IF(BD_MO[[#This Row],[FECHA]]&lt;&gt;"",BD_MO[[#This Row],[PIE2 MADERA ASERRADA]]*1.95,"")</f>
        <v>0</v>
      </c>
      <c r="DC30" s="176">
        <f>+IF(BD_MO[[#This Row],[FECHA]]&lt;&gt;"",BD_MO[[#This Row],[KG. MADERA REDONDA]]+BD_MO[[#This Row],[KG MADERA ASERRADA]],"")</f>
        <v>0</v>
      </c>
      <c r="DD3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0" s="172"/>
      <c r="DF30" s="172"/>
      <c r="DG30" s="172"/>
      <c r="DH30" s="172"/>
      <c r="DI30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0" s="180"/>
      <c r="DK30" s="180"/>
      <c r="DL30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0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0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0" s="181"/>
      <c r="DP30" s="56" t="str">
        <f>+IF(BD_MO[[#This Row],[M o D]]&lt;&gt;"",IF(BD_MO[[#This Row],[M o D]]="M",BD_MO[[#This Row],[ROTURA TMH]]/2.65,BD_MO[[#This Row],[ROTURA TMH]]/2.4),"")</f>
        <v/>
      </c>
      <c r="DQ30" s="180"/>
      <c r="DR30" s="116" t="str">
        <f>IF(BD_MO[[#This Row],[TIPO AVANCE]]="Avance",((BD_MO[[#This Row],[AVANCE (m)]]/BD_MO[[#This Row],[AVANCE TEÓRICO]]))," ")</f>
        <v xml:space="preserve"> </v>
      </c>
      <c r="DS30" s="134"/>
      <c r="DT30" s="134"/>
      <c r="DU30" s="134"/>
      <c r="DV30" s="134"/>
      <c r="DW30" s="134"/>
      <c r="DX30" s="135"/>
      <c r="DY30" s="135"/>
      <c r="DZ30" s="135"/>
    </row>
    <row r="31" spans="1:130" s="136" customFormat="1" ht="18" customHeight="1" x14ac:dyDescent="0.25">
      <c r="A31" s="168">
        <v>44653</v>
      </c>
      <c r="B31" s="169" t="s">
        <v>10647</v>
      </c>
      <c r="C31" s="169" t="s">
        <v>10680</v>
      </c>
      <c r="D31" s="170" t="s">
        <v>10717</v>
      </c>
      <c r="E31" s="171" t="str">
        <f>LEFT(BD_MO[[#This Row],[LABOR]],2)</f>
        <v>BO</v>
      </c>
      <c r="F31" s="172"/>
      <c r="G31" s="172" t="s">
        <v>10669</v>
      </c>
      <c r="H31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1" s="171" t="str">
        <f>IF(BD_MO[FECHA]&lt;&gt;"",VLOOKUP(BD_MO[LABOR],TB_CECO[[LABOR]:[CECO_T]],3,FALSE),"")</f>
        <v>CACHORRO</v>
      </c>
      <c r="J31" s="171" t="str">
        <f>IF(BD_MO[FECHA]&lt;&gt;"",VLOOKUP(BD_MO[LABOR],D_CECO!B:H,7,FALSE),"")</f>
        <v>SERVICIOS</v>
      </c>
      <c r="K31" s="171" t="str">
        <f>IF(BD_MO[FECHA]&lt;&gt;"",VLOOKUP(BD_MO[LABOR],D_CECO!B:H,4,FALSE),"")</f>
        <v>SERVICIOS</v>
      </c>
      <c r="L31" s="171"/>
      <c r="M31" s="169"/>
      <c r="N31" s="172"/>
      <c r="O31" s="173" t="s">
        <v>11909</v>
      </c>
      <c r="P31" s="173"/>
      <c r="Q31" s="173"/>
      <c r="R31" s="174"/>
      <c r="S31" s="175" t="str">
        <f>IFERROR(VLOOKUP(BD_MO[DNI 4],#REF!,2,FALSE)," ")</f>
        <v xml:space="preserve"> </v>
      </c>
      <c r="T31" s="176">
        <f>+IF(BD_MO[[#This Row],[FECHA]]&lt;&gt;"",COUNTA(BD_MO[[#This Row],[DNI]],BD_MO[[#This Row],[DNI 2]],BD_MO[[#This Row],[DNI 3]],BD_MO[[#This Row],[DNI 4]]),"")</f>
        <v>1</v>
      </c>
      <c r="U31" s="176"/>
      <c r="V31" s="176"/>
      <c r="W31" s="176"/>
      <c r="X31" s="176">
        <v>1</v>
      </c>
      <c r="Y31" s="177">
        <f>SUM(BD_MO[[#This Row],[LIMP]:[SERV]])</f>
        <v>1</v>
      </c>
      <c r="Z31" s="172"/>
      <c r="AA31" s="172" t="str">
        <f>+IF(BD_MO[[#This Row],[N° VALE]]&lt;&gt;"",1,"")</f>
        <v/>
      </c>
      <c r="AB31" s="169"/>
      <c r="AC31" s="172"/>
      <c r="AD31" s="172" t="str">
        <f>+IF(BD_MO[[#This Row],[N° VALE]]&lt;&gt;"",BD_MO[[#This Row],[FULMINANTE N° 08]]+BD_MO[CARMEX 7''],"")</f>
        <v/>
      </c>
      <c r="AE31" s="172"/>
      <c r="AF31" s="172" t="str">
        <f>+IF(BD_MO[[#This Row],[N° VALE]]&lt;&gt;"",BD_MO[[#This Row],[N° TALADROS]]+BD_MO[[#This Row],[N° TAL. VACIOS]],"")</f>
        <v/>
      </c>
      <c r="AG31" s="178"/>
      <c r="AH31" s="178"/>
      <c r="AI31" s="178"/>
      <c r="AJ31" s="178"/>
      <c r="AK31" s="178"/>
      <c r="AL31" s="178"/>
      <c r="AM31" s="171"/>
      <c r="AN31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1" s="172" t="str">
        <f>+IF(BD_MO[[#This Row],[N° VALE]]&lt;&gt;"",IF(BD_MO[[#This Row],[FULMINANTE N° 08]]&lt;&gt;"",BD_MO[[#This Row],[FULMINANTE N° 08]],IF(BD_MO[[#This Row],[CARMEX 7'']]&lt;&gt;0,0,"")),"")</f>
        <v/>
      </c>
      <c r="AP31" s="176" t="str">
        <f>+IF(BD_MO[[#This Row],[N° VALE]]&lt;&gt;"",BD_MO[[#This Row],[N°  TOTAL TALADROS]]*BD_MO[[#This Row],[BARRA]]*0.95,"")</f>
        <v/>
      </c>
      <c r="AQ31" s="176" t="str">
        <f>+IF(BD_MO[[#This Row],[N° VALE]]&lt;&gt;"",BD_MO[[#This Row],[EMULNOR 1000 (N° CART.)]]*PE_EMUL_1000[PE],"")</f>
        <v/>
      </c>
      <c r="AR31" s="176" t="str">
        <f>+IF(BD_MO[[#This Row],[N° VALE]]&lt;&gt;"",BD_MO[[#This Row],[EMULNOR 3000 (N° CART.)]]*PE_EMUL_3000[PE],"")</f>
        <v/>
      </c>
      <c r="AS31" s="176" t="str">
        <f>+IF(BD_MO[[#This Row],[N° VALE]]&lt;&gt;"",BD_MO[[#This Row],[PULVERULENTA (N° CART.)]]*PE_PULV_65[PE],"")</f>
        <v/>
      </c>
      <c r="AT31" s="176" t="str">
        <f>+IF(BD_MO[[#This Row],[N° DISP]]&lt;&gt;"",BD_MO[[#This Row],[SEMIGELATINA (N° CART.)]]*PE_SEMIGEL_65[PE],"")</f>
        <v/>
      </c>
      <c r="AU31" s="176" t="str">
        <f>+IF(BD_MO[N° VALE]&lt;&gt;"",BD_MO[[#This Row],[KG EXPLO SEMIGEL]]+BD_MO[[#This Row],[KG EXPLO PULVE]]+BD_MO[[#This Row],[KG EXPLO EMULN 3000]]+BD_MO[[#This Row],[KG EXPLO EMULN 1000]],"")</f>
        <v/>
      </c>
      <c r="AV31" s="172"/>
      <c r="AW31" s="172"/>
      <c r="AX31" s="172" t="str">
        <f>+IF(BD_MO[[#This Row],[MINERAL (U-35)]]&lt;&gt;"",BD_MO[[#This Row],[MINERAL (U-35)]]*1.45,"-")</f>
        <v>-</v>
      </c>
      <c r="AY31" s="172" t="str">
        <f>+IF(BD_MO[[#This Row],[DESMONTE (U-35)]]&lt;&gt;"",BD_MO[[#This Row],[DESMONTE (U-35)]]*1.23,"-")</f>
        <v>-</v>
      </c>
      <c r="AZ31" s="172"/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  <c r="BK31" s="172"/>
      <c r="BL31" s="172"/>
      <c r="BM31" s="172"/>
      <c r="BN31" s="171"/>
      <c r="BO31" s="172"/>
      <c r="BP31" s="172"/>
      <c r="BQ31" s="171"/>
      <c r="BR31" s="172"/>
      <c r="BS31" s="171"/>
      <c r="BT31" s="176"/>
      <c r="BU31" s="172"/>
      <c r="BV31" s="172"/>
      <c r="BW31" s="172"/>
      <c r="BX31" s="172"/>
      <c r="BY31" s="172"/>
      <c r="BZ31" s="172"/>
      <c r="CA31" s="172"/>
      <c r="CB31" s="172"/>
      <c r="CC31" s="172"/>
      <c r="CD31" s="172"/>
      <c r="CE31" s="172"/>
      <c r="CF31" s="172"/>
      <c r="CG31" s="172"/>
      <c r="CH31" s="172"/>
      <c r="CI31" s="172"/>
      <c r="CJ31" s="172"/>
      <c r="CK31" s="172"/>
      <c r="CL31" s="172"/>
      <c r="CM31" s="172"/>
      <c r="CN31" s="172"/>
      <c r="CO31" s="172"/>
      <c r="CP31" s="176">
        <f>+IF(BD_MO[[#This Row],[FECHA]]&lt;&gt;"",BD_MO[[#This Row],[PUNTAL 4"]]+BD_MO[[#This Row],[PUNTAL 5"]]+BD_MO[[#This Row],[PUNTAL 6"]]+BD_MO[[#This Row],[PUNTAL 7"]]+BD_MO[[#This Row],[PUNTAL 8"]],"")</f>
        <v>0</v>
      </c>
      <c r="CQ31" s="172"/>
      <c r="CR31" s="172"/>
      <c r="CS31" s="172"/>
      <c r="CT31" s="172"/>
      <c r="CU31" s="172"/>
      <c r="CV31" s="172"/>
      <c r="CW31" s="172"/>
      <c r="CX31" s="172"/>
      <c r="CY31" s="176"/>
      <c r="CZ31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1" s="176">
        <f>+IF(BD_MO[[#This Row],[FECHA]]&lt;&gt;"",BD_MO[[#This Row],[DURMIENTE2]]*6.561+BD_MO[[#This Row],[LISTONES]]*4.921+BD_MO[[#This Row],[TABLA 1"x8"x3m]]*6.561+BD_MO[[#This Row],[TABLA 2"x8"x3m]]*13.122,"")</f>
        <v>0</v>
      </c>
      <c r="DB31" s="176">
        <f>+IF(BD_MO[[#This Row],[FECHA]]&lt;&gt;"",BD_MO[[#This Row],[PIE2 MADERA ASERRADA]]*1.95,"")</f>
        <v>0</v>
      </c>
      <c r="DC31" s="176">
        <f>+IF(BD_MO[[#This Row],[FECHA]]&lt;&gt;"",BD_MO[[#This Row],[KG. MADERA REDONDA]]+BD_MO[[#This Row],[KG MADERA ASERRADA]],"")</f>
        <v>0</v>
      </c>
      <c r="DD31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1" s="172"/>
      <c r="DF31" s="172"/>
      <c r="DG31" s="172"/>
      <c r="DH31" s="172"/>
      <c r="DI31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1" s="180"/>
      <c r="DK31" s="180"/>
      <c r="DL31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1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1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1" s="181"/>
      <c r="DP31" s="56" t="str">
        <f>+IF(BD_MO[[#This Row],[M o D]]&lt;&gt;"",IF(BD_MO[[#This Row],[M o D]]="M",BD_MO[[#This Row],[ROTURA TMH]]/2.65,BD_MO[[#This Row],[ROTURA TMH]]/2.4),"")</f>
        <v/>
      </c>
      <c r="DQ31" s="180"/>
      <c r="DR31" s="116" t="str">
        <f>IF(BD_MO[[#This Row],[TIPO AVANCE]]="Avance",((BD_MO[[#This Row],[AVANCE (m)]]/BD_MO[[#This Row],[AVANCE TEÓRICO]]))," ")</f>
        <v xml:space="preserve"> </v>
      </c>
      <c r="DS31" s="134"/>
      <c r="DT31" s="134"/>
      <c r="DU31" s="134"/>
      <c r="DV31" s="134"/>
      <c r="DW31" s="134"/>
      <c r="DX31" s="135"/>
      <c r="DY31" s="135"/>
      <c r="DZ31" s="135"/>
    </row>
    <row r="32" spans="1:130" s="112" customFormat="1" ht="18" customHeight="1" thickBot="1" x14ac:dyDescent="0.3">
      <c r="A32" s="183">
        <v>44653</v>
      </c>
      <c r="B32" s="184" t="s">
        <v>10647</v>
      </c>
      <c r="C32" s="184" t="s">
        <v>10680</v>
      </c>
      <c r="D32" s="185" t="s">
        <v>10951</v>
      </c>
      <c r="E32" s="186" t="str">
        <f>LEFT(BD_MO[[#This Row],[LABOR]],2)</f>
        <v>In</v>
      </c>
      <c r="F32" s="187"/>
      <c r="G32" s="187" t="s">
        <v>10669</v>
      </c>
      <c r="H32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2" s="186" t="str">
        <f>IF(BD_MO[FECHA]&lt;&gt;"",VLOOKUP(BD_MO[LABOR],TB_CECO[[LABOR]:[CECO_T]],3,FALSE),"")</f>
        <v>CACHORRO</v>
      </c>
      <c r="J32" s="186" t="str">
        <f>IF(BD_MO[FECHA]&lt;&gt;"",VLOOKUP(BD_MO[LABOR],D_CECO!B:H,7,FALSE),"")</f>
        <v>LINEAL</v>
      </c>
      <c r="K32" s="186" t="str">
        <f>IF(BD_MO[FECHA]&lt;&gt;"",VLOOKUP(BD_MO[LABOR],D_CECO!B:H,4,FALSE),"")</f>
        <v>EXPLORACION</v>
      </c>
      <c r="L32" s="186"/>
      <c r="M32" s="184"/>
      <c r="N32" s="187"/>
      <c r="O32" s="188" t="s">
        <v>11906</v>
      </c>
      <c r="P32" s="188"/>
      <c r="Q32" s="188"/>
      <c r="R32" s="189"/>
      <c r="S32" s="190" t="str">
        <f>IFERROR(VLOOKUP(BD_MO[DNI 4],#REF!,2,FALSE)," ")</f>
        <v xml:space="preserve"> </v>
      </c>
      <c r="T32" s="191">
        <f>+IF(BD_MO[[#This Row],[FECHA]]&lt;&gt;"",COUNTA(BD_MO[[#This Row],[DNI]],BD_MO[[#This Row],[DNI 2]],BD_MO[[#This Row],[DNI 3]],BD_MO[[#This Row],[DNI 4]]),"")</f>
        <v>1</v>
      </c>
      <c r="U32" s="191"/>
      <c r="V32" s="191"/>
      <c r="W32" s="191"/>
      <c r="X32" s="191">
        <v>1</v>
      </c>
      <c r="Y32" s="192">
        <f>SUM(BD_MO[[#This Row],[LIMP]:[SERV]])</f>
        <v>1</v>
      </c>
      <c r="Z32" s="187"/>
      <c r="AA32" s="187" t="str">
        <f>+IF(BD_MO[[#This Row],[N° VALE]]&lt;&gt;"",1,"")</f>
        <v/>
      </c>
      <c r="AB32" s="184"/>
      <c r="AC32" s="187"/>
      <c r="AD32" s="187" t="str">
        <f>+IF(BD_MO[[#This Row],[N° VALE]]&lt;&gt;"",BD_MO[[#This Row],[FULMINANTE N° 08]]+BD_MO[CARMEX 7''],"")</f>
        <v/>
      </c>
      <c r="AE32" s="187"/>
      <c r="AF32" s="187" t="str">
        <f>+IF(BD_MO[[#This Row],[N° VALE]]&lt;&gt;"",BD_MO[[#This Row],[N° TALADROS]]+BD_MO[[#This Row],[N° TAL. VACIOS]],"")</f>
        <v/>
      </c>
      <c r="AG32" s="193"/>
      <c r="AH32" s="193"/>
      <c r="AI32" s="193"/>
      <c r="AJ32" s="193"/>
      <c r="AK32" s="193"/>
      <c r="AL32" s="193"/>
      <c r="AM32" s="186"/>
      <c r="AN32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2" s="187" t="str">
        <f>+IF(BD_MO[[#This Row],[N° VALE]]&lt;&gt;"",IF(BD_MO[[#This Row],[FULMINANTE N° 08]]&lt;&gt;"",BD_MO[[#This Row],[FULMINANTE N° 08]],IF(BD_MO[[#This Row],[CARMEX 7'']]&lt;&gt;0,0,"")),"")</f>
        <v/>
      </c>
      <c r="AP32" s="191" t="str">
        <f>+IF(BD_MO[[#This Row],[N° VALE]]&lt;&gt;"",BD_MO[[#This Row],[N°  TOTAL TALADROS]]*BD_MO[[#This Row],[BARRA]]*0.95,"")</f>
        <v/>
      </c>
      <c r="AQ32" s="191" t="str">
        <f>+IF(BD_MO[[#This Row],[N° VALE]]&lt;&gt;"",BD_MO[[#This Row],[EMULNOR 1000 (N° CART.)]]*PE_EMUL_1000[PE],"")</f>
        <v/>
      </c>
      <c r="AR32" s="191" t="str">
        <f>+IF(BD_MO[[#This Row],[N° VALE]]&lt;&gt;"",BD_MO[[#This Row],[EMULNOR 3000 (N° CART.)]]*PE_EMUL_3000[PE],"")</f>
        <v/>
      </c>
      <c r="AS32" s="191" t="str">
        <f>+IF(BD_MO[[#This Row],[N° VALE]]&lt;&gt;"",BD_MO[[#This Row],[PULVERULENTA (N° CART.)]]*PE_PULV_65[PE],"")</f>
        <v/>
      </c>
      <c r="AT32" s="191" t="str">
        <f>+IF(BD_MO[[#This Row],[N° DISP]]&lt;&gt;"",BD_MO[[#This Row],[SEMIGELATINA (N° CART.)]]*PE_SEMIGEL_65[PE],"")</f>
        <v/>
      </c>
      <c r="AU32" s="191" t="str">
        <f>+IF(BD_MO[N° VALE]&lt;&gt;"",BD_MO[[#This Row],[KG EXPLO SEMIGEL]]+BD_MO[[#This Row],[KG EXPLO PULVE]]+BD_MO[[#This Row],[KG EXPLO EMULN 3000]]+BD_MO[[#This Row],[KG EXPLO EMULN 1000]],"")</f>
        <v/>
      </c>
      <c r="AV32" s="187"/>
      <c r="AW32" s="187"/>
      <c r="AX32" s="187" t="str">
        <f>+IF(BD_MO[[#This Row],[MINERAL (U-35)]]&lt;&gt;"",BD_MO[[#This Row],[MINERAL (U-35)]]*1.45,"-")</f>
        <v>-</v>
      </c>
      <c r="AY32" s="187" t="str">
        <f>+IF(BD_MO[[#This Row],[DESMONTE (U-35)]]&lt;&gt;"",BD_MO[[#This Row],[DESMONTE (U-35)]]*1.23,"-")</f>
        <v>-</v>
      </c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  <c r="BJ32" s="187"/>
      <c r="BK32" s="187"/>
      <c r="BL32" s="187"/>
      <c r="BM32" s="187"/>
      <c r="BN32" s="186"/>
      <c r="BO32" s="187"/>
      <c r="BP32" s="187"/>
      <c r="BQ32" s="186"/>
      <c r="BR32" s="187"/>
      <c r="BS32" s="186"/>
      <c r="BT32" s="191"/>
      <c r="BU32" s="187"/>
      <c r="BV32" s="187"/>
      <c r="BW32" s="187"/>
      <c r="BX32" s="187"/>
      <c r="BY32" s="187"/>
      <c r="BZ32" s="187"/>
      <c r="CA32" s="187"/>
      <c r="CB32" s="187"/>
      <c r="CC32" s="187"/>
      <c r="CD32" s="187"/>
      <c r="CE32" s="187"/>
      <c r="CF32" s="187"/>
      <c r="CG32" s="187"/>
      <c r="CH32" s="187"/>
      <c r="CI32" s="187"/>
      <c r="CJ32" s="187"/>
      <c r="CK32" s="187"/>
      <c r="CL32" s="187"/>
      <c r="CM32" s="187"/>
      <c r="CN32" s="187"/>
      <c r="CO32" s="187"/>
      <c r="CP32" s="191">
        <f>+IF(BD_MO[[#This Row],[FECHA]]&lt;&gt;"",BD_MO[[#This Row],[PUNTAL 4"]]+BD_MO[[#This Row],[PUNTAL 5"]]+BD_MO[[#This Row],[PUNTAL 6"]]+BD_MO[[#This Row],[PUNTAL 7"]]+BD_MO[[#This Row],[PUNTAL 8"]],"")</f>
        <v>0</v>
      </c>
      <c r="CQ32" s="187"/>
      <c r="CR32" s="187"/>
      <c r="CS32" s="187"/>
      <c r="CT32" s="187"/>
      <c r="CU32" s="187"/>
      <c r="CV32" s="187"/>
      <c r="CW32" s="187"/>
      <c r="CX32" s="187"/>
      <c r="CY32" s="191"/>
      <c r="CZ32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2" s="191">
        <f>+IF(BD_MO[[#This Row],[FECHA]]&lt;&gt;"",BD_MO[[#This Row],[DURMIENTE2]]*6.561+BD_MO[[#This Row],[LISTONES]]*4.921+BD_MO[[#This Row],[TABLA 1"x8"x3m]]*6.561+BD_MO[[#This Row],[TABLA 2"x8"x3m]]*13.122,"")</f>
        <v>0</v>
      </c>
      <c r="DB32" s="191">
        <f>+IF(BD_MO[[#This Row],[FECHA]]&lt;&gt;"",BD_MO[[#This Row],[PIE2 MADERA ASERRADA]]*1.95,"")</f>
        <v>0</v>
      </c>
      <c r="DC32" s="191">
        <f>+IF(BD_MO[[#This Row],[FECHA]]&lt;&gt;"",BD_MO[[#This Row],[KG. MADERA REDONDA]]+BD_MO[[#This Row],[KG MADERA ASERRADA]],"")</f>
        <v>0</v>
      </c>
      <c r="DD32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2" s="187"/>
      <c r="DF32" s="187"/>
      <c r="DG32" s="187"/>
      <c r="DH32" s="187"/>
      <c r="DI32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2" s="195"/>
      <c r="DK32" s="195"/>
      <c r="DL32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2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2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2" s="196"/>
      <c r="DP32" s="56" t="str">
        <f>+IF(BD_MO[[#This Row],[M o D]]&lt;&gt;"",IF(BD_MO[[#This Row],[M o D]]="M",BD_MO[[#This Row],[ROTURA TMH]]/2.65,BD_MO[[#This Row],[ROTURA TMH]]/2.4),"")</f>
        <v/>
      </c>
      <c r="DQ32" s="195"/>
      <c r="DR32" s="116" t="str">
        <f>IF(BD_MO[[#This Row],[TIPO AVANCE]]="Avance",((BD_MO[[#This Row],[AVANCE (m)]]/BD_MO[[#This Row],[AVANCE TEÓRICO]]))," ")</f>
        <v xml:space="preserve"> </v>
      </c>
      <c r="DS32" s="110"/>
      <c r="DT32" s="110"/>
      <c r="DU32" s="110"/>
      <c r="DV32" s="110"/>
      <c r="DW32" s="110"/>
      <c r="DX32" s="111"/>
      <c r="DY32" s="111"/>
      <c r="DZ32" s="111"/>
    </row>
    <row r="33" spans="1:130" s="136" customFormat="1" ht="18" customHeight="1" x14ac:dyDescent="0.25">
      <c r="A33" s="168">
        <v>44653</v>
      </c>
      <c r="B33" s="169" t="s">
        <v>10655</v>
      </c>
      <c r="C33" s="169" t="s">
        <v>10668</v>
      </c>
      <c r="D33" s="170" t="s">
        <v>12115</v>
      </c>
      <c r="E33" s="171" t="str">
        <f>LEFT(BD_MO[[#This Row],[LABOR]],2)</f>
        <v>Tj</v>
      </c>
      <c r="F33" s="172"/>
      <c r="G33" s="172" t="s">
        <v>10656</v>
      </c>
      <c r="H3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33" s="171" t="str">
        <f>IF(BD_MO[FECHA]&lt;&gt;"",VLOOKUP(BD_MO[LABOR],TB_CECO[[LABOR]:[CECO_T]],3,FALSE),"")</f>
        <v>CACHORRO</v>
      </c>
      <c r="J33" s="171" t="str">
        <f>IF(BD_MO[FECHA]&lt;&gt;"",VLOOKUP(BD_MO[LABOR],D_CECO!B:H,7,FALSE),"")</f>
        <v>TAJO</v>
      </c>
      <c r="K33" s="171" t="str">
        <f>IF(BD_MO[FECHA]&lt;&gt;"",VLOOKUP(BD_MO[LABOR],D_CECO!B:H,4,FALSE),"")</f>
        <v>EXPLOTACION</v>
      </c>
      <c r="L33" s="171"/>
      <c r="M33" s="169"/>
      <c r="N33" s="172"/>
      <c r="O33" s="173" t="s">
        <v>12157</v>
      </c>
      <c r="P33" s="173" t="s">
        <v>12158</v>
      </c>
      <c r="Q33" s="173" t="s">
        <v>12094</v>
      </c>
      <c r="R33" s="174"/>
      <c r="S33" s="175" t="str">
        <f>IFERROR(VLOOKUP(BD_MO[DNI 4],#REF!,2,FALSE)," ")</f>
        <v xml:space="preserve"> </v>
      </c>
      <c r="T33" s="176">
        <f>+IF(BD_MO[[#This Row],[FECHA]]&lt;&gt;"",COUNTA(BD_MO[[#This Row],[DNI]],BD_MO[[#This Row],[DNI 2]],BD_MO[[#This Row],[DNI 3]],BD_MO[[#This Row],[DNI 4]]),"")</f>
        <v>3</v>
      </c>
      <c r="U33" s="176">
        <v>2</v>
      </c>
      <c r="V33" s="176"/>
      <c r="W33" s="176"/>
      <c r="X33" s="176">
        <v>1</v>
      </c>
      <c r="Y33" s="177">
        <f>SUM(BD_MO[[#This Row],[LIMP]:[SERV]])</f>
        <v>3</v>
      </c>
      <c r="Z33" s="172"/>
      <c r="AA33" s="172" t="str">
        <f>+IF(BD_MO[[#This Row],[N° VALE]]&lt;&gt;"",1,"")</f>
        <v/>
      </c>
      <c r="AB33" s="169"/>
      <c r="AC33" s="172"/>
      <c r="AD33" s="172" t="str">
        <f>+IF(BD_MO[[#This Row],[N° VALE]]&lt;&gt;"",BD_MO[[#This Row],[FULMINANTE N° 08]]+BD_MO[CARMEX 7''],"")</f>
        <v/>
      </c>
      <c r="AE33" s="172"/>
      <c r="AF33" s="172" t="str">
        <f>+IF(BD_MO[[#This Row],[N° VALE]]&lt;&gt;"",BD_MO[[#This Row],[N° TALADROS]]+BD_MO[[#This Row],[N° TAL. VACIOS]],"")</f>
        <v/>
      </c>
      <c r="AG33" s="178"/>
      <c r="AH33" s="178"/>
      <c r="AI33" s="178"/>
      <c r="AJ33" s="178"/>
      <c r="AK33" s="178"/>
      <c r="AL33" s="178"/>
      <c r="AM33" s="171"/>
      <c r="AN33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3" s="172" t="str">
        <f>+IF(BD_MO[[#This Row],[N° VALE]]&lt;&gt;"",IF(BD_MO[[#This Row],[FULMINANTE N° 08]]&lt;&gt;"",BD_MO[[#This Row],[FULMINANTE N° 08]],IF(BD_MO[[#This Row],[CARMEX 7'']]&lt;&gt;0,0,"")),"")</f>
        <v/>
      </c>
      <c r="AP33" s="176" t="str">
        <f>+IF(BD_MO[[#This Row],[N° VALE]]&lt;&gt;"",BD_MO[[#This Row],[N°  TOTAL TALADROS]]*BD_MO[[#This Row],[BARRA]]*0.95,"")</f>
        <v/>
      </c>
      <c r="AQ33" s="176" t="str">
        <f>+IF(BD_MO[[#This Row],[N° VALE]]&lt;&gt;"",BD_MO[[#This Row],[EMULNOR 1000 (N° CART.)]]*PE_EMUL_1000[PE],"")</f>
        <v/>
      </c>
      <c r="AR33" s="176" t="str">
        <f>+IF(BD_MO[[#This Row],[N° VALE]]&lt;&gt;"",BD_MO[[#This Row],[EMULNOR 3000 (N° CART.)]]*PE_EMUL_3000[PE],"")</f>
        <v/>
      </c>
      <c r="AS33" s="176" t="str">
        <f>+IF(BD_MO[[#This Row],[N° VALE]]&lt;&gt;"",BD_MO[[#This Row],[PULVERULENTA (N° CART.)]]*PE_PULV_65[PE],"")</f>
        <v/>
      </c>
      <c r="AT33" s="176" t="str">
        <f>+IF(BD_MO[[#This Row],[N° DISP]]&lt;&gt;"",BD_MO[[#This Row],[SEMIGELATINA (N° CART.)]]*PE_SEMIGEL_65[PE],"")</f>
        <v/>
      </c>
      <c r="AU33" s="176" t="str">
        <f>+IF(BD_MO[N° VALE]&lt;&gt;"",BD_MO[[#This Row],[KG EXPLO SEMIGEL]]+BD_MO[[#This Row],[KG EXPLO PULVE]]+BD_MO[[#This Row],[KG EXPLO EMULN 3000]]+BD_MO[[#This Row],[KG EXPLO EMULN 1000]],"")</f>
        <v/>
      </c>
      <c r="AV33" s="172">
        <v>15</v>
      </c>
      <c r="AW33" s="172"/>
      <c r="AX33" s="172">
        <f>+IF(BD_MO[[#This Row],[MINERAL (U-35)]]&lt;&gt;"",BD_MO[[#This Row],[MINERAL (U-35)]]*1.45,"-")</f>
        <v>21.75</v>
      </c>
      <c r="AY33" s="172" t="str">
        <f>+IF(BD_MO[[#This Row],[DESMONTE (U-35)]]&lt;&gt;"",BD_MO[[#This Row],[DESMONTE (U-35)]]*1.23,"-")</f>
        <v>-</v>
      </c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172"/>
      <c r="BN33" s="171"/>
      <c r="BO33" s="172"/>
      <c r="BP33" s="172"/>
      <c r="BQ33" s="171"/>
      <c r="BR33" s="172"/>
      <c r="BS33" s="171"/>
      <c r="BT33" s="176"/>
      <c r="BU33" s="172"/>
      <c r="BV33" s="172"/>
      <c r="BW33" s="172"/>
      <c r="BX33" s="172"/>
      <c r="BY33" s="172"/>
      <c r="BZ33" s="172"/>
      <c r="CA33" s="172"/>
      <c r="CB33" s="172"/>
      <c r="CC33" s="172"/>
      <c r="CD33" s="172"/>
      <c r="CE33" s="172"/>
      <c r="CF33" s="172"/>
      <c r="CG33" s="172"/>
      <c r="CH33" s="172"/>
      <c r="CI33" s="172"/>
      <c r="CJ33" s="172"/>
      <c r="CK33" s="172"/>
      <c r="CL33" s="172">
        <v>1</v>
      </c>
      <c r="CM33" s="172">
        <v>2</v>
      </c>
      <c r="CN33" s="172">
        <v>3</v>
      </c>
      <c r="CO33" s="172"/>
      <c r="CP33" s="176">
        <f>+IF(BD_MO[[#This Row],[FECHA]]&lt;&gt;"",BD_MO[[#This Row],[PUNTAL 4"]]+BD_MO[[#This Row],[PUNTAL 5"]]+BD_MO[[#This Row],[PUNTAL 6"]]+BD_MO[[#This Row],[PUNTAL 7"]]+BD_MO[[#This Row],[PUNTAL 8"]],"")</f>
        <v>6</v>
      </c>
      <c r="CQ33" s="172"/>
      <c r="CR33" s="172"/>
      <c r="CS33" s="172"/>
      <c r="CT33" s="172"/>
      <c r="CU33" s="172"/>
      <c r="CV33" s="172"/>
      <c r="CW33" s="172"/>
      <c r="CX33" s="172"/>
      <c r="CY33" s="176"/>
      <c r="CZ3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304.14800000000002</v>
      </c>
      <c r="DA33" s="176">
        <f>+IF(BD_MO[[#This Row],[FECHA]]&lt;&gt;"",BD_MO[[#This Row],[DURMIENTE2]]*6.561+BD_MO[[#This Row],[LISTONES]]*4.921+BD_MO[[#This Row],[TABLA 1"x8"x3m]]*6.561+BD_MO[[#This Row],[TABLA 2"x8"x3m]]*13.122,"")</f>
        <v>0</v>
      </c>
      <c r="DB33" s="176">
        <f>+IF(BD_MO[[#This Row],[FECHA]]&lt;&gt;"",BD_MO[[#This Row],[PIE2 MADERA ASERRADA]]*1.95,"")</f>
        <v>0</v>
      </c>
      <c r="DC33" s="176">
        <f>+IF(BD_MO[[#This Row],[FECHA]]&lt;&gt;"",BD_MO[[#This Row],[KG. MADERA REDONDA]]+BD_MO[[#This Row],[KG MADERA ASERRADA]],"")</f>
        <v>304.14800000000002</v>
      </c>
      <c r="DD3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106.80000000000001</v>
      </c>
      <c r="DE33" s="172"/>
      <c r="DF33" s="172"/>
      <c r="DG33" s="172"/>
      <c r="DH33" s="172"/>
      <c r="DI33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3" s="180"/>
      <c r="DK33" s="180"/>
      <c r="DL33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3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3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3" s="181"/>
      <c r="DP33" s="56" t="str">
        <f>+IF(BD_MO[[#This Row],[M o D]]&lt;&gt;"",IF(BD_MO[[#This Row],[M o D]]="M",BD_MO[[#This Row],[ROTURA TMH]]/2.65,BD_MO[[#This Row],[ROTURA TMH]]/2.4),"")</f>
        <v/>
      </c>
      <c r="DQ33" s="180"/>
      <c r="DR33" s="116" t="str">
        <f>IF(BD_MO[[#This Row],[TIPO AVANCE]]="Avance",((BD_MO[[#This Row],[AVANCE (m)]]/BD_MO[[#This Row],[AVANCE TEÓRICO]]))," ")</f>
        <v xml:space="preserve"> </v>
      </c>
      <c r="DS33" s="134"/>
      <c r="DT33" s="134"/>
      <c r="DU33" s="134"/>
      <c r="DV33" s="134"/>
      <c r="DW33" s="134"/>
      <c r="DX33" s="135"/>
      <c r="DY33" s="135"/>
      <c r="DZ33" s="135"/>
    </row>
    <row r="34" spans="1:130" s="136" customFormat="1" ht="18" customHeight="1" x14ac:dyDescent="0.25">
      <c r="A34" s="168">
        <v>44653</v>
      </c>
      <c r="B34" s="169" t="s">
        <v>10655</v>
      </c>
      <c r="C34" s="169" t="s">
        <v>10668</v>
      </c>
      <c r="D34" s="170" t="s">
        <v>10952</v>
      </c>
      <c r="E34" s="171" t="str">
        <f>LEFT(BD_MO[[#This Row],[LABOR]],2)</f>
        <v>In</v>
      </c>
      <c r="F34" s="172"/>
      <c r="G34" s="172" t="s">
        <v>10656</v>
      </c>
      <c r="H3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34" s="171" t="str">
        <f>IF(BD_MO[FECHA]&lt;&gt;"",VLOOKUP(BD_MO[LABOR],TB_CECO[[LABOR]:[CECO_T]],3,FALSE),"")</f>
        <v>VANESSA</v>
      </c>
      <c r="J34" s="171" t="str">
        <f>IF(BD_MO[FECHA]&lt;&gt;"",VLOOKUP(BD_MO[LABOR],D_CECO!B:H,7,FALSE),"")</f>
        <v>LINEAL</v>
      </c>
      <c r="K34" s="171" t="str">
        <f>IF(BD_MO[FECHA]&lt;&gt;"",VLOOKUP(BD_MO[LABOR],D_CECO!B:H,4,FALSE),"")</f>
        <v>EXPLORACION</v>
      </c>
      <c r="L34" s="171"/>
      <c r="M34" s="169"/>
      <c r="N34" s="172"/>
      <c r="O34" s="173" t="s">
        <v>12091</v>
      </c>
      <c r="P34" s="173" t="s">
        <v>12159</v>
      </c>
      <c r="Q34" s="173"/>
      <c r="R34" s="174"/>
      <c r="S34" s="175" t="str">
        <f>IFERROR(VLOOKUP(BD_MO[DNI 4],#REF!,2,FALSE)," ")</f>
        <v xml:space="preserve"> </v>
      </c>
      <c r="T34" s="176">
        <f>+IF(BD_MO[[#This Row],[FECHA]]&lt;&gt;"",COUNTA(BD_MO[[#This Row],[DNI]],BD_MO[[#This Row],[DNI 2]],BD_MO[[#This Row],[DNI 3]],BD_MO[[#This Row],[DNI 4]]),"")</f>
        <v>2</v>
      </c>
      <c r="U34" s="176">
        <v>1.2</v>
      </c>
      <c r="V34" s="176"/>
      <c r="W34" s="176"/>
      <c r="X34" s="176">
        <v>0.8</v>
      </c>
      <c r="Y34" s="177">
        <f>SUM(BD_MO[[#This Row],[LIMP]:[SERV]])</f>
        <v>2</v>
      </c>
      <c r="Z34" s="172"/>
      <c r="AA34" s="172" t="str">
        <f>+IF(BD_MO[[#This Row],[N° VALE]]&lt;&gt;"",1,"")</f>
        <v/>
      </c>
      <c r="AB34" s="169"/>
      <c r="AC34" s="172"/>
      <c r="AD34" s="172" t="str">
        <f>+IF(BD_MO[[#This Row],[N° VALE]]&lt;&gt;"",BD_MO[[#This Row],[FULMINANTE N° 08]]+BD_MO[CARMEX 7''],"")</f>
        <v/>
      </c>
      <c r="AE34" s="172"/>
      <c r="AF34" s="172" t="str">
        <f>+IF(BD_MO[[#This Row],[N° VALE]]&lt;&gt;"",BD_MO[[#This Row],[N° TALADROS]]+BD_MO[[#This Row],[N° TAL. VACIOS]],"")</f>
        <v/>
      </c>
      <c r="AG34" s="178"/>
      <c r="AH34" s="178"/>
      <c r="AI34" s="178"/>
      <c r="AJ34" s="178"/>
      <c r="AK34" s="178"/>
      <c r="AL34" s="178"/>
      <c r="AM34" s="171"/>
      <c r="AN3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4" s="172" t="str">
        <f>+IF(BD_MO[[#This Row],[N° VALE]]&lt;&gt;"",IF(BD_MO[[#This Row],[FULMINANTE N° 08]]&lt;&gt;"",BD_MO[[#This Row],[FULMINANTE N° 08]],IF(BD_MO[[#This Row],[CARMEX 7'']]&lt;&gt;0,0,"")),"")</f>
        <v/>
      </c>
      <c r="AP34" s="176" t="str">
        <f>+IF(BD_MO[[#This Row],[N° VALE]]&lt;&gt;"",BD_MO[[#This Row],[N°  TOTAL TALADROS]]*BD_MO[[#This Row],[BARRA]]*0.95,"")</f>
        <v/>
      </c>
      <c r="AQ34" s="176" t="str">
        <f>+IF(BD_MO[[#This Row],[N° VALE]]&lt;&gt;"",BD_MO[[#This Row],[EMULNOR 1000 (N° CART.)]]*PE_EMUL_1000[PE],"")</f>
        <v/>
      </c>
      <c r="AR34" s="176" t="str">
        <f>+IF(BD_MO[[#This Row],[N° VALE]]&lt;&gt;"",BD_MO[[#This Row],[EMULNOR 3000 (N° CART.)]]*PE_EMUL_3000[PE],"")</f>
        <v/>
      </c>
      <c r="AS34" s="176" t="str">
        <f>+IF(BD_MO[[#This Row],[N° VALE]]&lt;&gt;"",BD_MO[[#This Row],[PULVERULENTA (N° CART.)]]*PE_PULV_65[PE],"")</f>
        <v/>
      </c>
      <c r="AT34" s="176" t="str">
        <f>+IF(BD_MO[[#This Row],[N° DISP]]&lt;&gt;"",BD_MO[[#This Row],[SEMIGELATINA (N° CART.)]]*PE_SEMIGEL_65[PE],"")</f>
        <v/>
      </c>
      <c r="AU34" s="176" t="str">
        <f>+IF(BD_MO[N° VALE]&lt;&gt;"",BD_MO[[#This Row],[KG EXPLO SEMIGEL]]+BD_MO[[#This Row],[KG EXPLO PULVE]]+BD_MO[[#This Row],[KG EXPLO EMULN 3000]]+BD_MO[[#This Row],[KG EXPLO EMULN 1000]],"")</f>
        <v/>
      </c>
      <c r="AV34" s="172"/>
      <c r="AW34" s="172">
        <v>21</v>
      </c>
      <c r="AX34" s="172" t="str">
        <f>+IF(BD_MO[[#This Row],[MINERAL (U-35)]]&lt;&gt;"",BD_MO[[#This Row],[MINERAL (U-35)]]*1.45,"-")</f>
        <v>-</v>
      </c>
      <c r="AY34" s="172">
        <f>+IF(BD_MO[[#This Row],[DESMONTE (U-35)]]&lt;&gt;"",BD_MO[[#This Row],[DESMONTE (U-35)]]*1.23,"-")</f>
        <v>25.83</v>
      </c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2"/>
      <c r="BK34" s="172"/>
      <c r="BL34" s="172"/>
      <c r="BM34" s="172"/>
      <c r="BN34" s="171"/>
      <c r="BO34" s="172"/>
      <c r="BP34" s="172"/>
      <c r="BQ34" s="171"/>
      <c r="BR34" s="172"/>
      <c r="BS34" s="171"/>
      <c r="BT34" s="176"/>
      <c r="BU34" s="172"/>
      <c r="BV34" s="172"/>
      <c r="BW34" s="172"/>
      <c r="BX34" s="172"/>
      <c r="BY34" s="172"/>
      <c r="BZ34" s="172"/>
      <c r="CA34" s="172"/>
      <c r="CB34" s="172"/>
      <c r="CC34" s="172"/>
      <c r="CD34" s="172"/>
      <c r="CE34" s="172"/>
      <c r="CF34" s="172"/>
      <c r="CG34" s="172"/>
      <c r="CH34" s="172"/>
      <c r="CI34" s="172"/>
      <c r="CJ34" s="172"/>
      <c r="CK34" s="172"/>
      <c r="CL34" s="172"/>
      <c r="CM34" s="172"/>
      <c r="CN34" s="172"/>
      <c r="CO34" s="172"/>
      <c r="CP34" s="176">
        <f>+IF(BD_MO[[#This Row],[FECHA]]&lt;&gt;"",BD_MO[[#This Row],[PUNTAL 4"]]+BD_MO[[#This Row],[PUNTAL 5"]]+BD_MO[[#This Row],[PUNTAL 6"]]+BD_MO[[#This Row],[PUNTAL 7"]]+BD_MO[[#This Row],[PUNTAL 8"]],"")</f>
        <v>0</v>
      </c>
      <c r="CQ34" s="172"/>
      <c r="CR34" s="172"/>
      <c r="CS34" s="172">
        <v>3</v>
      </c>
      <c r="CT34" s="172"/>
      <c r="CU34" s="172"/>
      <c r="CV34" s="172"/>
      <c r="CW34" s="172"/>
      <c r="CX34" s="172"/>
      <c r="CY34" s="176"/>
      <c r="CZ3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73.800000000000011</v>
      </c>
      <c r="DA34" s="176">
        <f>+IF(BD_MO[[#This Row],[FECHA]]&lt;&gt;"",BD_MO[[#This Row],[DURMIENTE2]]*6.561+BD_MO[[#This Row],[LISTONES]]*4.921+BD_MO[[#This Row],[TABLA 1"x8"x3m]]*6.561+BD_MO[[#This Row],[TABLA 2"x8"x3m]]*13.122,"")</f>
        <v>0</v>
      </c>
      <c r="DB34" s="176">
        <f>+IF(BD_MO[[#This Row],[FECHA]]&lt;&gt;"",BD_MO[[#This Row],[PIE2 MADERA ASERRADA]]*1.95,"")</f>
        <v>0</v>
      </c>
      <c r="DC34" s="176">
        <f>+IF(BD_MO[[#This Row],[FECHA]]&lt;&gt;"",BD_MO[[#This Row],[KG. MADERA REDONDA]]+BD_MO[[#This Row],[KG MADERA ASERRADA]],"")</f>
        <v>73.800000000000011</v>
      </c>
      <c r="DD3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36.869999999999997</v>
      </c>
      <c r="DE34" s="172"/>
      <c r="DF34" s="172"/>
      <c r="DG34" s="172"/>
      <c r="DH34" s="172"/>
      <c r="DI3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4" s="180"/>
      <c r="DK34" s="180"/>
      <c r="DL3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4" s="181"/>
      <c r="DP34" s="56" t="str">
        <f>+IF(BD_MO[[#This Row],[M o D]]&lt;&gt;"",IF(BD_MO[[#This Row],[M o D]]="M",BD_MO[[#This Row],[ROTURA TMH]]/2.65,BD_MO[[#This Row],[ROTURA TMH]]/2.4),"")</f>
        <v/>
      </c>
      <c r="DQ34" s="180"/>
      <c r="DR34" s="116" t="str">
        <f>IF(BD_MO[[#This Row],[TIPO AVANCE]]="Avance",((BD_MO[[#This Row],[AVANCE (m)]]/BD_MO[[#This Row],[AVANCE TEÓRICO]]))," ")</f>
        <v xml:space="preserve"> </v>
      </c>
      <c r="DS34" s="134"/>
      <c r="DT34" s="134"/>
      <c r="DU34" s="134"/>
      <c r="DV34" s="134"/>
      <c r="DW34" s="134"/>
      <c r="DX34" s="135"/>
      <c r="DY34" s="135"/>
      <c r="DZ34" s="135"/>
    </row>
    <row r="35" spans="1:130" s="136" customFormat="1" ht="18" customHeight="1" x14ac:dyDescent="0.25">
      <c r="A35" s="168">
        <v>44653</v>
      </c>
      <c r="B35" s="169" t="s">
        <v>10655</v>
      </c>
      <c r="C35" s="169" t="s">
        <v>10668</v>
      </c>
      <c r="D35" s="170" t="s">
        <v>11594</v>
      </c>
      <c r="E35" s="171" t="str">
        <f>LEFT(BD_MO[[#This Row],[LABOR]],2)</f>
        <v>Ga</v>
      </c>
      <c r="F35" s="172"/>
      <c r="G35" s="172" t="s">
        <v>10662</v>
      </c>
      <c r="H35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35" s="171" t="str">
        <f>IF(BD_MO[FECHA]&lt;&gt;"",VLOOKUP(BD_MO[LABOR],TB_CECO[[LABOR]:[CECO_T]],3,FALSE),"")</f>
        <v>ESCONDIDA</v>
      </c>
      <c r="J35" s="171" t="str">
        <f>IF(BD_MO[FECHA]&lt;&gt;"",VLOOKUP(BD_MO[LABOR],D_CECO!B:H,7,FALSE),"")</f>
        <v>LINEAL</v>
      </c>
      <c r="K35" s="171" t="str">
        <f>IF(BD_MO[FECHA]&lt;&gt;"",VLOOKUP(BD_MO[LABOR],D_CECO!B:H,4,FALSE),"")</f>
        <v>EXPLOTACION</v>
      </c>
      <c r="L35" s="171"/>
      <c r="M35" s="169"/>
      <c r="N35" s="172"/>
      <c r="O35" s="173" t="s">
        <v>12160</v>
      </c>
      <c r="P35" s="173" t="s">
        <v>12088</v>
      </c>
      <c r="Q35" s="173"/>
      <c r="R35" s="174"/>
      <c r="S35" s="175" t="str">
        <f>IFERROR(VLOOKUP(BD_MO[DNI 4],#REF!,2,FALSE)," ")</f>
        <v xml:space="preserve"> </v>
      </c>
      <c r="T35" s="176">
        <f>+IF(BD_MO[[#This Row],[FECHA]]&lt;&gt;"",COUNTA(BD_MO[[#This Row],[DNI]],BD_MO[[#This Row],[DNI 2]],BD_MO[[#This Row],[DNI 3]],BD_MO[[#This Row],[DNI 4]]),"")</f>
        <v>2</v>
      </c>
      <c r="U35" s="176">
        <v>0.3</v>
      </c>
      <c r="V35" s="176"/>
      <c r="W35" s="176">
        <v>1.1000000000000001</v>
      </c>
      <c r="X35" s="176">
        <v>0.6</v>
      </c>
      <c r="Y35" s="177">
        <f>SUM(BD_MO[[#This Row],[LIMP]:[SERV]])</f>
        <v>2</v>
      </c>
      <c r="Z35" s="172"/>
      <c r="AA35" s="172" t="str">
        <f>+IF(BD_MO[[#This Row],[N° VALE]]&lt;&gt;"",1,"")</f>
        <v/>
      </c>
      <c r="AB35" s="169"/>
      <c r="AC35" s="172"/>
      <c r="AD35" s="172" t="str">
        <f>+IF(BD_MO[[#This Row],[N° VALE]]&lt;&gt;"",BD_MO[[#This Row],[FULMINANTE N° 08]]+BD_MO[CARMEX 7''],"")</f>
        <v/>
      </c>
      <c r="AE35" s="172"/>
      <c r="AF35" s="172" t="str">
        <f>+IF(BD_MO[[#This Row],[N° VALE]]&lt;&gt;"",BD_MO[[#This Row],[N° TALADROS]]+BD_MO[[#This Row],[N° TAL. VACIOS]],"")</f>
        <v/>
      </c>
      <c r="AG35" s="178"/>
      <c r="AH35" s="178"/>
      <c r="AI35" s="178"/>
      <c r="AJ35" s="178"/>
      <c r="AK35" s="178"/>
      <c r="AL35" s="178"/>
      <c r="AM35" s="171"/>
      <c r="AN35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5" s="172" t="str">
        <f>+IF(BD_MO[[#This Row],[N° VALE]]&lt;&gt;"",IF(BD_MO[[#This Row],[FULMINANTE N° 08]]&lt;&gt;"",BD_MO[[#This Row],[FULMINANTE N° 08]],IF(BD_MO[[#This Row],[CARMEX 7'']]&lt;&gt;0,0,"")),"")</f>
        <v/>
      </c>
      <c r="AP35" s="176" t="str">
        <f>+IF(BD_MO[[#This Row],[N° VALE]]&lt;&gt;"",BD_MO[[#This Row],[N°  TOTAL TALADROS]]*BD_MO[[#This Row],[BARRA]]*0.95,"")</f>
        <v/>
      </c>
      <c r="AQ35" s="176" t="str">
        <f>+IF(BD_MO[[#This Row],[N° VALE]]&lt;&gt;"",BD_MO[[#This Row],[EMULNOR 1000 (N° CART.)]]*PE_EMUL_1000[PE],"")</f>
        <v/>
      </c>
      <c r="AR35" s="176" t="str">
        <f>+IF(BD_MO[[#This Row],[N° VALE]]&lt;&gt;"",BD_MO[[#This Row],[EMULNOR 3000 (N° CART.)]]*PE_EMUL_3000[PE],"")</f>
        <v/>
      </c>
      <c r="AS35" s="176" t="str">
        <f>+IF(BD_MO[[#This Row],[N° VALE]]&lt;&gt;"",BD_MO[[#This Row],[PULVERULENTA (N° CART.)]]*PE_PULV_65[PE],"")</f>
        <v/>
      </c>
      <c r="AT35" s="176" t="str">
        <f>+IF(BD_MO[[#This Row],[N° DISP]]&lt;&gt;"",BD_MO[[#This Row],[SEMIGELATINA (N° CART.)]]*PE_SEMIGEL_65[PE],"")</f>
        <v/>
      </c>
      <c r="AU35" s="176" t="str">
        <f>+IF(BD_MO[N° VALE]&lt;&gt;"",BD_MO[[#This Row],[KG EXPLO SEMIGEL]]+BD_MO[[#This Row],[KG EXPLO PULVE]]+BD_MO[[#This Row],[KG EXPLO EMULN 3000]]+BD_MO[[#This Row],[KG EXPLO EMULN 1000]],"")</f>
        <v/>
      </c>
      <c r="AV35" s="172"/>
      <c r="AW35" s="172"/>
      <c r="AX35" s="172" t="str">
        <f>+IF(BD_MO[[#This Row],[MINERAL (U-35)]]&lt;&gt;"",BD_MO[[#This Row],[MINERAL (U-35)]]*1.45,"-")</f>
        <v>-</v>
      </c>
      <c r="AY35" s="172" t="str">
        <f>+IF(BD_MO[[#This Row],[DESMONTE (U-35)]]&lt;&gt;"",BD_MO[[#This Row],[DESMONTE (U-35)]]*1.23,"-")</f>
        <v>-</v>
      </c>
      <c r="AZ35" s="172">
        <v>1</v>
      </c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2"/>
      <c r="BL35" s="172"/>
      <c r="BM35" s="172"/>
      <c r="BN35" s="171"/>
      <c r="BO35" s="172"/>
      <c r="BP35" s="172"/>
      <c r="BQ35" s="171"/>
      <c r="BR35" s="172"/>
      <c r="BS35" s="171"/>
      <c r="BT35" s="176"/>
      <c r="BU35" s="172"/>
      <c r="BV35" s="172"/>
      <c r="BW35" s="172"/>
      <c r="BX35" s="172"/>
      <c r="BY35" s="172"/>
      <c r="BZ35" s="172"/>
      <c r="CA35" s="172"/>
      <c r="CB35" s="172"/>
      <c r="CC35" s="172"/>
      <c r="CD35" s="172"/>
      <c r="CE35" s="172"/>
      <c r="CF35" s="172"/>
      <c r="CG35" s="172"/>
      <c r="CH35" s="172"/>
      <c r="CI35" s="172"/>
      <c r="CJ35" s="172"/>
      <c r="CK35" s="172"/>
      <c r="CL35" s="172"/>
      <c r="CM35" s="172"/>
      <c r="CN35" s="172"/>
      <c r="CO35" s="172"/>
      <c r="CP35" s="176">
        <f>+IF(BD_MO[[#This Row],[FECHA]]&lt;&gt;"",BD_MO[[#This Row],[PUNTAL 4"]]+BD_MO[[#This Row],[PUNTAL 5"]]+BD_MO[[#This Row],[PUNTAL 6"]]+BD_MO[[#This Row],[PUNTAL 7"]]+BD_MO[[#This Row],[PUNTAL 8"]],"")</f>
        <v>0</v>
      </c>
      <c r="CQ35" s="172"/>
      <c r="CR35" s="172"/>
      <c r="CS35" s="172"/>
      <c r="CT35" s="172"/>
      <c r="CU35" s="172"/>
      <c r="CV35" s="172"/>
      <c r="CW35" s="172"/>
      <c r="CX35" s="172"/>
      <c r="CY35" s="176"/>
      <c r="CZ35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5" s="176">
        <f>+IF(BD_MO[[#This Row],[FECHA]]&lt;&gt;"",BD_MO[[#This Row],[DURMIENTE2]]*6.561+BD_MO[[#This Row],[LISTONES]]*4.921+BD_MO[[#This Row],[TABLA 1"x8"x3m]]*6.561+BD_MO[[#This Row],[TABLA 2"x8"x3m]]*13.122,"")</f>
        <v>0</v>
      </c>
      <c r="DB35" s="176">
        <f>+IF(BD_MO[[#This Row],[FECHA]]&lt;&gt;"",BD_MO[[#This Row],[PIE2 MADERA ASERRADA]]*1.95,"")</f>
        <v>0</v>
      </c>
      <c r="DC35" s="176">
        <f>+IF(BD_MO[[#This Row],[FECHA]]&lt;&gt;"",BD_MO[[#This Row],[KG. MADERA REDONDA]]+BD_MO[[#This Row],[KG MADERA ASERRADA]],"")</f>
        <v>0</v>
      </c>
      <c r="DD35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5" s="172"/>
      <c r="DF35" s="172"/>
      <c r="DG35" s="172"/>
      <c r="DH35" s="172"/>
      <c r="DI35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5" s="180"/>
      <c r="DK35" s="180"/>
      <c r="DL35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5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5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5" s="181"/>
      <c r="DP35" s="56" t="str">
        <f>+IF(BD_MO[[#This Row],[M o D]]&lt;&gt;"",IF(BD_MO[[#This Row],[M o D]]="M",BD_MO[[#This Row],[ROTURA TMH]]/2.65,BD_MO[[#This Row],[ROTURA TMH]]/2.4),"")</f>
        <v/>
      </c>
      <c r="DQ35" s="180"/>
      <c r="DR35" s="116" t="str">
        <f>IF(BD_MO[[#This Row],[TIPO AVANCE]]="Avance",((BD_MO[[#This Row],[AVANCE (m)]]/BD_MO[[#This Row],[AVANCE TEÓRICO]]))," ")</f>
        <v xml:space="preserve"> </v>
      </c>
      <c r="DS35" s="134"/>
      <c r="DT35" s="134"/>
      <c r="DU35" s="134"/>
      <c r="DV35" s="134"/>
      <c r="DW35" s="134"/>
      <c r="DX35" s="135"/>
      <c r="DY35" s="135"/>
      <c r="DZ35" s="135"/>
    </row>
    <row r="36" spans="1:130" s="136" customFormat="1" ht="18" customHeight="1" x14ac:dyDescent="0.25">
      <c r="A36" s="168">
        <v>44653</v>
      </c>
      <c r="B36" s="169" t="s">
        <v>10655</v>
      </c>
      <c r="C36" s="169" t="s">
        <v>10668</v>
      </c>
      <c r="D36" s="170" t="s">
        <v>10952</v>
      </c>
      <c r="E36" s="171" t="str">
        <f>LEFT(BD_MO[[#This Row],[LABOR]],2)</f>
        <v>In</v>
      </c>
      <c r="F36" s="172"/>
      <c r="G36" s="172" t="s">
        <v>10669</v>
      </c>
      <c r="H3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6" s="171" t="str">
        <f>IF(BD_MO[FECHA]&lt;&gt;"",VLOOKUP(BD_MO[LABOR],TB_CECO[[LABOR]:[CECO_T]],3,FALSE),"")</f>
        <v>VANESSA</v>
      </c>
      <c r="J36" s="171" t="str">
        <f>IF(BD_MO[FECHA]&lt;&gt;"",VLOOKUP(BD_MO[LABOR],D_CECO!B:H,7,FALSE),"")</f>
        <v>LINEAL</v>
      </c>
      <c r="K36" s="171" t="str">
        <f>IF(BD_MO[FECHA]&lt;&gt;"",VLOOKUP(BD_MO[LABOR],D_CECO!B:H,4,FALSE),"")</f>
        <v>EXPLORACION</v>
      </c>
      <c r="L36" s="171"/>
      <c r="M36" s="169"/>
      <c r="N36" s="172"/>
      <c r="O36" s="173" t="s">
        <v>12092</v>
      </c>
      <c r="P36" s="173" t="s">
        <v>12093</v>
      </c>
      <c r="Q36" s="173"/>
      <c r="R36" s="174"/>
      <c r="S36" s="175" t="str">
        <f>IFERROR(VLOOKUP(BD_MO[DNI 4],#REF!,2,FALSE)," ")</f>
        <v xml:space="preserve"> </v>
      </c>
      <c r="T36" s="176">
        <f>+IF(BD_MO[[#This Row],[FECHA]]&lt;&gt;"",COUNTA(BD_MO[[#This Row],[DNI]],BD_MO[[#This Row],[DNI 2]],BD_MO[[#This Row],[DNI 3]],BD_MO[[#This Row],[DNI 4]]),"")</f>
        <v>2</v>
      </c>
      <c r="U36" s="176"/>
      <c r="V36" s="176"/>
      <c r="W36" s="176"/>
      <c r="X36" s="176">
        <v>2</v>
      </c>
      <c r="Y36" s="177">
        <f>SUM(BD_MO[[#This Row],[LIMP]:[SERV]])</f>
        <v>2</v>
      </c>
      <c r="Z36" s="172"/>
      <c r="AA36" s="172" t="str">
        <f>+IF(BD_MO[[#This Row],[N° VALE]]&lt;&gt;"",1,"")</f>
        <v/>
      </c>
      <c r="AB36" s="169"/>
      <c r="AC36" s="172"/>
      <c r="AD36" s="172" t="str">
        <f>+IF(BD_MO[[#This Row],[N° VALE]]&lt;&gt;"",BD_MO[[#This Row],[FULMINANTE N° 08]]+BD_MO[CARMEX 7''],"")</f>
        <v/>
      </c>
      <c r="AE36" s="172"/>
      <c r="AF36" s="172" t="str">
        <f>+IF(BD_MO[[#This Row],[N° VALE]]&lt;&gt;"",BD_MO[[#This Row],[N° TALADROS]]+BD_MO[[#This Row],[N° TAL. VACIOS]],"")</f>
        <v/>
      </c>
      <c r="AG36" s="178"/>
      <c r="AH36" s="178"/>
      <c r="AI36" s="178"/>
      <c r="AJ36" s="178"/>
      <c r="AK36" s="178"/>
      <c r="AL36" s="178"/>
      <c r="AM36" s="171"/>
      <c r="AN36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6" s="172" t="str">
        <f>+IF(BD_MO[[#This Row],[N° VALE]]&lt;&gt;"",IF(BD_MO[[#This Row],[FULMINANTE N° 08]]&lt;&gt;"",BD_MO[[#This Row],[FULMINANTE N° 08]],IF(BD_MO[[#This Row],[CARMEX 7'']]&lt;&gt;0,0,"")),"")</f>
        <v/>
      </c>
      <c r="AP36" s="176" t="str">
        <f>+IF(BD_MO[[#This Row],[N° VALE]]&lt;&gt;"",BD_MO[[#This Row],[N°  TOTAL TALADROS]]*BD_MO[[#This Row],[BARRA]]*0.95,"")</f>
        <v/>
      </c>
      <c r="AQ36" s="176" t="str">
        <f>+IF(BD_MO[[#This Row],[N° VALE]]&lt;&gt;"",BD_MO[[#This Row],[EMULNOR 1000 (N° CART.)]]*PE_EMUL_1000[PE],"")</f>
        <v/>
      </c>
      <c r="AR36" s="176" t="str">
        <f>+IF(BD_MO[[#This Row],[N° VALE]]&lt;&gt;"",BD_MO[[#This Row],[EMULNOR 3000 (N° CART.)]]*PE_EMUL_3000[PE],"")</f>
        <v/>
      </c>
      <c r="AS36" s="176" t="str">
        <f>+IF(BD_MO[[#This Row],[N° VALE]]&lt;&gt;"",BD_MO[[#This Row],[PULVERULENTA (N° CART.)]]*PE_PULV_65[PE],"")</f>
        <v/>
      </c>
      <c r="AT36" s="176" t="str">
        <f>+IF(BD_MO[[#This Row],[N° DISP]]&lt;&gt;"",BD_MO[[#This Row],[SEMIGELATINA (N° CART.)]]*PE_SEMIGEL_65[PE],"")</f>
        <v/>
      </c>
      <c r="AU36" s="176" t="str">
        <f>+IF(BD_MO[N° VALE]&lt;&gt;"",BD_MO[[#This Row],[KG EXPLO SEMIGEL]]+BD_MO[[#This Row],[KG EXPLO PULVE]]+BD_MO[[#This Row],[KG EXPLO EMULN 3000]]+BD_MO[[#This Row],[KG EXPLO EMULN 1000]],"")</f>
        <v/>
      </c>
      <c r="AV36" s="172"/>
      <c r="AW36" s="172"/>
      <c r="AX36" s="172" t="str">
        <f>+IF(BD_MO[[#This Row],[MINERAL (U-35)]]&lt;&gt;"",BD_MO[[#This Row],[MINERAL (U-35)]]*1.45,"-")</f>
        <v>-</v>
      </c>
      <c r="AY36" s="172" t="str">
        <f>+IF(BD_MO[[#This Row],[DESMONTE (U-35)]]&lt;&gt;"",BD_MO[[#This Row],[DESMONTE (U-35)]]*1.23,"-")</f>
        <v>-</v>
      </c>
      <c r="AZ36" s="172"/>
      <c r="BA36" s="172"/>
      <c r="BB36" s="172"/>
      <c r="BC36" s="172"/>
      <c r="BD36" s="172"/>
      <c r="BE36" s="172"/>
      <c r="BF36" s="172"/>
      <c r="BG36" s="172"/>
      <c r="BH36" s="172"/>
      <c r="BI36" s="172"/>
      <c r="BJ36" s="172"/>
      <c r="BK36" s="172"/>
      <c r="BL36" s="172"/>
      <c r="BM36" s="172"/>
      <c r="BN36" s="171"/>
      <c r="BO36" s="172"/>
      <c r="BP36" s="172"/>
      <c r="BQ36" s="171"/>
      <c r="BR36" s="172"/>
      <c r="BS36" s="171"/>
      <c r="BT36" s="176"/>
      <c r="BU36" s="172"/>
      <c r="BV36" s="172"/>
      <c r="BW36" s="172"/>
      <c r="BX36" s="172"/>
      <c r="BY36" s="172"/>
      <c r="BZ36" s="172"/>
      <c r="CA36" s="172"/>
      <c r="CB36" s="172"/>
      <c r="CC36" s="172"/>
      <c r="CD36" s="172"/>
      <c r="CE36" s="172"/>
      <c r="CF36" s="172"/>
      <c r="CG36" s="172"/>
      <c r="CH36" s="172"/>
      <c r="CI36" s="172"/>
      <c r="CJ36" s="172"/>
      <c r="CK36" s="172"/>
      <c r="CL36" s="172"/>
      <c r="CM36" s="172"/>
      <c r="CN36" s="172"/>
      <c r="CO36" s="172"/>
      <c r="CP36" s="176">
        <f>+IF(BD_MO[[#This Row],[FECHA]]&lt;&gt;"",BD_MO[[#This Row],[PUNTAL 4"]]+BD_MO[[#This Row],[PUNTAL 5"]]+BD_MO[[#This Row],[PUNTAL 6"]]+BD_MO[[#This Row],[PUNTAL 7"]]+BD_MO[[#This Row],[PUNTAL 8"]],"")</f>
        <v>0</v>
      </c>
      <c r="CQ36" s="172"/>
      <c r="CR36" s="172"/>
      <c r="CS36" s="172"/>
      <c r="CT36" s="172"/>
      <c r="CU36" s="172"/>
      <c r="CV36" s="172"/>
      <c r="CW36" s="172"/>
      <c r="CX36" s="172"/>
      <c r="CY36" s="176"/>
      <c r="CZ3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6" s="176">
        <f>+IF(BD_MO[[#This Row],[FECHA]]&lt;&gt;"",BD_MO[[#This Row],[DURMIENTE2]]*6.561+BD_MO[[#This Row],[LISTONES]]*4.921+BD_MO[[#This Row],[TABLA 1"x8"x3m]]*6.561+BD_MO[[#This Row],[TABLA 2"x8"x3m]]*13.122,"")</f>
        <v>0</v>
      </c>
      <c r="DB36" s="176">
        <f>+IF(BD_MO[[#This Row],[FECHA]]&lt;&gt;"",BD_MO[[#This Row],[PIE2 MADERA ASERRADA]]*1.95,"")</f>
        <v>0</v>
      </c>
      <c r="DC36" s="176">
        <f>+IF(BD_MO[[#This Row],[FECHA]]&lt;&gt;"",BD_MO[[#This Row],[KG. MADERA REDONDA]]+BD_MO[[#This Row],[KG MADERA ASERRADA]],"")</f>
        <v>0</v>
      </c>
      <c r="DD3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6" s="172"/>
      <c r="DF36" s="172"/>
      <c r="DG36" s="172"/>
      <c r="DH36" s="172"/>
      <c r="DI36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6" s="180"/>
      <c r="DK36" s="180"/>
      <c r="DL3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6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6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6" s="181"/>
      <c r="DP36" s="56" t="str">
        <f>+IF(BD_MO[[#This Row],[M o D]]&lt;&gt;"",IF(BD_MO[[#This Row],[M o D]]="M",BD_MO[[#This Row],[ROTURA TMH]]/2.65,BD_MO[[#This Row],[ROTURA TMH]]/2.4),"")</f>
        <v/>
      </c>
      <c r="DQ36" s="180"/>
      <c r="DR36" s="116" t="str">
        <f>IF(BD_MO[[#This Row],[TIPO AVANCE]]="Avance",((BD_MO[[#This Row],[AVANCE (m)]]/BD_MO[[#This Row],[AVANCE TEÓRICO]]))," ")</f>
        <v xml:space="preserve"> </v>
      </c>
      <c r="DS36" s="134"/>
      <c r="DT36" s="134"/>
      <c r="DU36" s="134"/>
      <c r="DV36" s="134"/>
      <c r="DW36" s="134"/>
      <c r="DX36" s="135"/>
      <c r="DY36" s="135"/>
      <c r="DZ36" s="135"/>
    </row>
    <row r="37" spans="1:130" s="136" customFormat="1" ht="18" customHeight="1" x14ac:dyDescent="0.25">
      <c r="A37" s="168">
        <v>44653</v>
      </c>
      <c r="B37" s="169" t="s">
        <v>10655</v>
      </c>
      <c r="C37" s="169" t="s">
        <v>10668</v>
      </c>
      <c r="D37" s="170" t="s">
        <v>10951</v>
      </c>
      <c r="E37" s="171" t="str">
        <f>LEFT(BD_MO[[#This Row],[LABOR]],2)</f>
        <v>In</v>
      </c>
      <c r="F37" s="172"/>
      <c r="G37" s="172" t="s">
        <v>10669</v>
      </c>
      <c r="H3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7" s="171" t="str">
        <f>IF(BD_MO[FECHA]&lt;&gt;"",VLOOKUP(BD_MO[LABOR],TB_CECO[[LABOR]:[CECO_T]],3,FALSE),"")</f>
        <v>CACHORRO</v>
      </c>
      <c r="J37" s="171" t="str">
        <f>IF(BD_MO[FECHA]&lt;&gt;"",VLOOKUP(BD_MO[LABOR],D_CECO!B:H,7,FALSE),"")</f>
        <v>LINEAL</v>
      </c>
      <c r="K37" s="171" t="str">
        <f>IF(BD_MO[FECHA]&lt;&gt;"",VLOOKUP(BD_MO[LABOR],D_CECO!B:H,4,FALSE),"")</f>
        <v>EXPLORACION</v>
      </c>
      <c r="L37" s="171"/>
      <c r="M37" s="169"/>
      <c r="N37" s="172"/>
      <c r="O37" s="173" t="s">
        <v>12099</v>
      </c>
      <c r="P37" s="173" t="s">
        <v>12100</v>
      </c>
      <c r="Q37" s="173"/>
      <c r="R37" s="174"/>
      <c r="S37" s="175" t="str">
        <f>IFERROR(VLOOKUP(BD_MO[DNI 4],#REF!,2,FALSE)," ")</f>
        <v xml:space="preserve"> </v>
      </c>
      <c r="T37" s="176">
        <f>+IF(BD_MO[[#This Row],[FECHA]]&lt;&gt;"",COUNTA(BD_MO[[#This Row],[DNI]],BD_MO[[#This Row],[DNI 2]],BD_MO[[#This Row],[DNI 3]],BD_MO[[#This Row],[DNI 4]]),"")</f>
        <v>2</v>
      </c>
      <c r="U37" s="176"/>
      <c r="V37" s="176"/>
      <c r="W37" s="176"/>
      <c r="X37" s="176">
        <v>2</v>
      </c>
      <c r="Y37" s="177">
        <f>SUM(BD_MO[[#This Row],[LIMP]:[SERV]])</f>
        <v>2</v>
      </c>
      <c r="Z37" s="172"/>
      <c r="AA37" s="172" t="str">
        <f>+IF(BD_MO[[#This Row],[N° VALE]]&lt;&gt;"",1,"")</f>
        <v/>
      </c>
      <c r="AB37" s="169"/>
      <c r="AC37" s="172"/>
      <c r="AD37" s="172" t="str">
        <f>+IF(BD_MO[[#This Row],[N° VALE]]&lt;&gt;"",BD_MO[[#This Row],[FULMINANTE N° 08]]+BD_MO[CARMEX 7''],"")</f>
        <v/>
      </c>
      <c r="AE37" s="172"/>
      <c r="AF37" s="172" t="str">
        <f>+IF(BD_MO[[#This Row],[N° VALE]]&lt;&gt;"",BD_MO[[#This Row],[N° TALADROS]]+BD_MO[[#This Row],[N° TAL. VACIOS]],"")</f>
        <v/>
      </c>
      <c r="AG37" s="178"/>
      <c r="AH37" s="178"/>
      <c r="AI37" s="178"/>
      <c r="AJ37" s="178"/>
      <c r="AK37" s="178"/>
      <c r="AL37" s="178"/>
      <c r="AM37" s="171"/>
      <c r="AN37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7" s="172" t="str">
        <f>+IF(BD_MO[[#This Row],[N° VALE]]&lt;&gt;"",IF(BD_MO[[#This Row],[FULMINANTE N° 08]]&lt;&gt;"",BD_MO[[#This Row],[FULMINANTE N° 08]],IF(BD_MO[[#This Row],[CARMEX 7'']]&lt;&gt;0,0,"")),"")</f>
        <v/>
      </c>
      <c r="AP37" s="176" t="str">
        <f>+IF(BD_MO[[#This Row],[N° VALE]]&lt;&gt;"",BD_MO[[#This Row],[N°  TOTAL TALADROS]]*BD_MO[[#This Row],[BARRA]]*0.95,"")</f>
        <v/>
      </c>
      <c r="AQ37" s="176" t="str">
        <f>+IF(BD_MO[[#This Row],[N° VALE]]&lt;&gt;"",BD_MO[[#This Row],[EMULNOR 1000 (N° CART.)]]*PE_EMUL_1000[PE],"")</f>
        <v/>
      </c>
      <c r="AR37" s="176" t="str">
        <f>+IF(BD_MO[[#This Row],[N° VALE]]&lt;&gt;"",BD_MO[[#This Row],[EMULNOR 3000 (N° CART.)]]*PE_EMUL_3000[PE],"")</f>
        <v/>
      </c>
      <c r="AS37" s="176" t="str">
        <f>+IF(BD_MO[[#This Row],[N° VALE]]&lt;&gt;"",BD_MO[[#This Row],[PULVERULENTA (N° CART.)]]*PE_PULV_65[PE],"")</f>
        <v/>
      </c>
      <c r="AT37" s="176" t="str">
        <f>+IF(BD_MO[[#This Row],[N° DISP]]&lt;&gt;"",BD_MO[[#This Row],[SEMIGELATINA (N° CART.)]]*PE_SEMIGEL_65[PE],"")</f>
        <v/>
      </c>
      <c r="AU37" s="176" t="str">
        <f>+IF(BD_MO[N° VALE]&lt;&gt;"",BD_MO[[#This Row],[KG EXPLO SEMIGEL]]+BD_MO[[#This Row],[KG EXPLO PULVE]]+BD_MO[[#This Row],[KG EXPLO EMULN 3000]]+BD_MO[[#This Row],[KG EXPLO EMULN 1000]],"")</f>
        <v/>
      </c>
      <c r="AV37" s="172"/>
      <c r="AW37" s="172"/>
      <c r="AX37" s="172" t="str">
        <f>+IF(BD_MO[[#This Row],[MINERAL (U-35)]]&lt;&gt;"",BD_MO[[#This Row],[MINERAL (U-35)]]*1.45,"-")</f>
        <v>-</v>
      </c>
      <c r="AY37" s="172" t="str">
        <f>+IF(BD_MO[[#This Row],[DESMONTE (U-35)]]&lt;&gt;"",BD_MO[[#This Row],[DESMONTE (U-35)]]*1.23,"-")</f>
        <v>-</v>
      </c>
      <c r="AZ37" s="172"/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72"/>
      <c r="BL37" s="172"/>
      <c r="BM37" s="172"/>
      <c r="BN37" s="171"/>
      <c r="BO37" s="172"/>
      <c r="BP37" s="172"/>
      <c r="BQ37" s="171"/>
      <c r="BR37" s="172"/>
      <c r="BS37" s="171"/>
      <c r="BT37" s="176"/>
      <c r="BU37" s="172"/>
      <c r="BV37" s="172"/>
      <c r="BW37" s="172"/>
      <c r="BX37" s="172"/>
      <c r="BY37" s="172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  <c r="CL37" s="172"/>
      <c r="CM37" s="172"/>
      <c r="CN37" s="172"/>
      <c r="CO37" s="172"/>
      <c r="CP37" s="176">
        <f>+IF(BD_MO[[#This Row],[FECHA]]&lt;&gt;"",BD_MO[[#This Row],[PUNTAL 4"]]+BD_MO[[#This Row],[PUNTAL 5"]]+BD_MO[[#This Row],[PUNTAL 6"]]+BD_MO[[#This Row],[PUNTAL 7"]]+BD_MO[[#This Row],[PUNTAL 8"]],"")</f>
        <v>0</v>
      </c>
      <c r="CQ37" s="172"/>
      <c r="CR37" s="172"/>
      <c r="CS37" s="172"/>
      <c r="CT37" s="172"/>
      <c r="CU37" s="172"/>
      <c r="CV37" s="172"/>
      <c r="CW37" s="172"/>
      <c r="CX37" s="172"/>
      <c r="CY37" s="176"/>
      <c r="CZ3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7" s="176">
        <f>+IF(BD_MO[[#This Row],[FECHA]]&lt;&gt;"",BD_MO[[#This Row],[DURMIENTE2]]*6.561+BD_MO[[#This Row],[LISTONES]]*4.921+BD_MO[[#This Row],[TABLA 1"x8"x3m]]*6.561+BD_MO[[#This Row],[TABLA 2"x8"x3m]]*13.122,"")</f>
        <v>0</v>
      </c>
      <c r="DB37" s="176">
        <f>+IF(BD_MO[[#This Row],[FECHA]]&lt;&gt;"",BD_MO[[#This Row],[PIE2 MADERA ASERRADA]]*1.95,"")</f>
        <v>0</v>
      </c>
      <c r="DC37" s="176">
        <f>+IF(BD_MO[[#This Row],[FECHA]]&lt;&gt;"",BD_MO[[#This Row],[KG. MADERA REDONDA]]+BD_MO[[#This Row],[KG MADERA ASERRADA]],"")</f>
        <v>0</v>
      </c>
      <c r="DD3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7" s="172"/>
      <c r="DF37" s="172"/>
      <c r="DG37" s="172"/>
      <c r="DH37" s="172"/>
      <c r="DI37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7" s="180"/>
      <c r="DK37" s="180"/>
      <c r="DL3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7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7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7" s="181"/>
      <c r="DP37" s="56" t="str">
        <f>+IF(BD_MO[[#This Row],[M o D]]&lt;&gt;"",IF(BD_MO[[#This Row],[M o D]]="M",BD_MO[[#This Row],[ROTURA TMH]]/2.65,BD_MO[[#This Row],[ROTURA TMH]]/2.4),"")</f>
        <v/>
      </c>
      <c r="DQ37" s="180"/>
      <c r="DR37" s="116" t="str">
        <f>IF(BD_MO[[#This Row],[TIPO AVANCE]]="Avance",((BD_MO[[#This Row],[AVANCE (m)]]/BD_MO[[#This Row],[AVANCE TEÓRICO]]))," ")</f>
        <v xml:space="preserve"> </v>
      </c>
      <c r="DS37" s="134"/>
      <c r="DT37" s="134"/>
      <c r="DU37" s="134"/>
      <c r="DV37" s="134"/>
      <c r="DW37" s="134"/>
      <c r="DX37" s="135"/>
      <c r="DY37" s="135"/>
      <c r="DZ37" s="135"/>
    </row>
    <row r="38" spans="1:130" s="136" customFormat="1" ht="18" customHeight="1" x14ac:dyDescent="0.25">
      <c r="A38" s="168">
        <v>44653</v>
      </c>
      <c r="B38" s="169" t="s">
        <v>10655</v>
      </c>
      <c r="C38" s="169" t="s">
        <v>10668</v>
      </c>
      <c r="D38" s="170" t="s">
        <v>12156</v>
      </c>
      <c r="E38" s="171" t="str">
        <f>LEFT(BD_MO[[#This Row],[LABOR]],2)</f>
        <v>Pq</v>
      </c>
      <c r="F38" s="172"/>
      <c r="G38" s="172" t="s">
        <v>10669</v>
      </c>
      <c r="H38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8" s="171" t="str">
        <f>IF(BD_MO[FECHA]&lt;&gt;"",VLOOKUP(BD_MO[LABOR],TB_CECO[[LABOR]:[CECO_T]],3,FALSE),"")</f>
        <v>CACHORRO</v>
      </c>
      <c r="J38" s="171" t="str">
        <f>IF(BD_MO[FECHA]&lt;&gt;"",VLOOKUP(BD_MO[LABOR],D_CECO!B:H,7,FALSE),"")</f>
        <v>LINEAL</v>
      </c>
      <c r="K38" s="171" t="str">
        <f>IF(BD_MO[FECHA]&lt;&gt;"",VLOOKUP(BD_MO[LABOR],D_CECO!B:H,4,FALSE),"")</f>
        <v>DESARROLLO</v>
      </c>
      <c r="L38" s="171"/>
      <c r="M38" s="169"/>
      <c r="N38" s="172"/>
      <c r="O38" s="173" t="s">
        <v>12095</v>
      </c>
      <c r="P38" s="173" t="s">
        <v>12161</v>
      </c>
      <c r="Q38" s="173"/>
      <c r="R38" s="174"/>
      <c r="S38" s="175" t="str">
        <f>IFERROR(VLOOKUP(BD_MO[DNI 4],#REF!,2,FALSE)," ")</f>
        <v xml:space="preserve"> </v>
      </c>
      <c r="T38" s="176">
        <f>+IF(BD_MO[[#This Row],[FECHA]]&lt;&gt;"",COUNTA(BD_MO[[#This Row],[DNI]],BD_MO[[#This Row],[DNI 2]],BD_MO[[#This Row],[DNI 3]],BD_MO[[#This Row],[DNI 4]]),"")</f>
        <v>2</v>
      </c>
      <c r="U38" s="176"/>
      <c r="V38" s="176"/>
      <c r="W38" s="176"/>
      <c r="X38" s="176">
        <v>2</v>
      </c>
      <c r="Y38" s="177">
        <f>SUM(BD_MO[[#This Row],[LIMP]:[SERV]])</f>
        <v>2</v>
      </c>
      <c r="Z38" s="172"/>
      <c r="AA38" s="172" t="str">
        <f>+IF(BD_MO[[#This Row],[N° VALE]]&lt;&gt;"",1,"")</f>
        <v/>
      </c>
      <c r="AB38" s="169"/>
      <c r="AC38" s="172"/>
      <c r="AD38" s="172" t="str">
        <f>+IF(BD_MO[[#This Row],[N° VALE]]&lt;&gt;"",BD_MO[[#This Row],[FULMINANTE N° 08]]+BD_MO[CARMEX 7''],"")</f>
        <v/>
      </c>
      <c r="AE38" s="172"/>
      <c r="AF38" s="172" t="str">
        <f>+IF(BD_MO[[#This Row],[N° VALE]]&lt;&gt;"",BD_MO[[#This Row],[N° TALADROS]]+BD_MO[[#This Row],[N° TAL. VACIOS]],"")</f>
        <v/>
      </c>
      <c r="AG38" s="178"/>
      <c r="AH38" s="178"/>
      <c r="AI38" s="178"/>
      <c r="AJ38" s="178"/>
      <c r="AK38" s="178"/>
      <c r="AL38" s="178"/>
      <c r="AM38" s="171"/>
      <c r="AN38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8" s="172" t="str">
        <f>+IF(BD_MO[[#This Row],[N° VALE]]&lt;&gt;"",IF(BD_MO[[#This Row],[FULMINANTE N° 08]]&lt;&gt;"",BD_MO[[#This Row],[FULMINANTE N° 08]],IF(BD_MO[[#This Row],[CARMEX 7'']]&lt;&gt;0,0,"")),"")</f>
        <v/>
      </c>
      <c r="AP38" s="176" t="str">
        <f>+IF(BD_MO[[#This Row],[N° VALE]]&lt;&gt;"",BD_MO[[#This Row],[N°  TOTAL TALADROS]]*BD_MO[[#This Row],[BARRA]]*0.95,"")</f>
        <v/>
      </c>
      <c r="AQ38" s="176" t="str">
        <f>+IF(BD_MO[[#This Row],[N° VALE]]&lt;&gt;"",BD_MO[[#This Row],[EMULNOR 1000 (N° CART.)]]*PE_EMUL_1000[PE],"")</f>
        <v/>
      </c>
      <c r="AR38" s="176" t="str">
        <f>+IF(BD_MO[[#This Row],[N° VALE]]&lt;&gt;"",BD_MO[[#This Row],[EMULNOR 3000 (N° CART.)]]*PE_EMUL_3000[PE],"")</f>
        <v/>
      </c>
      <c r="AS38" s="176" t="str">
        <f>+IF(BD_MO[[#This Row],[N° VALE]]&lt;&gt;"",BD_MO[[#This Row],[PULVERULENTA (N° CART.)]]*PE_PULV_65[PE],"")</f>
        <v/>
      </c>
      <c r="AT38" s="176" t="str">
        <f>+IF(BD_MO[[#This Row],[N° DISP]]&lt;&gt;"",BD_MO[[#This Row],[SEMIGELATINA (N° CART.)]]*PE_SEMIGEL_65[PE],"")</f>
        <v/>
      </c>
      <c r="AU38" s="176" t="str">
        <f>+IF(BD_MO[N° VALE]&lt;&gt;"",BD_MO[[#This Row],[KG EXPLO SEMIGEL]]+BD_MO[[#This Row],[KG EXPLO PULVE]]+BD_MO[[#This Row],[KG EXPLO EMULN 3000]]+BD_MO[[#This Row],[KG EXPLO EMULN 1000]],"")</f>
        <v/>
      </c>
      <c r="AV38" s="172"/>
      <c r="AW38" s="172"/>
      <c r="AX38" s="172" t="str">
        <f>+IF(BD_MO[[#This Row],[MINERAL (U-35)]]&lt;&gt;"",BD_MO[[#This Row],[MINERAL (U-35)]]*1.45,"-")</f>
        <v>-</v>
      </c>
      <c r="AY38" s="172" t="str">
        <f>+IF(BD_MO[[#This Row],[DESMONTE (U-35)]]&lt;&gt;"",BD_MO[[#This Row],[DESMONTE (U-35)]]*1.23,"-")</f>
        <v>-</v>
      </c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2"/>
      <c r="BL38" s="172"/>
      <c r="BM38" s="172"/>
      <c r="BN38" s="171"/>
      <c r="BO38" s="172"/>
      <c r="BP38" s="172"/>
      <c r="BQ38" s="171"/>
      <c r="BR38" s="172"/>
      <c r="BS38" s="171"/>
      <c r="BT38" s="176"/>
      <c r="BU38" s="172"/>
      <c r="BV38" s="172"/>
      <c r="BW38" s="172"/>
      <c r="BX38" s="172"/>
      <c r="BY38" s="172"/>
      <c r="BZ38" s="172"/>
      <c r="CA38" s="172"/>
      <c r="CB38" s="172"/>
      <c r="CC38" s="172"/>
      <c r="CD38" s="172"/>
      <c r="CE38" s="172"/>
      <c r="CF38" s="172"/>
      <c r="CG38" s="172"/>
      <c r="CH38" s="172"/>
      <c r="CI38" s="172"/>
      <c r="CJ38" s="172"/>
      <c r="CK38" s="172"/>
      <c r="CL38" s="172"/>
      <c r="CM38" s="172"/>
      <c r="CN38" s="172"/>
      <c r="CO38" s="172"/>
      <c r="CP38" s="176">
        <f>+IF(BD_MO[[#This Row],[FECHA]]&lt;&gt;"",BD_MO[[#This Row],[PUNTAL 4"]]+BD_MO[[#This Row],[PUNTAL 5"]]+BD_MO[[#This Row],[PUNTAL 6"]]+BD_MO[[#This Row],[PUNTAL 7"]]+BD_MO[[#This Row],[PUNTAL 8"]],"")</f>
        <v>0</v>
      </c>
      <c r="CQ38" s="172"/>
      <c r="CR38" s="172"/>
      <c r="CS38" s="172"/>
      <c r="CT38" s="172"/>
      <c r="CU38" s="172"/>
      <c r="CV38" s="172"/>
      <c r="CW38" s="172"/>
      <c r="CX38" s="172"/>
      <c r="CY38" s="176"/>
      <c r="CZ38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8" s="176">
        <f>+IF(BD_MO[[#This Row],[FECHA]]&lt;&gt;"",BD_MO[[#This Row],[DURMIENTE2]]*6.561+BD_MO[[#This Row],[LISTONES]]*4.921+BD_MO[[#This Row],[TABLA 1"x8"x3m]]*6.561+BD_MO[[#This Row],[TABLA 2"x8"x3m]]*13.122,"")</f>
        <v>0</v>
      </c>
      <c r="DB38" s="176">
        <f>+IF(BD_MO[[#This Row],[FECHA]]&lt;&gt;"",BD_MO[[#This Row],[PIE2 MADERA ASERRADA]]*1.95,"")</f>
        <v>0</v>
      </c>
      <c r="DC38" s="176">
        <f>+IF(BD_MO[[#This Row],[FECHA]]&lt;&gt;"",BD_MO[[#This Row],[KG. MADERA REDONDA]]+BD_MO[[#This Row],[KG MADERA ASERRADA]],"")</f>
        <v>0</v>
      </c>
      <c r="DD38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8" s="172"/>
      <c r="DF38" s="172"/>
      <c r="DG38" s="172"/>
      <c r="DH38" s="172"/>
      <c r="DI38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8" s="180"/>
      <c r="DK38" s="180"/>
      <c r="DL38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8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8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8" s="181"/>
      <c r="DP38" s="56" t="str">
        <f>+IF(BD_MO[[#This Row],[M o D]]&lt;&gt;"",IF(BD_MO[[#This Row],[M o D]]="M",BD_MO[[#This Row],[ROTURA TMH]]/2.65,BD_MO[[#This Row],[ROTURA TMH]]/2.4),"")</f>
        <v/>
      </c>
      <c r="DQ38" s="180"/>
      <c r="DR38" s="116" t="str">
        <f>IF(BD_MO[[#This Row],[TIPO AVANCE]]="Avance",((BD_MO[[#This Row],[AVANCE (m)]]/BD_MO[[#This Row],[AVANCE TEÓRICO]]))," ")</f>
        <v xml:space="preserve"> </v>
      </c>
      <c r="DS38" s="134"/>
      <c r="DT38" s="134"/>
      <c r="DU38" s="134"/>
      <c r="DV38" s="134"/>
      <c r="DW38" s="134"/>
      <c r="DX38" s="135"/>
      <c r="DY38" s="135"/>
      <c r="DZ38" s="135"/>
    </row>
    <row r="39" spans="1:130" s="136" customFormat="1" ht="18" customHeight="1" x14ac:dyDescent="0.25">
      <c r="A39" s="168">
        <v>44653</v>
      </c>
      <c r="B39" s="169" t="s">
        <v>10655</v>
      </c>
      <c r="C39" s="169" t="s">
        <v>10668</v>
      </c>
      <c r="D39" s="170" t="s">
        <v>11872</v>
      </c>
      <c r="E39" s="171" t="str">
        <f>LEFT(BD_MO[[#This Row],[LABOR]],2)</f>
        <v>PQ</v>
      </c>
      <c r="F39" s="172"/>
      <c r="G39" s="172" t="s">
        <v>10669</v>
      </c>
      <c r="H3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9" s="171" t="str">
        <f>IF(BD_MO[FECHA]&lt;&gt;"",VLOOKUP(BD_MO[LABOR],TB_CECO[[LABOR]:[CECO_T]],3,FALSE),"")</f>
        <v>ANDREA</v>
      </c>
      <c r="J39" s="171" t="str">
        <f>IF(BD_MO[FECHA]&lt;&gt;"",VLOOKUP(BD_MO[LABOR],D_CECO!B:H,7,FALSE),"")</f>
        <v>LINEAL</v>
      </c>
      <c r="K39" s="171" t="str">
        <f>IF(BD_MO[FECHA]&lt;&gt;"",VLOOKUP(BD_MO[LABOR],D_CECO!B:H,4,FALSE),"")</f>
        <v>EXPLOTACION</v>
      </c>
      <c r="L39" s="171"/>
      <c r="M39" s="169"/>
      <c r="N39" s="172"/>
      <c r="O39" s="173" t="s">
        <v>12097</v>
      </c>
      <c r="P39" s="173" t="s">
        <v>12089</v>
      </c>
      <c r="Q39" s="173" t="s">
        <v>12090</v>
      </c>
      <c r="R39" s="174"/>
      <c r="S39" s="175" t="str">
        <f>IFERROR(VLOOKUP(BD_MO[DNI 4],#REF!,2,FALSE)," ")</f>
        <v xml:space="preserve"> </v>
      </c>
      <c r="T39" s="176">
        <f>+IF(BD_MO[[#This Row],[FECHA]]&lt;&gt;"",COUNTA(BD_MO[[#This Row],[DNI]],BD_MO[[#This Row],[DNI 2]],BD_MO[[#This Row],[DNI 3]],BD_MO[[#This Row],[DNI 4]]),"")</f>
        <v>3</v>
      </c>
      <c r="U39" s="176"/>
      <c r="V39" s="176"/>
      <c r="W39" s="176"/>
      <c r="X39" s="176">
        <v>3</v>
      </c>
      <c r="Y39" s="177">
        <f>SUM(BD_MO[[#This Row],[LIMP]:[SERV]])</f>
        <v>3</v>
      </c>
      <c r="Z39" s="172"/>
      <c r="AA39" s="172" t="str">
        <f>+IF(BD_MO[[#This Row],[N° VALE]]&lt;&gt;"",1,"")</f>
        <v/>
      </c>
      <c r="AB39" s="169"/>
      <c r="AC39" s="172"/>
      <c r="AD39" s="172" t="str">
        <f>+IF(BD_MO[[#This Row],[N° VALE]]&lt;&gt;"",BD_MO[[#This Row],[FULMINANTE N° 08]]+BD_MO[CARMEX 7''],"")</f>
        <v/>
      </c>
      <c r="AE39" s="172"/>
      <c r="AF39" s="172" t="str">
        <f>+IF(BD_MO[[#This Row],[N° VALE]]&lt;&gt;"",BD_MO[[#This Row],[N° TALADROS]]+BD_MO[[#This Row],[N° TAL. VACIOS]],"")</f>
        <v/>
      </c>
      <c r="AG39" s="178"/>
      <c r="AH39" s="178"/>
      <c r="AI39" s="178"/>
      <c r="AJ39" s="178"/>
      <c r="AK39" s="178"/>
      <c r="AL39" s="178"/>
      <c r="AM39" s="171"/>
      <c r="AN39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9" s="172" t="str">
        <f>+IF(BD_MO[[#This Row],[N° VALE]]&lt;&gt;"",IF(BD_MO[[#This Row],[FULMINANTE N° 08]]&lt;&gt;"",BD_MO[[#This Row],[FULMINANTE N° 08]],IF(BD_MO[[#This Row],[CARMEX 7'']]&lt;&gt;0,0,"")),"")</f>
        <v/>
      </c>
      <c r="AP39" s="176" t="str">
        <f>+IF(BD_MO[[#This Row],[N° VALE]]&lt;&gt;"",BD_MO[[#This Row],[N°  TOTAL TALADROS]]*BD_MO[[#This Row],[BARRA]]*0.95,"")</f>
        <v/>
      </c>
      <c r="AQ39" s="176" t="str">
        <f>+IF(BD_MO[[#This Row],[N° VALE]]&lt;&gt;"",BD_MO[[#This Row],[EMULNOR 1000 (N° CART.)]]*PE_EMUL_1000[PE],"")</f>
        <v/>
      </c>
      <c r="AR39" s="176" t="str">
        <f>+IF(BD_MO[[#This Row],[N° VALE]]&lt;&gt;"",BD_MO[[#This Row],[EMULNOR 3000 (N° CART.)]]*PE_EMUL_3000[PE],"")</f>
        <v/>
      </c>
      <c r="AS39" s="176" t="str">
        <f>+IF(BD_MO[[#This Row],[N° VALE]]&lt;&gt;"",BD_MO[[#This Row],[PULVERULENTA (N° CART.)]]*PE_PULV_65[PE],"")</f>
        <v/>
      </c>
      <c r="AT39" s="176" t="str">
        <f>+IF(BD_MO[[#This Row],[N° DISP]]&lt;&gt;"",BD_MO[[#This Row],[SEMIGELATINA (N° CART.)]]*PE_SEMIGEL_65[PE],"")</f>
        <v/>
      </c>
      <c r="AU39" s="176" t="str">
        <f>+IF(BD_MO[N° VALE]&lt;&gt;"",BD_MO[[#This Row],[KG EXPLO SEMIGEL]]+BD_MO[[#This Row],[KG EXPLO PULVE]]+BD_MO[[#This Row],[KG EXPLO EMULN 3000]]+BD_MO[[#This Row],[KG EXPLO EMULN 1000]],"")</f>
        <v/>
      </c>
      <c r="AV39" s="172"/>
      <c r="AW39" s="172"/>
      <c r="AX39" s="172" t="str">
        <f>+IF(BD_MO[[#This Row],[MINERAL (U-35)]]&lt;&gt;"",BD_MO[[#This Row],[MINERAL (U-35)]]*1.45,"-")</f>
        <v>-</v>
      </c>
      <c r="AY39" s="172" t="str">
        <f>+IF(BD_MO[[#This Row],[DESMONTE (U-35)]]&lt;&gt;"",BD_MO[[#This Row],[DESMONTE (U-35)]]*1.23,"-")</f>
        <v>-</v>
      </c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2"/>
      <c r="BK39" s="172"/>
      <c r="BL39" s="172"/>
      <c r="BM39" s="172"/>
      <c r="BN39" s="171"/>
      <c r="BO39" s="172"/>
      <c r="BP39" s="172"/>
      <c r="BQ39" s="171"/>
      <c r="BR39" s="172"/>
      <c r="BS39" s="171"/>
      <c r="BT39" s="176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  <c r="CL39" s="172"/>
      <c r="CM39" s="172"/>
      <c r="CN39" s="172"/>
      <c r="CO39" s="172"/>
      <c r="CP39" s="176">
        <f>+IF(BD_MO[[#This Row],[FECHA]]&lt;&gt;"",BD_MO[[#This Row],[PUNTAL 4"]]+BD_MO[[#This Row],[PUNTAL 5"]]+BD_MO[[#This Row],[PUNTAL 6"]]+BD_MO[[#This Row],[PUNTAL 7"]]+BD_MO[[#This Row],[PUNTAL 8"]],"")</f>
        <v>0</v>
      </c>
      <c r="CQ39" s="172"/>
      <c r="CR39" s="172"/>
      <c r="CS39" s="172"/>
      <c r="CT39" s="172"/>
      <c r="CU39" s="172"/>
      <c r="CV39" s="172"/>
      <c r="CW39" s="172"/>
      <c r="CX39" s="172"/>
      <c r="CY39" s="176"/>
      <c r="CZ3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9" s="176">
        <f>+IF(BD_MO[[#This Row],[FECHA]]&lt;&gt;"",BD_MO[[#This Row],[DURMIENTE2]]*6.561+BD_MO[[#This Row],[LISTONES]]*4.921+BD_MO[[#This Row],[TABLA 1"x8"x3m]]*6.561+BD_MO[[#This Row],[TABLA 2"x8"x3m]]*13.122,"")</f>
        <v>0</v>
      </c>
      <c r="DB39" s="176">
        <f>+IF(BD_MO[[#This Row],[FECHA]]&lt;&gt;"",BD_MO[[#This Row],[PIE2 MADERA ASERRADA]]*1.95,"")</f>
        <v>0</v>
      </c>
      <c r="DC39" s="176">
        <f>+IF(BD_MO[[#This Row],[FECHA]]&lt;&gt;"",BD_MO[[#This Row],[KG. MADERA REDONDA]]+BD_MO[[#This Row],[KG MADERA ASERRADA]],"")</f>
        <v>0</v>
      </c>
      <c r="DD3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9" s="172"/>
      <c r="DF39" s="172"/>
      <c r="DG39" s="172"/>
      <c r="DH39" s="172"/>
      <c r="DI39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9" s="180"/>
      <c r="DK39" s="180"/>
      <c r="DL39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9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9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9" s="181"/>
      <c r="DP39" s="56" t="str">
        <f>+IF(BD_MO[[#This Row],[M o D]]&lt;&gt;"",IF(BD_MO[[#This Row],[M o D]]="M",BD_MO[[#This Row],[ROTURA TMH]]/2.65,BD_MO[[#This Row],[ROTURA TMH]]/2.4),"")</f>
        <v/>
      </c>
      <c r="DQ39" s="180"/>
      <c r="DR39" s="116" t="str">
        <f>IF(BD_MO[[#This Row],[TIPO AVANCE]]="Avance",((BD_MO[[#This Row],[AVANCE (m)]]/BD_MO[[#This Row],[AVANCE TEÓRICO]]))," ")</f>
        <v xml:space="preserve"> </v>
      </c>
      <c r="DS39" s="134"/>
      <c r="DT39" s="134"/>
      <c r="DU39" s="134"/>
      <c r="DV39" s="134"/>
      <c r="DW39" s="134"/>
      <c r="DX39" s="135"/>
      <c r="DY39" s="135"/>
      <c r="DZ39" s="135"/>
    </row>
    <row r="40" spans="1:130" s="136" customFormat="1" ht="18" customHeight="1" x14ac:dyDescent="0.25">
      <c r="A40" s="168">
        <v>44653</v>
      </c>
      <c r="B40" s="169" t="s">
        <v>10655</v>
      </c>
      <c r="C40" s="169" t="s">
        <v>10668</v>
      </c>
      <c r="D40" s="170" t="s">
        <v>10954</v>
      </c>
      <c r="E40" s="171" t="str">
        <f>LEFT(BD_MO[[#This Row],[LABOR]],2)</f>
        <v>MO</v>
      </c>
      <c r="F40" s="172"/>
      <c r="G40" s="172" t="s">
        <v>10669</v>
      </c>
      <c r="H4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0" s="171" t="str">
        <f>IF(BD_MO[FECHA]&lt;&gt;"",VLOOKUP(BD_MO[LABOR],TB_CECO[[LABOR]:[CECO_T]],3,FALSE),"")</f>
        <v>INCA</v>
      </c>
      <c r="J40" s="171" t="str">
        <f>IF(BD_MO[FECHA]&lt;&gt;"",VLOOKUP(BD_MO[LABOR],D_CECO!B:H,7,FALSE),"")</f>
        <v>SERVICIOS</v>
      </c>
      <c r="K40" s="171" t="str">
        <f>IF(BD_MO[FECHA]&lt;&gt;"",VLOOKUP(BD_MO[LABOR],D_CECO!B:H,4,FALSE),"")</f>
        <v>SERVICIOS</v>
      </c>
      <c r="L40" s="171"/>
      <c r="M40" s="169"/>
      <c r="N40" s="172"/>
      <c r="O40" s="173" t="s">
        <v>12098</v>
      </c>
      <c r="P40" s="173" t="s">
        <v>12162</v>
      </c>
      <c r="Q40" s="173"/>
      <c r="R40" s="174"/>
      <c r="S40" s="175" t="str">
        <f>IFERROR(VLOOKUP(BD_MO[DNI 4],#REF!,2,FALSE)," ")</f>
        <v xml:space="preserve"> </v>
      </c>
      <c r="T40" s="176">
        <f>+IF(BD_MO[[#This Row],[FECHA]]&lt;&gt;"",COUNTA(BD_MO[[#This Row],[DNI]],BD_MO[[#This Row],[DNI 2]],BD_MO[[#This Row],[DNI 3]],BD_MO[[#This Row],[DNI 4]]),"")</f>
        <v>2</v>
      </c>
      <c r="U40" s="176"/>
      <c r="V40" s="176"/>
      <c r="W40" s="176"/>
      <c r="X40" s="176">
        <v>2</v>
      </c>
      <c r="Y40" s="177">
        <f>SUM(BD_MO[[#This Row],[LIMP]:[SERV]])</f>
        <v>2</v>
      </c>
      <c r="Z40" s="172"/>
      <c r="AA40" s="172" t="str">
        <f>+IF(BD_MO[[#This Row],[N° VALE]]&lt;&gt;"",1,"")</f>
        <v/>
      </c>
      <c r="AB40" s="169"/>
      <c r="AC40" s="172"/>
      <c r="AD40" s="172" t="str">
        <f>+IF(BD_MO[[#This Row],[N° VALE]]&lt;&gt;"",BD_MO[[#This Row],[FULMINANTE N° 08]]+BD_MO[CARMEX 7''],"")</f>
        <v/>
      </c>
      <c r="AE40" s="172"/>
      <c r="AF40" s="172" t="str">
        <f>+IF(BD_MO[[#This Row],[N° VALE]]&lt;&gt;"",BD_MO[[#This Row],[N° TALADROS]]+BD_MO[[#This Row],[N° TAL. VACIOS]],"")</f>
        <v/>
      </c>
      <c r="AG40" s="178"/>
      <c r="AH40" s="178"/>
      <c r="AI40" s="178"/>
      <c r="AJ40" s="178"/>
      <c r="AK40" s="178"/>
      <c r="AL40" s="178"/>
      <c r="AM40" s="171"/>
      <c r="AN40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0" s="172" t="str">
        <f>+IF(BD_MO[[#This Row],[N° VALE]]&lt;&gt;"",IF(BD_MO[[#This Row],[FULMINANTE N° 08]]&lt;&gt;"",BD_MO[[#This Row],[FULMINANTE N° 08]],IF(BD_MO[[#This Row],[CARMEX 7'']]&lt;&gt;0,0,"")),"")</f>
        <v/>
      </c>
      <c r="AP40" s="176" t="str">
        <f>+IF(BD_MO[[#This Row],[N° VALE]]&lt;&gt;"",BD_MO[[#This Row],[N°  TOTAL TALADROS]]*BD_MO[[#This Row],[BARRA]]*0.95,"")</f>
        <v/>
      </c>
      <c r="AQ40" s="176" t="str">
        <f>+IF(BD_MO[[#This Row],[N° VALE]]&lt;&gt;"",BD_MO[[#This Row],[EMULNOR 1000 (N° CART.)]]*PE_EMUL_1000[PE],"")</f>
        <v/>
      </c>
      <c r="AR40" s="176" t="str">
        <f>+IF(BD_MO[[#This Row],[N° VALE]]&lt;&gt;"",BD_MO[[#This Row],[EMULNOR 3000 (N° CART.)]]*PE_EMUL_3000[PE],"")</f>
        <v/>
      </c>
      <c r="AS40" s="176" t="str">
        <f>+IF(BD_MO[[#This Row],[N° VALE]]&lt;&gt;"",BD_MO[[#This Row],[PULVERULENTA (N° CART.)]]*PE_PULV_65[PE],"")</f>
        <v/>
      </c>
      <c r="AT40" s="176" t="str">
        <f>+IF(BD_MO[[#This Row],[N° DISP]]&lt;&gt;"",BD_MO[[#This Row],[SEMIGELATINA (N° CART.)]]*PE_SEMIGEL_65[PE],"")</f>
        <v/>
      </c>
      <c r="AU40" s="176" t="str">
        <f>+IF(BD_MO[N° VALE]&lt;&gt;"",BD_MO[[#This Row],[KG EXPLO SEMIGEL]]+BD_MO[[#This Row],[KG EXPLO PULVE]]+BD_MO[[#This Row],[KG EXPLO EMULN 3000]]+BD_MO[[#This Row],[KG EXPLO EMULN 1000]],"")</f>
        <v/>
      </c>
      <c r="AV40" s="172"/>
      <c r="AW40" s="172"/>
      <c r="AX40" s="172" t="str">
        <f>+IF(BD_MO[[#This Row],[MINERAL (U-35)]]&lt;&gt;"",BD_MO[[#This Row],[MINERAL (U-35)]]*1.45,"-")</f>
        <v>-</v>
      </c>
      <c r="AY40" s="172" t="str">
        <f>+IF(BD_MO[[#This Row],[DESMONTE (U-35)]]&lt;&gt;"",BD_MO[[#This Row],[DESMONTE (U-35)]]*1.23,"-")</f>
        <v>-</v>
      </c>
      <c r="AZ40" s="172"/>
      <c r="BA40" s="172"/>
      <c r="BB40" s="172"/>
      <c r="BC40" s="172"/>
      <c r="BD40" s="172"/>
      <c r="BE40" s="172"/>
      <c r="BF40" s="172"/>
      <c r="BG40" s="172"/>
      <c r="BH40" s="172"/>
      <c r="BI40" s="172"/>
      <c r="BJ40" s="172"/>
      <c r="BK40" s="172"/>
      <c r="BL40" s="172"/>
      <c r="BM40" s="172"/>
      <c r="BN40" s="171"/>
      <c r="BO40" s="172"/>
      <c r="BP40" s="172"/>
      <c r="BQ40" s="171"/>
      <c r="BR40" s="172"/>
      <c r="BS40" s="171"/>
      <c r="BT40" s="176"/>
      <c r="BU40" s="172"/>
      <c r="BV40" s="172"/>
      <c r="BW40" s="172"/>
      <c r="BX40" s="172"/>
      <c r="BY40" s="172"/>
      <c r="BZ40" s="172"/>
      <c r="CA40" s="172"/>
      <c r="CB40" s="172"/>
      <c r="CC40" s="172"/>
      <c r="CD40" s="172"/>
      <c r="CE40" s="172"/>
      <c r="CF40" s="172"/>
      <c r="CG40" s="172"/>
      <c r="CH40" s="172"/>
      <c r="CI40" s="172"/>
      <c r="CJ40" s="172"/>
      <c r="CK40" s="172"/>
      <c r="CL40" s="172"/>
      <c r="CM40" s="172"/>
      <c r="CN40" s="172"/>
      <c r="CO40" s="172"/>
      <c r="CP40" s="176">
        <f>+IF(BD_MO[[#This Row],[FECHA]]&lt;&gt;"",BD_MO[[#This Row],[PUNTAL 4"]]+BD_MO[[#This Row],[PUNTAL 5"]]+BD_MO[[#This Row],[PUNTAL 6"]]+BD_MO[[#This Row],[PUNTAL 7"]]+BD_MO[[#This Row],[PUNTAL 8"]],"")</f>
        <v>0</v>
      </c>
      <c r="CQ40" s="172"/>
      <c r="CR40" s="172"/>
      <c r="CS40" s="172"/>
      <c r="CT40" s="172"/>
      <c r="CU40" s="172"/>
      <c r="CV40" s="172"/>
      <c r="CW40" s="172"/>
      <c r="CX40" s="172"/>
      <c r="CY40" s="176"/>
      <c r="CZ4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0" s="176">
        <f>+IF(BD_MO[[#This Row],[FECHA]]&lt;&gt;"",BD_MO[[#This Row],[DURMIENTE2]]*6.561+BD_MO[[#This Row],[LISTONES]]*4.921+BD_MO[[#This Row],[TABLA 1"x8"x3m]]*6.561+BD_MO[[#This Row],[TABLA 2"x8"x3m]]*13.122,"")</f>
        <v>0</v>
      </c>
      <c r="DB40" s="176">
        <f>+IF(BD_MO[[#This Row],[FECHA]]&lt;&gt;"",BD_MO[[#This Row],[PIE2 MADERA ASERRADA]]*1.95,"")</f>
        <v>0</v>
      </c>
      <c r="DC40" s="176">
        <f>+IF(BD_MO[[#This Row],[FECHA]]&lt;&gt;"",BD_MO[[#This Row],[KG. MADERA REDONDA]]+BD_MO[[#This Row],[KG MADERA ASERRADA]],"")</f>
        <v>0</v>
      </c>
      <c r="DD4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0" s="172"/>
      <c r="DF40" s="172"/>
      <c r="DG40" s="172"/>
      <c r="DH40" s="172"/>
      <c r="DI40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0" s="180"/>
      <c r="DK40" s="180"/>
      <c r="DL40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0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0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0" s="181"/>
      <c r="DP40" s="180" t="str">
        <f>+IF(BD_MO[[#This Row],[M o D]]&lt;&gt;"",IF(BD_MO[[#This Row],[M o D]]="M",BD_MO[[#This Row],[ROTURA TMH]]/2.65,BD_MO[[#This Row],[ROTURA TMH]]/2.4),"")</f>
        <v/>
      </c>
      <c r="DQ40" s="180"/>
      <c r="DR40" s="116" t="str">
        <f>IF(BD_MO[[#This Row],[TIPO AVANCE]]="Avance",((BD_MO[[#This Row],[AVANCE (m)]]/BD_MO[[#This Row],[AVANCE TEÓRICO]]))," ")</f>
        <v xml:space="preserve"> </v>
      </c>
      <c r="DS40" s="134"/>
      <c r="DT40" s="134"/>
      <c r="DU40" s="134"/>
      <c r="DV40" s="134"/>
      <c r="DW40" s="134"/>
      <c r="DX40" s="135"/>
      <c r="DY40" s="135"/>
      <c r="DZ40" s="135"/>
    </row>
    <row r="41" spans="1:130" s="112" customFormat="1" ht="18" customHeight="1" thickBot="1" x14ac:dyDescent="0.3">
      <c r="A41" s="183">
        <v>44653</v>
      </c>
      <c r="B41" s="184" t="s">
        <v>10655</v>
      </c>
      <c r="C41" s="184" t="s">
        <v>10668</v>
      </c>
      <c r="D41" s="185" t="s">
        <v>10717</v>
      </c>
      <c r="E41" s="186" t="str">
        <f>LEFT(BD_MO[[#This Row],[LABOR]],2)</f>
        <v>BO</v>
      </c>
      <c r="F41" s="187"/>
      <c r="G41" s="187" t="s">
        <v>10669</v>
      </c>
      <c r="H41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1" s="186" t="str">
        <f>IF(BD_MO[FECHA]&lt;&gt;"",VLOOKUP(BD_MO[LABOR],TB_CECO[[LABOR]:[CECO_T]],3,FALSE),"")</f>
        <v>CACHORRO</v>
      </c>
      <c r="J41" s="186" t="str">
        <f>IF(BD_MO[FECHA]&lt;&gt;"",VLOOKUP(BD_MO[LABOR],D_CECO!B:H,7,FALSE),"")</f>
        <v>SERVICIOS</v>
      </c>
      <c r="K41" s="186" t="str">
        <f>IF(BD_MO[FECHA]&lt;&gt;"",VLOOKUP(BD_MO[LABOR],D_CECO!B:H,4,FALSE),"")</f>
        <v>SERVICIOS</v>
      </c>
      <c r="L41" s="186"/>
      <c r="M41" s="184"/>
      <c r="N41" s="187"/>
      <c r="O41" s="188" t="s">
        <v>12163</v>
      </c>
      <c r="P41" s="188"/>
      <c r="Q41" s="188"/>
      <c r="R41" s="189"/>
      <c r="S41" s="190" t="str">
        <f>IFERROR(VLOOKUP(BD_MO[DNI 4],#REF!,2,FALSE)," ")</f>
        <v xml:space="preserve"> </v>
      </c>
      <c r="T41" s="191">
        <f>+IF(BD_MO[[#This Row],[FECHA]]&lt;&gt;"",COUNTA(BD_MO[[#This Row],[DNI]],BD_MO[[#This Row],[DNI 2]],BD_MO[[#This Row],[DNI 3]],BD_MO[[#This Row],[DNI 4]]),"")</f>
        <v>1</v>
      </c>
      <c r="U41" s="191"/>
      <c r="V41" s="191"/>
      <c r="W41" s="191"/>
      <c r="X41" s="191">
        <v>1</v>
      </c>
      <c r="Y41" s="192">
        <f>SUM(BD_MO[[#This Row],[LIMP]:[SERV]])</f>
        <v>1</v>
      </c>
      <c r="Z41" s="187"/>
      <c r="AA41" s="187" t="str">
        <f>+IF(BD_MO[[#This Row],[N° VALE]]&lt;&gt;"",1,"")</f>
        <v/>
      </c>
      <c r="AB41" s="184"/>
      <c r="AC41" s="187"/>
      <c r="AD41" s="187" t="str">
        <f>+IF(BD_MO[[#This Row],[N° VALE]]&lt;&gt;"",BD_MO[[#This Row],[FULMINANTE N° 08]]+BD_MO[CARMEX 7''],"")</f>
        <v/>
      </c>
      <c r="AE41" s="187"/>
      <c r="AF41" s="187" t="str">
        <f>+IF(BD_MO[[#This Row],[N° VALE]]&lt;&gt;"",BD_MO[[#This Row],[N° TALADROS]]+BD_MO[[#This Row],[N° TAL. VACIOS]],"")</f>
        <v/>
      </c>
      <c r="AG41" s="193"/>
      <c r="AH41" s="193"/>
      <c r="AI41" s="193"/>
      <c r="AJ41" s="193"/>
      <c r="AK41" s="193"/>
      <c r="AL41" s="193"/>
      <c r="AM41" s="186"/>
      <c r="AN41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1" s="187" t="str">
        <f>+IF(BD_MO[[#This Row],[N° VALE]]&lt;&gt;"",IF(BD_MO[[#This Row],[FULMINANTE N° 08]]&lt;&gt;"",BD_MO[[#This Row],[FULMINANTE N° 08]],IF(BD_MO[[#This Row],[CARMEX 7'']]&lt;&gt;0,0,"")),"")</f>
        <v/>
      </c>
      <c r="AP41" s="191" t="str">
        <f>+IF(BD_MO[[#This Row],[N° VALE]]&lt;&gt;"",BD_MO[[#This Row],[N°  TOTAL TALADROS]]*BD_MO[[#This Row],[BARRA]]*0.95,"")</f>
        <v/>
      </c>
      <c r="AQ41" s="191" t="str">
        <f>+IF(BD_MO[[#This Row],[N° VALE]]&lt;&gt;"",BD_MO[[#This Row],[EMULNOR 1000 (N° CART.)]]*PE_EMUL_1000[PE],"")</f>
        <v/>
      </c>
      <c r="AR41" s="191" t="str">
        <f>+IF(BD_MO[[#This Row],[N° VALE]]&lt;&gt;"",BD_MO[[#This Row],[EMULNOR 3000 (N° CART.)]]*PE_EMUL_3000[PE],"")</f>
        <v/>
      </c>
      <c r="AS41" s="191" t="str">
        <f>+IF(BD_MO[[#This Row],[N° VALE]]&lt;&gt;"",BD_MO[[#This Row],[PULVERULENTA (N° CART.)]]*PE_PULV_65[PE],"")</f>
        <v/>
      </c>
      <c r="AT41" s="191" t="str">
        <f>+IF(BD_MO[[#This Row],[N° DISP]]&lt;&gt;"",BD_MO[[#This Row],[SEMIGELATINA (N° CART.)]]*PE_SEMIGEL_65[PE],"")</f>
        <v/>
      </c>
      <c r="AU41" s="191" t="str">
        <f>+IF(BD_MO[N° VALE]&lt;&gt;"",BD_MO[[#This Row],[KG EXPLO SEMIGEL]]+BD_MO[[#This Row],[KG EXPLO PULVE]]+BD_MO[[#This Row],[KG EXPLO EMULN 3000]]+BD_MO[[#This Row],[KG EXPLO EMULN 1000]],"")</f>
        <v/>
      </c>
      <c r="AV41" s="187"/>
      <c r="AW41" s="187"/>
      <c r="AX41" s="187" t="str">
        <f>+IF(BD_MO[[#This Row],[MINERAL (U-35)]]&lt;&gt;"",BD_MO[[#This Row],[MINERAL (U-35)]]*1.45,"-")</f>
        <v>-</v>
      </c>
      <c r="AY41" s="187" t="str">
        <f>+IF(BD_MO[[#This Row],[DESMONTE (U-35)]]&lt;&gt;"",BD_MO[[#This Row],[DESMONTE (U-35)]]*1.23,"-")</f>
        <v>-</v>
      </c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6"/>
      <c r="BO41" s="187"/>
      <c r="BP41" s="187"/>
      <c r="BQ41" s="186"/>
      <c r="BR41" s="187"/>
      <c r="BS41" s="186"/>
      <c r="BT41" s="191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91">
        <f>+IF(BD_MO[[#This Row],[FECHA]]&lt;&gt;"",BD_MO[[#This Row],[PUNTAL 4"]]+BD_MO[[#This Row],[PUNTAL 5"]]+BD_MO[[#This Row],[PUNTAL 6"]]+BD_MO[[#This Row],[PUNTAL 7"]]+BD_MO[[#This Row],[PUNTAL 8"]],"")</f>
        <v>0</v>
      </c>
      <c r="CQ41" s="187"/>
      <c r="CR41" s="187"/>
      <c r="CS41" s="187"/>
      <c r="CT41" s="187"/>
      <c r="CU41" s="187"/>
      <c r="CV41" s="187"/>
      <c r="CW41" s="187"/>
      <c r="CX41" s="187"/>
      <c r="CY41" s="191"/>
      <c r="CZ41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1" s="191">
        <f>+IF(BD_MO[[#This Row],[FECHA]]&lt;&gt;"",BD_MO[[#This Row],[DURMIENTE2]]*6.561+BD_MO[[#This Row],[LISTONES]]*4.921+BD_MO[[#This Row],[TABLA 1"x8"x3m]]*6.561+BD_MO[[#This Row],[TABLA 2"x8"x3m]]*13.122,"")</f>
        <v>0</v>
      </c>
      <c r="DB41" s="191">
        <f>+IF(BD_MO[[#This Row],[FECHA]]&lt;&gt;"",BD_MO[[#This Row],[PIE2 MADERA ASERRADA]]*1.95,"")</f>
        <v>0</v>
      </c>
      <c r="DC41" s="191">
        <f>+IF(BD_MO[[#This Row],[FECHA]]&lt;&gt;"",BD_MO[[#This Row],[KG. MADERA REDONDA]]+BD_MO[[#This Row],[KG MADERA ASERRADA]],"")</f>
        <v>0</v>
      </c>
      <c r="DD41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1" s="187"/>
      <c r="DF41" s="187"/>
      <c r="DG41" s="187"/>
      <c r="DH41" s="187"/>
      <c r="DI41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1" s="195"/>
      <c r="DK41" s="195"/>
      <c r="DL41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1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1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1" s="196"/>
      <c r="DP41" s="195" t="str">
        <f>+IF(BD_MO[[#This Row],[M o D]]&lt;&gt;"",IF(BD_MO[[#This Row],[M o D]]="M",BD_MO[[#This Row],[ROTURA TMH]]/2.65,BD_MO[[#This Row],[ROTURA TMH]]/2.4),"")</f>
        <v/>
      </c>
      <c r="DQ41" s="195"/>
      <c r="DR41" s="116" t="str">
        <f>IF(BD_MO[[#This Row],[TIPO AVANCE]]="Avance",((BD_MO[[#This Row],[AVANCE (m)]]/BD_MO[[#This Row],[AVANCE TEÓRICO]]))," ")</f>
        <v xml:space="preserve"> </v>
      </c>
      <c r="DS41" s="110"/>
      <c r="DT41" s="110"/>
      <c r="DU41" s="110"/>
      <c r="DV41" s="110"/>
      <c r="DW41" s="110"/>
      <c r="DX41" s="111"/>
      <c r="DY41" s="111"/>
      <c r="DZ41" s="111"/>
    </row>
    <row r="42" spans="1:130" s="136" customFormat="1" ht="18" customHeight="1" x14ac:dyDescent="0.25">
      <c r="A42" s="168">
        <v>44654</v>
      </c>
      <c r="B42" s="169" t="s">
        <v>10647</v>
      </c>
      <c r="C42" s="169" t="s">
        <v>10680</v>
      </c>
      <c r="D42" s="170" t="s">
        <v>12149</v>
      </c>
      <c r="E42" s="171" t="str">
        <f>LEFT(BD_MO[[#This Row],[LABOR]],2)</f>
        <v>Es</v>
      </c>
      <c r="F42" s="172" t="s">
        <v>10687</v>
      </c>
      <c r="G42" s="172" t="s">
        <v>10648</v>
      </c>
      <c r="H4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2" s="171" t="str">
        <f>IF(BD_MO[FECHA]&lt;&gt;"",VLOOKUP(BD_MO[LABOR],TB_CECO[[LABOR]:[CECO_T]],3,FALSE),"")</f>
        <v>VANESSA</v>
      </c>
      <c r="J42" s="171" t="str">
        <f>IF(BD_MO[FECHA]&lt;&gt;"",VLOOKUP(BD_MO[LABOR],D_CECO!B:H,7,FALSE),"")</f>
        <v>LINEAL</v>
      </c>
      <c r="K42" s="171" t="str">
        <f>IF(BD_MO[FECHA]&lt;&gt;"",VLOOKUP(BD_MO[LABOR],D_CECO!B:H,4,FALSE),"")</f>
        <v>EXPLORACION</v>
      </c>
      <c r="L42" s="171"/>
      <c r="M42" s="169" t="s">
        <v>10646</v>
      </c>
      <c r="N42" s="172"/>
      <c r="O42" s="173" t="s">
        <v>11904</v>
      </c>
      <c r="P42" s="173" t="s">
        <v>11926</v>
      </c>
      <c r="Q42" s="173"/>
      <c r="R42" s="174"/>
      <c r="S42" s="175" t="str">
        <f>IFERROR(VLOOKUP(BD_MO[DNI 4],#REF!,2,FALSE)," ")</f>
        <v xml:space="preserve"> </v>
      </c>
      <c r="T42" s="176">
        <v>1</v>
      </c>
      <c r="U42" s="176">
        <v>0.05</v>
      </c>
      <c r="V42" s="176">
        <v>0.35</v>
      </c>
      <c r="W42" s="176">
        <v>0.55000000000000004</v>
      </c>
      <c r="X42" s="176">
        <v>0.05</v>
      </c>
      <c r="Y42" s="177">
        <f>SUM(BD_MO[[#This Row],[LIMP]:[SERV]])</f>
        <v>1</v>
      </c>
      <c r="Z42" s="172" t="s">
        <v>12166</v>
      </c>
      <c r="AA42" s="172">
        <f>+IF(BD_MO[[#This Row],[N° VALE]]&lt;&gt;"",1,"")</f>
        <v>1</v>
      </c>
      <c r="AB42" s="169" t="s">
        <v>10710</v>
      </c>
      <c r="AC42" s="172">
        <v>5</v>
      </c>
      <c r="AD42" s="172">
        <f>+IF(BD_MO[[#This Row],[N° VALE]]&lt;&gt;"",BD_MO[[#This Row],[FULMINANTE N° 08]]+BD_MO[CARMEX 7''],"")</f>
        <v>21</v>
      </c>
      <c r="AE42" s="172">
        <v>3</v>
      </c>
      <c r="AF42" s="172">
        <f>+IF(BD_MO[[#This Row],[N° VALE]]&lt;&gt;"",BD_MO[[#This Row],[N° TALADROS]]+BD_MO[[#This Row],[N° TAL. VACIOS]],"")</f>
        <v>24</v>
      </c>
      <c r="AG42" s="178">
        <v>42</v>
      </c>
      <c r="AH42" s="178">
        <v>76</v>
      </c>
      <c r="AI42" s="178"/>
      <c r="AJ42" s="178"/>
      <c r="AK42" s="178">
        <v>21</v>
      </c>
      <c r="AL42" s="178">
        <v>4</v>
      </c>
      <c r="AM42" s="171"/>
      <c r="AN42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2" s="172">
        <f>+IF(BD_MO[[#This Row],[N° VALE]]&lt;&gt;"",IF(BD_MO[[#This Row],[FULMINANTE N° 08]]&lt;&gt;"",BD_MO[[#This Row],[FULMINANTE N° 08]],IF(BD_MO[[#This Row],[CARMEX 7'']]&lt;&gt;0,0,"")),"")</f>
        <v>0</v>
      </c>
      <c r="AP42" s="176">
        <f>+IF(BD_MO[[#This Row],[N° VALE]]&lt;&gt;"",BD_MO[[#This Row],[N°  TOTAL TALADROS]]*BD_MO[[#This Row],[BARRA]]*0.95,"")</f>
        <v>114</v>
      </c>
      <c r="AQ42" s="176">
        <f>+IF(BD_MO[[#This Row],[N° VALE]]&lt;&gt;"",BD_MO[[#This Row],[EMULNOR 1000 (N° CART.)]]*PE_EMUL_1000[PE],"")</f>
        <v>7.1972000000000005</v>
      </c>
      <c r="AR42" s="176">
        <f>+IF(BD_MO[[#This Row],[N° VALE]]&lt;&gt;"",BD_MO[[#This Row],[EMULNOR 3000 (N° CART.)]]*PE_EMUL_3000[PE],"")</f>
        <v>4.0384615384615401</v>
      </c>
      <c r="AS42" s="176">
        <f>+IF(BD_MO[[#This Row],[N° VALE]]&lt;&gt;"",BD_MO[[#This Row],[PULVERULENTA (N° CART.)]]*PE_PULV_65[PE],"")</f>
        <v>0</v>
      </c>
      <c r="AT42" s="176">
        <f>+IF(BD_MO[[#This Row],[N° DISP]]&lt;&gt;"",BD_MO[[#This Row],[SEMIGELATINA (N° CART.)]]*PE_SEMIGEL_65[PE],"")</f>
        <v>0</v>
      </c>
      <c r="AU42" s="176">
        <f>+IF(BD_MO[N° VALE]&lt;&gt;"",BD_MO[[#This Row],[KG EXPLO SEMIGEL]]+BD_MO[[#This Row],[KG EXPLO PULVE]]+BD_MO[[#This Row],[KG EXPLO EMULN 3000]]+BD_MO[[#This Row],[KG EXPLO EMULN 1000]],"")</f>
        <v>11.235661538461541</v>
      </c>
      <c r="AV42" s="172"/>
      <c r="AW42" s="172"/>
      <c r="AX42" s="172" t="str">
        <f>+IF(BD_MO[[#This Row],[MINERAL (U-35)]]&lt;&gt;"",BD_MO[[#This Row],[MINERAL (U-35)]]*1.45,"-")</f>
        <v>-</v>
      </c>
      <c r="AY42" s="172" t="str">
        <f>+IF(BD_MO[[#This Row],[DESMONTE (U-35)]]&lt;&gt;"",BD_MO[[#This Row],[DESMONTE (U-35)]]*1.23,"-")</f>
        <v>-</v>
      </c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72"/>
      <c r="BL42" s="172"/>
      <c r="BM42" s="172"/>
      <c r="BN42" s="171"/>
      <c r="BO42" s="172"/>
      <c r="BP42" s="172"/>
      <c r="BQ42" s="171"/>
      <c r="BR42" s="172"/>
      <c r="BS42" s="171"/>
      <c r="BT42" s="176"/>
      <c r="BU42" s="172"/>
      <c r="BV42" s="172"/>
      <c r="BW42" s="172"/>
      <c r="BX42" s="172"/>
      <c r="BY42" s="172"/>
      <c r="BZ42" s="172"/>
      <c r="CA42" s="172"/>
      <c r="CB42" s="172"/>
      <c r="CC42" s="172">
        <v>1.05</v>
      </c>
      <c r="CD42" s="172"/>
      <c r="CE42" s="172"/>
      <c r="CF42" s="172"/>
      <c r="CG42" s="172"/>
      <c r="CH42" s="172"/>
      <c r="CI42" s="172"/>
      <c r="CJ42" s="172"/>
      <c r="CK42" s="172"/>
      <c r="CL42" s="172"/>
      <c r="CM42" s="172"/>
      <c r="CN42" s="172"/>
      <c r="CO42" s="172"/>
      <c r="CP42" s="176">
        <f>+IF(BD_MO[[#This Row],[FECHA]]&lt;&gt;"",BD_MO[[#This Row],[PUNTAL 4"]]+BD_MO[[#This Row],[PUNTAL 5"]]+BD_MO[[#This Row],[PUNTAL 6"]]+BD_MO[[#This Row],[PUNTAL 7"]]+BD_MO[[#This Row],[PUNTAL 8"]],"")</f>
        <v>0</v>
      </c>
      <c r="CQ42" s="172"/>
      <c r="CR42" s="172"/>
      <c r="CS42" s="172"/>
      <c r="CT42" s="172"/>
      <c r="CU42" s="172"/>
      <c r="CV42" s="172"/>
      <c r="CW42" s="172"/>
      <c r="CX42" s="172"/>
      <c r="CY42" s="176"/>
      <c r="CZ4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2" s="176">
        <f>+IF(BD_MO[[#This Row],[FECHA]]&lt;&gt;"",BD_MO[[#This Row],[DURMIENTE2]]*6.561+BD_MO[[#This Row],[LISTONES]]*4.921+BD_MO[[#This Row],[TABLA 1"x8"x3m]]*6.561+BD_MO[[#This Row],[TABLA 2"x8"x3m]]*13.122,"")</f>
        <v>0</v>
      </c>
      <c r="DB42" s="176">
        <f>+IF(BD_MO[[#This Row],[FECHA]]&lt;&gt;"",BD_MO[[#This Row],[PIE2 MADERA ASERRADA]]*1.95,"")</f>
        <v>0</v>
      </c>
      <c r="DC42" s="176">
        <f>+IF(BD_MO[[#This Row],[FECHA]]&lt;&gt;"",BD_MO[[#This Row],[KG. MADERA REDONDA]]+BD_MO[[#This Row],[KG MADERA ASERRADA]],"")</f>
        <v>0</v>
      </c>
      <c r="DD4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2" s="172"/>
      <c r="DF42" s="172"/>
      <c r="DG42" s="172"/>
      <c r="DH42" s="172"/>
      <c r="DI42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42" s="180"/>
      <c r="DK42" s="180"/>
      <c r="DL42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2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2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2" s="181">
        <v>11.64</v>
      </c>
      <c r="DP42" s="180">
        <v>4.67</v>
      </c>
      <c r="DQ42" s="180">
        <v>0.6</v>
      </c>
      <c r="DR42" s="116">
        <f>IF(BD_MO[[#This Row],[TIPO AVANCE]]="Avance",((BD_MO[[#This Row],[AVANCE (m)]]/BD_MO[[#This Row],[AVANCE TEÓRICO]]))," ")</f>
        <v>0.44444444444444442</v>
      </c>
      <c r="DS42" s="134"/>
      <c r="DT42" s="134"/>
      <c r="DU42" s="134"/>
      <c r="DV42" s="134"/>
      <c r="DW42" s="134"/>
      <c r="DX42" s="135"/>
      <c r="DY42" s="135"/>
      <c r="DZ42" s="135"/>
    </row>
    <row r="43" spans="1:130" s="136" customFormat="1" ht="18" customHeight="1" x14ac:dyDescent="0.25">
      <c r="A43" s="168">
        <v>44654</v>
      </c>
      <c r="B43" s="169" t="s">
        <v>10647</v>
      </c>
      <c r="C43" s="169" t="s">
        <v>10680</v>
      </c>
      <c r="D43" s="170" t="s">
        <v>12150</v>
      </c>
      <c r="E43" s="171" t="str">
        <f>LEFT(BD_MO[[#This Row],[LABOR]],2)</f>
        <v>Es</v>
      </c>
      <c r="F43" s="172" t="s">
        <v>10687</v>
      </c>
      <c r="G43" s="172" t="s">
        <v>10648</v>
      </c>
      <c r="H4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3" s="171" t="str">
        <f>IF(BD_MO[FECHA]&lt;&gt;"",VLOOKUP(BD_MO[LABOR],TB_CECO[[LABOR]:[CECO_T]],3,FALSE),"")</f>
        <v>VANESSA</v>
      </c>
      <c r="J43" s="171" t="str">
        <f>IF(BD_MO[FECHA]&lt;&gt;"",VLOOKUP(BD_MO[LABOR],D_CECO!B:H,7,FALSE),"")</f>
        <v>LINEAL</v>
      </c>
      <c r="K43" s="171" t="str">
        <f>IF(BD_MO[FECHA]&lt;&gt;"",VLOOKUP(BD_MO[LABOR],D_CECO!B:H,4,FALSE),"")</f>
        <v>EXPLORACION</v>
      </c>
      <c r="L43" s="171"/>
      <c r="M43" s="169" t="s">
        <v>10646</v>
      </c>
      <c r="N43" s="172"/>
      <c r="O43" s="173" t="s">
        <v>11904</v>
      </c>
      <c r="P43" s="173" t="s">
        <v>11926</v>
      </c>
      <c r="Q43" s="173"/>
      <c r="R43" s="174"/>
      <c r="S43" s="175" t="str">
        <f>IFERROR(VLOOKUP(BD_MO[DNI 4],#REF!,2,FALSE)," ")</f>
        <v xml:space="preserve"> </v>
      </c>
      <c r="T43" s="176">
        <v>1</v>
      </c>
      <c r="U43" s="176">
        <v>0.05</v>
      </c>
      <c r="V43" s="176">
        <v>0.35</v>
      </c>
      <c r="W43" s="176">
        <v>0.55000000000000004</v>
      </c>
      <c r="X43" s="176">
        <v>0.05</v>
      </c>
      <c r="Y43" s="177">
        <f>SUM(BD_MO[[#This Row],[LIMP]:[SERV]])</f>
        <v>1</v>
      </c>
      <c r="Z43" s="172" t="s">
        <v>12167</v>
      </c>
      <c r="AA43" s="172">
        <f>+IF(BD_MO[[#This Row],[N° VALE]]&lt;&gt;"",1,"")</f>
        <v>1</v>
      </c>
      <c r="AB43" s="169" t="s">
        <v>10710</v>
      </c>
      <c r="AC43" s="172">
        <v>6</v>
      </c>
      <c r="AD43" s="172">
        <f>+IF(BD_MO[[#This Row],[N° VALE]]&lt;&gt;"",BD_MO[[#This Row],[FULMINANTE N° 08]]+BD_MO[CARMEX 7''],"")</f>
        <v>21</v>
      </c>
      <c r="AE43" s="172">
        <v>3</v>
      </c>
      <c r="AF43" s="172">
        <f>+IF(BD_MO[[#This Row],[N° VALE]]&lt;&gt;"",BD_MO[[#This Row],[N° TALADROS]]+BD_MO[[#This Row],[N° TAL. VACIOS]],"")</f>
        <v>24</v>
      </c>
      <c r="AG43" s="178">
        <v>42</v>
      </c>
      <c r="AH43" s="178">
        <v>54</v>
      </c>
      <c r="AI43" s="178"/>
      <c r="AJ43" s="178"/>
      <c r="AK43" s="178">
        <v>21</v>
      </c>
      <c r="AL43" s="178">
        <v>4</v>
      </c>
      <c r="AM43" s="171"/>
      <c r="AN43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3" s="172">
        <f>+IF(BD_MO[[#This Row],[N° VALE]]&lt;&gt;"",IF(BD_MO[[#This Row],[FULMINANTE N° 08]]&lt;&gt;"",BD_MO[[#This Row],[FULMINANTE N° 08]],IF(BD_MO[[#This Row],[CARMEX 7'']]&lt;&gt;0,0,"")),"")</f>
        <v>0</v>
      </c>
      <c r="AP43" s="176">
        <f>+IF(BD_MO[[#This Row],[N° VALE]]&lt;&gt;"",BD_MO[[#This Row],[N°  TOTAL TALADROS]]*BD_MO[[#This Row],[BARRA]]*0.95,"")</f>
        <v>136.79999999999998</v>
      </c>
      <c r="AQ43" s="176">
        <f>+IF(BD_MO[[#This Row],[N° VALE]]&lt;&gt;"",BD_MO[[#This Row],[EMULNOR 1000 (N° CART.)]]*PE_EMUL_1000[PE],"")</f>
        <v>5.1138000000000003</v>
      </c>
      <c r="AR43" s="176">
        <f>+IF(BD_MO[[#This Row],[N° VALE]]&lt;&gt;"",BD_MO[[#This Row],[EMULNOR 3000 (N° CART.)]]*PE_EMUL_3000[PE],"")</f>
        <v>4.0384615384615401</v>
      </c>
      <c r="AS43" s="176">
        <f>+IF(BD_MO[[#This Row],[N° VALE]]&lt;&gt;"",BD_MO[[#This Row],[PULVERULENTA (N° CART.)]]*PE_PULV_65[PE],"")</f>
        <v>0</v>
      </c>
      <c r="AT43" s="176">
        <f>+IF(BD_MO[[#This Row],[N° DISP]]&lt;&gt;"",BD_MO[[#This Row],[SEMIGELATINA (N° CART.)]]*PE_SEMIGEL_65[PE],"")</f>
        <v>0</v>
      </c>
      <c r="AU43" s="176">
        <f>+IF(BD_MO[N° VALE]&lt;&gt;"",BD_MO[[#This Row],[KG EXPLO SEMIGEL]]+BD_MO[[#This Row],[KG EXPLO PULVE]]+BD_MO[[#This Row],[KG EXPLO EMULN 3000]]+BD_MO[[#This Row],[KG EXPLO EMULN 1000]],"")</f>
        <v>9.1522615384615413</v>
      </c>
      <c r="AV43" s="172"/>
      <c r="AW43" s="172"/>
      <c r="AX43" s="172" t="str">
        <f>+IF(BD_MO[[#This Row],[MINERAL (U-35)]]&lt;&gt;"",BD_MO[[#This Row],[MINERAL (U-35)]]*1.45,"-")</f>
        <v>-</v>
      </c>
      <c r="AY43" s="172" t="str">
        <f>+IF(BD_MO[[#This Row],[DESMONTE (U-35)]]&lt;&gt;"",BD_MO[[#This Row],[DESMONTE (U-35)]]*1.23,"-")</f>
        <v>-</v>
      </c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72"/>
      <c r="BL43" s="172"/>
      <c r="BM43" s="172"/>
      <c r="BN43" s="171"/>
      <c r="BO43" s="172"/>
      <c r="BP43" s="172"/>
      <c r="BQ43" s="171"/>
      <c r="BR43" s="172"/>
      <c r="BS43" s="171"/>
      <c r="BT43" s="176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  <c r="CJ43" s="172"/>
      <c r="CK43" s="172"/>
      <c r="CL43" s="172"/>
      <c r="CM43" s="172"/>
      <c r="CN43" s="172"/>
      <c r="CO43" s="172"/>
      <c r="CP43" s="176">
        <f>+IF(BD_MO[[#This Row],[FECHA]]&lt;&gt;"",BD_MO[[#This Row],[PUNTAL 4"]]+BD_MO[[#This Row],[PUNTAL 5"]]+BD_MO[[#This Row],[PUNTAL 6"]]+BD_MO[[#This Row],[PUNTAL 7"]]+BD_MO[[#This Row],[PUNTAL 8"]],"")</f>
        <v>0</v>
      </c>
      <c r="CQ43" s="172"/>
      <c r="CR43" s="172"/>
      <c r="CS43" s="172"/>
      <c r="CT43" s="172"/>
      <c r="CU43" s="172"/>
      <c r="CV43" s="172"/>
      <c r="CW43" s="172"/>
      <c r="CX43" s="172"/>
      <c r="CY43" s="176"/>
      <c r="CZ4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3" s="176">
        <f>+IF(BD_MO[[#This Row],[FECHA]]&lt;&gt;"",BD_MO[[#This Row],[DURMIENTE2]]*6.561+BD_MO[[#This Row],[LISTONES]]*4.921+BD_MO[[#This Row],[TABLA 1"x8"x3m]]*6.561+BD_MO[[#This Row],[TABLA 2"x8"x3m]]*13.122,"")</f>
        <v>0</v>
      </c>
      <c r="DB43" s="176">
        <f>+IF(BD_MO[[#This Row],[FECHA]]&lt;&gt;"",BD_MO[[#This Row],[PIE2 MADERA ASERRADA]]*1.95,"")</f>
        <v>0</v>
      </c>
      <c r="DC43" s="176">
        <f>+IF(BD_MO[[#This Row],[FECHA]]&lt;&gt;"",BD_MO[[#This Row],[KG. MADERA REDONDA]]+BD_MO[[#This Row],[KG MADERA ASERRADA]],"")</f>
        <v>0</v>
      </c>
      <c r="DD4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3" s="172"/>
      <c r="DF43" s="172"/>
      <c r="DG43" s="172"/>
      <c r="DH43" s="172"/>
      <c r="DI43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1.62</v>
      </c>
      <c r="DJ43" s="180"/>
      <c r="DK43" s="180"/>
      <c r="DL43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3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3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3" s="181">
        <v>15.1</v>
      </c>
      <c r="DP43" s="180">
        <f>+IF(BD_MO[[#This Row],[M o D]]&lt;&gt;"",IF(BD_MO[[#This Row],[M o D]]="M",BD_MO[[#This Row],[ROTURA TMH]]/2.65,BD_MO[[#This Row],[ROTURA TMH]]/2.4),"")</f>
        <v>6.291666666666667</v>
      </c>
      <c r="DQ43" s="180">
        <v>1.82</v>
      </c>
      <c r="DR43" s="116">
        <f>IF(BD_MO[[#This Row],[TIPO AVANCE]]="Avance",((BD_MO[[#This Row],[AVANCE (m)]]/BD_MO[[#This Row],[AVANCE TEÓRICO]]))," ")</f>
        <v>1.1234567901234567</v>
      </c>
      <c r="DS43" s="134"/>
      <c r="DT43" s="134"/>
      <c r="DU43" s="134"/>
      <c r="DV43" s="134"/>
      <c r="DW43" s="134"/>
      <c r="DX43" s="135"/>
      <c r="DY43" s="135"/>
      <c r="DZ43" s="135"/>
    </row>
    <row r="44" spans="1:130" s="136" customFormat="1" ht="18" customHeight="1" x14ac:dyDescent="0.25">
      <c r="A44" s="168">
        <v>44654</v>
      </c>
      <c r="B44" s="169" t="s">
        <v>10647</v>
      </c>
      <c r="C44" s="169" t="s">
        <v>10680</v>
      </c>
      <c r="D44" s="170" t="s">
        <v>11594</v>
      </c>
      <c r="E44" s="171" t="str">
        <f>LEFT(BD_MO[[#This Row],[LABOR]],2)</f>
        <v>Ga</v>
      </c>
      <c r="F44" s="172"/>
      <c r="G44" s="172" t="s">
        <v>10662</v>
      </c>
      <c r="H4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44" s="171" t="str">
        <f>IF(BD_MO[FECHA]&lt;&gt;"",VLOOKUP(BD_MO[LABOR],TB_CECO[[LABOR]:[CECO_T]],3,FALSE),"")</f>
        <v>ESCONDIDA</v>
      </c>
      <c r="J44" s="171" t="str">
        <f>IF(BD_MO[FECHA]&lt;&gt;"",VLOOKUP(BD_MO[LABOR],D_CECO!B:H,7,FALSE),"")</f>
        <v>LINEAL</v>
      </c>
      <c r="K44" s="171" t="str">
        <f>IF(BD_MO[FECHA]&lt;&gt;"",VLOOKUP(BD_MO[LABOR],D_CECO!B:H,4,FALSE),"")</f>
        <v>EXPLOTACION</v>
      </c>
      <c r="L44" s="171"/>
      <c r="M44" s="169"/>
      <c r="N44" s="172"/>
      <c r="O44" s="173" t="s">
        <v>11911</v>
      </c>
      <c r="P44" s="173" t="s">
        <v>11913</v>
      </c>
      <c r="Q44" s="173"/>
      <c r="R44" s="174"/>
      <c r="S44" s="175" t="str">
        <f>IFERROR(VLOOKUP(BD_MO[DNI 4],#REF!,2,FALSE)," ")</f>
        <v xml:space="preserve"> </v>
      </c>
      <c r="T44" s="176">
        <f>+IF(BD_MO[[#This Row],[FECHA]]&lt;&gt;"",COUNTA(BD_MO[[#This Row],[DNI]],BD_MO[[#This Row],[DNI 2]],BD_MO[[#This Row],[DNI 3]],BD_MO[[#This Row],[DNI 4]]),"")</f>
        <v>2</v>
      </c>
      <c r="U44" s="176">
        <v>0.3</v>
      </c>
      <c r="V44" s="176"/>
      <c r="W44" s="176">
        <v>1.6</v>
      </c>
      <c r="X44" s="176">
        <v>0.1</v>
      </c>
      <c r="Y44" s="177">
        <f>SUM(BD_MO[[#This Row],[LIMP]:[SERV]])</f>
        <v>2</v>
      </c>
      <c r="Z44" s="172"/>
      <c r="AA44" s="172" t="str">
        <f>+IF(BD_MO[[#This Row],[N° VALE]]&lt;&gt;"",1,"")</f>
        <v/>
      </c>
      <c r="AB44" s="169"/>
      <c r="AC44" s="172"/>
      <c r="AD44" s="172" t="str">
        <f>+IF(BD_MO[[#This Row],[N° VALE]]&lt;&gt;"",BD_MO[[#This Row],[FULMINANTE N° 08]]+BD_MO[CARMEX 7''],"")</f>
        <v/>
      </c>
      <c r="AE44" s="172"/>
      <c r="AF44" s="172" t="str">
        <f>+IF(BD_MO[[#This Row],[N° VALE]]&lt;&gt;"",BD_MO[[#This Row],[N° TALADROS]]+BD_MO[[#This Row],[N° TAL. VACIOS]],"")</f>
        <v/>
      </c>
      <c r="AG44" s="178"/>
      <c r="AH44" s="178"/>
      <c r="AI44" s="178"/>
      <c r="AJ44" s="178"/>
      <c r="AK44" s="178"/>
      <c r="AL44" s="178"/>
      <c r="AM44" s="171"/>
      <c r="AN4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4" s="172" t="str">
        <f>+IF(BD_MO[[#This Row],[N° VALE]]&lt;&gt;"",IF(BD_MO[[#This Row],[FULMINANTE N° 08]]&lt;&gt;"",BD_MO[[#This Row],[FULMINANTE N° 08]],IF(BD_MO[[#This Row],[CARMEX 7'']]&lt;&gt;0,0,"")),"")</f>
        <v/>
      </c>
      <c r="AP44" s="176" t="str">
        <f>+IF(BD_MO[[#This Row],[N° VALE]]&lt;&gt;"",BD_MO[[#This Row],[N°  TOTAL TALADROS]]*BD_MO[[#This Row],[BARRA]]*0.95,"")</f>
        <v/>
      </c>
      <c r="AQ44" s="176" t="str">
        <f>+IF(BD_MO[[#This Row],[N° VALE]]&lt;&gt;"",BD_MO[[#This Row],[EMULNOR 1000 (N° CART.)]]*PE_EMUL_1000[PE],"")</f>
        <v/>
      </c>
      <c r="AR44" s="176" t="str">
        <f>+IF(BD_MO[[#This Row],[N° VALE]]&lt;&gt;"",BD_MO[[#This Row],[EMULNOR 3000 (N° CART.)]]*PE_EMUL_3000[PE],"")</f>
        <v/>
      </c>
      <c r="AS44" s="176" t="str">
        <f>+IF(BD_MO[[#This Row],[N° VALE]]&lt;&gt;"",BD_MO[[#This Row],[PULVERULENTA (N° CART.)]]*PE_PULV_65[PE],"")</f>
        <v/>
      </c>
      <c r="AT44" s="176" t="str">
        <f>+IF(BD_MO[[#This Row],[N° DISP]]&lt;&gt;"",BD_MO[[#This Row],[SEMIGELATINA (N° CART.)]]*PE_SEMIGEL_65[PE],"")</f>
        <v/>
      </c>
      <c r="AU44" s="176" t="str">
        <f>+IF(BD_MO[N° VALE]&lt;&gt;"",BD_MO[[#This Row],[KG EXPLO SEMIGEL]]+BD_MO[[#This Row],[KG EXPLO PULVE]]+BD_MO[[#This Row],[KG EXPLO EMULN 3000]]+BD_MO[[#This Row],[KG EXPLO EMULN 1000]],"")</f>
        <v/>
      </c>
      <c r="AV44" s="172"/>
      <c r="AW44" s="172">
        <v>5</v>
      </c>
      <c r="AX44" s="172" t="str">
        <f>+IF(BD_MO[[#This Row],[MINERAL (U-35)]]&lt;&gt;"",BD_MO[[#This Row],[MINERAL (U-35)]]*1.45,"-")</f>
        <v>-</v>
      </c>
      <c r="AY44" s="172">
        <f>+IF(BD_MO[[#This Row],[DESMONTE (U-35)]]&lt;&gt;"",BD_MO[[#This Row],[DESMONTE (U-35)]]*1.23,"-")</f>
        <v>6.15</v>
      </c>
      <c r="AZ44" s="172">
        <v>2</v>
      </c>
      <c r="BA44" s="172"/>
      <c r="BB44" s="172"/>
      <c r="BC44" s="172"/>
      <c r="BD44" s="172"/>
      <c r="BE44" s="172"/>
      <c r="BF44" s="172"/>
      <c r="BG44" s="172">
        <v>4</v>
      </c>
      <c r="BH44" s="172"/>
      <c r="BI44" s="172"/>
      <c r="BJ44" s="172"/>
      <c r="BK44" s="172"/>
      <c r="BL44" s="172"/>
      <c r="BM44" s="172"/>
      <c r="BN44" s="171">
        <v>3</v>
      </c>
      <c r="BO44" s="172"/>
      <c r="BP44" s="172"/>
      <c r="BQ44" s="171"/>
      <c r="BR44" s="172"/>
      <c r="BS44" s="171"/>
      <c r="BT44" s="176"/>
      <c r="BU44" s="172"/>
      <c r="BV44" s="172"/>
      <c r="BW44" s="172"/>
      <c r="BX44" s="172"/>
      <c r="BY44" s="172"/>
      <c r="BZ44" s="172"/>
      <c r="CA44" s="172"/>
      <c r="CB44" s="172"/>
      <c r="CC44" s="172"/>
      <c r="CD44" s="172"/>
      <c r="CE44" s="172"/>
      <c r="CF44" s="172"/>
      <c r="CG44" s="172"/>
      <c r="CH44" s="172"/>
      <c r="CI44" s="172"/>
      <c r="CJ44" s="172"/>
      <c r="CK44" s="172"/>
      <c r="CL44" s="172">
        <v>2</v>
      </c>
      <c r="CM44" s="172">
        <v>1</v>
      </c>
      <c r="CN44" s="172"/>
      <c r="CO44" s="172">
        <v>6</v>
      </c>
      <c r="CP44" s="176">
        <f>+IF(BD_MO[[#This Row],[FECHA]]&lt;&gt;"",BD_MO[[#This Row],[PUNTAL 4"]]+BD_MO[[#This Row],[PUNTAL 5"]]+BD_MO[[#This Row],[PUNTAL 6"]]+BD_MO[[#This Row],[PUNTAL 7"]]+BD_MO[[#This Row],[PUNTAL 8"]],"")</f>
        <v>9</v>
      </c>
      <c r="CQ44" s="172"/>
      <c r="CR44" s="172"/>
      <c r="CS44" s="172">
        <v>2</v>
      </c>
      <c r="CT44" s="172"/>
      <c r="CU44" s="172"/>
      <c r="CV44" s="172"/>
      <c r="CW44" s="172"/>
      <c r="CX44" s="172"/>
      <c r="CY44" s="176"/>
      <c r="CZ4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635.05600000000004</v>
      </c>
      <c r="DA44" s="176">
        <f>+IF(BD_MO[[#This Row],[FECHA]]&lt;&gt;"",BD_MO[[#This Row],[DURMIENTE2]]*6.561+BD_MO[[#This Row],[LISTONES]]*4.921+BD_MO[[#This Row],[TABLA 1"x8"x3m]]*6.561+BD_MO[[#This Row],[TABLA 2"x8"x3m]]*13.122,"")</f>
        <v>0</v>
      </c>
      <c r="DB44" s="176">
        <f>+IF(BD_MO[[#This Row],[FECHA]]&lt;&gt;"",BD_MO[[#This Row],[PIE2 MADERA ASERRADA]]*1.95,"")</f>
        <v>0</v>
      </c>
      <c r="DC44" s="176">
        <f>+IF(BD_MO[[#This Row],[FECHA]]&lt;&gt;"",BD_MO[[#This Row],[KG. MADERA REDONDA]]+BD_MO[[#This Row],[KG MADERA ASERRADA]],"")</f>
        <v>635.05600000000004</v>
      </c>
      <c r="DD4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184.78000000000003</v>
      </c>
      <c r="DE44" s="172"/>
      <c r="DF44" s="172"/>
      <c r="DG44" s="172"/>
      <c r="DH44" s="172"/>
      <c r="DI4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4" s="180"/>
      <c r="DK44" s="180"/>
      <c r="DL4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4" s="181"/>
      <c r="DP44" s="180" t="str">
        <f>+IF(BD_MO[[#This Row],[M o D]]&lt;&gt;"",IF(BD_MO[[#This Row],[M o D]]="M",BD_MO[[#This Row],[ROTURA TMH]]/2.65,BD_MO[[#This Row],[ROTURA TMH]]/2.4),"")</f>
        <v/>
      </c>
      <c r="DQ44" s="180"/>
      <c r="DR44" s="116" t="str">
        <f>IF(BD_MO[[#This Row],[TIPO AVANCE]]="Avance",((BD_MO[[#This Row],[AVANCE (m)]]/BD_MO[[#This Row],[AVANCE TEÓRICO]]))," ")</f>
        <v xml:space="preserve"> </v>
      </c>
      <c r="DS44" s="134"/>
      <c r="DT44" s="134"/>
      <c r="DU44" s="134"/>
      <c r="DV44" s="134"/>
      <c r="DW44" s="134"/>
      <c r="DX44" s="135"/>
      <c r="DY44" s="135"/>
      <c r="DZ44" s="135"/>
    </row>
    <row r="45" spans="1:130" s="136" customFormat="1" ht="18" customHeight="1" x14ac:dyDescent="0.25">
      <c r="A45" s="168">
        <v>44654</v>
      </c>
      <c r="B45" s="169" t="s">
        <v>10647</v>
      </c>
      <c r="C45" s="169" t="s">
        <v>10680</v>
      </c>
      <c r="D45" s="170" t="s">
        <v>12164</v>
      </c>
      <c r="E45" s="171" t="str">
        <f>LEFT(BD_MO[[#This Row],[LABOR]],2)</f>
        <v>Tj</v>
      </c>
      <c r="F45" s="172"/>
      <c r="G45" s="172" t="s">
        <v>10656</v>
      </c>
      <c r="H45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45" s="171" t="str">
        <f>IF(BD_MO[FECHA]&lt;&gt;"",VLOOKUP(BD_MO[LABOR],TB_CECO[[LABOR]:[CECO_T]],3,FALSE),"")</f>
        <v>VANESSA</v>
      </c>
      <c r="J45" s="171" t="str">
        <f>IF(BD_MO[FECHA]&lt;&gt;"",VLOOKUP(BD_MO[LABOR],D_CECO!B:H,7,FALSE),"")</f>
        <v>TAJO</v>
      </c>
      <c r="K45" s="171" t="str">
        <f>IF(BD_MO[FECHA]&lt;&gt;"",VLOOKUP(BD_MO[LABOR],D_CECO!B:H,4,FALSE),"")</f>
        <v>EXPLOTACION</v>
      </c>
      <c r="L45" s="171"/>
      <c r="M45" s="169"/>
      <c r="N45" s="172"/>
      <c r="O45" s="173" t="s">
        <v>12165</v>
      </c>
      <c r="P45" s="173" t="s">
        <v>11912</v>
      </c>
      <c r="Q45" s="173"/>
      <c r="R45" s="174"/>
      <c r="S45" s="175" t="str">
        <f>IFERROR(VLOOKUP(BD_MO[DNI 4],#REF!,2,FALSE)," ")</f>
        <v xml:space="preserve"> </v>
      </c>
      <c r="T45" s="176">
        <f>+IF(BD_MO[[#This Row],[FECHA]]&lt;&gt;"",COUNTA(BD_MO[[#This Row],[DNI]],BD_MO[[#This Row],[DNI 2]],BD_MO[[#This Row],[DNI 3]],BD_MO[[#This Row],[DNI 4]]),"")</f>
        <v>2</v>
      </c>
      <c r="U45" s="176">
        <v>1.6</v>
      </c>
      <c r="V45" s="176"/>
      <c r="W45" s="176">
        <v>0.1</v>
      </c>
      <c r="X45" s="176">
        <v>0.3</v>
      </c>
      <c r="Y45" s="177">
        <f>SUM(BD_MO[[#This Row],[LIMP]:[SERV]])</f>
        <v>2</v>
      </c>
      <c r="Z45" s="172"/>
      <c r="AA45" s="172" t="str">
        <f>+IF(BD_MO[[#This Row],[N° VALE]]&lt;&gt;"",1,"")</f>
        <v/>
      </c>
      <c r="AB45" s="169"/>
      <c r="AC45" s="172"/>
      <c r="AD45" s="172" t="str">
        <f>+IF(BD_MO[[#This Row],[N° VALE]]&lt;&gt;"",BD_MO[[#This Row],[FULMINANTE N° 08]]+BD_MO[CARMEX 7''],"")</f>
        <v/>
      </c>
      <c r="AE45" s="172"/>
      <c r="AF45" s="172" t="str">
        <f>+IF(BD_MO[[#This Row],[N° VALE]]&lt;&gt;"",BD_MO[[#This Row],[N° TALADROS]]+BD_MO[[#This Row],[N° TAL. VACIOS]],"")</f>
        <v/>
      </c>
      <c r="AG45" s="178"/>
      <c r="AH45" s="178"/>
      <c r="AI45" s="178"/>
      <c r="AJ45" s="178"/>
      <c r="AK45" s="178"/>
      <c r="AL45" s="178"/>
      <c r="AM45" s="171"/>
      <c r="AN45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5" s="172" t="str">
        <f>+IF(BD_MO[[#This Row],[N° VALE]]&lt;&gt;"",IF(BD_MO[[#This Row],[FULMINANTE N° 08]]&lt;&gt;"",BD_MO[[#This Row],[FULMINANTE N° 08]],IF(BD_MO[[#This Row],[CARMEX 7'']]&lt;&gt;0,0,"")),"")</f>
        <v/>
      </c>
      <c r="AP45" s="176" t="str">
        <f>+IF(BD_MO[[#This Row],[N° VALE]]&lt;&gt;"",BD_MO[[#This Row],[N°  TOTAL TALADROS]]*BD_MO[[#This Row],[BARRA]]*0.95,"")</f>
        <v/>
      </c>
      <c r="AQ45" s="176" t="str">
        <f>+IF(BD_MO[[#This Row],[N° VALE]]&lt;&gt;"",BD_MO[[#This Row],[EMULNOR 1000 (N° CART.)]]*PE_EMUL_1000[PE],"")</f>
        <v/>
      </c>
      <c r="AR45" s="176" t="str">
        <f>+IF(BD_MO[[#This Row],[N° VALE]]&lt;&gt;"",BD_MO[[#This Row],[EMULNOR 3000 (N° CART.)]]*PE_EMUL_3000[PE],"")</f>
        <v/>
      </c>
      <c r="AS45" s="176" t="str">
        <f>+IF(BD_MO[[#This Row],[N° VALE]]&lt;&gt;"",BD_MO[[#This Row],[PULVERULENTA (N° CART.)]]*PE_PULV_65[PE],"")</f>
        <v/>
      </c>
      <c r="AT45" s="176" t="str">
        <f>+IF(BD_MO[[#This Row],[N° DISP]]&lt;&gt;"",BD_MO[[#This Row],[SEMIGELATINA (N° CART.)]]*PE_SEMIGEL_65[PE],"")</f>
        <v/>
      </c>
      <c r="AU45" s="176" t="str">
        <f>+IF(BD_MO[N° VALE]&lt;&gt;"",BD_MO[[#This Row],[KG EXPLO SEMIGEL]]+BD_MO[[#This Row],[KG EXPLO PULVE]]+BD_MO[[#This Row],[KG EXPLO EMULN 3000]]+BD_MO[[#This Row],[KG EXPLO EMULN 1000]],"")</f>
        <v/>
      </c>
      <c r="AV45" s="172">
        <v>24</v>
      </c>
      <c r="AW45" s="172"/>
      <c r="AX45" s="172">
        <f>+IF(BD_MO[[#This Row],[MINERAL (U-35)]]&lt;&gt;"",BD_MO[[#This Row],[MINERAL (U-35)]]*1.45,"-")</f>
        <v>34.799999999999997</v>
      </c>
      <c r="AY45" s="172" t="str">
        <f>+IF(BD_MO[[#This Row],[DESMONTE (U-35)]]&lt;&gt;"",BD_MO[[#This Row],[DESMONTE (U-35)]]*1.23,"-")</f>
        <v>-</v>
      </c>
      <c r="AZ45" s="172"/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72"/>
      <c r="BL45" s="172"/>
      <c r="BM45" s="172"/>
      <c r="BN45" s="171"/>
      <c r="BO45" s="172"/>
      <c r="BP45" s="172"/>
      <c r="BQ45" s="171"/>
      <c r="BR45" s="172"/>
      <c r="BS45" s="171"/>
      <c r="BT45" s="176"/>
      <c r="BU45" s="172"/>
      <c r="BV45" s="172"/>
      <c r="BW45" s="172"/>
      <c r="BX45" s="172">
        <v>4</v>
      </c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  <c r="CL45" s="172">
        <v>1</v>
      </c>
      <c r="CM45" s="172"/>
      <c r="CN45" s="172"/>
      <c r="CO45" s="172"/>
      <c r="CP45" s="176">
        <f>+IF(BD_MO[[#This Row],[FECHA]]&lt;&gt;"",BD_MO[[#This Row],[PUNTAL 4"]]+BD_MO[[#This Row],[PUNTAL 5"]]+BD_MO[[#This Row],[PUNTAL 6"]]+BD_MO[[#This Row],[PUNTAL 7"]]+BD_MO[[#This Row],[PUNTAL 8"]],"")</f>
        <v>1</v>
      </c>
      <c r="CQ45" s="172"/>
      <c r="CR45" s="172"/>
      <c r="CS45" s="172"/>
      <c r="CT45" s="172"/>
      <c r="CU45" s="172"/>
      <c r="CV45" s="172"/>
      <c r="CW45" s="172"/>
      <c r="CX45" s="172"/>
      <c r="CY45" s="176"/>
      <c r="CZ45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31.163</v>
      </c>
      <c r="DA45" s="176">
        <f>+IF(BD_MO[[#This Row],[FECHA]]&lt;&gt;"",BD_MO[[#This Row],[DURMIENTE2]]*6.561+BD_MO[[#This Row],[LISTONES]]*4.921+BD_MO[[#This Row],[TABLA 1"x8"x3m]]*6.561+BD_MO[[#This Row],[TABLA 2"x8"x3m]]*13.122,"")</f>
        <v>0</v>
      </c>
      <c r="DB45" s="176">
        <f>+IF(BD_MO[[#This Row],[FECHA]]&lt;&gt;"",BD_MO[[#This Row],[PIE2 MADERA ASERRADA]]*1.95,"")</f>
        <v>0</v>
      </c>
      <c r="DC45" s="176">
        <f>+IF(BD_MO[[#This Row],[FECHA]]&lt;&gt;"",BD_MO[[#This Row],[KG. MADERA REDONDA]]+BD_MO[[#This Row],[KG MADERA ASERRADA]],"")</f>
        <v>31.163</v>
      </c>
      <c r="DD45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45" s="172"/>
      <c r="DF45" s="172"/>
      <c r="DG45" s="172"/>
      <c r="DH45" s="172"/>
      <c r="DI45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5" s="180"/>
      <c r="DK45" s="180"/>
      <c r="DL45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5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5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5" s="181"/>
      <c r="DP45" s="180" t="str">
        <f>+IF(BD_MO[[#This Row],[M o D]]&lt;&gt;"",IF(BD_MO[[#This Row],[M o D]]="M",BD_MO[[#This Row],[ROTURA TMH]]/2.65,BD_MO[[#This Row],[ROTURA TMH]]/2.4),"")</f>
        <v/>
      </c>
      <c r="DQ45" s="180"/>
      <c r="DR45" s="116" t="str">
        <f>IF(BD_MO[[#This Row],[TIPO AVANCE]]="Avance",((BD_MO[[#This Row],[AVANCE (m)]]/BD_MO[[#This Row],[AVANCE TEÓRICO]]))," ")</f>
        <v xml:space="preserve"> </v>
      </c>
      <c r="DS45" s="134"/>
      <c r="DT45" s="134"/>
      <c r="DU45" s="134"/>
      <c r="DV45" s="134"/>
      <c r="DW45" s="134"/>
      <c r="DX45" s="135"/>
      <c r="DY45" s="135"/>
      <c r="DZ45" s="135"/>
    </row>
    <row r="46" spans="1:130" s="136" customFormat="1" ht="18" customHeight="1" x14ac:dyDescent="0.25">
      <c r="A46" s="168">
        <v>44654</v>
      </c>
      <c r="B46" s="169" t="s">
        <v>10647</v>
      </c>
      <c r="C46" s="169" t="s">
        <v>10680</v>
      </c>
      <c r="D46" s="170" t="s">
        <v>12128</v>
      </c>
      <c r="E46" s="171" t="str">
        <f>LEFT(BD_MO[[#This Row],[LABOR]],2)</f>
        <v>Tj</v>
      </c>
      <c r="F46" s="172"/>
      <c r="G46" s="172" t="s">
        <v>10662</v>
      </c>
      <c r="H4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46" s="171" t="str">
        <f>IF(BD_MO[FECHA]&lt;&gt;"",VLOOKUP(BD_MO[LABOR],TB_CECO[[LABOR]:[CECO_T]],3,FALSE),"")</f>
        <v>VANESSA</v>
      </c>
      <c r="J46" s="171" t="str">
        <f>IF(BD_MO[FECHA]&lt;&gt;"",VLOOKUP(BD_MO[LABOR],D_CECO!B:H,7,FALSE),"")</f>
        <v>TAJO</v>
      </c>
      <c r="K46" s="171" t="str">
        <f>IF(BD_MO[FECHA]&lt;&gt;"",VLOOKUP(BD_MO[LABOR],D_CECO!B:H,4,FALSE),"")</f>
        <v>EXPLOTACION</v>
      </c>
      <c r="L46" s="171"/>
      <c r="M46" s="169"/>
      <c r="N46" s="172"/>
      <c r="O46" s="173" t="s">
        <v>11976</v>
      </c>
      <c r="P46" s="173" t="s">
        <v>11924</v>
      </c>
      <c r="Q46" s="173"/>
      <c r="R46" s="174"/>
      <c r="S46" s="175" t="str">
        <f>IFERROR(VLOOKUP(BD_MO[DNI 4],#REF!,2,FALSE)," ")</f>
        <v xml:space="preserve"> </v>
      </c>
      <c r="T46" s="176">
        <f>+IF(BD_MO[[#This Row],[FECHA]]&lt;&gt;"",COUNTA(BD_MO[[#This Row],[DNI]],BD_MO[[#This Row],[DNI 2]],BD_MO[[#This Row],[DNI 3]],BD_MO[[#This Row],[DNI 4]]),"")</f>
        <v>2</v>
      </c>
      <c r="U46" s="176">
        <v>0.2</v>
      </c>
      <c r="V46" s="176">
        <v>0.2</v>
      </c>
      <c r="W46" s="176">
        <v>1.3</v>
      </c>
      <c r="X46" s="176">
        <v>0.3</v>
      </c>
      <c r="Y46" s="177">
        <f>SUM(BD_MO[[#This Row],[LIMP]:[SERV]])</f>
        <v>2</v>
      </c>
      <c r="Z46" s="172"/>
      <c r="AA46" s="172" t="str">
        <f>+IF(BD_MO[[#This Row],[N° VALE]]&lt;&gt;"",1,"")</f>
        <v/>
      </c>
      <c r="AB46" s="169"/>
      <c r="AC46" s="172"/>
      <c r="AD46" s="172" t="str">
        <f>+IF(BD_MO[[#This Row],[N° VALE]]&lt;&gt;"",BD_MO[[#This Row],[FULMINANTE N° 08]]+BD_MO[CARMEX 7''],"")</f>
        <v/>
      </c>
      <c r="AE46" s="172"/>
      <c r="AF46" s="172" t="str">
        <f>+IF(BD_MO[[#This Row],[N° VALE]]&lt;&gt;"",BD_MO[[#This Row],[N° TALADROS]]+BD_MO[[#This Row],[N° TAL. VACIOS]],"")</f>
        <v/>
      </c>
      <c r="AG46" s="178"/>
      <c r="AH46" s="178"/>
      <c r="AI46" s="178"/>
      <c r="AJ46" s="178"/>
      <c r="AK46" s="178"/>
      <c r="AL46" s="178"/>
      <c r="AM46" s="171"/>
      <c r="AN46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6" s="172" t="str">
        <f>+IF(BD_MO[[#This Row],[N° VALE]]&lt;&gt;"",IF(BD_MO[[#This Row],[FULMINANTE N° 08]]&lt;&gt;"",BD_MO[[#This Row],[FULMINANTE N° 08]],IF(BD_MO[[#This Row],[CARMEX 7'']]&lt;&gt;0,0,"")),"")</f>
        <v/>
      </c>
      <c r="AP46" s="176" t="str">
        <f>+IF(BD_MO[[#This Row],[N° VALE]]&lt;&gt;"",BD_MO[[#This Row],[N°  TOTAL TALADROS]]*BD_MO[[#This Row],[BARRA]]*0.95,"")</f>
        <v/>
      </c>
      <c r="AQ46" s="176" t="str">
        <f>+IF(BD_MO[[#This Row],[N° VALE]]&lt;&gt;"",BD_MO[[#This Row],[EMULNOR 1000 (N° CART.)]]*PE_EMUL_1000[PE],"")</f>
        <v/>
      </c>
      <c r="AR46" s="176" t="str">
        <f>+IF(BD_MO[[#This Row],[N° VALE]]&lt;&gt;"",BD_MO[[#This Row],[EMULNOR 3000 (N° CART.)]]*PE_EMUL_3000[PE],"")</f>
        <v/>
      </c>
      <c r="AS46" s="176" t="str">
        <f>+IF(BD_MO[[#This Row],[N° VALE]]&lt;&gt;"",BD_MO[[#This Row],[PULVERULENTA (N° CART.)]]*PE_PULV_65[PE],"")</f>
        <v/>
      </c>
      <c r="AT46" s="176" t="str">
        <f>+IF(BD_MO[[#This Row],[N° DISP]]&lt;&gt;"",BD_MO[[#This Row],[SEMIGELATINA (N° CART.)]]*PE_SEMIGEL_65[PE],"")</f>
        <v/>
      </c>
      <c r="AU46" s="176" t="str">
        <f>+IF(BD_MO[N° VALE]&lt;&gt;"",BD_MO[[#This Row],[KG EXPLO SEMIGEL]]+BD_MO[[#This Row],[KG EXPLO PULVE]]+BD_MO[[#This Row],[KG EXPLO EMULN 3000]]+BD_MO[[#This Row],[KG EXPLO EMULN 1000]],"")</f>
        <v/>
      </c>
      <c r="AV46" s="172"/>
      <c r="AW46" s="172"/>
      <c r="AX46" s="172" t="str">
        <f>+IF(BD_MO[[#This Row],[MINERAL (U-35)]]&lt;&gt;"",BD_MO[[#This Row],[MINERAL (U-35)]]*1.45,"-")</f>
        <v>-</v>
      </c>
      <c r="AY46" s="172" t="str">
        <f>+IF(BD_MO[[#This Row],[DESMONTE (U-35)]]&lt;&gt;"",BD_MO[[#This Row],[DESMONTE (U-35)]]*1.23,"-")</f>
        <v>-</v>
      </c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  <c r="BM46" s="172"/>
      <c r="BN46" s="171"/>
      <c r="BO46" s="172"/>
      <c r="BP46" s="172"/>
      <c r="BQ46" s="171"/>
      <c r="BR46" s="172"/>
      <c r="BS46" s="171"/>
      <c r="BT46" s="176"/>
      <c r="BU46" s="172"/>
      <c r="BV46" s="172"/>
      <c r="BW46" s="172"/>
      <c r="BX46" s="172"/>
      <c r="BY46" s="172"/>
      <c r="BZ46" s="172"/>
      <c r="CA46" s="172"/>
      <c r="CB46" s="172"/>
      <c r="CC46" s="172"/>
      <c r="CD46" s="172"/>
      <c r="CE46" s="172"/>
      <c r="CF46" s="172"/>
      <c r="CG46" s="172"/>
      <c r="CH46" s="172"/>
      <c r="CI46" s="172"/>
      <c r="CJ46" s="172"/>
      <c r="CK46" s="172"/>
      <c r="CL46" s="172"/>
      <c r="CM46" s="172"/>
      <c r="CN46" s="172"/>
      <c r="CO46" s="172"/>
      <c r="CP46" s="176">
        <f>+IF(BD_MO[[#This Row],[FECHA]]&lt;&gt;"",BD_MO[[#This Row],[PUNTAL 4"]]+BD_MO[[#This Row],[PUNTAL 5"]]+BD_MO[[#This Row],[PUNTAL 6"]]+BD_MO[[#This Row],[PUNTAL 7"]]+BD_MO[[#This Row],[PUNTAL 8"]],"")</f>
        <v>0</v>
      </c>
      <c r="CQ46" s="172"/>
      <c r="CR46" s="172"/>
      <c r="CS46" s="172">
        <v>2</v>
      </c>
      <c r="CT46" s="172"/>
      <c r="CU46" s="172"/>
      <c r="CV46" s="172"/>
      <c r="CW46" s="172"/>
      <c r="CX46" s="172"/>
      <c r="CY46" s="176"/>
      <c r="CZ4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49.2</v>
      </c>
      <c r="DA46" s="176">
        <f>+IF(BD_MO[[#This Row],[FECHA]]&lt;&gt;"",BD_MO[[#This Row],[DURMIENTE2]]*6.561+BD_MO[[#This Row],[LISTONES]]*4.921+BD_MO[[#This Row],[TABLA 1"x8"x3m]]*6.561+BD_MO[[#This Row],[TABLA 2"x8"x3m]]*13.122,"")</f>
        <v>0</v>
      </c>
      <c r="DB46" s="176">
        <f>+IF(BD_MO[[#This Row],[FECHA]]&lt;&gt;"",BD_MO[[#This Row],[PIE2 MADERA ASERRADA]]*1.95,"")</f>
        <v>0</v>
      </c>
      <c r="DC46" s="176">
        <f>+IF(BD_MO[[#This Row],[FECHA]]&lt;&gt;"",BD_MO[[#This Row],[KG. MADERA REDONDA]]+BD_MO[[#This Row],[KG MADERA ASERRADA]],"")</f>
        <v>49.2</v>
      </c>
      <c r="DD4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24.58</v>
      </c>
      <c r="DE46" s="172"/>
      <c r="DF46" s="172"/>
      <c r="DG46" s="172"/>
      <c r="DH46" s="172"/>
      <c r="DI46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6" s="180"/>
      <c r="DK46" s="180"/>
      <c r="DL4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6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6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6" s="181"/>
      <c r="DP46" s="180" t="str">
        <f>+IF(BD_MO[[#This Row],[M o D]]&lt;&gt;"",IF(BD_MO[[#This Row],[M o D]]="M",BD_MO[[#This Row],[ROTURA TMH]]/2.65,BD_MO[[#This Row],[ROTURA TMH]]/2.4),"")</f>
        <v/>
      </c>
      <c r="DQ46" s="180"/>
      <c r="DR46" s="116" t="str">
        <f>IF(BD_MO[[#This Row],[TIPO AVANCE]]="Avance",((BD_MO[[#This Row],[AVANCE (m)]]/BD_MO[[#This Row],[AVANCE TEÓRICO]]))," ")</f>
        <v xml:space="preserve"> </v>
      </c>
      <c r="DS46" s="134"/>
      <c r="DT46" s="134"/>
      <c r="DU46" s="134"/>
      <c r="DV46" s="134"/>
      <c r="DW46" s="134"/>
      <c r="DX46" s="135"/>
      <c r="DY46" s="135"/>
      <c r="DZ46" s="135"/>
    </row>
    <row r="47" spans="1:130" s="136" customFormat="1" ht="18" customHeight="1" x14ac:dyDescent="0.25">
      <c r="A47" s="168">
        <v>44654</v>
      </c>
      <c r="B47" s="169" t="s">
        <v>10647</v>
      </c>
      <c r="C47" s="169" t="s">
        <v>10680</v>
      </c>
      <c r="D47" s="170" t="s">
        <v>12115</v>
      </c>
      <c r="E47" s="171" t="str">
        <f>LEFT(BD_MO[[#This Row],[LABOR]],2)</f>
        <v>Tj</v>
      </c>
      <c r="F47" s="229" t="s">
        <v>10950</v>
      </c>
      <c r="G47" s="172" t="s">
        <v>10662</v>
      </c>
      <c r="H4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47" s="171" t="str">
        <f>IF(BD_MO[FECHA]&lt;&gt;"",VLOOKUP(BD_MO[LABOR],TB_CECO[[LABOR]:[CECO_T]],3,FALSE),"")</f>
        <v>CACHORRO</v>
      </c>
      <c r="J47" s="171" t="str">
        <f>IF(BD_MO[FECHA]&lt;&gt;"",VLOOKUP(BD_MO[LABOR],D_CECO!B:H,7,FALSE),"")</f>
        <v>TAJO</v>
      </c>
      <c r="K47" s="171" t="str">
        <f>IF(BD_MO[FECHA]&lt;&gt;"",VLOOKUP(BD_MO[LABOR],D_CECO!B:H,4,FALSE),"")</f>
        <v>EXPLOTACION</v>
      </c>
      <c r="L47" s="171"/>
      <c r="M47" s="40" t="s">
        <v>10661</v>
      </c>
      <c r="N47" s="172"/>
      <c r="O47" s="173" t="s">
        <v>12151</v>
      </c>
      <c r="P47" s="173" t="s">
        <v>12101</v>
      </c>
      <c r="Q47" s="173"/>
      <c r="R47" s="174"/>
      <c r="S47" s="175" t="str">
        <f>IFERROR(VLOOKUP(BD_MO[DNI 4],#REF!,2,FALSE)," ")</f>
        <v xml:space="preserve"> </v>
      </c>
      <c r="T47" s="176">
        <f>+IF(BD_MO[[#This Row],[FECHA]]&lt;&gt;"",COUNTA(BD_MO[[#This Row],[DNI]],BD_MO[[#This Row],[DNI 2]],BD_MO[[#This Row],[DNI 3]],BD_MO[[#This Row],[DNI 4]]),"")</f>
        <v>2</v>
      </c>
      <c r="U47" s="176">
        <v>0.7</v>
      </c>
      <c r="V47" s="176">
        <v>0.3</v>
      </c>
      <c r="W47" s="176">
        <v>0.9</v>
      </c>
      <c r="X47" s="176">
        <v>0.1</v>
      </c>
      <c r="Y47" s="177">
        <f>SUM(BD_MO[[#This Row],[LIMP]:[SERV]])</f>
        <v>2</v>
      </c>
      <c r="Z47" s="172" t="s">
        <v>12219</v>
      </c>
      <c r="AA47" s="172">
        <f>+IF(BD_MO[[#This Row],[N° VALE]]&lt;&gt;"",1,"")</f>
        <v>1</v>
      </c>
      <c r="AB47" s="169"/>
      <c r="AC47" s="172"/>
      <c r="AD47" s="172">
        <f>+IF(BD_MO[[#This Row],[N° VALE]]&lt;&gt;"",BD_MO[[#This Row],[FULMINANTE N° 08]]+BD_MO[CARMEX 7''],"")</f>
        <v>0</v>
      </c>
      <c r="AE47" s="172"/>
      <c r="AF47" s="172">
        <f>+IF(BD_MO[[#This Row],[N° VALE]]&lt;&gt;"",BD_MO[[#This Row],[N° TALADROS]]+BD_MO[[#This Row],[N° TAL. VACIOS]],"")</f>
        <v>0</v>
      </c>
      <c r="AG47" s="178"/>
      <c r="AH47" s="178"/>
      <c r="AI47" s="178"/>
      <c r="AJ47" s="178"/>
      <c r="AK47" s="178"/>
      <c r="AL47" s="178"/>
      <c r="AM47" s="171"/>
      <c r="AN47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7" s="172" t="str">
        <f>+IF(BD_MO[[#This Row],[N° VALE]]&lt;&gt;"",IF(BD_MO[[#This Row],[FULMINANTE N° 08]]&lt;&gt;"",BD_MO[[#This Row],[FULMINANTE N° 08]],IF(BD_MO[[#This Row],[CARMEX 7'']]&lt;&gt;0,0,"")),"")</f>
        <v/>
      </c>
      <c r="AP47" s="176">
        <f>+IF(BD_MO[[#This Row],[N° VALE]]&lt;&gt;"",BD_MO[[#This Row],[N°  TOTAL TALADROS]]*BD_MO[[#This Row],[BARRA]]*0.95,"")</f>
        <v>0</v>
      </c>
      <c r="AQ47" s="176">
        <f>+IF(BD_MO[[#This Row],[N° VALE]]&lt;&gt;"",BD_MO[[#This Row],[EMULNOR 1000 (N° CART.)]]*PE_EMUL_1000[PE],"")</f>
        <v>0</v>
      </c>
      <c r="AR47" s="176">
        <f>+IF(BD_MO[[#This Row],[N° VALE]]&lt;&gt;"",BD_MO[[#This Row],[EMULNOR 3000 (N° CART.)]]*PE_EMUL_3000[PE],"")</f>
        <v>0</v>
      </c>
      <c r="AS47" s="176">
        <f>+IF(BD_MO[[#This Row],[N° VALE]]&lt;&gt;"",BD_MO[[#This Row],[PULVERULENTA (N° CART.)]]*PE_PULV_65[PE],"")</f>
        <v>0</v>
      </c>
      <c r="AT47" s="176">
        <f>+IF(BD_MO[[#This Row],[N° DISP]]&lt;&gt;"",BD_MO[[#This Row],[SEMIGELATINA (N° CART.)]]*PE_SEMIGEL_65[PE],"")</f>
        <v>0</v>
      </c>
      <c r="AU47" s="176">
        <f>+IF(BD_MO[N° VALE]&lt;&gt;"",BD_MO[[#This Row],[KG EXPLO SEMIGEL]]+BD_MO[[#This Row],[KG EXPLO PULVE]]+BD_MO[[#This Row],[KG EXPLO EMULN 3000]]+BD_MO[[#This Row],[KG EXPLO EMULN 1000]],"")</f>
        <v>0</v>
      </c>
      <c r="AV47" s="172"/>
      <c r="AW47" s="172"/>
      <c r="AX47" s="172" t="str">
        <f>+IF(BD_MO[[#This Row],[MINERAL (U-35)]]&lt;&gt;"",BD_MO[[#This Row],[MINERAL (U-35)]]*1.45,"-")</f>
        <v>-</v>
      </c>
      <c r="AY47" s="172" t="str">
        <f>+IF(BD_MO[[#This Row],[DESMONTE (U-35)]]&lt;&gt;"",BD_MO[[#This Row],[DESMONTE (U-35)]]*1.23,"-")</f>
        <v>-</v>
      </c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2"/>
      <c r="BL47" s="172"/>
      <c r="BM47" s="172"/>
      <c r="BN47" s="171"/>
      <c r="BO47" s="172"/>
      <c r="BP47" s="172"/>
      <c r="BQ47" s="171"/>
      <c r="BR47" s="172"/>
      <c r="BS47" s="171"/>
      <c r="BT47" s="176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  <c r="CL47" s="172"/>
      <c r="CM47" s="172"/>
      <c r="CN47" s="172"/>
      <c r="CO47" s="172"/>
      <c r="CP47" s="176">
        <f>+IF(BD_MO[[#This Row],[FECHA]]&lt;&gt;"",BD_MO[[#This Row],[PUNTAL 4"]]+BD_MO[[#This Row],[PUNTAL 5"]]+BD_MO[[#This Row],[PUNTAL 6"]]+BD_MO[[#This Row],[PUNTAL 7"]]+BD_MO[[#This Row],[PUNTAL 8"]],"")</f>
        <v>0</v>
      </c>
      <c r="CQ47" s="172"/>
      <c r="CR47" s="172"/>
      <c r="CS47" s="172"/>
      <c r="CT47" s="172"/>
      <c r="CU47" s="172"/>
      <c r="CV47" s="172"/>
      <c r="CW47" s="172"/>
      <c r="CX47" s="172"/>
      <c r="CY47" s="176"/>
      <c r="CZ4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7" s="176">
        <f>+IF(BD_MO[[#This Row],[FECHA]]&lt;&gt;"",BD_MO[[#This Row],[DURMIENTE2]]*6.561+BD_MO[[#This Row],[LISTONES]]*4.921+BD_MO[[#This Row],[TABLA 1"x8"x3m]]*6.561+BD_MO[[#This Row],[TABLA 2"x8"x3m]]*13.122,"")</f>
        <v>0</v>
      </c>
      <c r="DB47" s="176">
        <f>+IF(BD_MO[[#This Row],[FECHA]]&lt;&gt;"",BD_MO[[#This Row],[PIE2 MADERA ASERRADA]]*1.95,"")</f>
        <v>0</v>
      </c>
      <c r="DC47" s="176">
        <f>+IF(BD_MO[[#This Row],[FECHA]]&lt;&gt;"",BD_MO[[#This Row],[KG. MADERA REDONDA]]+BD_MO[[#This Row],[KG MADERA ASERRADA]],"")</f>
        <v>0</v>
      </c>
      <c r="DD4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7" s="172"/>
      <c r="DF47" s="172"/>
      <c r="DG47" s="172"/>
      <c r="DH47" s="172"/>
      <c r="DI47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7" s="180"/>
      <c r="DK47" s="180"/>
      <c r="DL4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7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7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7" s="181"/>
      <c r="DP47" s="180">
        <f>+IF(BD_MO[[#This Row],[M o D]]&lt;&gt;"",IF(BD_MO[[#This Row],[M o D]]="M",BD_MO[[#This Row],[ROTURA TMH]]/2.65,BD_MO[[#This Row],[ROTURA TMH]]/2.4),"")</f>
        <v>0</v>
      </c>
      <c r="DQ47" s="180"/>
      <c r="DR47" s="116" t="str">
        <f>IF(BD_MO[[#This Row],[TIPO AVANCE]]="Avance",((BD_MO[[#This Row],[AVANCE (m)]]/BD_MO[[#This Row],[AVANCE TEÓRICO]]))," ")</f>
        <v xml:space="preserve"> </v>
      </c>
      <c r="DS47" s="134"/>
      <c r="DT47" s="134"/>
      <c r="DU47" s="134"/>
      <c r="DV47" s="134"/>
      <c r="DW47" s="134"/>
      <c r="DX47" s="135"/>
      <c r="DY47" s="135"/>
      <c r="DZ47" s="135"/>
    </row>
    <row r="48" spans="1:130" s="136" customFormat="1" ht="18" customHeight="1" x14ac:dyDescent="0.25">
      <c r="A48" s="168">
        <v>44654</v>
      </c>
      <c r="B48" s="169" t="s">
        <v>10647</v>
      </c>
      <c r="C48" s="169" t="s">
        <v>10680</v>
      </c>
      <c r="D48" s="170" t="s">
        <v>10952</v>
      </c>
      <c r="E48" s="171" t="str">
        <f>LEFT(BD_MO[[#This Row],[LABOR]],2)</f>
        <v>In</v>
      </c>
      <c r="F48" s="172"/>
      <c r="G48" s="172" t="s">
        <v>10669</v>
      </c>
      <c r="H48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8" s="171" t="str">
        <f>IF(BD_MO[FECHA]&lt;&gt;"",VLOOKUP(BD_MO[LABOR],TB_CECO[[LABOR]:[CECO_T]],3,FALSE),"")</f>
        <v>VANESSA</v>
      </c>
      <c r="J48" s="171" t="str">
        <f>IF(BD_MO[FECHA]&lt;&gt;"",VLOOKUP(BD_MO[LABOR],D_CECO!B:H,7,FALSE),"")</f>
        <v>LINEAL</v>
      </c>
      <c r="K48" s="171" t="str">
        <f>IF(BD_MO[FECHA]&lt;&gt;"",VLOOKUP(BD_MO[LABOR],D_CECO!B:H,4,FALSE),"")</f>
        <v>EXPLORACION</v>
      </c>
      <c r="L48" s="171"/>
      <c r="M48" s="169"/>
      <c r="N48" s="172"/>
      <c r="O48" s="173" t="s">
        <v>11925</v>
      </c>
      <c r="P48" s="173" t="s">
        <v>12102</v>
      </c>
      <c r="Q48" s="173"/>
      <c r="R48" s="174"/>
      <c r="S48" s="175" t="str">
        <f>IFERROR(VLOOKUP(BD_MO[DNI 4],#REF!,2,FALSE)," ")</f>
        <v xml:space="preserve"> </v>
      </c>
      <c r="T48" s="176">
        <f>+IF(BD_MO[[#This Row],[FECHA]]&lt;&gt;"",COUNTA(BD_MO[[#This Row],[DNI]],BD_MO[[#This Row],[DNI 2]],BD_MO[[#This Row],[DNI 3]],BD_MO[[#This Row],[DNI 4]]),"")</f>
        <v>2</v>
      </c>
      <c r="U48" s="176"/>
      <c r="V48" s="176"/>
      <c r="W48" s="176"/>
      <c r="X48" s="176">
        <v>2</v>
      </c>
      <c r="Y48" s="177">
        <f>SUM(BD_MO[[#This Row],[LIMP]:[SERV]])</f>
        <v>2</v>
      </c>
      <c r="Z48" s="172"/>
      <c r="AA48" s="172" t="str">
        <f>+IF(BD_MO[[#This Row],[N° VALE]]&lt;&gt;"",1,"")</f>
        <v/>
      </c>
      <c r="AB48" s="169"/>
      <c r="AC48" s="172"/>
      <c r="AD48" s="172" t="str">
        <f>+IF(BD_MO[[#This Row],[N° VALE]]&lt;&gt;"",BD_MO[[#This Row],[FULMINANTE N° 08]]+BD_MO[CARMEX 7''],"")</f>
        <v/>
      </c>
      <c r="AE48" s="172"/>
      <c r="AF48" s="172" t="str">
        <f>+IF(BD_MO[[#This Row],[N° VALE]]&lt;&gt;"",BD_MO[[#This Row],[N° TALADROS]]+BD_MO[[#This Row],[N° TAL. VACIOS]],"")</f>
        <v/>
      </c>
      <c r="AG48" s="178"/>
      <c r="AH48" s="178"/>
      <c r="AI48" s="178"/>
      <c r="AJ48" s="178"/>
      <c r="AK48" s="178"/>
      <c r="AL48" s="178"/>
      <c r="AM48" s="171"/>
      <c r="AN48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8" s="172" t="str">
        <f>+IF(BD_MO[[#This Row],[N° VALE]]&lt;&gt;"",IF(BD_MO[[#This Row],[FULMINANTE N° 08]]&lt;&gt;"",BD_MO[[#This Row],[FULMINANTE N° 08]],IF(BD_MO[[#This Row],[CARMEX 7'']]&lt;&gt;0,0,"")),"")</f>
        <v/>
      </c>
      <c r="AP48" s="176" t="str">
        <f>+IF(BD_MO[[#This Row],[N° VALE]]&lt;&gt;"",BD_MO[[#This Row],[N°  TOTAL TALADROS]]*BD_MO[[#This Row],[BARRA]]*0.95,"")</f>
        <v/>
      </c>
      <c r="AQ48" s="176" t="str">
        <f>+IF(BD_MO[[#This Row],[N° VALE]]&lt;&gt;"",BD_MO[[#This Row],[EMULNOR 1000 (N° CART.)]]*PE_EMUL_1000[PE],"")</f>
        <v/>
      </c>
      <c r="AR48" s="176" t="str">
        <f>+IF(BD_MO[[#This Row],[N° VALE]]&lt;&gt;"",BD_MO[[#This Row],[EMULNOR 3000 (N° CART.)]]*PE_EMUL_3000[PE],"")</f>
        <v/>
      </c>
      <c r="AS48" s="176" t="str">
        <f>+IF(BD_MO[[#This Row],[N° VALE]]&lt;&gt;"",BD_MO[[#This Row],[PULVERULENTA (N° CART.)]]*PE_PULV_65[PE],"")</f>
        <v/>
      </c>
      <c r="AT48" s="176" t="str">
        <f>+IF(BD_MO[[#This Row],[N° DISP]]&lt;&gt;"",BD_MO[[#This Row],[SEMIGELATINA (N° CART.)]]*PE_SEMIGEL_65[PE],"")</f>
        <v/>
      </c>
      <c r="AU48" s="176" t="str">
        <f>+IF(BD_MO[N° VALE]&lt;&gt;"",BD_MO[[#This Row],[KG EXPLO SEMIGEL]]+BD_MO[[#This Row],[KG EXPLO PULVE]]+BD_MO[[#This Row],[KG EXPLO EMULN 3000]]+BD_MO[[#This Row],[KG EXPLO EMULN 1000]],"")</f>
        <v/>
      </c>
      <c r="AV48" s="172"/>
      <c r="AW48" s="172">
        <v>15</v>
      </c>
      <c r="AX48" s="172" t="str">
        <f>+IF(BD_MO[[#This Row],[MINERAL (U-35)]]&lt;&gt;"",BD_MO[[#This Row],[MINERAL (U-35)]]*1.45,"-")</f>
        <v>-</v>
      </c>
      <c r="AY48" s="172">
        <f>+IF(BD_MO[[#This Row],[DESMONTE (U-35)]]&lt;&gt;"",BD_MO[[#This Row],[DESMONTE (U-35)]]*1.23,"-")</f>
        <v>18.45</v>
      </c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2"/>
      <c r="BL48" s="172"/>
      <c r="BM48" s="172"/>
      <c r="BN48" s="171"/>
      <c r="BO48" s="172"/>
      <c r="BP48" s="172"/>
      <c r="BQ48" s="171"/>
      <c r="BR48" s="172"/>
      <c r="BS48" s="171"/>
      <c r="BT48" s="176"/>
      <c r="BU48" s="172"/>
      <c r="BV48" s="172"/>
      <c r="BW48" s="172"/>
      <c r="BX48" s="172"/>
      <c r="BY48" s="172"/>
      <c r="BZ48" s="172"/>
      <c r="CA48" s="172"/>
      <c r="CB48" s="172"/>
      <c r="CC48" s="172"/>
      <c r="CD48" s="172"/>
      <c r="CE48" s="172"/>
      <c r="CF48" s="172"/>
      <c r="CG48" s="172"/>
      <c r="CH48" s="172"/>
      <c r="CI48" s="172"/>
      <c r="CJ48" s="172"/>
      <c r="CK48" s="172"/>
      <c r="CL48" s="172"/>
      <c r="CM48" s="172"/>
      <c r="CN48" s="172"/>
      <c r="CO48" s="172"/>
      <c r="CP48" s="176">
        <f>+IF(BD_MO[[#This Row],[FECHA]]&lt;&gt;"",BD_MO[[#This Row],[PUNTAL 4"]]+BD_MO[[#This Row],[PUNTAL 5"]]+BD_MO[[#This Row],[PUNTAL 6"]]+BD_MO[[#This Row],[PUNTAL 7"]]+BD_MO[[#This Row],[PUNTAL 8"]],"")</f>
        <v>0</v>
      </c>
      <c r="CQ48" s="172"/>
      <c r="CR48" s="172"/>
      <c r="CS48" s="172"/>
      <c r="CT48" s="172"/>
      <c r="CU48" s="172"/>
      <c r="CV48" s="172"/>
      <c r="CW48" s="172"/>
      <c r="CX48" s="172"/>
      <c r="CY48" s="176"/>
      <c r="CZ48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8" s="176">
        <f>+IF(BD_MO[[#This Row],[FECHA]]&lt;&gt;"",BD_MO[[#This Row],[DURMIENTE2]]*6.561+BD_MO[[#This Row],[LISTONES]]*4.921+BD_MO[[#This Row],[TABLA 1"x8"x3m]]*6.561+BD_MO[[#This Row],[TABLA 2"x8"x3m]]*13.122,"")</f>
        <v>0</v>
      </c>
      <c r="DB48" s="176">
        <f>+IF(BD_MO[[#This Row],[FECHA]]&lt;&gt;"",BD_MO[[#This Row],[PIE2 MADERA ASERRADA]]*1.95,"")</f>
        <v>0</v>
      </c>
      <c r="DC48" s="176">
        <f>+IF(BD_MO[[#This Row],[FECHA]]&lt;&gt;"",BD_MO[[#This Row],[KG. MADERA REDONDA]]+BD_MO[[#This Row],[KG MADERA ASERRADA]],"")</f>
        <v>0</v>
      </c>
      <c r="DD48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8" s="172"/>
      <c r="DF48" s="172"/>
      <c r="DG48" s="172"/>
      <c r="DH48" s="172"/>
      <c r="DI48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8" s="180"/>
      <c r="DK48" s="180"/>
      <c r="DL48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8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8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8" s="181"/>
      <c r="DP48" s="180" t="str">
        <f>+IF(BD_MO[[#This Row],[M o D]]&lt;&gt;"",IF(BD_MO[[#This Row],[M o D]]="M",BD_MO[[#This Row],[ROTURA TMH]]/2.65,BD_MO[[#This Row],[ROTURA TMH]]/2.4),"")</f>
        <v/>
      </c>
      <c r="DQ48" s="180"/>
      <c r="DR48" s="116" t="str">
        <f>IF(BD_MO[[#This Row],[TIPO AVANCE]]="Avance",((BD_MO[[#This Row],[AVANCE (m)]]/BD_MO[[#This Row],[AVANCE TEÓRICO]]))," ")</f>
        <v xml:space="preserve"> </v>
      </c>
      <c r="DS48" s="134"/>
      <c r="DT48" s="134"/>
      <c r="DU48" s="134"/>
      <c r="DV48" s="134"/>
      <c r="DW48" s="134"/>
      <c r="DX48" s="135"/>
      <c r="DY48" s="135"/>
      <c r="DZ48" s="135"/>
    </row>
    <row r="49" spans="1:130" s="112" customFormat="1" ht="18" customHeight="1" thickBot="1" x14ac:dyDescent="0.3">
      <c r="A49" s="183">
        <v>44654</v>
      </c>
      <c r="B49" s="184" t="s">
        <v>10647</v>
      </c>
      <c r="C49" s="184" t="s">
        <v>10680</v>
      </c>
      <c r="D49" s="185" t="s">
        <v>11872</v>
      </c>
      <c r="E49" s="186" t="str">
        <f>LEFT(BD_MO[[#This Row],[LABOR]],2)</f>
        <v>PQ</v>
      </c>
      <c r="F49" s="187"/>
      <c r="G49" s="187" t="s">
        <v>10669</v>
      </c>
      <c r="H49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9" s="186" t="str">
        <f>IF(BD_MO[FECHA]&lt;&gt;"",VLOOKUP(BD_MO[LABOR],TB_CECO[[LABOR]:[CECO_T]],3,FALSE),"")</f>
        <v>ANDREA</v>
      </c>
      <c r="J49" s="186" t="str">
        <f>IF(BD_MO[FECHA]&lt;&gt;"",VLOOKUP(BD_MO[LABOR],D_CECO!B:H,7,FALSE),"")</f>
        <v>LINEAL</v>
      </c>
      <c r="K49" s="186" t="str">
        <f>IF(BD_MO[FECHA]&lt;&gt;"",VLOOKUP(BD_MO[LABOR],D_CECO!B:H,4,FALSE),"")</f>
        <v>EXPLOTACION</v>
      </c>
      <c r="L49" s="186"/>
      <c r="M49" s="184"/>
      <c r="N49" s="187"/>
      <c r="O49" s="188" t="s">
        <v>11908</v>
      </c>
      <c r="P49" s="188" t="s">
        <v>11905</v>
      </c>
      <c r="Q49" s="188" t="s">
        <v>12152</v>
      </c>
      <c r="R49" s="189"/>
      <c r="S49" s="190" t="str">
        <f>IFERROR(VLOOKUP(BD_MO[DNI 4],#REF!,2,FALSE)," ")</f>
        <v xml:space="preserve"> </v>
      </c>
      <c r="T49" s="191">
        <f>+IF(BD_MO[[#This Row],[FECHA]]&lt;&gt;"",COUNTA(BD_MO[[#This Row],[DNI]],BD_MO[[#This Row],[DNI 2]],BD_MO[[#This Row],[DNI 3]],BD_MO[[#This Row],[DNI 4]]),"")</f>
        <v>3</v>
      </c>
      <c r="U49" s="191"/>
      <c r="V49" s="191"/>
      <c r="W49" s="191"/>
      <c r="X49" s="191">
        <v>3</v>
      </c>
      <c r="Y49" s="192">
        <f>SUM(BD_MO[[#This Row],[LIMP]:[SERV]])</f>
        <v>3</v>
      </c>
      <c r="Z49" s="187"/>
      <c r="AA49" s="187" t="str">
        <f>+IF(BD_MO[[#This Row],[N° VALE]]&lt;&gt;"",1,"")</f>
        <v/>
      </c>
      <c r="AB49" s="184"/>
      <c r="AC49" s="187"/>
      <c r="AD49" s="187" t="str">
        <f>+IF(BD_MO[[#This Row],[N° VALE]]&lt;&gt;"",BD_MO[[#This Row],[FULMINANTE N° 08]]+BD_MO[CARMEX 7''],"")</f>
        <v/>
      </c>
      <c r="AE49" s="187"/>
      <c r="AF49" s="187" t="str">
        <f>+IF(BD_MO[[#This Row],[N° VALE]]&lt;&gt;"",BD_MO[[#This Row],[N° TALADROS]]+BD_MO[[#This Row],[N° TAL. VACIOS]],"")</f>
        <v/>
      </c>
      <c r="AG49" s="193"/>
      <c r="AH49" s="193"/>
      <c r="AI49" s="193"/>
      <c r="AJ49" s="193"/>
      <c r="AK49" s="193"/>
      <c r="AL49" s="193"/>
      <c r="AM49" s="186"/>
      <c r="AN49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9" s="187" t="str">
        <f>+IF(BD_MO[[#This Row],[N° VALE]]&lt;&gt;"",IF(BD_MO[[#This Row],[FULMINANTE N° 08]]&lt;&gt;"",BD_MO[[#This Row],[FULMINANTE N° 08]],IF(BD_MO[[#This Row],[CARMEX 7'']]&lt;&gt;0,0,"")),"")</f>
        <v/>
      </c>
      <c r="AP49" s="191" t="str">
        <f>+IF(BD_MO[[#This Row],[N° VALE]]&lt;&gt;"",BD_MO[[#This Row],[N°  TOTAL TALADROS]]*BD_MO[[#This Row],[BARRA]]*0.95,"")</f>
        <v/>
      </c>
      <c r="AQ49" s="191" t="str">
        <f>+IF(BD_MO[[#This Row],[N° VALE]]&lt;&gt;"",BD_MO[[#This Row],[EMULNOR 1000 (N° CART.)]]*PE_EMUL_1000[PE],"")</f>
        <v/>
      </c>
      <c r="AR49" s="191" t="str">
        <f>+IF(BD_MO[[#This Row],[N° VALE]]&lt;&gt;"",BD_MO[[#This Row],[EMULNOR 3000 (N° CART.)]]*PE_EMUL_3000[PE],"")</f>
        <v/>
      </c>
      <c r="AS49" s="191" t="str">
        <f>+IF(BD_MO[[#This Row],[N° VALE]]&lt;&gt;"",BD_MO[[#This Row],[PULVERULENTA (N° CART.)]]*PE_PULV_65[PE],"")</f>
        <v/>
      </c>
      <c r="AT49" s="191" t="str">
        <f>+IF(BD_MO[[#This Row],[N° DISP]]&lt;&gt;"",BD_MO[[#This Row],[SEMIGELATINA (N° CART.)]]*PE_SEMIGEL_65[PE],"")</f>
        <v/>
      </c>
      <c r="AU49" s="191" t="str">
        <f>+IF(BD_MO[N° VALE]&lt;&gt;"",BD_MO[[#This Row],[KG EXPLO SEMIGEL]]+BD_MO[[#This Row],[KG EXPLO PULVE]]+BD_MO[[#This Row],[KG EXPLO EMULN 3000]]+BD_MO[[#This Row],[KG EXPLO EMULN 1000]],"")</f>
        <v/>
      </c>
      <c r="AV49" s="187"/>
      <c r="AW49" s="187"/>
      <c r="AX49" s="187" t="str">
        <f>+IF(BD_MO[[#This Row],[MINERAL (U-35)]]&lt;&gt;"",BD_MO[[#This Row],[MINERAL (U-35)]]*1.45,"-")</f>
        <v>-</v>
      </c>
      <c r="AY49" s="187" t="str">
        <f>+IF(BD_MO[[#This Row],[DESMONTE (U-35)]]&lt;&gt;"",BD_MO[[#This Row],[DESMONTE (U-35)]]*1.23,"-")</f>
        <v>-</v>
      </c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6"/>
      <c r="BO49" s="187"/>
      <c r="BP49" s="187"/>
      <c r="BQ49" s="186"/>
      <c r="BR49" s="187"/>
      <c r="BS49" s="186"/>
      <c r="BT49" s="191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7"/>
      <c r="CN49" s="187"/>
      <c r="CO49" s="187"/>
      <c r="CP49" s="191">
        <f>+IF(BD_MO[[#This Row],[FECHA]]&lt;&gt;"",BD_MO[[#This Row],[PUNTAL 4"]]+BD_MO[[#This Row],[PUNTAL 5"]]+BD_MO[[#This Row],[PUNTAL 6"]]+BD_MO[[#This Row],[PUNTAL 7"]]+BD_MO[[#This Row],[PUNTAL 8"]],"")</f>
        <v>0</v>
      </c>
      <c r="CQ49" s="187"/>
      <c r="CR49" s="187"/>
      <c r="CS49" s="187"/>
      <c r="CT49" s="187"/>
      <c r="CU49" s="187"/>
      <c r="CV49" s="187"/>
      <c r="CW49" s="187"/>
      <c r="CX49" s="187"/>
      <c r="CY49" s="191"/>
      <c r="CZ49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9" s="191">
        <f>+IF(BD_MO[[#This Row],[FECHA]]&lt;&gt;"",BD_MO[[#This Row],[DURMIENTE2]]*6.561+BD_MO[[#This Row],[LISTONES]]*4.921+BD_MO[[#This Row],[TABLA 1"x8"x3m]]*6.561+BD_MO[[#This Row],[TABLA 2"x8"x3m]]*13.122,"")</f>
        <v>0</v>
      </c>
      <c r="DB49" s="191">
        <f>+IF(BD_MO[[#This Row],[FECHA]]&lt;&gt;"",BD_MO[[#This Row],[PIE2 MADERA ASERRADA]]*1.95,"")</f>
        <v>0</v>
      </c>
      <c r="DC49" s="191">
        <f>+IF(BD_MO[[#This Row],[FECHA]]&lt;&gt;"",BD_MO[[#This Row],[KG. MADERA REDONDA]]+BD_MO[[#This Row],[KG MADERA ASERRADA]],"")</f>
        <v>0</v>
      </c>
      <c r="DD49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9" s="187"/>
      <c r="DF49" s="187"/>
      <c r="DG49" s="187"/>
      <c r="DH49" s="187"/>
      <c r="DI49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9" s="195"/>
      <c r="DK49" s="195"/>
      <c r="DL49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9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9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9" s="196"/>
      <c r="DP49" s="195" t="str">
        <f>+IF(BD_MO[[#This Row],[M o D]]&lt;&gt;"",IF(BD_MO[[#This Row],[M o D]]="M",BD_MO[[#This Row],[ROTURA TMH]]/2.65,BD_MO[[#This Row],[ROTURA TMH]]/2.4),"")</f>
        <v/>
      </c>
      <c r="DQ49" s="195"/>
      <c r="DR49" s="116" t="str">
        <f>IF(BD_MO[[#This Row],[TIPO AVANCE]]="Avance",((BD_MO[[#This Row],[AVANCE (m)]]/BD_MO[[#This Row],[AVANCE TEÓRICO]]))," ")</f>
        <v xml:space="preserve"> </v>
      </c>
      <c r="DS49" s="110"/>
      <c r="DT49" s="110"/>
      <c r="DU49" s="110"/>
      <c r="DV49" s="110"/>
      <c r="DW49" s="110"/>
      <c r="DX49" s="111"/>
      <c r="DY49" s="111"/>
      <c r="DZ49" s="111"/>
    </row>
    <row r="50" spans="1:130" s="136" customFormat="1" ht="18" customHeight="1" x14ac:dyDescent="0.25">
      <c r="A50" s="168">
        <v>44654</v>
      </c>
      <c r="B50" s="169" t="s">
        <v>10655</v>
      </c>
      <c r="C50" s="169" t="s">
        <v>10668</v>
      </c>
      <c r="D50" s="170" t="s">
        <v>12115</v>
      </c>
      <c r="E50" s="171" t="str">
        <f>LEFT(BD_MO[[#This Row],[LABOR]],2)</f>
        <v>Tj</v>
      </c>
      <c r="F50" s="172"/>
      <c r="G50" s="172" t="s">
        <v>10656</v>
      </c>
      <c r="H5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50" s="171" t="str">
        <f>IF(BD_MO[FECHA]&lt;&gt;"",VLOOKUP(BD_MO[LABOR],TB_CECO[[LABOR]:[CECO_T]],3,FALSE),"")</f>
        <v>CACHORRO</v>
      </c>
      <c r="J50" s="171" t="str">
        <f>IF(BD_MO[FECHA]&lt;&gt;"",VLOOKUP(BD_MO[LABOR],D_CECO!B:H,7,FALSE),"")</f>
        <v>TAJO</v>
      </c>
      <c r="K50" s="171" t="str">
        <f>IF(BD_MO[FECHA]&lt;&gt;"",VLOOKUP(BD_MO[LABOR],D_CECO!B:H,4,FALSE),"")</f>
        <v>EXPLOTACION</v>
      </c>
      <c r="L50" s="171"/>
      <c r="M50" s="169"/>
      <c r="N50" s="172"/>
      <c r="O50" s="173" t="s">
        <v>12157</v>
      </c>
      <c r="P50" s="173" t="s">
        <v>12168</v>
      </c>
      <c r="Q50" s="173" t="s">
        <v>12094</v>
      </c>
      <c r="R50" s="174"/>
      <c r="S50" s="175" t="str">
        <f>IFERROR(VLOOKUP(BD_MO[DNI 4],#REF!,2,FALSE)," ")</f>
        <v xml:space="preserve"> </v>
      </c>
      <c r="T50" s="176">
        <f>+IF(BD_MO[[#This Row],[FECHA]]&lt;&gt;"",COUNTA(BD_MO[[#This Row],[DNI]],BD_MO[[#This Row],[DNI 2]],BD_MO[[#This Row],[DNI 3]],BD_MO[[#This Row],[DNI 4]]),"")</f>
        <v>3</v>
      </c>
      <c r="U50" s="176">
        <v>2</v>
      </c>
      <c r="V50" s="176"/>
      <c r="W50" s="176">
        <v>0.4</v>
      </c>
      <c r="X50" s="176">
        <v>0.6</v>
      </c>
      <c r="Y50" s="177">
        <f>SUM(BD_MO[[#This Row],[LIMP]:[SERV]])</f>
        <v>3</v>
      </c>
      <c r="Z50" s="172"/>
      <c r="AA50" s="172" t="str">
        <f>+IF(BD_MO[[#This Row],[N° VALE]]&lt;&gt;"",1,"")</f>
        <v/>
      </c>
      <c r="AB50" s="169"/>
      <c r="AC50" s="172"/>
      <c r="AD50" s="172" t="str">
        <f>+IF(BD_MO[[#This Row],[N° VALE]]&lt;&gt;"",BD_MO[[#This Row],[FULMINANTE N° 08]]+BD_MO[CARMEX 7''],"")</f>
        <v/>
      </c>
      <c r="AE50" s="172"/>
      <c r="AF50" s="172" t="str">
        <f>+IF(BD_MO[[#This Row],[N° VALE]]&lt;&gt;"",BD_MO[[#This Row],[N° TALADROS]]+BD_MO[[#This Row],[N° TAL. VACIOS]],"")</f>
        <v/>
      </c>
      <c r="AG50" s="178"/>
      <c r="AH50" s="178"/>
      <c r="AI50" s="178"/>
      <c r="AJ50" s="178"/>
      <c r="AK50" s="178"/>
      <c r="AL50" s="178"/>
      <c r="AM50" s="171"/>
      <c r="AN50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0" s="172" t="str">
        <f>+IF(BD_MO[[#This Row],[N° VALE]]&lt;&gt;"",IF(BD_MO[[#This Row],[FULMINANTE N° 08]]&lt;&gt;"",BD_MO[[#This Row],[FULMINANTE N° 08]],IF(BD_MO[[#This Row],[CARMEX 7'']]&lt;&gt;0,0,"")),"")</f>
        <v/>
      </c>
      <c r="AP50" s="176" t="str">
        <f>+IF(BD_MO[[#This Row],[N° VALE]]&lt;&gt;"",BD_MO[[#This Row],[N°  TOTAL TALADROS]]*BD_MO[[#This Row],[BARRA]]*0.95,"")</f>
        <v/>
      </c>
      <c r="AQ50" s="176" t="str">
        <f>+IF(BD_MO[[#This Row],[N° VALE]]&lt;&gt;"",BD_MO[[#This Row],[EMULNOR 1000 (N° CART.)]]*PE_EMUL_1000[PE],"")</f>
        <v/>
      </c>
      <c r="AR50" s="176" t="str">
        <f>+IF(BD_MO[[#This Row],[N° VALE]]&lt;&gt;"",BD_MO[[#This Row],[EMULNOR 3000 (N° CART.)]]*PE_EMUL_3000[PE],"")</f>
        <v/>
      </c>
      <c r="AS50" s="176" t="str">
        <f>+IF(BD_MO[[#This Row],[N° VALE]]&lt;&gt;"",BD_MO[[#This Row],[PULVERULENTA (N° CART.)]]*PE_PULV_65[PE],"")</f>
        <v/>
      </c>
      <c r="AT50" s="176" t="str">
        <f>+IF(BD_MO[[#This Row],[N° DISP]]&lt;&gt;"",BD_MO[[#This Row],[SEMIGELATINA (N° CART.)]]*PE_SEMIGEL_65[PE],"")</f>
        <v/>
      </c>
      <c r="AU50" s="176" t="str">
        <f>+IF(BD_MO[N° VALE]&lt;&gt;"",BD_MO[[#This Row],[KG EXPLO SEMIGEL]]+BD_MO[[#This Row],[KG EXPLO PULVE]]+BD_MO[[#This Row],[KG EXPLO EMULN 3000]]+BD_MO[[#This Row],[KG EXPLO EMULN 1000]],"")</f>
        <v/>
      </c>
      <c r="AV50" s="172">
        <v>11</v>
      </c>
      <c r="AW50" s="172"/>
      <c r="AX50" s="172">
        <f>+IF(BD_MO[[#This Row],[MINERAL (U-35)]]&lt;&gt;"",BD_MO[[#This Row],[MINERAL (U-35)]]*1.45,"-")</f>
        <v>15.95</v>
      </c>
      <c r="AY50" s="172" t="str">
        <f>+IF(BD_MO[[#This Row],[DESMONTE (U-35)]]&lt;&gt;"",BD_MO[[#This Row],[DESMONTE (U-35)]]*1.23,"-")</f>
        <v>-</v>
      </c>
      <c r="AZ50" s="172"/>
      <c r="BA50" s="172"/>
      <c r="BB50" s="172"/>
      <c r="BC50" s="172"/>
      <c r="BD50" s="172"/>
      <c r="BE50" s="172"/>
      <c r="BF50" s="172"/>
      <c r="BG50" s="172"/>
      <c r="BH50" s="172"/>
      <c r="BI50" s="172"/>
      <c r="BJ50" s="172"/>
      <c r="BK50" s="172"/>
      <c r="BL50" s="172"/>
      <c r="BM50" s="172"/>
      <c r="BN50" s="171"/>
      <c r="BO50" s="172"/>
      <c r="BP50" s="172"/>
      <c r="BQ50" s="171">
        <v>4.8</v>
      </c>
      <c r="BR50" s="172"/>
      <c r="BS50" s="171"/>
      <c r="BT50" s="176"/>
      <c r="BU50" s="172"/>
      <c r="BV50" s="172"/>
      <c r="BW50" s="172"/>
      <c r="BX50" s="172"/>
      <c r="BY50" s="172"/>
      <c r="BZ50" s="172"/>
      <c r="CA50" s="172"/>
      <c r="CB50" s="172"/>
      <c r="CC50" s="172"/>
      <c r="CD50" s="172"/>
      <c r="CE50" s="172"/>
      <c r="CF50" s="172"/>
      <c r="CG50" s="172"/>
      <c r="CH50" s="172"/>
      <c r="CI50" s="172"/>
      <c r="CJ50" s="172"/>
      <c r="CK50" s="172"/>
      <c r="CL50" s="172"/>
      <c r="CM50" s="172"/>
      <c r="CN50" s="172"/>
      <c r="CO50" s="172"/>
      <c r="CP50" s="176">
        <f>+IF(BD_MO[[#This Row],[FECHA]]&lt;&gt;"",BD_MO[[#This Row],[PUNTAL 4"]]+BD_MO[[#This Row],[PUNTAL 5"]]+BD_MO[[#This Row],[PUNTAL 6"]]+BD_MO[[#This Row],[PUNTAL 7"]]+BD_MO[[#This Row],[PUNTAL 8"]],"")</f>
        <v>0</v>
      </c>
      <c r="CQ50" s="172"/>
      <c r="CR50" s="172"/>
      <c r="CS50" s="172">
        <v>6</v>
      </c>
      <c r="CT50" s="172"/>
      <c r="CU50" s="172"/>
      <c r="CV50" s="172"/>
      <c r="CW50" s="172"/>
      <c r="CX50" s="172"/>
      <c r="CY50" s="176"/>
      <c r="CZ5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147.60000000000002</v>
      </c>
      <c r="DA50" s="176">
        <f>+IF(BD_MO[[#This Row],[FECHA]]&lt;&gt;"",BD_MO[[#This Row],[DURMIENTE2]]*6.561+BD_MO[[#This Row],[LISTONES]]*4.921+BD_MO[[#This Row],[TABLA 1"x8"x3m]]*6.561+BD_MO[[#This Row],[TABLA 2"x8"x3m]]*13.122,"")</f>
        <v>0</v>
      </c>
      <c r="DB50" s="176">
        <f>+IF(BD_MO[[#This Row],[FECHA]]&lt;&gt;"",BD_MO[[#This Row],[PIE2 MADERA ASERRADA]]*1.95,"")</f>
        <v>0</v>
      </c>
      <c r="DC50" s="176">
        <f>+IF(BD_MO[[#This Row],[FECHA]]&lt;&gt;"",BD_MO[[#This Row],[KG. MADERA REDONDA]]+BD_MO[[#This Row],[KG MADERA ASERRADA]],"")</f>
        <v>147.60000000000002</v>
      </c>
      <c r="DD5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73.739999999999995</v>
      </c>
      <c r="DE50" s="172"/>
      <c r="DF50" s="172"/>
      <c r="DG50" s="172"/>
      <c r="DH50" s="172"/>
      <c r="DI50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0" s="180"/>
      <c r="DK50" s="180"/>
      <c r="DL50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0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0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0" s="181"/>
      <c r="DP50" s="180" t="str">
        <f>+IF(BD_MO[[#This Row],[M o D]]&lt;&gt;"",IF(BD_MO[[#This Row],[M o D]]="M",BD_MO[[#This Row],[ROTURA TMH]]/2.65,BD_MO[[#This Row],[ROTURA TMH]]/2.4),"")</f>
        <v/>
      </c>
      <c r="DQ50" s="180"/>
      <c r="DR50" s="116" t="str">
        <f>IF(BD_MO[[#This Row],[TIPO AVANCE]]="Avance",((BD_MO[[#This Row],[AVANCE (m)]]/BD_MO[[#This Row],[AVANCE TEÓRICO]]))," ")</f>
        <v xml:space="preserve"> </v>
      </c>
      <c r="DS50" s="134"/>
      <c r="DT50" s="134"/>
      <c r="DU50" s="134"/>
      <c r="DV50" s="134"/>
      <c r="DW50" s="134"/>
      <c r="DX50" s="135"/>
      <c r="DY50" s="135"/>
      <c r="DZ50" s="135"/>
    </row>
    <row r="51" spans="1:130" s="136" customFormat="1" ht="18" customHeight="1" x14ac:dyDescent="0.25">
      <c r="A51" s="168">
        <v>44654</v>
      </c>
      <c r="B51" s="169" t="s">
        <v>10655</v>
      </c>
      <c r="C51" s="169" t="s">
        <v>10668</v>
      </c>
      <c r="D51" s="170" t="s">
        <v>12164</v>
      </c>
      <c r="E51" s="171" t="str">
        <f>LEFT(BD_MO[[#This Row],[LABOR]],2)</f>
        <v>Tj</v>
      </c>
      <c r="F51" s="172" t="s">
        <v>10950</v>
      </c>
      <c r="G51" s="172" t="s">
        <v>10648</v>
      </c>
      <c r="H51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51" s="171" t="str">
        <f>IF(BD_MO[FECHA]&lt;&gt;"",VLOOKUP(BD_MO[LABOR],TB_CECO[[LABOR]:[CECO_T]],3,FALSE),"")</f>
        <v>VANESSA</v>
      </c>
      <c r="J51" s="171" t="str">
        <f>IF(BD_MO[FECHA]&lt;&gt;"",VLOOKUP(BD_MO[LABOR],D_CECO!B:H,7,FALSE),"")</f>
        <v>TAJO</v>
      </c>
      <c r="K51" s="171" t="str">
        <f>IF(BD_MO[FECHA]&lt;&gt;"",VLOOKUP(BD_MO[LABOR],D_CECO!B:H,4,FALSE),"")</f>
        <v>EXPLOTACION</v>
      </c>
      <c r="L51" s="171"/>
      <c r="M51" s="169" t="s">
        <v>10661</v>
      </c>
      <c r="N51" s="172"/>
      <c r="O51" s="173" t="s">
        <v>12160</v>
      </c>
      <c r="P51" s="173" t="s">
        <v>12088</v>
      </c>
      <c r="Q51" s="173"/>
      <c r="R51" s="174"/>
      <c r="S51" s="175" t="str">
        <f>IFERROR(VLOOKUP(BD_MO[DNI 4],#REF!,2,FALSE)," ")</f>
        <v xml:space="preserve"> </v>
      </c>
      <c r="T51" s="176">
        <f>+IF(BD_MO[[#This Row],[FECHA]]&lt;&gt;"",COUNTA(BD_MO[[#This Row],[DNI]],BD_MO[[#This Row],[DNI 2]],BD_MO[[#This Row],[DNI 3]],BD_MO[[#This Row],[DNI 4]]),"")</f>
        <v>2</v>
      </c>
      <c r="U51" s="176">
        <v>0.8</v>
      </c>
      <c r="V51" s="176">
        <v>0.6</v>
      </c>
      <c r="W51" s="176"/>
      <c r="X51" s="176">
        <v>0.6</v>
      </c>
      <c r="Y51" s="177">
        <f>SUM(BD_MO[[#This Row],[LIMP]:[SERV]])</f>
        <v>2</v>
      </c>
      <c r="Z51" s="172" t="s">
        <v>12170</v>
      </c>
      <c r="AA51" s="172">
        <f>+IF(BD_MO[[#This Row],[N° VALE]]&lt;&gt;"",1,"")</f>
        <v>1</v>
      </c>
      <c r="AB51" s="169" t="s">
        <v>10644</v>
      </c>
      <c r="AC51" s="172">
        <v>5</v>
      </c>
      <c r="AD51" s="172">
        <f>+IF(BD_MO[[#This Row],[N° VALE]]&lt;&gt;"",BD_MO[[#This Row],[FULMINANTE N° 08]]+BD_MO[CARMEX 7''],"")</f>
        <v>20</v>
      </c>
      <c r="AE51" s="172"/>
      <c r="AF51" s="172">
        <f>+IF(BD_MO[[#This Row],[N° VALE]]&lt;&gt;"",BD_MO[[#This Row],[N° TALADROS]]+BD_MO[[#This Row],[N° TAL. VACIOS]],"")</f>
        <v>20</v>
      </c>
      <c r="AG51" s="178">
        <v>20</v>
      </c>
      <c r="AH51" s="178">
        <v>80</v>
      </c>
      <c r="AI51" s="178"/>
      <c r="AJ51" s="178"/>
      <c r="AK51" s="178">
        <v>20</v>
      </c>
      <c r="AL51" s="178">
        <v>4</v>
      </c>
      <c r="AM51" s="171"/>
      <c r="AN51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51" s="172">
        <f>+IF(BD_MO[[#This Row],[N° VALE]]&lt;&gt;"",IF(BD_MO[[#This Row],[FULMINANTE N° 08]]&lt;&gt;"",BD_MO[[#This Row],[FULMINANTE N° 08]],IF(BD_MO[[#This Row],[CARMEX 7'']]&lt;&gt;0,0,"")),"")</f>
        <v>0</v>
      </c>
      <c r="AP51" s="176">
        <f>+IF(BD_MO[[#This Row],[N° VALE]]&lt;&gt;"",BD_MO[[#This Row],[N°  TOTAL TALADROS]]*BD_MO[[#This Row],[BARRA]]*0.95,"")</f>
        <v>95</v>
      </c>
      <c r="AQ51" s="176">
        <f>+IF(BD_MO[[#This Row],[N° VALE]]&lt;&gt;"",BD_MO[[#This Row],[EMULNOR 1000 (N° CART.)]]*PE_EMUL_1000[PE],"")</f>
        <v>7.5760000000000005</v>
      </c>
      <c r="AR51" s="176">
        <f>+IF(BD_MO[[#This Row],[N° VALE]]&lt;&gt;"",BD_MO[[#This Row],[EMULNOR 3000 (N° CART.)]]*PE_EMUL_3000[PE],"")</f>
        <v>1.923076923076924</v>
      </c>
      <c r="AS51" s="176">
        <f>+IF(BD_MO[[#This Row],[N° VALE]]&lt;&gt;"",BD_MO[[#This Row],[PULVERULENTA (N° CART.)]]*PE_PULV_65[PE],"")</f>
        <v>0</v>
      </c>
      <c r="AT51" s="176">
        <f>+IF(BD_MO[[#This Row],[N° DISP]]&lt;&gt;"",BD_MO[[#This Row],[SEMIGELATINA (N° CART.)]]*PE_SEMIGEL_65[PE],"")</f>
        <v>0</v>
      </c>
      <c r="AU51" s="176">
        <f>+IF(BD_MO[N° VALE]&lt;&gt;"",BD_MO[[#This Row],[KG EXPLO SEMIGEL]]+BD_MO[[#This Row],[KG EXPLO PULVE]]+BD_MO[[#This Row],[KG EXPLO EMULN 3000]]+BD_MO[[#This Row],[KG EXPLO EMULN 1000]],"")</f>
        <v>9.4990769230769239</v>
      </c>
      <c r="AV51" s="172"/>
      <c r="AW51" s="172"/>
      <c r="AX51" s="172" t="str">
        <f>+IF(BD_MO[[#This Row],[MINERAL (U-35)]]&lt;&gt;"",BD_MO[[#This Row],[MINERAL (U-35)]]*1.45,"-")</f>
        <v>-</v>
      </c>
      <c r="AY51" s="172" t="str">
        <f>+IF(BD_MO[[#This Row],[DESMONTE (U-35)]]&lt;&gt;"",BD_MO[[#This Row],[DESMONTE (U-35)]]*1.23,"-")</f>
        <v>-</v>
      </c>
      <c r="AZ51" s="172"/>
      <c r="BA51" s="172"/>
      <c r="BB51" s="172"/>
      <c r="BC51" s="172"/>
      <c r="BD51" s="172"/>
      <c r="BE51" s="172"/>
      <c r="BF51" s="172"/>
      <c r="BG51" s="172"/>
      <c r="BH51" s="172"/>
      <c r="BI51" s="172"/>
      <c r="BJ51" s="172"/>
      <c r="BK51" s="172"/>
      <c r="BL51" s="172"/>
      <c r="BM51" s="172"/>
      <c r="BN51" s="171"/>
      <c r="BO51" s="172"/>
      <c r="BP51" s="172"/>
      <c r="BQ51" s="171"/>
      <c r="BR51" s="172"/>
      <c r="BS51" s="171"/>
      <c r="BT51" s="176"/>
      <c r="BU51" s="172"/>
      <c r="BV51" s="172"/>
      <c r="BW51" s="172"/>
      <c r="BX51" s="172"/>
      <c r="BY51" s="172"/>
      <c r="BZ51" s="172"/>
      <c r="CA51" s="172"/>
      <c r="CB51" s="172"/>
      <c r="CC51" s="172"/>
      <c r="CD51" s="172"/>
      <c r="CE51" s="172"/>
      <c r="CF51" s="172"/>
      <c r="CG51" s="172"/>
      <c r="CH51" s="172"/>
      <c r="CI51" s="172"/>
      <c r="CJ51" s="172"/>
      <c r="CK51" s="172"/>
      <c r="CL51" s="172"/>
      <c r="CM51" s="172"/>
      <c r="CN51" s="172"/>
      <c r="CO51" s="172"/>
      <c r="CP51" s="176">
        <f>+IF(BD_MO[[#This Row],[FECHA]]&lt;&gt;"",BD_MO[[#This Row],[PUNTAL 4"]]+BD_MO[[#This Row],[PUNTAL 5"]]+BD_MO[[#This Row],[PUNTAL 6"]]+BD_MO[[#This Row],[PUNTAL 7"]]+BD_MO[[#This Row],[PUNTAL 8"]],"")</f>
        <v>0</v>
      </c>
      <c r="CQ51" s="172"/>
      <c r="CR51" s="172"/>
      <c r="CS51" s="172"/>
      <c r="CT51" s="172"/>
      <c r="CU51" s="172"/>
      <c r="CV51" s="172"/>
      <c r="CW51" s="172"/>
      <c r="CX51" s="172"/>
      <c r="CY51" s="176"/>
      <c r="CZ51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1" s="176">
        <f>+IF(BD_MO[[#This Row],[FECHA]]&lt;&gt;"",BD_MO[[#This Row],[DURMIENTE2]]*6.561+BD_MO[[#This Row],[LISTONES]]*4.921+BD_MO[[#This Row],[TABLA 1"x8"x3m]]*6.561+BD_MO[[#This Row],[TABLA 2"x8"x3m]]*13.122,"")</f>
        <v>0</v>
      </c>
      <c r="DB51" s="176">
        <f>+IF(BD_MO[[#This Row],[FECHA]]&lt;&gt;"",BD_MO[[#This Row],[PIE2 MADERA ASERRADA]]*1.95,"")</f>
        <v>0</v>
      </c>
      <c r="DC51" s="176">
        <f>+IF(BD_MO[[#This Row],[FECHA]]&lt;&gt;"",BD_MO[[#This Row],[KG. MADERA REDONDA]]+BD_MO[[#This Row],[KG MADERA ASERRADA]],"")</f>
        <v>0</v>
      </c>
      <c r="DD51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1" s="172"/>
      <c r="DF51" s="172"/>
      <c r="DG51" s="172"/>
      <c r="DH51" s="172"/>
      <c r="DI51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</v>
      </c>
      <c r="DJ51" s="180"/>
      <c r="DK51" s="180"/>
      <c r="DL51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4.67</v>
      </c>
      <c r="DM51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6.0709999999999997</v>
      </c>
      <c r="DN51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51" s="181">
        <v>21.24</v>
      </c>
      <c r="DP51" s="180">
        <f>+IF(BD_MO[[#This Row],[M o D]]&lt;&gt;"",IF(BD_MO[[#This Row],[M o D]]="M",BD_MO[[#This Row],[ROTURA TMH]]/2.65,BD_MO[[#This Row],[ROTURA TMH]]/2.4),"")</f>
        <v>8.0150943396226406</v>
      </c>
      <c r="DQ51" s="180"/>
      <c r="DR51" s="116" t="str">
        <f>IF(BD_MO[[#This Row],[TIPO AVANCE]]="Avance",((BD_MO[[#This Row],[AVANCE (m)]]/BD_MO[[#This Row],[AVANCE TEÓRICO]]))," ")</f>
        <v xml:space="preserve"> </v>
      </c>
      <c r="DS51" s="134"/>
      <c r="DT51" s="134"/>
      <c r="DU51" s="134"/>
      <c r="DV51" s="134"/>
      <c r="DW51" s="134"/>
      <c r="DX51" s="135"/>
      <c r="DY51" s="135"/>
      <c r="DZ51" s="135"/>
    </row>
    <row r="52" spans="1:130" s="136" customFormat="1" ht="18" customHeight="1" x14ac:dyDescent="0.25">
      <c r="A52" s="168">
        <v>44654</v>
      </c>
      <c r="B52" s="169" t="s">
        <v>10655</v>
      </c>
      <c r="C52" s="169" t="s">
        <v>10668</v>
      </c>
      <c r="D52" s="170" t="s">
        <v>12149</v>
      </c>
      <c r="E52" s="171" t="str">
        <f>LEFT(BD_MO[[#This Row],[LABOR]],2)</f>
        <v>Es</v>
      </c>
      <c r="F52" s="172"/>
      <c r="G52" s="172" t="s">
        <v>10656</v>
      </c>
      <c r="H5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52" s="171" t="str">
        <f>IF(BD_MO[FECHA]&lt;&gt;"",VLOOKUP(BD_MO[LABOR],TB_CECO[[LABOR]:[CECO_T]],3,FALSE),"")</f>
        <v>VANESSA</v>
      </c>
      <c r="J52" s="171" t="str">
        <f>IF(BD_MO[FECHA]&lt;&gt;"",VLOOKUP(BD_MO[LABOR],D_CECO!B:H,7,FALSE),"")</f>
        <v>LINEAL</v>
      </c>
      <c r="K52" s="171" t="str">
        <f>IF(BD_MO[FECHA]&lt;&gt;"",VLOOKUP(BD_MO[LABOR],D_CECO!B:H,4,FALSE),"")</f>
        <v>EXPLORACION</v>
      </c>
      <c r="L52" s="171"/>
      <c r="M52" s="169"/>
      <c r="N52" s="172"/>
      <c r="O52" s="173" t="s">
        <v>12091</v>
      </c>
      <c r="P52" s="173" t="s">
        <v>12159</v>
      </c>
      <c r="Q52" s="173"/>
      <c r="R52" s="174"/>
      <c r="S52" s="175" t="str">
        <f>IFERROR(VLOOKUP(BD_MO[DNI 4],#REF!,2,FALSE)," ")</f>
        <v xml:space="preserve"> </v>
      </c>
      <c r="T52" s="176">
        <f>+IF(BD_MO[[#This Row],[FECHA]]&lt;&gt;"",COUNTA(BD_MO[[#This Row],[DNI]],BD_MO[[#This Row],[DNI 2]],BD_MO[[#This Row],[DNI 3]],BD_MO[[#This Row],[DNI 4]]),"")</f>
        <v>2</v>
      </c>
      <c r="U52" s="176">
        <v>1.4</v>
      </c>
      <c r="V52" s="176"/>
      <c r="W52" s="176"/>
      <c r="X52" s="176">
        <v>0.6</v>
      </c>
      <c r="Y52" s="177">
        <f>SUM(BD_MO[[#This Row],[LIMP]:[SERV]])</f>
        <v>2</v>
      </c>
      <c r="Z52" s="172"/>
      <c r="AA52" s="172" t="str">
        <f>+IF(BD_MO[[#This Row],[N° VALE]]&lt;&gt;"",1,"")</f>
        <v/>
      </c>
      <c r="AB52" s="169"/>
      <c r="AC52" s="172"/>
      <c r="AD52" s="172" t="str">
        <f>+IF(BD_MO[[#This Row],[N° VALE]]&lt;&gt;"",BD_MO[[#This Row],[FULMINANTE N° 08]]+BD_MO[CARMEX 7''],"")</f>
        <v/>
      </c>
      <c r="AE52" s="172"/>
      <c r="AF52" s="172" t="str">
        <f>+IF(BD_MO[[#This Row],[N° VALE]]&lt;&gt;"",BD_MO[[#This Row],[N° TALADROS]]+BD_MO[[#This Row],[N° TAL. VACIOS]],"")</f>
        <v/>
      </c>
      <c r="AG52" s="178"/>
      <c r="AH52" s="178"/>
      <c r="AI52" s="178"/>
      <c r="AJ52" s="178"/>
      <c r="AK52" s="178"/>
      <c r="AL52" s="178"/>
      <c r="AM52" s="171"/>
      <c r="AN52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2" s="172" t="str">
        <f>+IF(BD_MO[[#This Row],[N° VALE]]&lt;&gt;"",IF(BD_MO[[#This Row],[FULMINANTE N° 08]]&lt;&gt;"",BD_MO[[#This Row],[FULMINANTE N° 08]],IF(BD_MO[[#This Row],[CARMEX 7'']]&lt;&gt;0,0,"")),"")</f>
        <v/>
      </c>
      <c r="AP52" s="176" t="str">
        <f>+IF(BD_MO[[#This Row],[N° VALE]]&lt;&gt;"",BD_MO[[#This Row],[N°  TOTAL TALADROS]]*BD_MO[[#This Row],[BARRA]]*0.95,"")</f>
        <v/>
      </c>
      <c r="AQ52" s="176" t="str">
        <f>+IF(BD_MO[[#This Row],[N° VALE]]&lt;&gt;"",BD_MO[[#This Row],[EMULNOR 1000 (N° CART.)]]*PE_EMUL_1000[PE],"")</f>
        <v/>
      </c>
      <c r="AR52" s="176" t="str">
        <f>+IF(BD_MO[[#This Row],[N° VALE]]&lt;&gt;"",BD_MO[[#This Row],[EMULNOR 3000 (N° CART.)]]*PE_EMUL_3000[PE],"")</f>
        <v/>
      </c>
      <c r="AS52" s="176" t="str">
        <f>+IF(BD_MO[[#This Row],[N° VALE]]&lt;&gt;"",BD_MO[[#This Row],[PULVERULENTA (N° CART.)]]*PE_PULV_65[PE],"")</f>
        <v/>
      </c>
      <c r="AT52" s="176" t="str">
        <f>+IF(BD_MO[[#This Row],[N° DISP]]&lt;&gt;"",BD_MO[[#This Row],[SEMIGELATINA (N° CART.)]]*PE_SEMIGEL_65[PE],"")</f>
        <v/>
      </c>
      <c r="AU52" s="176" t="str">
        <f>+IF(BD_MO[N° VALE]&lt;&gt;"",BD_MO[[#This Row],[KG EXPLO SEMIGEL]]+BD_MO[[#This Row],[KG EXPLO PULVE]]+BD_MO[[#This Row],[KG EXPLO EMULN 3000]]+BD_MO[[#This Row],[KG EXPLO EMULN 1000]],"")</f>
        <v/>
      </c>
      <c r="AV52" s="172"/>
      <c r="AW52" s="172"/>
      <c r="AX52" s="172" t="str">
        <f>+IF(BD_MO[[#This Row],[MINERAL (U-35)]]&lt;&gt;"",BD_MO[[#This Row],[MINERAL (U-35)]]*1.45,"-")</f>
        <v>-</v>
      </c>
      <c r="AY52" s="172" t="str">
        <f>+IF(BD_MO[[#This Row],[DESMONTE (U-35)]]&lt;&gt;"",BD_MO[[#This Row],[DESMONTE (U-35)]]*1.23,"-")</f>
        <v>-</v>
      </c>
      <c r="AZ52" s="172"/>
      <c r="BA52" s="172"/>
      <c r="BB52" s="172"/>
      <c r="BC52" s="172"/>
      <c r="BD52" s="172"/>
      <c r="BE52" s="172"/>
      <c r="BF52" s="172"/>
      <c r="BG52" s="172"/>
      <c r="BH52" s="172"/>
      <c r="BI52" s="172"/>
      <c r="BJ52" s="172"/>
      <c r="BK52" s="172"/>
      <c r="BL52" s="172"/>
      <c r="BM52" s="172"/>
      <c r="BN52" s="171"/>
      <c r="BO52" s="172"/>
      <c r="BP52" s="172"/>
      <c r="BQ52" s="171"/>
      <c r="BR52" s="172"/>
      <c r="BS52" s="171"/>
      <c r="BT52" s="176"/>
      <c r="BU52" s="172"/>
      <c r="BV52" s="172"/>
      <c r="BW52" s="172"/>
      <c r="BX52" s="172"/>
      <c r="BY52" s="172"/>
      <c r="BZ52" s="172"/>
      <c r="CA52" s="172"/>
      <c r="CB52" s="172"/>
      <c r="CC52" s="172"/>
      <c r="CD52" s="172"/>
      <c r="CE52" s="172"/>
      <c r="CF52" s="172"/>
      <c r="CG52" s="172"/>
      <c r="CH52" s="172"/>
      <c r="CI52" s="172"/>
      <c r="CJ52" s="172"/>
      <c r="CK52" s="172"/>
      <c r="CL52" s="172"/>
      <c r="CM52" s="172"/>
      <c r="CN52" s="172"/>
      <c r="CO52" s="172"/>
      <c r="CP52" s="176">
        <f>+IF(BD_MO[[#This Row],[FECHA]]&lt;&gt;"",BD_MO[[#This Row],[PUNTAL 4"]]+BD_MO[[#This Row],[PUNTAL 5"]]+BD_MO[[#This Row],[PUNTAL 6"]]+BD_MO[[#This Row],[PUNTAL 7"]]+BD_MO[[#This Row],[PUNTAL 8"]],"")</f>
        <v>0</v>
      </c>
      <c r="CQ52" s="172"/>
      <c r="CR52" s="172"/>
      <c r="CS52" s="172"/>
      <c r="CT52" s="172"/>
      <c r="CU52" s="172"/>
      <c r="CV52" s="172"/>
      <c r="CW52" s="172"/>
      <c r="CX52" s="172"/>
      <c r="CY52" s="176"/>
      <c r="CZ5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2" s="176">
        <f>+IF(BD_MO[[#This Row],[FECHA]]&lt;&gt;"",BD_MO[[#This Row],[DURMIENTE2]]*6.561+BD_MO[[#This Row],[LISTONES]]*4.921+BD_MO[[#This Row],[TABLA 1"x8"x3m]]*6.561+BD_MO[[#This Row],[TABLA 2"x8"x3m]]*13.122,"")</f>
        <v>0</v>
      </c>
      <c r="DB52" s="176">
        <f>+IF(BD_MO[[#This Row],[FECHA]]&lt;&gt;"",BD_MO[[#This Row],[PIE2 MADERA ASERRADA]]*1.95,"")</f>
        <v>0</v>
      </c>
      <c r="DC52" s="176">
        <f>+IF(BD_MO[[#This Row],[FECHA]]&lt;&gt;"",BD_MO[[#This Row],[KG. MADERA REDONDA]]+BD_MO[[#This Row],[KG MADERA ASERRADA]],"")</f>
        <v>0</v>
      </c>
      <c r="DD5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2" s="172"/>
      <c r="DF52" s="172"/>
      <c r="DG52" s="172"/>
      <c r="DH52" s="172"/>
      <c r="DI52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2" s="180"/>
      <c r="DK52" s="180"/>
      <c r="DL52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2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2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2" s="181"/>
      <c r="DP52" s="180" t="str">
        <f>+IF(BD_MO[[#This Row],[M o D]]&lt;&gt;"",IF(BD_MO[[#This Row],[M o D]]="M",BD_MO[[#This Row],[ROTURA TMH]]/2.65,BD_MO[[#This Row],[ROTURA TMH]]/2.4),"")</f>
        <v/>
      </c>
      <c r="DQ52" s="180"/>
      <c r="DR52" s="116" t="str">
        <f>IF(BD_MO[[#This Row],[TIPO AVANCE]]="Avance",((BD_MO[[#This Row],[AVANCE (m)]]/BD_MO[[#This Row],[AVANCE TEÓRICO]]))," ")</f>
        <v xml:space="preserve"> </v>
      </c>
      <c r="DS52" s="134"/>
      <c r="DT52" s="134"/>
      <c r="DU52" s="134"/>
      <c r="DV52" s="134"/>
      <c r="DW52" s="134"/>
      <c r="DX52" s="135"/>
      <c r="DY52" s="135"/>
      <c r="DZ52" s="135"/>
    </row>
    <row r="53" spans="1:130" s="136" customFormat="1" ht="18" customHeight="1" x14ac:dyDescent="0.25">
      <c r="A53" s="168">
        <v>44654</v>
      </c>
      <c r="B53" s="169" t="s">
        <v>10655</v>
      </c>
      <c r="C53" s="169" t="s">
        <v>10668</v>
      </c>
      <c r="D53" s="170" t="s">
        <v>12156</v>
      </c>
      <c r="E53" s="171" t="str">
        <f>LEFT(BD_MO[[#This Row],[LABOR]],2)</f>
        <v>Pq</v>
      </c>
      <c r="F53" s="172"/>
      <c r="G53" s="172" t="s">
        <v>10669</v>
      </c>
      <c r="H5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3" s="171" t="str">
        <f>IF(BD_MO[FECHA]&lt;&gt;"",VLOOKUP(BD_MO[LABOR],TB_CECO[[LABOR]:[CECO_T]],3,FALSE),"")</f>
        <v>CACHORRO</v>
      </c>
      <c r="J53" s="171" t="str">
        <f>IF(BD_MO[FECHA]&lt;&gt;"",VLOOKUP(BD_MO[LABOR],D_CECO!B:H,7,FALSE),"")</f>
        <v>LINEAL</v>
      </c>
      <c r="K53" s="171" t="str">
        <f>IF(BD_MO[FECHA]&lt;&gt;"",VLOOKUP(BD_MO[LABOR],D_CECO!B:H,4,FALSE),"")</f>
        <v>DESARROLLO</v>
      </c>
      <c r="L53" s="171"/>
      <c r="M53" s="169"/>
      <c r="N53" s="172"/>
      <c r="O53" s="173" t="s">
        <v>12095</v>
      </c>
      <c r="P53" s="173" t="s">
        <v>12169</v>
      </c>
      <c r="Q53" s="173"/>
      <c r="R53" s="174"/>
      <c r="S53" s="175" t="str">
        <f>IFERROR(VLOOKUP(BD_MO[DNI 4],#REF!,2,FALSE)," ")</f>
        <v xml:space="preserve"> </v>
      </c>
      <c r="T53" s="176">
        <f>+IF(BD_MO[[#This Row],[FECHA]]&lt;&gt;"",COUNTA(BD_MO[[#This Row],[DNI]],BD_MO[[#This Row],[DNI 2]],BD_MO[[#This Row],[DNI 3]],BD_MO[[#This Row],[DNI 4]]),"")</f>
        <v>2</v>
      </c>
      <c r="U53" s="176"/>
      <c r="V53" s="176"/>
      <c r="W53" s="176"/>
      <c r="X53" s="176">
        <v>2</v>
      </c>
      <c r="Y53" s="177">
        <f>SUM(BD_MO[[#This Row],[LIMP]:[SERV]])</f>
        <v>2</v>
      </c>
      <c r="Z53" s="172"/>
      <c r="AA53" s="172" t="str">
        <f>+IF(BD_MO[[#This Row],[N° VALE]]&lt;&gt;"",1,"")</f>
        <v/>
      </c>
      <c r="AB53" s="169"/>
      <c r="AC53" s="172"/>
      <c r="AD53" s="172" t="str">
        <f>+IF(BD_MO[[#This Row],[N° VALE]]&lt;&gt;"",BD_MO[[#This Row],[FULMINANTE N° 08]]+BD_MO[CARMEX 7''],"")</f>
        <v/>
      </c>
      <c r="AE53" s="172"/>
      <c r="AF53" s="172" t="str">
        <f>+IF(BD_MO[[#This Row],[N° VALE]]&lt;&gt;"",BD_MO[[#This Row],[N° TALADROS]]+BD_MO[[#This Row],[N° TAL. VACIOS]],"")</f>
        <v/>
      </c>
      <c r="AG53" s="178"/>
      <c r="AH53" s="178"/>
      <c r="AI53" s="178"/>
      <c r="AJ53" s="178"/>
      <c r="AK53" s="178"/>
      <c r="AL53" s="178"/>
      <c r="AM53" s="171"/>
      <c r="AN53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3" s="172" t="str">
        <f>+IF(BD_MO[[#This Row],[N° VALE]]&lt;&gt;"",IF(BD_MO[[#This Row],[FULMINANTE N° 08]]&lt;&gt;"",BD_MO[[#This Row],[FULMINANTE N° 08]],IF(BD_MO[[#This Row],[CARMEX 7'']]&lt;&gt;0,0,"")),"")</f>
        <v/>
      </c>
      <c r="AP53" s="176" t="str">
        <f>+IF(BD_MO[[#This Row],[N° VALE]]&lt;&gt;"",BD_MO[[#This Row],[N°  TOTAL TALADROS]]*BD_MO[[#This Row],[BARRA]]*0.95,"")</f>
        <v/>
      </c>
      <c r="AQ53" s="176" t="str">
        <f>+IF(BD_MO[[#This Row],[N° VALE]]&lt;&gt;"",BD_MO[[#This Row],[EMULNOR 1000 (N° CART.)]]*PE_EMUL_1000[PE],"")</f>
        <v/>
      </c>
      <c r="AR53" s="176" t="str">
        <f>+IF(BD_MO[[#This Row],[N° VALE]]&lt;&gt;"",BD_MO[[#This Row],[EMULNOR 3000 (N° CART.)]]*PE_EMUL_3000[PE],"")</f>
        <v/>
      </c>
      <c r="AS53" s="176" t="str">
        <f>+IF(BD_MO[[#This Row],[N° VALE]]&lt;&gt;"",BD_MO[[#This Row],[PULVERULENTA (N° CART.)]]*PE_PULV_65[PE],"")</f>
        <v/>
      </c>
      <c r="AT53" s="176" t="str">
        <f>+IF(BD_MO[[#This Row],[N° DISP]]&lt;&gt;"",BD_MO[[#This Row],[SEMIGELATINA (N° CART.)]]*PE_SEMIGEL_65[PE],"")</f>
        <v/>
      </c>
      <c r="AU53" s="176" t="str">
        <f>+IF(BD_MO[N° VALE]&lt;&gt;"",BD_MO[[#This Row],[KG EXPLO SEMIGEL]]+BD_MO[[#This Row],[KG EXPLO PULVE]]+BD_MO[[#This Row],[KG EXPLO EMULN 3000]]+BD_MO[[#This Row],[KG EXPLO EMULN 1000]],"")</f>
        <v/>
      </c>
      <c r="AV53" s="172"/>
      <c r="AW53" s="172"/>
      <c r="AX53" s="172" t="str">
        <f>+IF(BD_MO[[#This Row],[MINERAL (U-35)]]&lt;&gt;"",BD_MO[[#This Row],[MINERAL (U-35)]]*1.45,"-")</f>
        <v>-</v>
      </c>
      <c r="AY53" s="172" t="str">
        <f>+IF(BD_MO[[#This Row],[DESMONTE (U-35)]]&lt;&gt;"",BD_MO[[#This Row],[DESMONTE (U-35)]]*1.23,"-")</f>
        <v>-</v>
      </c>
      <c r="AZ53" s="172"/>
      <c r="BA53" s="172"/>
      <c r="BB53" s="172"/>
      <c r="BC53" s="172"/>
      <c r="BD53" s="172"/>
      <c r="BE53" s="172"/>
      <c r="BF53" s="172"/>
      <c r="BG53" s="172"/>
      <c r="BH53" s="172"/>
      <c r="BI53" s="172"/>
      <c r="BJ53" s="172"/>
      <c r="BK53" s="172"/>
      <c r="BL53" s="172"/>
      <c r="BM53" s="172"/>
      <c r="BN53" s="171"/>
      <c r="BO53" s="172"/>
      <c r="BP53" s="172"/>
      <c r="BQ53" s="171"/>
      <c r="BR53" s="172"/>
      <c r="BS53" s="171"/>
      <c r="BT53" s="176"/>
      <c r="BU53" s="172"/>
      <c r="BV53" s="172"/>
      <c r="BW53" s="172"/>
      <c r="BX53" s="172"/>
      <c r="BY53" s="172"/>
      <c r="BZ53" s="172"/>
      <c r="CA53" s="172"/>
      <c r="CB53" s="172"/>
      <c r="CC53" s="172"/>
      <c r="CD53" s="172"/>
      <c r="CE53" s="172"/>
      <c r="CF53" s="172"/>
      <c r="CG53" s="172"/>
      <c r="CH53" s="172"/>
      <c r="CI53" s="172"/>
      <c r="CJ53" s="172"/>
      <c r="CK53" s="172"/>
      <c r="CL53" s="172"/>
      <c r="CM53" s="172"/>
      <c r="CN53" s="172"/>
      <c r="CO53" s="172"/>
      <c r="CP53" s="176">
        <f>+IF(BD_MO[[#This Row],[FECHA]]&lt;&gt;"",BD_MO[[#This Row],[PUNTAL 4"]]+BD_MO[[#This Row],[PUNTAL 5"]]+BD_MO[[#This Row],[PUNTAL 6"]]+BD_MO[[#This Row],[PUNTAL 7"]]+BD_MO[[#This Row],[PUNTAL 8"]],"")</f>
        <v>0</v>
      </c>
      <c r="CQ53" s="172"/>
      <c r="CR53" s="172"/>
      <c r="CS53" s="172"/>
      <c r="CT53" s="172"/>
      <c r="CU53" s="172"/>
      <c r="CV53" s="172"/>
      <c r="CW53" s="172"/>
      <c r="CX53" s="172"/>
      <c r="CY53" s="176"/>
      <c r="CZ5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3" s="176">
        <f>+IF(BD_MO[[#This Row],[FECHA]]&lt;&gt;"",BD_MO[[#This Row],[DURMIENTE2]]*6.561+BD_MO[[#This Row],[LISTONES]]*4.921+BD_MO[[#This Row],[TABLA 1"x8"x3m]]*6.561+BD_MO[[#This Row],[TABLA 2"x8"x3m]]*13.122,"")</f>
        <v>0</v>
      </c>
      <c r="DB53" s="176">
        <f>+IF(BD_MO[[#This Row],[FECHA]]&lt;&gt;"",BD_MO[[#This Row],[PIE2 MADERA ASERRADA]]*1.95,"")</f>
        <v>0</v>
      </c>
      <c r="DC53" s="176">
        <f>+IF(BD_MO[[#This Row],[FECHA]]&lt;&gt;"",BD_MO[[#This Row],[KG. MADERA REDONDA]]+BD_MO[[#This Row],[KG MADERA ASERRADA]],"")</f>
        <v>0</v>
      </c>
      <c r="DD5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3" s="172"/>
      <c r="DF53" s="172"/>
      <c r="DG53" s="172"/>
      <c r="DH53" s="172"/>
      <c r="DI53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3" s="180"/>
      <c r="DK53" s="180"/>
      <c r="DL53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3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3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3" s="181"/>
      <c r="DP53" s="180" t="str">
        <f>+IF(BD_MO[[#This Row],[M o D]]&lt;&gt;"",IF(BD_MO[[#This Row],[M o D]]="M",BD_MO[[#This Row],[ROTURA TMH]]/2.65,BD_MO[[#This Row],[ROTURA TMH]]/2.4),"")</f>
        <v/>
      </c>
      <c r="DQ53" s="180"/>
      <c r="DR53" s="116" t="str">
        <f>IF(BD_MO[[#This Row],[TIPO AVANCE]]="Avance",((BD_MO[[#This Row],[AVANCE (m)]]/BD_MO[[#This Row],[AVANCE TEÓRICO]]))," ")</f>
        <v xml:space="preserve"> </v>
      </c>
      <c r="DS53" s="134"/>
      <c r="DT53" s="134"/>
      <c r="DU53" s="134"/>
      <c r="DV53" s="134"/>
      <c r="DW53" s="134"/>
      <c r="DX53" s="135"/>
      <c r="DY53" s="135"/>
      <c r="DZ53" s="135"/>
    </row>
    <row r="54" spans="1:130" s="136" customFormat="1" ht="18" customHeight="1" x14ac:dyDescent="0.25">
      <c r="A54" s="168">
        <v>44654</v>
      </c>
      <c r="B54" s="169" t="s">
        <v>10655</v>
      </c>
      <c r="C54" s="169" t="s">
        <v>10668</v>
      </c>
      <c r="D54" s="170" t="s">
        <v>10952</v>
      </c>
      <c r="E54" s="171" t="str">
        <f>LEFT(BD_MO[[#This Row],[LABOR]],2)</f>
        <v>In</v>
      </c>
      <c r="F54" s="172"/>
      <c r="G54" s="172" t="s">
        <v>10669</v>
      </c>
      <c r="H5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4" s="171" t="str">
        <f>IF(BD_MO[FECHA]&lt;&gt;"",VLOOKUP(BD_MO[LABOR],TB_CECO[[LABOR]:[CECO_T]],3,FALSE),"")</f>
        <v>VANESSA</v>
      </c>
      <c r="J54" s="171" t="str">
        <f>IF(BD_MO[FECHA]&lt;&gt;"",VLOOKUP(BD_MO[LABOR],D_CECO!B:H,7,FALSE),"")</f>
        <v>LINEAL</v>
      </c>
      <c r="K54" s="171" t="str">
        <f>IF(BD_MO[FECHA]&lt;&gt;"",VLOOKUP(BD_MO[LABOR],D_CECO!B:H,4,FALSE),"")</f>
        <v>EXPLORACION</v>
      </c>
      <c r="L54" s="171"/>
      <c r="M54" s="169"/>
      <c r="N54" s="172"/>
      <c r="O54" s="173" t="s">
        <v>12092</v>
      </c>
      <c r="P54" s="173" t="s">
        <v>12093</v>
      </c>
      <c r="Q54" s="173"/>
      <c r="R54" s="174"/>
      <c r="S54" s="175" t="str">
        <f>IFERROR(VLOOKUP(BD_MO[DNI 4],#REF!,2,FALSE)," ")</f>
        <v xml:space="preserve"> </v>
      </c>
      <c r="T54" s="176">
        <f>+IF(BD_MO[[#This Row],[FECHA]]&lt;&gt;"",COUNTA(BD_MO[[#This Row],[DNI]],BD_MO[[#This Row],[DNI 2]],BD_MO[[#This Row],[DNI 3]],BD_MO[[#This Row],[DNI 4]]),"")</f>
        <v>2</v>
      </c>
      <c r="U54" s="176"/>
      <c r="V54" s="176"/>
      <c r="W54" s="176"/>
      <c r="X54" s="176">
        <v>2</v>
      </c>
      <c r="Y54" s="177">
        <f>SUM(BD_MO[[#This Row],[LIMP]:[SERV]])</f>
        <v>2</v>
      </c>
      <c r="Z54" s="172"/>
      <c r="AA54" s="172" t="str">
        <f>+IF(BD_MO[[#This Row],[N° VALE]]&lt;&gt;"",1,"")</f>
        <v/>
      </c>
      <c r="AB54" s="169"/>
      <c r="AC54" s="172"/>
      <c r="AD54" s="172" t="str">
        <f>+IF(BD_MO[[#This Row],[N° VALE]]&lt;&gt;"",BD_MO[[#This Row],[FULMINANTE N° 08]]+BD_MO[CARMEX 7''],"")</f>
        <v/>
      </c>
      <c r="AE54" s="172"/>
      <c r="AF54" s="172" t="str">
        <f>+IF(BD_MO[[#This Row],[N° VALE]]&lt;&gt;"",BD_MO[[#This Row],[N° TALADROS]]+BD_MO[[#This Row],[N° TAL. VACIOS]],"")</f>
        <v/>
      </c>
      <c r="AG54" s="178"/>
      <c r="AH54" s="178"/>
      <c r="AI54" s="178"/>
      <c r="AJ54" s="178"/>
      <c r="AK54" s="178"/>
      <c r="AL54" s="178"/>
      <c r="AM54" s="171"/>
      <c r="AN5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4" s="172" t="str">
        <f>+IF(BD_MO[[#This Row],[N° VALE]]&lt;&gt;"",IF(BD_MO[[#This Row],[FULMINANTE N° 08]]&lt;&gt;"",BD_MO[[#This Row],[FULMINANTE N° 08]],IF(BD_MO[[#This Row],[CARMEX 7'']]&lt;&gt;0,0,"")),"")</f>
        <v/>
      </c>
      <c r="AP54" s="176" t="str">
        <f>+IF(BD_MO[[#This Row],[N° VALE]]&lt;&gt;"",BD_MO[[#This Row],[N°  TOTAL TALADROS]]*BD_MO[[#This Row],[BARRA]]*0.95,"")</f>
        <v/>
      </c>
      <c r="AQ54" s="176" t="str">
        <f>+IF(BD_MO[[#This Row],[N° VALE]]&lt;&gt;"",BD_MO[[#This Row],[EMULNOR 1000 (N° CART.)]]*PE_EMUL_1000[PE],"")</f>
        <v/>
      </c>
      <c r="AR54" s="176" t="str">
        <f>+IF(BD_MO[[#This Row],[N° VALE]]&lt;&gt;"",BD_MO[[#This Row],[EMULNOR 3000 (N° CART.)]]*PE_EMUL_3000[PE],"")</f>
        <v/>
      </c>
      <c r="AS54" s="176" t="str">
        <f>+IF(BD_MO[[#This Row],[N° VALE]]&lt;&gt;"",BD_MO[[#This Row],[PULVERULENTA (N° CART.)]]*PE_PULV_65[PE],"")</f>
        <v/>
      </c>
      <c r="AT54" s="176" t="str">
        <f>+IF(BD_MO[[#This Row],[N° DISP]]&lt;&gt;"",BD_MO[[#This Row],[SEMIGELATINA (N° CART.)]]*PE_SEMIGEL_65[PE],"")</f>
        <v/>
      </c>
      <c r="AU54" s="176" t="str">
        <f>+IF(BD_MO[N° VALE]&lt;&gt;"",BD_MO[[#This Row],[KG EXPLO SEMIGEL]]+BD_MO[[#This Row],[KG EXPLO PULVE]]+BD_MO[[#This Row],[KG EXPLO EMULN 3000]]+BD_MO[[#This Row],[KG EXPLO EMULN 1000]],"")</f>
        <v/>
      </c>
      <c r="AV54" s="172"/>
      <c r="AW54" s="172"/>
      <c r="AX54" s="172" t="str">
        <f>+IF(BD_MO[[#This Row],[MINERAL (U-35)]]&lt;&gt;"",BD_MO[[#This Row],[MINERAL (U-35)]]*1.45,"-")</f>
        <v>-</v>
      </c>
      <c r="AY54" s="172" t="str">
        <f>+IF(BD_MO[[#This Row],[DESMONTE (U-35)]]&lt;&gt;"",BD_MO[[#This Row],[DESMONTE (U-35)]]*1.23,"-")</f>
        <v>-</v>
      </c>
      <c r="AZ54" s="172"/>
      <c r="BA54" s="172"/>
      <c r="BB54" s="172"/>
      <c r="BC54" s="172"/>
      <c r="BD54" s="172"/>
      <c r="BE54" s="172"/>
      <c r="BF54" s="172"/>
      <c r="BG54" s="172"/>
      <c r="BH54" s="172"/>
      <c r="BI54" s="172"/>
      <c r="BJ54" s="172"/>
      <c r="BK54" s="172"/>
      <c r="BL54" s="172"/>
      <c r="BM54" s="172"/>
      <c r="BN54" s="171"/>
      <c r="BO54" s="172"/>
      <c r="BP54" s="172"/>
      <c r="BQ54" s="171"/>
      <c r="BR54" s="172"/>
      <c r="BS54" s="171"/>
      <c r="BT54" s="176"/>
      <c r="BU54" s="172"/>
      <c r="BV54" s="172"/>
      <c r="BW54" s="172"/>
      <c r="BX54" s="172"/>
      <c r="BY54" s="172"/>
      <c r="BZ54" s="172"/>
      <c r="CA54" s="172"/>
      <c r="CB54" s="172"/>
      <c r="CC54" s="172"/>
      <c r="CD54" s="172"/>
      <c r="CE54" s="172"/>
      <c r="CF54" s="172"/>
      <c r="CG54" s="172"/>
      <c r="CH54" s="172"/>
      <c r="CI54" s="172"/>
      <c r="CJ54" s="172"/>
      <c r="CK54" s="172"/>
      <c r="CL54" s="172"/>
      <c r="CM54" s="172"/>
      <c r="CN54" s="172"/>
      <c r="CO54" s="172"/>
      <c r="CP54" s="176">
        <f>+IF(BD_MO[[#This Row],[FECHA]]&lt;&gt;"",BD_MO[[#This Row],[PUNTAL 4"]]+BD_MO[[#This Row],[PUNTAL 5"]]+BD_MO[[#This Row],[PUNTAL 6"]]+BD_MO[[#This Row],[PUNTAL 7"]]+BD_MO[[#This Row],[PUNTAL 8"]],"")</f>
        <v>0</v>
      </c>
      <c r="CQ54" s="172"/>
      <c r="CR54" s="172"/>
      <c r="CS54" s="172"/>
      <c r="CT54" s="172"/>
      <c r="CU54" s="172"/>
      <c r="CV54" s="172"/>
      <c r="CW54" s="172"/>
      <c r="CX54" s="172"/>
      <c r="CY54" s="176"/>
      <c r="CZ5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4" s="176">
        <f>+IF(BD_MO[[#This Row],[FECHA]]&lt;&gt;"",BD_MO[[#This Row],[DURMIENTE2]]*6.561+BD_MO[[#This Row],[LISTONES]]*4.921+BD_MO[[#This Row],[TABLA 1"x8"x3m]]*6.561+BD_MO[[#This Row],[TABLA 2"x8"x3m]]*13.122,"")</f>
        <v>0</v>
      </c>
      <c r="DB54" s="176">
        <f>+IF(BD_MO[[#This Row],[FECHA]]&lt;&gt;"",BD_MO[[#This Row],[PIE2 MADERA ASERRADA]]*1.95,"")</f>
        <v>0</v>
      </c>
      <c r="DC54" s="176">
        <f>+IF(BD_MO[[#This Row],[FECHA]]&lt;&gt;"",BD_MO[[#This Row],[KG. MADERA REDONDA]]+BD_MO[[#This Row],[KG MADERA ASERRADA]],"")</f>
        <v>0</v>
      </c>
      <c r="DD5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4" s="172"/>
      <c r="DF54" s="172"/>
      <c r="DG54" s="172"/>
      <c r="DH54" s="172"/>
      <c r="DI5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4" s="180"/>
      <c r="DK54" s="180"/>
      <c r="DL5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4" s="181"/>
      <c r="DP54" s="180" t="str">
        <f>+IF(BD_MO[[#This Row],[M o D]]&lt;&gt;"",IF(BD_MO[[#This Row],[M o D]]="M",BD_MO[[#This Row],[ROTURA TMH]]/2.65,BD_MO[[#This Row],[ROTURA TMH]]/2.4),"")</f>
        <v/>
      </c>
      <c r="DQ54" s="180"/>
      <c r="DR54" s="116" t="str">
        <f>IF(BD_MO[[#This Row],[TIPO AVANCE]]="Avance",((BD_MO[[#This Row],[AVANCE (m)]]/BD_MO[[#This Row],[AVANCE TEÓRICO]]))," ")</f>
        <v xml:space="preserve"> </v>
      </c>
      <c r="DS54" s="134"/>
      <c r="DT54" s="134"/>
      <c r="DU54" s="134"/>
      <c r="DV54" s="134"/>
      <c r="DW54" s="134"/>
      <c r="DX54" s="135"/>
      <c r="DY54" s="135"/>
      <c r="DZ54" s="135"/>
    </row>
    <row r="55" spans="1:130" s="136" customFormat="1" ht="18" customHeight="1" x14ac:dyDescent="0.25">
      <c r="A55" s="168">
        <v>44654</v>
      </c>
      <c r="B55" s="169" t="s">
        <v>10655</v>
      </c>
      <c r="C55" s="169" t="s">
        <v>10668</v>
      </c>
      <c r="D55" s="170" t="s">
        <v>10951</v>
      </c>
      <c r="E55" s="171" t="str">
        <f>LEFT(BD_MO[[#This Row],[LABOR]],2)</f>
        <v>In</v>
      </c>
      <c r="F55" s="172"/>
      <c r="G55" s="172" t="s">
        <v>10669</v>
      </c>
      <c r="H55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5" s="171" t="str">
        <f>IF(BD_MO[FECHA]&lt;&gt;"",VLOOKUP(BD_MO[LABOR],TB_CECO[[LABOR]:[CECO_T]],3,FALSE),"")</f>
        <v>CACHORRO</v>
      </c>
      <c r="J55" s="171" t="str">
        <f>IF(BD_MO[FECHA]&lt;&gt;"",VLOOKUP(BD_MO[LABOR],D_CECO!B:H,7,FALSE),"")</f>
        <v>LINEAL</v>
      </c>
      <c r="K55" s="171" t="str">
        <f>IF(BD_MO[FECHA]&lt;&gt;"",VLOOKUP(BD_MO[LABOR],D_CECO!B:H,4,FALSE),"")</f>
        <v>EXPLORACION</v>
      </c>
      <c r="L55" s="171"/>
      <c r="M55" s="169"/>
      <c r="N55" s="172"/>
      <c r="O55" s="173" t="s">
        <v>12099</v>
      </c>
      <c r="P55" s="173" t="s">
        <v>12100</v>
      </c>
      <c r="Q55" s="173"/>
      <c r="R55" s="174"/>
      <c r="S55" s="175" t="str">
        <f>IFERROR(VLOOKUP(BD_MO[DNI 4],#REF!,2,FALSE)," ")</f>
        <v xml:space="preserve"> </v>
      </c>
      <c r="T55" s="176">
        <f>+IF(BD_MO[[#This Row],[FECHA]]&lt;&gt;"",COUNTA(BD_MO[[#This Row],[DNI]],BD_MO[[#This Row],[DNI 2]],BD_MO[[#This Row],[DNI 3]],BD_MO[[#This Row],[DNI 4]]),"")</f>
        <v>2</v>
      </c>
      <c r="U55" s="176"/>
      <c r="V55" s="176"/>
      <c r="W55" s="176"/>
      <c r="X55" s="176">
        <v>2</v>
      </c>
      <c r="Y55" s="177">
        <f>SUM(BD_MO[[#This Row],[LIMP]:[SERV]])</f>
        <v>2</v>
      </c>
      <c r="Z55" s="172"/>
      <c r="AA55" s="172" t="str">
        <f>+IF(BD_MO[[#This Row],[N° VALE]]&lt;&gt;"",1,"")</f>
        <v/>
      </c>
      <c r="AB55" s="169"/>
      <c r="AC55" s="172"/>
      <c r="AD55" s="172" t="str">
        <f>+IF(BD_MO[[#This Row],[N° VALE]]&lt;&gt;"",BD_MO[[#This Row],[FULMINANTE N° 08]]+BD_MO[CARMEX 7''],"")</f>
        <v/>
      </c>
      <c r="AE55" s="172"/>
      <c r="AF55" s="172" t="str">
        <f>+IF(BD_MO[[#This Row],[N° VALE]]&lt;&gt;"",BD_MO[[#This Row],[N° TALADROS]]+BD_MO[[#This Row],[N° TAL. VACIOS]],"")</f>
        <v/>
      </c>
      <c r="AG55" s="178"/>
      <c r="AH55" s="178"/>
      <c r="AI55" s="178"/>
      <c r="AJ55" s="178"/>
      <c r="AK55" s="178"/>
      <c r="AL55" s="178"/>
      <c r="AM55" s="171"/>
      <c r="AN55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5" s="172" t="str">
        <f>+IF(BD_MO[[#This Row],[N° VALE]]&lt;&gt;"",IF(BD_MO[[#This Row],[FULMINANTE N° 08]]&lt;&gt;"",BD_MO[[#This Row],[FULMINANTE N° 08]],IF(BD_MO[[#This Row],[CARMEX 7'']]&lt;&gt;0,0,"")),"")</f>
        <v/>
      </c>
      <c r="AP55" s="176" t="str">
        <f>+IF(BD_MO[[#This Row],[N° VALE]]&lt;&gt;"",BD_MO[[#This Row],[N°  TOTAL TALADROS]]*BD_MO[[#This Row],[BARRA]]*0.95,"")</f>
        <v/>
      </c>
      <c r="AQ55" s="176" t="str">
        <f>+IF(BD_MO[[#This Row],[N° VALE]]&lt;&gt;"",BD_MO[[#This Row],[EMULNOR 1000 (N° CART.)]]*PE_EMUL_1000[PE],"")</f>
        <v/>
      </c>
      <c r="AR55" s="176" t="str">
        <f>+IF(BD_MO[[#This Row],[N° VALE]]&lt;&gt;"",BD_MO[[#This Row],[EMULNOR 3000 (N° CART.)]]*PE_EMUL_3000[PE],"")</f>
        <v/>
      </c>
      <c r="AS55" s="176" t="str">
        <f>+IF(BD_MO[[#This Row],[N° VALE]]&lt;&gt;"",BD_MO[[#This Row],[PULVERULENTA (N° CART.)]]*PE_PULV_65[PE],"")</f>
        <v/>
      </c>
      <c r="AT55" s="176" t="str">
        <f>+IF(BD_MO[[#This Row],[N° DISP]]&lt;&gt;"",BD_MO[[#This Row],[SEMIGELATINA (N° CART.)]]*PE_SEMIGEL_65[PE],"")</f>
        <v/>
      </c>
      <c r="AU55" s="176" t="str">
        <f>+IF(BD_MO[N° VALE]&lt;&gt;"",BD_MO[[#This Row],[KG EXPLO SEMIGEL]]+BD_MO[[#This Row],[KG EXPLO PULVE]]+BD_MO[[#This Row],[KG EXPLO EMULN 3000]]+BD_MO[[#This Row],[KG EXPLO EMULN 1000]],"")</f>
        <v/>
      </c>
      <c r="AV55" s="172"/>
      <c r="AW55" s="172"/>
      <c r="AX55" s="172" t="str">
        <f>+IF(BD_MO[[#This Row],[MINERAL (U-35)]]&lt;&gt;"",BD_MO[[#This Row],[MINERAL (U-35)]]*1.45,"-")</f>
        <v>-</v>
      </c>
      <c r="AY55" s="172" t="str">
        <f>+IF(BD_MO[[#This Row],[DESMONTE (U-35)]]&lt;&gt;"",BD_MO[[#This Row],[DESMONTE (U-35)]]*1.23,"-")</f>
        <v>-</v>
      </c>
      <c r="AZ55" s="172"/>
      <c r="BA55" s="172"/>
      <c r="BB55" s="172"/>
      <c r="BC55" s="172"/>
      <c r="BD55" s="172"/>
      <c r="BE55" s="172"/>
      <c r="BF55" s="172"/>
      <c r="BG55" s="172"/>
      <c r="BH55" s="172"/>
      <c r="BI55" s="172"/>
      <c r="BJ55" s="172"/>
      <c r="BK55" s="172"/>
      <c r="BL55" s="172"/>
      <c r="BM55" s="172"/>
      <c r="BN55" s="171"/>
      <c r="BO55" s="172"/>
      <c r="BP55" s="172"/>
      <c r="BQ55" s="171"/>
      <c r="BR55" s="172"/>
      <c r="BS55" s="171"/>
      <c r="BT55" s="176"/>
      <c r="BU55" s="172"/>
      <c r="BV55" s="172"/>
      <c r="BW55" s="172"/>
      <c r="BX55" s="172"/>
      <c r="BY55" s="172"/>
      <c r="BZ55" s="172"/>
      <c r="CA55" s="172"/>
      <c r="CB55" s="172"/>
      <c r="CC55" s="172"/>
      <c r="CD55" s="172"/>
      <c r="CE55" s="172"/>
      <c r="CF55" s="172"/>
      <c r="CG55" s="172"/>
      <c r="CH55" s="172"/>
      <c r="CI55" s="172"/>
      <c r="CJ55" s="172"/>
      <c r="CK55" s="172"/>
      <c r="CL55" s="172"/>
      <c r="CM55" s="172"/>
      <c r="CN55" s="172"/>
      <c r="CO55" s="172"/>
      <c r="CP55" s="176">
        <f>+IF(BD_MO[[#This Row],[FECHA]]&lt;&gt;"",BD_MO[[#This Row],[PUNTAL 4"]]+BD_MO[[#This Row],[PUNTAL 5"]]+BD_MO[[#This Row],[PUNTAL 6"]]+BD_MO[[#This Row],[PUNTAL 7"]]+BD_MO[[#This Row],[PUNTAL 8"]],"")</f>
        <v>0</v>
      </c>
      <c r="CQ55" s="172"/>
      <c r="CR55" s="172"/>
      <c r="CS55" s="172"/>
      <c r="CT55" s="172"/>
      <c r="CU55" s="172"/>
      <c r="CV55" s="172"/>
      <c r="CW55" s="172"/>
      <c r="CX55" s="172"/>
      <c r="CY55" s="176"/>
      <c r="CZ55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5" s="176">
        <f>+IF(BD_MO[[#This Row],[FECHA]]&lt;&gt;"",BD_MO[[#This Row],[DURMIENTE2]]*6.561+BD_MO[[#This Row],[LISTONES]]*4.921+BD_MO[[#This Row],[TABLA 1"x8"x3m]]*6.561+BD_MO[[#This Row],[TABLA 2"x8"x3m]]*13.122,"")</f>
        <v>0</v>
      </c>
      <c r="DB55" s="176">
        <f>+IF(BD_MO[[#This Row],[FECHA]]&lt;&gt;"",BD_MO[[#This Row],[PIE2 MADERA ASERRADA]]*1.95,"")</f>
        <v>0</v>
      </c>
      <c r="DC55" s="176">
        <f>+IF(BD_MO[[#This Row],[FECHA]]&lt;&gt;"",BD_MO[[#This Row],[KG. MADERA REDONDA]]+BD_MO[[#This Row],[KG MADERA ASERRADA]],"")</f>
        <v>0</v>
      </c>
      <c r="DD55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5" s="172"/>
      <c r="DF55" s="172"/>
      <c r="DG55" s="172"/>
      <c r="DH55" s="172"/>
      <c r="DI55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5" s="180"/>
      <c r="DK55" s="180"/>
      <c r="DL55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5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5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5" s="181"/>
      <c r="DP55" s="180" t="str">
        <f>+IF(BD_MO[[#This Row],[M o D]]&lt;&gt;"",IF(BD_MO[[#This Row],[M o D]]="M",BD_MO[[#This Row],[ROTURA TMH]]/2.65,BD_MO[[#This Row],[ROTURA TMH]]/2.4),"")</f>
        <v/>
      </c>
      <c r="DQ55" s="180"/>
      <c r="DR55" s="116" t="str">
        <f>IF(BD_MO[[#This Row],[TIPO AVANCE]]="Avance",((BD_MO[[#This Row],[AVANCE (m)]]/BD_MO[[#This Row],[AVANCE TEÓRICO]]))," ")</f>
        <v xml:space="preserve"> </v>
      </c>
      <c r="DS55" s="134"/>
      <c r="DT55" s="134"/>
      <c r="DU55" s="134"/>
      <c r="DV55" s="134"/>
      <c r="DW55" s="134"/>
      <c r="DX55" s="135"/>
      <c r="DY55" s="135"/>
      <c r="DZ55" s="135"/>
    </row>
    <row r="56" spans="1:130" s="136" customFormat="1" ht="18" customHeight="1" x14ac:dyDescent="0.25">
      <c r="A56" s="168">
        <v>44654</v>
      </c>
      <c r="B56" s="169" t="s">
        <v>10655</v>
      </c>
      <c r="C56" s="169" t="s">
        <v>10668</v>
      </c>
      <c r="D56" s="170" t="s">
        <v>11872</v>
      </c>
      <c r="E56" s="171" t="str">
        <f>LEFT(BD_MO[[#This Row],[LABOR]],2)</f>
        <v>PQ</v>
      </c>
      <c r="F56" s="172"/>
      <c r="G56" s="172" t="s">
        <v>10669</v>
      </c>
      <c r="H5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6" s="171" t="str">
        <f>IF(BD_MO[FECHA]&lt;&gt;"",VLOOKUP(BD_MO[LABOR],TB_CECO[[LABOR]:[CECO_T]],3,FALSE),"")</f>
        <v>ANDREA</v>
      </c>
      <c r="J56" s="171" t="str">
        <f>IF(BD_MO[FECHA]&lt;&gt;"",VLOOKUP(BD_MO[LABOR],D_CECO!B:H,7,FALSE),"")</f>
        <v>LINEAL</v>
      </c>
      <c r="K56" s="171" t="str">
        <f>IF(BD_MO[FECHA]&lt;&gt;"",VLOOKUP(BD_MO[LABOR],D_CECO!B:H,4,FALSE),"")</f>
        <v>EXPLOTACION</v>
      </c>
      <c r="L56" s="171"/>
      <c r="M56" s="169"/>
      <c r="N56" s="172"/>
      <c r="O56" s="173" t="s">
        <v>12097</v>
      </c>
      <c r="P56" s="173" t="s">
        <v>12089</v>
      </c>
      <c r="Q56" s="173" t="s">
        <v>12090</v>
      </c>
      <c r="R56" s="174"/>
      <c r="S56" s="175" t="str">
        <f>IFERROR(VLOOKUP(BD_MO[DNI 4],#REF!,2,FALSE)," ")</f>
        <v xml:space="preserve"> </v>
      </c>
      <c r="T56" s="176">
        <f>+IF(BD_MO[[#This Row],[FECHA]]&lt;&gt;"",COUNTA(BD_MO[[#This Row],[DNI]],BD_MO[[#This Row],[DNI 2]],BD_MO[[#This Row],[DNI 3]],BD_MO[[#This Row],[DNI 4]]),"")</f>
        <v>3</v>
      </c>
      <c r="U56" s="176"/>
      <c r="V56" s="176"/>
      <c r="W56" s="176"/>
      <c r="X56" s="176">
        <v>3</v>
      </c>
      <c r="Y56" s="177">
        <f>SUM(BD_MO[[#This Row],[LIMP]:[SERV]])</f>
        <v>3</v>
      </c>
      <c r="Z56" s="172"/>
      <c r="AA56" s="172" t="str">
        <f>+IF(BD_MO[[#This Row],[N° VALE]]&lt;&gt;"",1,"")</f>
        <v/>
      </c>
      <c r="AB56" s="169"/>
      <c r="AC56" s="172"/>
      <c r="AD56" s="172" t="str">
        <f>+IF(BD_MO[[#This Row],[N° VALE]]&lt;&gt;"",BD_MO[[#This Row],[FULMINANTE N° 08]]+BD_MO[CARMEX 7''],"")</f>
        <v/>
      </c>
      <c r="AE56" s="172"/>
      <c r="AF56" s="172" t="str">
        <f>+IF(BD_MO[[#This Row],[N° VALE]]&lt;&gt;"",BD_MO[[#This Row],[N° TALADROS]]+BD_MO[[#This Row],[N° TAL. VACIOS]],"")</f>
        <v/>
      </c>
      <c r="AG56" s="178"/>
      <c r="AH56" s="178"/>
      <c r="AI56" s="178"/>
      <c r="AJ56" s="178"/>
      <c r="AK56" s="178"/>
      <c r="AL56" s="178"/>
      <c r="AM56" s="171"/>
      <c r="AN56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6" s="172" t="str">
        <f>+IF(BD_MO[[#This Row],[N° VALE]]&lt;&gt;"",IF(BD_MO[[#This Row],[FULMINANTE N° 08]]&lt;&gt;"",BD_MO[[#This Row],[FULMINANTE N° 08]],IF(BD_MO[[#This Row],[CARMEX 7'']]&lt;&gt;0,0,"")),"")</f>
        <v/>
      </c>
      <c r="AP56" s="176" t="str">
        <f>+IF(BD_MO[[#This Row],[N° VALE]]&lt;&gt;"",BD_MO[[#This Row],[N°  TOTAL TALADROS]]*BD_MO[[#This Row],[BARRA]]*0.95,"")</f>
        <v/>
      </c>
      <c r="AQ56" s="176" t="str">
        <f>+IF(BD_MO[[#This Row],[N° VALE]]&lt;&gt;"",BD_MO[[#This Row],[EMULNOR 1000 (N° CART.)]]*PE_EMUL_1000[PE],"")</f>
        <v/>
      </c>
      <c r="AR56" s="176" t="str">
        <f>+IF(BD_MO[[#This Row],[N° VALE]]&lt;&gt;"",BD_MO[[#This Row],[EMULNOR 3000 (N° CART.)]]*PE_EMUL_3000[PE],"")</f>
        <v/>
      </c>
      <c r="AS56" s="176" t="str">
        <f>+IF(BD_MO[[#This Row],[N° VALE]]&lt;&gt;"",BD_MO[[#This Row],[PULVERULENTA (N° CART.)]]*PE_PULV_65[PE],"")</f>
        <v/>
      </c>
      <c r="AT56" s="176" t="str">
        <f>+IF(BD_MO[[#This Row],[N° DISP]]&lt;&gt;"",BD_MO[[#This Row],[SEMIGELATINA (N° CART.)]]*PE_SEMIGEL_65[PE],"")</f>
        <v/>
      </c>
      <c r="AU56" s="176" t="str">
        <f>+IF(BD_MO[N° VALE]&lt;&gt;"",BD_MO[[#This Row],[KG EXPLO SEMIGEL]]+BD_MO[[#This Row],[KG EXPLO PULVE]]+BD_MO[[#This Row],[KG EXPLO EMULN 3000]]+BD_MO[[#This Row],[KG EXPLO EMULN 1000]],"")</f>
        <v/>
      </c>
      <c r="AV56" s="172"/>
      <c r="AW56" s="172"/>
      <c r="AX56" s="172" t="str">
        <f>+IF(BD_MO[[#This Row],[MINERAL (U-35)]]&lt;&gt;"",BD_MO[[#This Row],[MINERAL (U-35)]]*1.45,"-")</f>
        <v>-</v>
      </c>
      <c r="AY56" s="172" t="str">
        <f>+IF(BD_MO[[#This Row],[DESMONTE (U-35)]]&lt;&gt;"",BD_MO[[#This Row],[DESMONTE (U-35)]]*1.23,"-")</f>
        <v>-</v>
      </c>
      <c r="AZ56" s="172"/>
      <c r="BA56" s="172"/>
      <c r="BB56" s="172"/>
      <c r="BC56" s="172"/>
      <c r="BD56" s="172"/>
      <c r="BE56" s="172"/>
      <c r="BF56" s="172"/>
      <c r="BG56" s="172"/>
      <c r="BH56" s="172"/>
      <c r="BI56" s="172"/>
      <c r="BJ56" s="172"/>
      <c r="BK56" s="172"/>
      <c r="BL56" s="172"/>
      <c r="BM56" s="172"/>
      <c r="BN56" s="171"/>
      <c r="BO56" s="172"/>
      <c r="BP56" s="172"/>
      <c r="BQ56" s="171"/>
      <c r="BR56" s="172"/>
      <c r="BS56" s="171"/>
      <c r="BT56" s="176"/>
      <c r="BU56" s="172"/>
      <c r="BV56" s="172"/>
      <c r="BW56" s="172"/>
      <c r="BX56" s="172"/>
      <c r="BY56" s="172"/>
      <c r="BZ56" s="172"/>
      <c r="CA56" s="172"/>
      <c r="CB56" s="172"/>
      <c r="CC56" s="172"/>
      <c r="CD56" s="172"/>
      <c r="CE56" s="172"/>
      <c r="CF56" s="172"/>
      <c r="CG56" s="172"/>
      <c r="CH56" s="172"/>
      <c r="CI56" s="172"/>
      <c r="CJ56" s="172"/>
      <c r="CK56" s="172"/>
      <c r="CL56" s="172"/>
      <c r="CM56" s="172"/>
      <c r="CN56" s="172"/>
      <c r="CO56" s="172"/>
      <c r="CP56" s="176">
        <f>+IF(BD_MO[[#This Row],[FECHA]]&lt;&gt;"",BD_MO[[#This Row],[PUNTAL 4"]]+BD_MO[[#This Row],[PUNTAL 5"]]+BD_MO[[#This Row],[PUNTAL 6"]]+BD_MO[[#This Row],[PUNTAL 7"]]+BD_MO[[#This Row],[PUNTAL 8"]],"")</f>
        <v>0</v>
      </c>
      <c r="CQ56" s="172"/>
      <c r="CR56" s="172"/>
      <c r="CS56" s="172"/>
      <c r="CT56" s="172"/>
      <c r="CU56" s="172">
        <v>1</v>
      </c>
      <c r="CV56" s="172"/>
      <c r="CW56" s="172"/>
      <c r="CX56" s="172"/>
      <c r="CY56" s="176"/>
      <c r="CZ5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6" s="176">
        <f>+IF(BD_MO[[#This Row],[FECHA]]&lt;&gt;"",BD_MO[[#This Row],[DURMIENTE2]]*6.561+BD_MO[[#This Row],[LISTONES]]*4.921+BD_MO[[#This Row],[TABLA 1"x8"x3m]]*6.561+BD_MO[[#This Row],[TABLA 2"x8"x3m]]*13.122,"")</f>
        <v>0</v>
      </c>
      <c r="DB56" s="176">
        <f>+IF(BD_MO[[#This Row],[FECHA]]&lt;&gt;"",BD_MO[[#This Row],[PIE2 MADERA ASERRADA]]*1.95,"")</f>
        <v>0</v>
      </c>
      <c r="DC56" s="176">
        <f>+IF(BD_MO[[#This Row],[FECHA]]&lt;&gt;"",BD_MO[[#This Row],[KG. MADERA REDONDA]]+BD_MO[[#This Row],[KG MADERA ASERRADA]],"")</f>
        <v>0</v>
      </c>
      <c r="DD5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38.14</v>
      </c>
      <c r="DE56" s="172"/>
      <c r="DF56" s="172"/>
      <c r="DG56" s="172"/>
      <c r="DH56" s="172"/>
      <c r="DI56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6" s="180"/>
      <c r="DK56" s="180"/>
      <c r="DL5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6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6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6" s="181"/>
      <c r="DP56" s="180" t="str">
        <f>+IF(BD_MO[[#This Row],[M o D]]&lt;&gt;"",IF(BD_MO[[#This Row],[M o D]]="M",BD_MO[[#This Row],[ROTURA TMH]]/2.65,BD_MO[[#This Row],[ROTURA TMH]]/2.4),"")</f>
        <v/>
      </c>
      <c r="DQ56" s="180"/>
      <c r="DR56" s="116" t="str">
        <f>IF(BD_MO[[#This Row],[TIPO AVANCE]]="Avance",((BD_MO[[#This Row],[AVANCE (m)]]/BD_MO[[#This Row],[AVANCE TEÓRICO]]))," ")</f>
        <v xml:space="preserve"> </v>
      </c>
      <c r="DS56" s="134"/>
      <c r="DT56" s="134"/>
      <c r="DU56" s="134"/>
      <c r="DV56" s="134"/>
      <c r="DW56" s="134"/>
      <c r="DX56" s="135"/>
      <c r="DY56" s="135"/>
      <c r="DZ56" s="135"/>
    </row>
    <row r="57" spans="1:130" s="136" customFormat="1" ht="18" customHeight="1" x14ac:dyDescent="0.25">
      <c r="A57" s="168">
        <v>44654</v>
      </c>
      <c r="B57" s="169" t="s">
        <v>10655</v>
      </c>
      <c r="C57" s="169" t="s">
        <v>10668</v>
      </c>
      <c r="D57" s="170" t="s">
        <v>10954</v>
      </c>
      <c r="E57" s="171" t="str">
        <f>LEFT(BD_MO[[#This Row],[LABOR]],2)</f>
        <v>MO</v>
      </c>
      <c r="F57" s="172"/>
      <c r="G57" s="172" t="s">
        <v>10669</v>
      </c>
      <c r="H5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7" s="171" t="str">
        <f>IF(BD_MO[FECHA]&lt;&gt;"",VLOOKUP(BD_MO[LABOR],TB_CECO[[LABOR]:[CECO_T]],3,FALSE),"")</f>
        <v>INCA</v>
      </c>
      <c r="J57" s="171" t="str">
        <f>IF(BD_MO[FECHA]&lt;&gt;"",VLOOKUP(BD_MO[LABOR],D_CECO!B:H,7,FALSE),"")</f>
        <v>SERVICIOS</v>
      </c>
      <c r="K57" s="171" t="str">
        <f>IF(BD_MO[FECHA]&lt;&gt;"",VLOOKUP(BD_MO[LABOR],D_CECO!B:H,4,FALSE),"")</f>
        <v>SERVICIOS</v>
      </c>
      <c r="L57" s="171"/>
      <c r="M57" s="169"/>
      <c r="N57" s="172"/>
      <c r="O57" s="173" t="s">
        <v>12098</v>
      </c>
      <c r="P57" s="173" t="s">
        <v>12162</v>
      </c>
      <c r="Q57" s="173"/>
      <c r="R57" s="174"/>
      <c r="S57" s="175" t="str">
        <f>IFERROR(VLOOKUP(BD_MO[DNI 4],#REF!,2,FALSE)," ")</f>
        <v xml:space="preserve"> </v>
      </c>
      <c r="T57" s="176">
        <f>+IF(BD_MO[[#This Row],[FECHA]]&lt;&gt;"",COUNTA(BD_MO[[#This Row],[DNI]],BD_MO[[#This Row],[DNI 2]],BD_MO[[#This Row],[DNI 3]],BD_MO[[#This Row],[DNI 4]]),"")</f>
        <v>2</v>
      </c>
      <c r="U57" s="176"/>
      <c r="V57" s="176"/>
      <c r="W57" s="176"/>
      <c r="X57" s="176">
        <v>2</v>
      </c>
      <c r="Y57" s="177">
        <f>SUM(BD_MO[[#This Row],[LIMP]:[SERV]])</f>
        <v>2</v>
      </c>
      <c r="Z57" s="172"/>
      <c r="AA57" s="172" t="str">
        <f>+IF(BD_MO[[#This Row],[N° VALE]]&lt;&gt;"",1,"")</f>
        <v/>
      </c>
      <c r="AB57" s="169"/>
      <c r="AC57" s="172"/>
      <c r="AD57" s="172" t="str">
        <f>+IF(BD_MO[[#This Row],[N° VALE]]&lt;&gt;"",BD_MO[[#This Row],[FULMINANTE N° 08]]+BD_MO[CARMEX 7''],"")</f>
        <v/>
      </c>
      <c r="AE57" s="172"/>
      <c r="AF57" s="172" t="str">
        <f>+IF(BD_MO[[#This Row],[N° VALE]]&lt;&gt;"",BD_MO[[#This Row],[N° TALADROS]]+BD_MO[[#This Row],[N° TAL. VACIOS]],"")</f>
        <v/>
      </c>
      <c r="AG57" s="178"/>
      <c r="AH57" s="178"/>
      <c r="AI57" s="178"/>
      <c r="AJ57" s="178"/>
      <c r="AK57" s="178"/>
      <c r="AL57" s="178"/>
      <c r="AM57" s="171"/>
      <c r="AN57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7" s="172" t="str">
        <f>+IF(BD_MO[[#This Row],[N° VALE]]&lt;&gt;"",IF(BD_MO[[#This Row],[FULMINANTE N° 08]]&lt;&gt;"",BD_MO[[#This Row],[FULMINANTE N° 08]],IF(BD_MO[[#This Row],[CARMEX 7'']]&lt;&gt;0,0,"")),"")</f>
        <v/>
      </c>
      <c r="AP57" s="176" t="str">
        <f>+IF(BD_MO[[#This Row],[N° VALE]]&lt;&gt;"",BD_MO[[#This Row],[N°  TOTAL TALADROS]]*BD_MO[[#This Row],[BARRA]]*0.95,"")</f>
        <v/>
      </c>
      <c r="AQ57" s="176" t="str">
        <f>+IF(BD_MO[[#This Row],[N° VALE]]&lt;&gt;"",BD_MO[[#This Row],[EMULNOR 1000 (N° CART.)]]*PE_EMUL_1000[PE],"")</f>
        <v/>
      </c>
      <c r="AR57" s="176" t="str">
        <f>+IF(BD_MO[[#This Row],[N° VALE]]&lt;&gt;"",BD_MO[[#This Row],[EMULNOR 3000 (N° CART.)]]*PE_EMUL_3000[PE],"")</f>
        <v/>
      </c>
      <c r="AS57" s="176" t="str">
        <f>+IF(BD_MO[[#This Row],[N° VALE]]&lt;&gt;"",BD_MO[[#This Row],[PULVERULENTA (N° CART.)]]*PE_PULV_65[PE],"")</f>
        <v/>
      </c>
      <c r="AT57" s="176" t="str">
        <f>+IF(BD_MO[[#This Row],[N° DISP]]&lt;&gt;"",BD_MO[[#This Row],[SEMIGELATINA (N° CART.)]]*PE_SEMIGEL_65[PE],"")</f>
        <v/>
      </c>
      <c r="AU57" s="176" t="str">
        <f>+IF(BD_MO[N° VALE]&lt;&gt;"",BD_MO[[#This Row],[KG EXPLO SEMIGEL]]+BD_MO[[#This Row],[KG EXPLO PULVE]]+BD_MO[[#This Row],[KG EXPLO EMULN 3000]]+BD_MO[[#This Row],[KG EXPLO EMULN 1000]],"")</f>
        <v/>
      </c>
      <c r="AV57" s="172"/>
      <c r="AW57" s="172"/>
      <c r="AX57" s="172" t="str">
        <f>+IF(BD_MO[[#This Row],[MINERAL (U-35)]]&lt;&gt;"",BD_MO[[#This Row],[MINERAL (U-35)]]*1.45,"-")</f>
        <v>-</v>
      </c>
      <c r="AY57" s="172" t="str">
        <f>+IF(BD_MO[[#This Row],[DESMONTE (U-35)]]&lt;&gt;"",BD_MO[[#This Row],[DESMONTE (U-35)]]*1.23,"-")</f>
        <v>-</v>
      </c>
      <c r="AZ57" s="172"/>
      <c r="BA57" s="172"/>
      <c r="BB57" s="172"/>
      <c r="BC57" s="172"/>
      <c r="BD57" s="172"/>
      <c r="BE57" s="172"/>
      <c r="BF57" s="172"/>
      <c r="BG57" s="172"/>
      <c r="BH57" s="172"/>
      <c r="BI57" s="172"/>
      <c r="BJ57" s="172"/>
      <c r="BK57" s="172"/>
      <c r="BL57" s="172"/>
      <c r="BM57" s="172"/>
      <c r="BN57" s="171"/>
      <c r="BO57" s="172"/>
      <c r="BP57" s="172"/>
      <c r="BQ57" s="171"/>
      <c r="BR57" s="172"/>
      <c r="BS57" s="171"/>
      <c r="BT57" s="176"/>
      <c r="BU57" s="172"/>
      <c r="BV57" s="172"/>
      <c r="BW57" s="172"/>
      <c r="BX57" s="172"/>
      <c r="BY57" s="172"/>
      <c r="BZ57" s="172"/>
      <c r="CA57" s="172"/>
      <c r="CB57" s="172"/>
      <c r="CC57" s="172"/>
      <c r="CD57" s="172"/>
      <c r="CE57" s="172"/>
      <c r="CF57" s="172"/>
      <c r="CG57" s="172"/>
      <c r="CH57" s="172"/>
      <c r="CI57" s="172"/>
      <c r="CJ57" s="172"/>
      <c r="CK57" s="172"/>
      <c r="CL57" s="172"/>
      <c r="CM57" s="172"/>
      <c r="CN57" s="172"/>
      <c r="CO57" s="172"/>
      <c r="CP57" s="176">
        <f>+IF(BD_MO[[#This Row],[FECHA]]&lt;&gt;"",BD_MO[[#This Row],[PUNTAL 4"]]+BD_MO[[#This Row],[PUNTAL 5"]]+BD_MO[[#This Row],[PUNTAL 6"]]+BD_MO[[#This Row],[PUNTAL 7"]]+BD_MO[[#This Row],[PUNTAL 8"]],"")</f>
        <v>0</v>
      </c>
      <c r="CQ57" s="172"/>
      <c r="CR57" s="172"/>
      <c r="CS57" s="172"/>
      <c r="CT57" s="172"/>
      <c r="CU57" s="172"/>
      <c r="CV57" s="172"/>
      <c r="CW57" s="172"/>
      <c r="CX57" s="172"/>
      <c r="CY57" s="176"/>
      <c r="CZ5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7" s="176">
        <f>+IF(BD_MO[[#This Row],[FECHA]]&lt;&gt;"",BD_MO[[#This Row],[DURMIENTE2]]*6.561+BD_MO[[#This Row],[LISTONES]]*4.921+BD_MO[[#This Row],[TABLA 1"x8"x3m]]*6.561+BD_MO[[#This Row],[TABLA 2"x8"x3m]]*13.122,"")</f>
        <v>0</v>
      </c>
      <c r="DB57" s="176">
        <f>+IF(BD_MO[[#This Row],[FECHA]]&lt;&gt;"",BD_MO[[#This Row],[PIE2 MADERA ASERRADA]]*1.95,"")</f>
        <v>0</v>
      </c>
      <c r="DC57" s="176">
        <f>+IF(BD_MO[[#This Row],[FECHA]]&lt;&gt;"",BD_MO[[#This Row],[KG. MADERA REDONDA]]+BD_MO[[#This Row],[KG MADERA ASERRADA]],"")</f>
        <v>0</v>
      </c>
      <c r="DD5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7" s="172"/>
      <c r="DF57" s="172"/>
      <c r="DG57" s="172"/>
      <c r="DH57" s="172"/>
      <c r="DI57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7" s="180"/>
      <c r="DK57" s="180"/>
      <c r="DL5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7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7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7" s="181"/>
      <c r="DP57" s="180" t="str">
        <f>+IF(BD_MO[[#This Row],[M o D]]&lt;&gt;"",IF(BD_MO[[#This Row],[M o D]]="M",BD_MO[[#This Row],[ROTURA TMH]]/2.65,BD_MO[[#This Row],[ROTURA TMH]]/2.4),"")</f>
        <v/>
      </c>
      <c r="DQ57" s="180"/>
      <c r="DR57" s="116" t="str">
        <f>IF(BD_MO[[#This Row],[TIPO AVANCE]]="Avance",((BD_MO[[#This Row],[AVANCE (m)]]/BD_MO[[#This Row],[AVANCE TEÓRICO]]))," ")</f>
        <v xml:space="preserve"> </v>
      </c>
      <c r="DS57" s="134"/>
      <c r="DT57" s="134"/>
      <c r="DU57" s="134"/>
      <c r="DV57" s="134"/>
      <c r="DW57" s="134"/>
      <c r="DX57" s="135"/>
      <c r="DY57" s="135"/>
      <c r="DZ57" s="135"/>
    </row>
    <row r="58" spans="1:130" s="112" customFormat="1" ht="18" customHeight="1" thickBot="1" x14ac:dyDescent="0.3">
      <c r="A58" s="183">
        <v>44654</v>
      </c>
      <c r="B58" s="184" t="s">
        <v>10655</v>
      </c>
      <c r="C58" s="184" t="s">
        <v>10668</v>
      </c>
      <c r="D58" s="185" t="s">
        <v>10717</v>
      </c>
      <c r="E58" s="186" t="str">
        <f>LEFT(BD_MO[[#This Row],[LABOR]],2)</f>
        <v>BO</v>
      </c>
      <c r="F58" s="187"/>
      <c r="G58" s="187" t="s">
        <v>10669</v>
      </c>
      <c r="H58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8" s="186" t="str">
        <f>IF(BD_MO[FECHA]&lt;&gt;"",VLOOKUP(BD_MO[LABOR],TB_CECO[[LABOR]:[CECO_T]],3,FALSE),"")</f>
        <v>CACHORRO</v>
      </c>
      <c r="J58" s="186" t="str">
        <f>IF(BD_MO[FECHA]&lt;&gt;"",VLOOKUP(BD_MO[LABOR],D_CECO!B:H,7,FALSE),"")</f>
        <v>SERVICIOS</v>
      </c>
      <c r="K58" s="186" t="str">
        <f>IF(BD_MO[FECHA]&lt;&gt;"",VLOOKUP(BD_MO[LABOR],D_CECO!B:H,4,FALSE),"")</f>
        <v>SERVICIOS</v>
      </c>
      <c r="L58" s="186"/>
      <c r="M58" s="184"/>
      <c r="N58" s="187"/>
      <c r="O58" s="188" t="s">
        <v>12118</v>
      </c>
      <c r="P58" s="188"/>
      <c r="Q58" s="188"/>
      <c r="R58" s="189"/>
      <c r="S58" s="190" t="str">
        <f>IFERROR(VLOOKUP(BD_MO[DNI 4],#REF!,2,FALSE)," ")</f>
        <v xml:space="preserve"> </v>
      </c>
      <c r="T58" s="191">
        <f>+IF(BD_MO[[#This Row],[FECHA]]&lt;&gt;"",COUNTA(BD_MO[[#This Row],[DNI]],BD_MO[[#This Row],[DNI 2]],BD_MO[[#This Row],[DNI 3]],BD_MO[[#This Row],[DNI 4]]),"")</f>
        <v>1</v>
      </c>
      <c r="U58" s="191"/>
      <c r="V58" s="191"/>
      <c r="W58" s="191"/>
      <c r="X58" s="191">
        <v>1</v>
      </c>
      <c r="Y58" s="192">
        <f>SUM(BD_MO[[#This Row],[LIMP]:[SERV]])</f>
        <v>1</v>
      </c>
      <c r="Z58" s="187"/>
      <c r="AA58" s="187" t="str">
        <f>+IF(BD_MO[[#This Row],[N° VALE]]&lt;&gt;"",1,"")</f>
        <v/>
      </c>
      <c r="AB58" s="184"/>
      <c r="AC58" s="187"/>
      <c r="AD58" s="187" t="str">
        <f>+IF(BD_MO[[#This Row],[N° VALE]]&lt;&gt;"",BD_MO[[#This Row],[FULMINANTE N° 08]]+BD_MO[CARMEX 7''],"")</f>
        <v/>
      </c>
      <c r="AE58" s="187"/>
      <c r="AF58" s="187" t="str">
        <f>+IF(BD_MO[[#This Row],[N° VALE]]&lt;&gt;"",BD_MO[[#This Row],[N° TALADROS]]+BD_MO[[#This Row],[N° TAL. VACIOS]],"")</f>
        <v/>
      </c>
      <c r="AG58" s="193"/>
      <c r="AH58" s="193"/>
      <c r="AI58" s="193"/>
      <c r="AJ58" s="193"/>
      <c r="AK58" s="193"/>
      <c r="AL58" s="193"/>
      <c r="AM58" s="186"/>
      <c r="AN58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8" s="187" t="str">
        <f>+IF(BD_MO[[#This Row],[N° VALE]]&lt;&gt;"",IF(BD_MO[[#This Row],[FULMINANTE N° 08]]&lt;&gt;"",BD_MO[[#This Row],[FULMINANTE N° 08]],IF(BD_MO[[#This Row],[CARMEX 7'']]&lt;&gt;0,0,"")),"")</f>
        <v/>
      </c>
      <c r="AP58" s="191" t="str">
        <f>+IF(BD_MO[[#This Row],[N° VALE]]&lt;&gt;"",BD_MO[[#This Row],[N°  TOTAL TALADROS]]*BD_MO[[#This Row],[BARRA]]*0.95,"")</f>
        <v/>
      </c>
      <c r="AQ58" s="191" t="str">
        <f>+IF(BD_MO[[#This Row],[N° VALE]]&lt;&gt;"",BD_MO[[#This Row],[EMULNOR 1000 (N° CART.)]]*PE_EMUL_1000[PE],"")</f>
        <v/>
      </c>
      <c r="AR58" s="191" t="str">
        <f>+IF(BD_MO[[#This Row],[N° VALE]]&lt;&gt;"",BD_MO[[#This Row],[EMULNOR 3000 (N° CART.)]]*PE_EMUL_3000[PE],"")</f>
        <v/>
      </c>
      <c r="AS58" s="191" t="str">
        <f>+IF(BD_MO[[#This Row],[N° VALE]]&lt;&gt;"",BD_MO[[#This Row],[PULVERULENTA (N° CART.)]]*PE_PULV_65[PE],"")</f>
        <v/>
      </c>
      <c r="AT58" s="191" t="str">
        <f>+IF(BD_MO[[#This Row],[N° DISP]]&lt;&gt;"",BD_MO[[#This Row],[SEMIGELATINA (N° CART.)]]*PE_SEMIGEL_65[PE],"")</f>
        <v/>
      </c>
      <c r="AU58" s="191" t="str">
        <f>+IF(BD_MO[N° VALE]&lt;&gt;"",BD_MO[[#This Row],[KG EXPLO SEMIGEL]]+BD_MO[[#This Row],[KG EXPLO PULVE]]+BD_MO[[#This Row],[KG EXPLO EMULN 3000]]+BD_MO[[#This Row],[KG EXPLO EMULN 1000]],"")</f>
        <v/>
      </c>
      <c r="AV58" s="187"/>
      <c r="AW58" s="187"/>
      <c r="AX58" s="187" t="str">
        <f>+IF(BD_MO[[#This Row],[MINERAL (U-35)]]&lt;&gt;"",BD_MO[[#This Row],[MINERAL (U-35)]]*1.45,"-")</f>
        <v>-</v>
      </c>
      <c r="AY58" s="187" t="str">
        <f>+IF(BD_MO[[#This Row],[DESMONTE (U-35)]]&lt;&gt;"",BD_MO[[#This Row],[DESMONTE (U-35)]]*1.23,"-")</f>
        <v>-</v>
      </c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6"/>
      <c r="BO58" s="187"/>
      <c r="BP58" s="187"/>
      <c r="BQ58" s="186"/>
      <c r="BR58" s="187"/>
      <c r="BS58" s="186"/>
      <c r="BT58" s="191"/>
      <c r="BU58" s="187"/>
      <c r="BV58" s="187"/>
      <c r="BW58" s="187"/>
      <c r="BX58" s="187"/>
      <c r="BY58" s="187"/>
      <c r="BZ58" s="187"/>
      <c r="CA58" s="187"/>
      <c r="CB58" s="187"/>
      <c r="CC58" s="187"/>
      <c r="CD58" s="187"/>
      <c r="CE58" s="187"/>
      <c r="CF58" s="187"/>
      <c r="CG58" s="187"/>
      <c r="CH58" s="187"/>
      <c r="CI58" s="187"/>
      <c r="CJ58" s="187"/>
      <c r="CK58" s="187"/>
      <c r="CL58" s="187"/>
      <c r="CM58" s="187"/>
      <c r="CN58" s="187"/>
      <c r="CO58" s="187"/>
      <c r="CP58" s="191">
        <f>+IF(BD_MO[[#This Row],[FECHA]]&lt;&gt;"",BD_MO[[#This Row],[PUNTAL 4"]]+BD_MO[[#This Row],[PUNTAL 5"]]+BD_MO[[#This Row],[PUNTAL 6"]]+BD_MO[[#This Row],[PUNTAL 7"]]+BD_MO[[#This Row],[PUNTAL 8"]],"")</f>
        <v>0</v>
      </c>
      <c r="CQ58" s="187"/>
      <c r="CR58" s="187"/>
      <c r="CS58" s="187"/>
      <c r="CT58" s="187"/>
      <c r="CU58" s="187"/>
      <c r="CV58" s="187"/>
      <c r="CW58" s="187"/>
      <c r="CX58" s="187"/>
      <c r="CY58" s="191"/>
      <c r="CZ58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8" s="191">
        <f>+IF(BD_MO[[#This Row],[FECHA]]&lt;&gt;"",BD_MO[[#This Row],[DURMIENTE2]]*6.561+BD_MO[[#This Row],[LISTONES]]*4.921+BD_MO[[#This Row],[TABLA 1"x8"x3m]]*6.561+BD_MO[[#This Row],[TABLA 2"x8"x3m]]*13.122,"")</f>
        <v>0</v>
      </c>
      <c r="DB58" s="191">
        <f>+IF(BD_MO[[#This Row],[FECHA]]&lt;&gt;"",BD_MO[[#This Row],[PIE2 MADERA ASERRADA]]*1.95,"")</f>
        <v>0</v>
      </c>
      <c r="DC58" s="191">
        <f>+IF(BD_MO[[#This Row],[FECHA]]&lt;&gt;"",BD_MO[[#This Row],[KG. MADERA REDONDA]]+BD_MO[[#This Row],[KG MADERA ASERRADA]],"")</f>
        <v>0</v>
      </c>
      <c r="DD58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8" s="187"/>
      <c r="DF58" s="187"/>
      <c r="DG58" s="187"/>
      <c r="DH58" s="187"/>
      <c r="DI58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8" s="195"/>
      <c r="DK58" s="195"/>
      <c r="DL58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8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8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8" s="196"/>
      <c r="DP58" s="195" t="str">
        <f>+IF(BD_MO[[#This Row],[M o D]]&lt;&gt;"",IF(BD_MO[[#This Row],[M o D]]="M",BD_MO[[#This Row],[ROTURA TMH]]/2.65,BD_MO[[#This Row],[ROTURA TMH]]/2.4),"")</f>
        <v/>
      </c>
      <c r="DQ58" s="195"/>
      <c r="DR58" s="116" t="str">
        <f>IF(BD_MO[[#This Row],[TIPO AVANCE]]="Avance",((BD_MO[[#This Row],[AVANCE (m)]]/BD_MO[[#This Row],[AVANCE TEÓRICO]]))," ")</f>
        <v xml:space="preserve"> </v>
      </c>
      <c r="DS58" s="110"/>
      <c r="DT58" s="110"/>
      <c r="DU58" s="110"/>
      <c r="DV58" s="110"/>
      <c r="DW58" s="110"/>
      <c r="DX58" s="111"/>
      <c r="DY58" s="111"/>
      <c r="DZ58" s="111"/>
    </row>
    <row r="59" spans="1:130" s="136" customFormat="1" ht="18" customHeight="1" x14ac:dyDescent="0.25">
      <c r="A59" s="168">
        <v>44655</v>
      </c>
      <c r="B59" s="169" t="s">
        <v>10647</v>
      </c>
      <c r="C59" s="169" t="s">
        <v>10680</v>
      </c>
      <c r="D59" s="170" t="s">
        <v>11594</v>
      </c>
      <c r="E59" s="171" t="str">
        <f>LEFT(BD_MO[[#This Row],[LABOR]],2)</f>
        <v>Ga</v>
      </c>
      <c r="F59" s="172"/>
      <c r="G59" s="172" t="s">
        <v>10662</v>
      </c>
      <c r="H5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59" s="171" t="str">
        <f>IF(BD_MO[FECHA]&lt;&gt;"",VLOOKUP(BD_MO[LABOR],TB_CECO[[LABOR]:[CECO_T]],3,FALSE),"")</f>
        <v>ESCONDIDA</v>
      </c>
      <c r="J59" s="171" t="str">
        <f>IF(BD_MO[FECHA]&lt;&gt;"",VLOOKUP(BD_MO[LABOR],D_CECO!B:H,7,FALSE),"")</f>
        <v>LINEAL</v>
      </c>
      <c r="K59" s="171" t="str">
        <f>IF(BD_MO[FECHA]&lt;&gt;"",VLOOKUP(BD_MO[LABOR],D_CECO!B:H,4,FALSE),"")</f>
        <v>EXPLOTACION</v>
      </c>
      <c r="L59" s="171"/>
      <c r="M59" s="169"/>
      <c r="N59" s="172"/>
      <c r="O59" s="173" t="s">
        <v>11911</v>
      </c>
      <c r="P59" s="173" t="s">
        <v>11913</v>
      </c>
      <c r="Q59" s="173"/>
      <c r="R59" s="174"/>
      <c r="S59" s="175" t="str">
        <f>IFERROR(VLOOKUP(BD_MO[DNI 4],#REF!,2,FALSE)," ")</f>
        <v xml:space="preserve"> </v>
      </c>
      <c r="T59" s="176">
        <f>+IF(BD_MO[[#This Row],[FECHA]]&lt;&gt;"",COUNTA(BD_MO[[#This Row],[DNI]],BD_MO[[#This Row],[DNI 2]],BD_MO[[#This Row],[DNI 3]],BD_MO[[#This Row],[DNI 4]]),"")</f>
        <v>2</v>
      </c>
      <c r="U59" s="176">
        <v>0.1</v>
      </c>
      <c r="V59" s="176"/>
      <c r="W59" s="176">
        <v>1.5</v>
      </c>
      <c r="X59" s="176">
        <v>0.4</v>
      </c>
      <c r="Y59" s="177">
        <f>SUM(BD_MO[[#This Row],[LIMP]:[SERV]])</f>
        <v>2</v>
      </c>
      <c r="Z59" s="172"/>
      <c r="AA59" s="172" t="str">
        <f>+IF(BD_MO[[#This Row],[N° VALE]]&lt;&gt;"",1,"")</f>
        <v/>
      </c>
      <c r="AB59" s="169"/>
      <c r="AC59" s="172"/>
      <c r="AD59" s="172" t="str">
        <f>+IF(BD_MO[[#This Row],[N° VALE]]&lt;&gt;"",BD_MO[[#This Row],[FULMINANTE N° 08]]+BD_MO[CARMEX 7''],"")</f>
        <v/>
      </c>
      <c r="AE59" s="172"/>
      <c r="AF59" s="172" t="str">
        <f>+IF(BD_MO[[#This Row],[N° VALE]]&lt;&gt;"",BD_MO[[#This Row],[N° TALADROS]]+BD_MO[[#This Row],[N° TAL. VACIOS]],"")</f>
        <v/>
      </c>
      <c r="AG59" s="178"/>
      <c r="AH59" s="178"/>
      <c r="AI59" s="178"/>
      <c r="AJ59" s="178"/>
      <c r="AK59" s="178"/>
      <c r="AL59" s="178"/>
      <c r="AM59" s="171"/>
      <c r="AN59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9" s="172" t="str">
        <f>+IF(BD_MO[[#This Row],[N° VALE]]&lt;&gt;"",IF(BD_MO[[#This Row],[FULMINANTE N° 08]]&lt;&gt;"",BD_MO[[#This Row],[FULMINANTE N° 08]],IF(BD_MO[[#This Row],[CARMEX 7'']]&lt;&gt;0,0,"")),"")</f>
        <v/>
      </c>
      <c r="AP59" s="176" t="str">
        <f>+IF(BD_MO[[#This Row],[N° VALE]]&lt;&gt;"",BD_MO[[#This Row],[N°  TOTAL TALADROS]]*BD_MO[[#This Row],[BARRA]]*0.95,"")</f>
        <v/>
      </c>
      <c r="AQ59" s="176" t="str">
        <f>+IF(BD_MO[[#This Row],[N° VALE]]&lt;&gt;"",BD_MO[[#This Row],[EMULNOR 1000 (N° CART.)]]*PE_EMUL_1000[PE],"")</f>
        <v/>
      </c>
      <c r="AR59" s="176" t="str">
        <f>+IF(BD_MO[[#This Row],[N° VALE]]&lt;&gt;"",BD_MO[[#This Row],[EMULNOR 3000 (N° CART.)]]*PE_EMUL_3000[PE],"")</f>
        <v/>
      </c>
      <c r="AS59" s="176" t="str">
        <f>+IF(BD_MO[[#This Row],[N° VALE]]&lt;&gt;"",BD_MO[[#This Row],[PULVERULENTA (N° CART.)]]*PE_PULV_65[PE],"")</f>
        <v/>
      </c>
      <c r="AT59" s="176" t="str">
        <f>+IF(BD_MO[[#This Row],[N° DISP]]&lt;&gt;"",BD_MO[[#This Row],[SEMIGELATINA (N° CART.)]]*PE_SEMIGEL_65[PE],"")</f>
        <v/>
      </c>
      <c r="AU59" s="176" t="str">
        <f>+IF(BD_MO[N° VALE]&lt;&gt;"",BD_MO[[#This Row],[KG EXPLO SEMIGEL]]+BD_MO[[#This Row],[KG EXPLO PULVE]]+BD_MO[[#This Row],[KG EXPLO EMULN 3000]]+BD_MO[[#This Row],[KG EXPLO EMULN 1000]],"")</f>
        <v/>
      </c>
      <c r="AV59" s="172"/>
      <c r="AW59" s="172"/>
      <c r="AX59" s="172" t="str">
        <f>+IF(BD_MO[[#This Row],[MINERAL (U-35)]]&lt;&gt;"",BD_MO[[#This Row],[MINERAL (U-35)]]*1.45,"-")</f>
        <v>-</v>
      </c>
      <c r="AY59" s="172" t="str">
        <f>+IF(BD_MO[[#This Row],[DESMONTE (U-35)]]&lt;&gt;"",BD_MO[[#This Row],[DESMONTE (U-35)]]*1.23,"-")</f>
        <v>-</v>
      </c>
      <c r="AZ59" s="172"/>
      <c r="BA59" s="172"/>
      <c r="BB59" s="172"/>
      <c r="BC59" s="172"/>
      <c r="BD59" s="172"/>
      <c r="BE59" s="172"/>
      <c r="BF59" s="172"/>
      <c r="BG59" s="172"/>
      <c r="BH59" s="172"/>
      <c r="BI59" s="172"/>
      <c r="BJ59" s="172"/>
      <c r="BK59" s="172"/>
      <c r="BL59" s="172"/>
      <c r="BM59" s="172"/>
      <c r="BN59" s="171"/>
      <c r="BO59" s="172"/>
      <c r="BP59" s="172"/>
      <c r="BQ59" s="171"/>
      <c r="BR59" s="172"/>
      <c r="BS59" s="171"/>
      <c r="BT59" s="176"/>
      <c r="BU59" s="172"/>
      <c r="BV59" s="172"/>
      <c r="BW59" s="172"/>
      <c r="BX59" s="172"/>
      <c r="BY59" s="172"/>
      <c r="BZ59" s="172"/>
      <c r="CA59" s="172"/>
      <c r="CB59" s="172"/>
      <c r="CC59" s="172"/>
      <c r="CD59" s="172"/>
      <c r="CE59" s="172"/>
      <c r="CF59" s="172"/>
      <c r="CG59" s="172"/>
      <c r="CH59" s="172"/>
      <c r="CI59" s="172"/>
      <c r="CJ59" s="172"/>
      <c r="CK59" s="172"/>
      <c r="CL59" s="172"/>
      <c r="CM59" s="172"/>
      <c r="CN59" s="172"/>
      <c r="CO59" s="172"/>
      <c r="CP59" s="176">
        <f>+IF(BD_MO[[#This Row],[FECHA]]&lt;&gt;"",BD_MO[[#This Row],[PUNTAL 4"]]+BD_MO[[#This Row],[PUNTAL 5"]]+BD_MO[[#This Row],[PUNTAL 6"]]+BD_MO[[#This Row],[PUNTAL 7"]]+BD_MO[[#This Row],[PUNTAL 8"]],"")</f>
        <v>0</v>
      </c>
      <c r="CQ59" s="172"/>
      <c r="CR59" s="172"/>
      <c r="CS59" s="172"/>
      <c r="CT59" s="172"/>
      <c r="CU59" s="172"/>
      <c r="CV59" s="172"/>
      <c r="CW59" s="172"/>
      <c r="CX59" s="172"/>
      <c r="CY59" s="176"/>
      <c r="CZ5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9" s="176">
        <f>+IF(BD_MO[[#This Row],[FECHA]]&lt;&gt;"",BD_MO[[#This Row],[DURMIENTE2]]*6.561+BD_MO[[#This Row],[LISTONES]]*4.921+BD_MO[[#This Row],[TABLA 1"x8"x3m]]*6.561+BD_MO[[#This Row],[TABLA 2"x8"x3m]]*13.122,"")</f>
        <v>0</v>
      </c>
      <c r="DB59" s="176">
        <f>+IF(BD_MO[[#This Row],[FECHA]]&lt;&gt;"",BD_MO[[#This Row],[PIE2 MADERA ASERRADA]]*1.95,"")</f>
        <v>0</v>
      </c>
      <c r="DC59" s="176">
        <f>+IF(BD_MO[[#This Row],[FECHA]]&lt;&gt;"",BD_MO[[#This Row],[KG. MADERA REDONDA]]+BD_MO[[#This Row],[KG MADERA ASERRADA]],"")</f>
        <v>0</v>
      </c>
      <c r="DD5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9" s="172"/>
      <c r="DF59" s="172"/>
      <c r="DG59" s="172"/>
      <c r="DH59" s="172"/>
      <c r="DI59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9" s="180"/>
      <c r="DK59" s="180"/>
      <c r="DL59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9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9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9" s="181"/>
      <c r="DP59" s="180" t="str">
        <f>+IF(BD_MO[[#This Row],[M o D]]&lt;&gt;"",IF(BD_MO[[#This Row],[M o D]]="M",BD_MO[[#This Row],[ROTURA TMH]]/2.65,BD_MO[[#This Row],[ROTURA TMH]]/2.4),"")</f>
        <v/>
      </c>
      <c r="DQ59" s="180"/>
      <c r="DR59" s="116" t="str">
        <f>IF(BD_MO[[#This Row],[TIPO AVANCE]]="Avance",((BD_MO[[#This Row],[AVANCE (m)]]/BD_MO[[#This Row],[AVANCE TEÓRICO]]))," ")</f>
        <v xml:space="preserve"> </v>
      </c>
      <c r="DS59" s="134"/>
      <c r="DT59" s="134"/>
      <c r="DU59" s="134"/>
      <c r="DV59" s="134"/>
      <c r="DW59" s="134"/>
      <c r="DX59" s="135"/>
      <c r="DY59" s="135"/>
      <c r="DZ59" s="135"/>
    </row>
    <row r="60" spans="1:130" s="136" customFormat="1" ht="18" customHeight="1" x14ac:dyDescent="0.25">
      <c r="A60" s="168">
        <v>44655</v>
      </c>
      <c r="B60" s="169" t="s">
        <v>10647</v>
      </c>
      <c r="C60" s="169" t="s">
        <v>10680</v>
      </c>
      <c r="D60" s="170" t="s">
        <v>12164</v>
      </c>
      <c r="E60" s="171" t="str">
        <f>LEFT(BD_MO[[#This Row],[LABOR]],2)</f>
        <v>Tj</v>
      </c>
      <c r="F60" s="172" t="s">
        <v>10950</v>
      </c>
      <c r="G60" s="172" t="s">
        <v>10648</v>
      </c>
      <c r="H6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60" s="171" t="str">
        <f>IF(BD_MO[FECHA]&lt;&gt;"",VLOOKUP(BD_MO[LABOR],TB_CECO[[LABOR]:[CECO_T]],3,FALSE),"")</f>
        <v>VANESSA</v>
      </c>
      <c r="J60" s="171" t="str">
        <f>IF(BD_MO[FECHA]&lt;&gt;"",VLOOKUP(BD_MO[LABOR],D_CECO!B:H,7,FALSE),"")</f>
        <v>TAJO</v>
      </c>
      <c r="K60" s="171" t="str">
        <f>IF(BD_MO[FECHA]&lt;&gt;"",VLOOKUP(BD_MO[LABOR],D_CECO!B:H,4,FALSE),"")</f>
        <v>EXPLOTACION</v>
      </c>
      <c r="L60" s="171"/>
      <c r="M60" s="169" t="s">
        <v>10679</v>
      </c>
      <c r="N60" s="172"/>
      <c r="O60" s="173" t="s">
        <v>11910</v>
      </c>
      <c r="P60" s="173" t="s">
        <v>11912</v>
      </c>
      <c r="Q60" s="173"/>
      <c r="R60" s="174"/>
      <c r="S60" s="175" t="str">
        <f>IFERROR(VLOOKUP(BD_MO[DNI 4],#REF!,2,FALSE)," ")</f>
        <v xml:space="preserve"> </v>
      </c>
      <c r="T60" s="176">
        <f>+IF(BD_MO[[#This Row],[FECHA]]&lt;&gt;"",COUNTA(BD_MO[[#This Row],[DNI]],BD_MO[[#This Row],[DNI 2]],BD_MO[[#This Row],[DNI 3]],BD_MO[[#This Row],[DNI 4]]),"")</f>
        <v>2</v>
      </c>
      <c r="U60" s="176">
        <v>0.2</v>
      </c>
      <c r="V60" s="176">
        <v>0.4</v>
      </c>
      <c r="W60" s="176">
        <v>1.2</v>
      </c>
      <c r="X60" s="176">
        <v>0.2</v>
      </c>
      <c r="Y60" s="177">
        <f>SUM(BD_MO[[#This Row],[LIMP]:[SERV]])</f>
        <v>2</v>
      </c>
      <c r="Z60" s="172" t="s">
        <v>12173</v>
      </c>
      <c r="AA60" s="172">
        <f>+IF(BD_MO[[#This Row],[N° VALE]]&lt;&gt;"",1,"")</f>
        <v>1</v>
      </c>
      <c r="AB60" s="169" t="s">
        <v>10644</v>
      </c>
      <c r="AC60" s="172">
        <v>4</v>
      </c>
      <c r="AD60" s="172">
        <f>+IF(BD_MO[[#This Row],[N° VALE]]&lt;&gt;"",BD_MO[[#This Row],[FULMINANTE N° 08]]+BD_MO[CARMEX 7''],"")</f>
        <v>12</v>
      </c>
      <c r="AE60" s="172"/>
      <c r="AF60" s="172">
        <f>+IF(BD_MO[[#This Row],[N° VALE]]&lt;&gt;"",BD_MO[[#This Row],[N° TALADROS]]+BD_MO[[#This Row],[N° TAL. VACIOS]],"")</f>
        <v>12</v>
      </c>
      <c r="AG60" s="178"/>
      <c r="AH60" s="178">
        <v>48</v>
      </c>
      <c r="AI60" s="178"/>
      <c r="AJ60" s="178"/>
      <c r="AK60" s="178">
        <v>12</v>
      </c>
      <c r="AL60" s="178">
        <v>2</v>
      </c>
      <c r="AM60" s="171"/>
      <c r="AN60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60" s="172">
        <f>+IF(BD_MO[[#This Row],[N° VALE]]&lt;&gt;"",IF(BD_MO[[#This Row],[FULMINANTE N° 08]]&lt;&gt;"",BD_MO[[#This Row],[FULMINANTE N° 08]],IF(BD_MO[[#This Row],[CARMEX 7'']]&lt;&gt;0,0,"")),"")</f>
        <v>0</v>
      </c>
      <c r="AP60" s="176">
        <f>+IF(BD_MO[[#This Row],[N° VALE]]&lt;&gt;"",BD_MO[[#This Row],[N°  TOTAL TALADROS]]*BD_MO[[#This Row],[BARRA]]*0.95,"")</f>
        <v>45.599999999999994</v>
      </c>
      <c r="AQ60" s="176">
        <f>+IF(BD_MO[[#This Row],[N° VALE]]&lt;&gt;"",BD_MO[[#This Row],[EMULNOR 1000 (N° CART.)]]*PE_EMUL_1000[PE],"")</f>
        <v>4.5456000000000003</v>
      </c>
      <c r="AR60" s="176">
        <f>+IF(BD_MO[[#This Row],[N° VALE]]&lt;&gt;"",BD_MO[[#This Row],[EMULNOR 3000 (N° CART.)]]*PE_EMUL_3000[PE],"")</f>
        <v>0</v>
      </c>
      <c r="AS60" s="176">
        <f>+IF(BD_MO[[#This Row],[N° VALE]]&lt;&gt;"",BD_MO[[#This Row],[PULVERULENTA (N° CART.)]]*PE_PULV_65[PE],"")</f>
        <v>0</v>
      </c>
      <c r="AT60" s="176">
        <f>+IF(BD_MO[[#This Row],[N° DISP]]&lt;&gt;"",BD_MO[[#This Row],[SEMIGELATINA (N° CART.)]]*PE_SEMIGEL_65[PE],"")</f>
        <v>0</v>
      </c>
      <c r="AU60" s="176">
        <f>+IF(BD_MO[N° VALE]&lt;&gt;"",BD_MO[[#This Row],[KG EXPLO SEMIGEL]]+BD_MO[[#This Row],[KG EXPLO PULVE]]+BD_MO[[#This Row],[KG EXPLO EMULN 3000]]+BD_MO[[#This Row],[KG EXPLO EMULN 1000]],"")</f>
        <v>4.5456000000000003</v>
      </c>
      <c r="AV60" s="172"/>
      <c r="AW60" s="172"/>
      <c r="AX60" s="172" t="str">
        <f>+IF(BD_MO[[#This Row],[MINERAL (U-35)]]&lt;&gt;"",BD_MO[[#This Row],[MINERAL (U-35)]]*1.45,"-")</f>
        <v>-</v>
      </c>
      <c r="AY60" s="172" t="str">
        <f>+IF(BD_MO[[#This Row],[DESMONTE (U-35)]]&lt;&gt;"",BD_MO[[#This Row],[DESMONTE (U-35)]]*1.23,"-")</f>
        <v>-</v>
      </c>
      <c r="AZ60" s="172"/>
      <c r="BA60" s="172">
        <v>2</v>
      </c>
      <c r="BB60" s="172"/>
      <c r="BC60" s="172"/>
      <c r="BD60" s="172"/>
      <c r="BE60" s="172"/>
      <c r="BF60" s="172"/>
      <c r="BG60" s="172">
        <v>2</v>
      </c>
      <c r="BH60" s="172"/>
      <c r="BI60" s="172">
        <v>2</v>
      </c>
      <c r="BJ60" s="172"/>
      <c r="BK60" s="172"/>
      <c r="BL60" s="172"/>
      <c r="BM60" s="172"/>
      <c r="BN60" s="171">
        <v>3</v>
      </c>
      <c r="BO60" s="172"/>
      <c r="BP60" s="172"/>
      <c r="BQ60" s="171"/>
      <c r="BR60" s="172"/>
      <c r="BS60" s="171"/>
      <c r="BT60" s="176"/>
      <c r="BU60" s="172"/>
      <c r="BV60" s="172"/>
      <c r="BW60" s="172"/>
      <c r="BX60" s="172"/>
      <c r="BY60" s="172"/>
      <c r="BZ60" s="172"/>
      <c r="CA60" s="172"/>
      <c r="CB60" s="172"/>
      <c r="CC60" s="172"/>
      <c r="CD60" s="172"/>
      <c r="CE60" s="172"/>
      <c r="CF60" s="172"/>
      <c r="CG60" s="172"/>
      <c r="CH60" s="172"/>
      <c r="CI60" s="172"/>
      <c r="CJ60" s="172"/>
      <c r="CK60" s="172"/>
      <c r="CL60" s="172"/>
      <c r="CM60" s="172"/>
      <c r="CN60" s="172">
        <v>8</v>
      </c>
      <c r="CO60" s="172"/>
      <c r="CP60" s="176">
        <f>+IF(BD_MO[[#This Row],[FECHA]]&lt;&gt;"",BD_MO[[#This Row],[PUNTAL 4"]]+BD_MO[[#This Row],[PUNTAL 5"]]+BD_MO[[#This Row],[PUNTAL 6"]]+BD_MO[[#This Row],[PUNTAL 7"]]+BD_MO[[#This Row],[PUNTAL 8"]],"")</f>
        <v>8</v>
      </c>
      <c r="CQ60" s="172"/>
      <c r="CR60" s="172"/>
      <c r="CS60" s="172"/>
      <c r="CT60" s="172"/>
      <c r="CU60" s="172"/>
      <c r="CV60" s="172"/>
      <c r="CW60" s="172"/>
      <c r="CX60" s="172"/>
      <c r="CY60" s="176"/>
      <c r="CZ6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488.63200000000001</v>
      </c>
      <c r="DA60" s="176">
        <f>+IF(BD_MO[[#This Row],[FECHA]]&lt;&gt;"",BD_MO[[#This Row],[DURMIENTE2]]*6.561+BD_MO[[#This Row],[LISTONES]]*4.921+BD_MO[[#This Row],[TABLA 1"x8"x3m]]*6.561+BD_MO[[#This Row],[TABLA 2"x8"x3m]]*13.122,"")</f>
        <v>0</v>
      </c>
      <c r="DB60" s="176">
        <f>+IF(BD_MO[[#This Row],[FECHA]]&lt;&gt;"",BD_MO[[#This Row],[PIE2 MADERA ASERRADA]]*1.95,"")</f>
        <v>0</v>
      </c>
      <c r="DC60" s="176">
        <f>+IF(BD_MO[[#This Row],[FECHA]]&lt;&gt;"",BD_MO[[#This Row],[KG. MADERA REDONDA]]+BD_MO[[#This Row],[KG MADERA ASERRADA]],"")</f>
        <v>488.63200000000001</v>
      </c>
      <c r="DD6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142.4</v>
      </c>
      <c r="DE60" s="172"/>
      <c r="DF60" s="172"/>
      <c r="DG60" s="172"/>
      <c r="DH60" s="172"/>
      <c r="DI60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60" s="180"/>
      <c r="DK60" s="180"/>
      <c r="DL60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2.8</v>
      </c>
      <c r="DM60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2.9119999999999999</v>
      </c>
      <c r="DN60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60" s="181">
        <v>12.744999999999999</v>
      </c>
      <c r="DP60" s="180">
        <f>+IF(BD_MO[[#This Row],[M o D]]&lt;&gt;"",IF(BD_MO[[#This Row],[M o D]]="M",BD_MO[[#This Row],[ROTURA TMH]]/2.65,BD_MO[[#This Row],[ROTURA TMH]]/2.4),"")</f>
        <v>4.8094339622641504</v>
      </c>
      <c r="DQ60" s="180"/>
      <c r="DR60" s="116" t="str">
        <f>IF(BD_MO[[#This Row],[TIPO AVANCE]]="Avance",((BD_MO[[#This Row],[AVANCE (m)]]/BD_MO[[#This Row],[AVANCE TEÓRICO]]))," ")</f>
        <v xml:space="preserve"> </v>
      </c>
      <c r="DS60" s="134"/>
      <c r="DT60" s="134"/>
      <c r="DU60" s="134"/>
      <c r="DV60" s="134"/>
      <c r="DW60" s="134"/>
      <c r="DX60" s="135"/>
      <c r="DY60" s="135"/>
      <c r="DZ60" s="135"/>
    </row>
    <row r="61" spans="1:130" s="136" customFormat="1" ht="18" customHeight="1" x14ac:dyDescent="0.25">
      <c r="A61" s="168">
        <v>44655</v>
      </c>
      <c r="B61" s="169" t="s">
        <v>10647</v>
      </c>
      <c r="C61" s="169" t="s">
        <v>10680</v>
      </c>
      <c r="D61" s="170" t="s">
        <v>12128</v>
      </c>
      <c r="E61" s="171" t="str">
        <f>LEFT(BD_MO[[#This Row],[LABOR]],2)</f>
        <v>Tj</v>
      </c>
      <c r="F61" s="172"/>
      <c r="G61" s="172" t="s">
        <v>10662</v>
      </c>
      <c r="H61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61" s="171" t="str">
        <f>IF(BD_MO[FECHA]&lt;&gt;"",VLOOKUP(BD_MO[LABOR],TB_CECO[[LABOR]:[CECO_T]],3,FALSE),"")</f>
        <v>VANESSA</v>
      </c>
      <c r="J61" s="171" t="str">
        <f>IF(BD_MO[FECHA]&lt;&gt;"",VLOOKUP(BD_MO[LABOR],D_CECO!B:H,7,FALSE),"")</f>
        <v>TAJO</v>
      </c>
      <c r="K61" s="171" t="str">
        <f>IF(BD_MO[FECHA]&lt;&gt;"",VLOOKUP(BD_MO[LABOR],D_CECO!B:H,4,FALSE),"")</f>
        <v>EXPLOTACION</v>
      </c>
      <c r="L61" s="171"/>
      <c r="M61" s="169"/>
      <c r="N61" s="172"/>
      <c r="O61" s="173" t="s">
        <v>11976</v>
      </c>
      <c r="P61" s="173" t="s">
        <v>11924</v>
      </c>
      <c r="Q61" s="173"/>
      <c r="R61" s="174"/>
      <c r="S61" s="175" t="str">
        <f>IFERROR(VLOOKUP(BD_MO[DNI 4],#REF!,2,FALSE)," ")</f>
        <v xml:space="preserve"> </v>
      </c>
      <c r="T61" s="176">
        <f>+IF(BD_MO[[#This Row],[FECHA]]&lt;&gt;"",COUNTA(BD_MO[[#This Row],[DNI]],BD_MO[[#This Row],[DNI 2]],BD_MO[[#This Row],[DNI 3]],BD_MO[[#This Row],[DNI 4]]),"")</f>
        <v>2</v>
      </c>
      <c r="U61" s="176">
        <v>1</v>
      </c>
      <c r="V61" s="176"/>
      <c r="W61" s="176">
        <v>0.5</v>
      </c>
      <c r="X61" s="176">
        <v>0.5</v>
      </c>
      <c r="Y61" s="177">
        <f>SUM(BD_MO[[#This Row],[LIMP]:[SERV]])</f>
        <v>2</v>
      </c>
      <c r="Z61" s="172"/>
      <c r="AA61" s="172" t="str">
        <f>+IF(BD_MO[[#This Row],[N° VALE]]&lt;&gt;"",1,"")</f>
        <v/>
      </c>
      <c r="AB61" s="169"/>
      <c r="AC61" s="172"/>
      <c r="AD61" s="172" t="str">
        <f>+IF(BD_MO[[#This Row],[N° VALE]]&lt;&gt;"",BD_MO[[#This Row],[FULMINANTE N° 08]]+BD_MO[CARMEX 7''],"")</f>
        <v/>
      </c>
      <c r="AE61" s="172"/>
      <c r="AF61" s="172" t="str">
        <f>+IF(BD_MO[[#This Row],[N° VALE]]&lt;&gt;"",BD_MO[[#This Row],[N° TALADROS]]+BD_MO[[#This Row],[N° TAL. VACIOS]],"")</f>
        <v/>
      </c>
      <c r="AG61" s="178"/>
      <c r="AH61" s="178"/>
      <c r="AI61" s="178"/>
      <c r="AJ61" s="178"/>
      <c r="AK61" s="178"/>
      <c r="AL61" s="178"/>
      <c r="AM61" s="171"/>
      <c r="AN61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61" s="172" t="str">
        <f>+IF(BD_MO[[#This Row],[N° VALE]]&lt;&gt;"",IF(BD_MO[[#This Row],[FULMINANTE N° 08]]&lt;&gt;"",BD_MO[[#This Row],[FULMINANTE N° 08]],IF(BD_MO[[#This Row],[CARMEX 7'']]&lt;&gt;0,0,"")),"")</f>
        <v/>
      </c>
      <c r="AP61" s="176" t="str">
        <f>+IF(BD_MO[[#This Row],[N° VALE]]&lt;&gt;"",BD_MO[[#This Row],[N°  TOTAL TALADROS]]*BD_MO[[#This Row],[BARRA]]*0.95,"")</f>
        <v/>
      </c>
      <c r="AQ61" s="176" t="str">
        <f>+IF(BD_MO[[#This Row],[N° VALE]]&lt;&gt;"",BD_MO[[#This Row],[EMULNOR 1000 (N° CART.)]]*PE_EMUL_1000[PE],"")</f>
        <v/>
      </c>
      <c r="AR61" s="176" t="str">
        <f>+IF(BD_MO[[#This Row],[N° VALE]]&lt;&gt;"",BD_MO[[#This Row],[EMULNOR 3000 (N° CART.)]]*PE_EMUL_3000[PE],"")</f>
        <v/>
      </c>
      <c r="AS61" s="176" t="str">
        <f>+IF(BD_MO[[#This Row],[N° VALE]]&lt;&gt;"",BD_MO[[#This Row],[PULVERULENTA (N° CART.)]]*PE_PULV_65[PE],"")</f>
        <v/>
      </c>
      <c r="AT61" s="176" t="str">
        <f>+IF(BD_MO[[#This Row],[N° DISP]]&lt;&gt;"",BD_MO[[#This Row],[SEMIGELATINA (N° CART.)]]*PE_SEMIGEL_65[PE],"")</f>
        <v/>
      </c>
      <c r="AU61" s="176" t="str">
        <f>+IF(BD_MO[N° VALE]&lt;&gt;"",BD_MO[[#This Row],[KG EXPLO SEMIGEL]]+BD_MO[[#This Row],[KG EXPLO PULVE]]+BD_MO[[#This Row],[KG EXPLO EMULN 3000]]+BD_MO[[#This Row],[KG EXPLO EMULN 1000]],"")</f>
        <v/>
      </c>
      <c r="AV61" s="172">
        <v>7</v>
      </c>
      <c r="AW61" s="172"/>
      <c r="AX61" s="172">
        <f>+IF(BD_MO[[#This Row],[MINERAL (U-35)]]&lt;&gt;"",BD_MO[[#This Row],[MINERAL (U-35)]]*1.45,"-")</f>
        <v>10.15</v>
      </c>
      <c r="AY61" s="172" t="str">
        <f>+IF(BD_MO[[#This Row],[DESMONTE (U-35)]]&lt;&gt;"",BD_MO[[#This Row],[DESMONTE (U-35)]]*1.23,"-")</f>
        <v>-</v>
      </c>
      <c r="AZ61" s="172"/>
      <c r="BA61" s="172"/>
      <c r="BB61" s="172"/>
      <c r="BC61" s="172"/>
      <c r="BD61" s="172"/>
      <c r="BE61" s="172"/>
      <c r="BF61" s="172"/>
      <c r="BG61" s="172"/>
      <c r="BH61" s="172"/>
      <c r="BI61" s="172">
        <v>2</v>
      </c>
      <c r="BJ61" s="172"/>
      <c r="BK61" s="172"/>
      <c r="BL61" s="172"/>
      <c r="BM61" s="172"/>
      <c r="BN61" s="171">
        <v>2</v>
      </c>
      <c r="BO61" s="172"/>
      <c r="BP61" s="172"/>
      <c r="BQ61" s="171"/>
      <c r="BR61" s="172"/>
      <c r="BS61" s="171"/>
      <c r="BT61" s="176"/>
      <c r="BU61" s="172"/>
      <c r="BV61" s="172"/>
      <c r="BW61" s="172"/>
      <c r="BX61" s="172"/>
      <c r="BY61" s="172"/>
      <c r="BZ61" s="172"/>
      <c r="CA61" s="172"/>
      <c r="CB61" s="172"/>
      <c r="CC61" s="172"/>
      <c r="CD61" s="172"/>
      <c r="CE61" s="172"/>
      <c r="CF61" s="172"/>
      <c r="CG61" s="172"/>
      <c r="CH61" s="172"/>
      <c r="CI61" s="172"/>
      <c r="CJ61" s="172"/>
      <c r="CK61" s="172"/>
      <c r="CL61" s="172"/>
      <c r="CM61" s="172"/>
      <c r="CN61" s="172"/>
      <c r="CO61" s="172">
        <v>2</v>
      </c>
      <c r="CP61" s="176">
        <f>+IF(BD_MO[[#This Row],[FECHA]]&lt;&gt;"",BD_MO[[#This Row],[PUNTAL 4"]]+BD_MO[[#This Row],[PUNTAL 5"]]+BD_MO[[#This Row],[PUNTAL 6"]]+BD_MO[[#This Row],[PUNTAL 7"]]+BD_MO[[#This Row],[PUNTAL 8"]],"")</f>
        <v>2</v>
      </c>
      <c r="CQ61" s="172"/>
      <c r="CR61" s="172"/>
      <c r="CS61" s="172"/>
      <c r="CT61" s="172"/>
      <c r="CU61" s="172"/>
      <c r="CV61" s="172"/>
      <c r="CW61" s="172">
        <v>2</v>
      </c>
      <c r="CX61" s="172">
        <v>2</v>
      </c>
      <c r="CY61" s="176"/>
      <c r="CZ61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159.55199999999999</v>
      </c>
      <c r="DA61" s="176">
        <f>+IF(BD_MO[[#This Row],[FECHA]]&lt;&gt;"",BD_MO[[#This Row],[DURMIENTE2]]*6.561+BD_MO[[#This Row],[LISTONES]]*4.921+BD_MO[[#This Row],[TABLA 1"x8"x3m]]*6.561+BD_MO[[#This Row],[TABLA 2"x8"x3m]]*13.122,"")</f>
        <v>39.366</v>
      </c>
      <c r="DB61" s="176">
        <f>+IF(BD_MO[[#This Row],[FECHA]]&lt;&gt;"",BD_MO[[#This Row],[PIE2 MADERA ASERRADA]]*1.95,"")</f>
        <v>76.7637</v>
      </c>
      <c r="DC61" s="176">
        <f>+IF(BD_MO[[#This Row],[FECHA]]&lt;&gt;"",BD_MO[[#This Row],[KG. MADERA REDONDA]]+BD_MO[[#This Row],[KG MADERA ASERRADA]],"")</f>
        <v>236.31569999999999</v>
      </c>
      <c r="DD61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91.460000000000008</v>
      </c>
      <c r="DE61" s="172"/>
      <c r="DF61" s="172"/>
      <c r="DG61" s="172"/>
      <c r="DH61" s="172"/>
      <c r="DI61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61" s="180"/>
      <c r="DK61" s="180"/>
      <c r="DL61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61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61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61" s="181"/>
      <c r="DP61" s="180" t="str">
        <f>+IF(BD_MO[[#This Row],[M o D]]&lt;&gt;"",IF(BD_MO[[#This Row],[M o D]]="M",BD_MO[[#This Row],[ROTURA TMH]]/2.65,BD_MO[[#This Row],[ROTURA TMH]]/2.4),"")</f>
        <v/>
      </c>
      <c r="DQ61" s="180"/>
      <c r="DR61" s="116" t="str">
        <f>IF(BD_MO[[#This Row],[TIPO AVANCE]]="Avance",((BD_MO[[#This Row],[AVANCE (m)]]/BD_MO[[#This Row],[AVANCE TEÓRICO]]))," ")</f>
        <v xml:space="preserve"> </v>
      </c>
      <c r="DS61" s="134"/>
      <c r="DT61" s="134"/>
      <c r="DU61" s="134"/>
      <c r="DV61" s="134"/>
      <c r="DW61" s="134"/>
      <c r="DX61" s="135"/>
      <c r="DY61" s="135"/>
      <c r="DZ61" s="135"/>
    </row>
    <row r="62" spans="1:130" s="136" customFormat="1" ht="18" customHeight="1" x14ac:dyDescent="0.25">
      <c r="A62" s="168">
        <v>44655</v>
      </c>
      <c r="B62" s="169" t="s">
        <v>10647</v>
      </c>
      <c r="C62" s="169" t="s">
        <v>10680</v>
      </c>
      <c r="D62" s="170" t="s">
        <v>12115</v>
      </c>
      <c r="E62" s="171" t="str">
        <f>LEFT(BD_MO[[#This Row],[LABOR]],2)</f>
        <v>Tj</v>
      </c>
      <c r="F62" s="172" t="s">
        <v>10950</v>
      </c>
      <c r="G62" s="172" t="s">
        <v>10648</v>
      </c>
      <c r="H6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62" s="171" t="str">
        <f>IF(BD_MO[FECHA]&lt;&gt;"",VLOOKUP(BD_MO[LABOR],TB_CECO[[LABOR]:[CECO_T]],3,FALSE),"")</f>
        <v>CACHORRO</v>
      </c>
      <c r="J62" s="171" t="str">
        <f>IF(BD_MO[FECHA]&lt;&gt;"",VLOOKUP(BD_MO[LABOR],D_CECO!B:H,7,FALSE),"")</f>
        <v>TAJO</v>
      </c>
      <c r="K62" s="171" t="str">
        <f>IF(BD_MO[FECHA]&lt;&gt;"",VLOOKUP(BD_MO[LABOR],D_CECO!B:H,4,FALSE),"")</f>
        <v>EXPLOTACION</v>
      </c>
      <c r="L62" s="171"/>
      <c r="M62" s="40" t="s">
        <v>10661</v>
      </c>
      <c r="N62" s="172"/>
      <c r="O62" s="173" t="s">
        <v>12101</v>
      </c>
      <c r="P62" s="173" t="s">
        <v>12151</v>
      </c>
      <c r="Q62" s="173"/>
      <c r="R62" s="174"/>
      <c r="S62" s="175" t="str">
        <f>IFERROR(VLOOKUP(BD_MO[DNI 4],#REF!,2,FALSE)," ")</f>
        <v xml:space="preserve"> </v>
      </c>
      <c r="T62" s="176">
        <f>+IF(BD_MO[[#This Row],[FECHA]]&lt;&gt;"",COUNTA(BD_MO[[#This Row],[DNI]],BD_MO[[#This Row],[DNI 2]],BD_MO[[#This Row],[DNI 3]],BD_MO[[#This Row],[DNI 4]]),"")</f>
        <v>2</v>
      </c>
      <c r="U62" s="176">
        <v>0.5</v>
      </c>
      <c r="V62" s="176">
        <v>0.5</v>
      </c>
      <c r="W62" s="176">
        <v>0.6</v>
      </c>
      <c r="X62" s="176">
        <v>0.4</v>
      </c>
      <c r="Y62" s="177">
        <f>SUM(BD_MO[[#This Row],[LIMP]:[SERV]])</f>
        <v>2</v>
      </c>
      <c r="Z62" s="172" t="s">
        <v>12174</v>
      </c>
      <c r="AA62" s="172">
        <f>+IF(BD_MO[[#This Row],[N° VALE]]&lt;&gt;"",1,"")</f>
        <v>1</v>
      </c>
      <c r="AB62" s="169" t="s">
        <v>10691</v>
      </c>
      <c r="AC62" s="172">
        <v>4</v>
      </c>
      <c r="AD62" s="172">
        <f>+IF(BD_MO[[#This Row],[N° VALE]]&lt;&gt;"",BD_MO[[#This Row],[FULMINANTE N° 08]]+BD_MO[CARMEX 7''],"")</f>
        <v>10</v>
      </c>
      <c r="AE62" s="172"/>
      <c r="AF62" s="172">
        <f>+IF(BD_MO[[#This Row],[N° VALE]]&lt;&gt;"",BD_MO[[#This Row],[N° TALADROS]]+BD_MO[[#This Row],[N° TAL. VACIOS]],"")</f>
        <v>10</v>
      </c>
      <c r="AG62" s="178">
        <v>12</v>
      </c>
      <c r="AH62" s="178">
        <v>30</v>
      </c>
      <c r="AI62" s="178"/>
      <c r="AJ62" s="178"/>
      <c r="AK62" s="178">
        <v>10</v>
      </c>
      <c r="AL62" s="178">
        <v>3</v>
      </c>
      <c r="AM62" s="171"/>
      <c r="AN62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62" s="172">
        <f>+IF(BD_MO[[#This Row],[N° VALE]]&lt;&gt;"",IF(BD_MO[[#This Row],[FULMINANTE N° 08]]&lt;&gt;"",BD_MO[[#This Row],[FULMINANTE N° 08]],IF(BD_MO[[#This Row],[CARMEX 7'']]&lt;&gt;0,0,"")),"")</f>
        <v>0</v>
      </c>
      <c r="AP62" s="176">
        <f>+IF(BD_MO[[#This Row],[N° VALE]]&lt;&gt;"",BD_MO[[#This Row],[N°  TOTAL TALADROS]]*BD_MO[[#This Row],[BARRA]]*0.95,"")</f>
        <v>38</v>
      </c>
      <c r="AQ62" s="176">
        <f>+IF(BD_MO[[#This Row],[N° VALE]]&lt;&gt;"",BD_MO[[#This Row],[EMULNOR 1000 (N° CART.)]]*PE_EMUL_1000[PE],"")</f>
        <v>2.8410000000000002</v>
      </c>
      <c r="AR62" s="176">
        <f>+IF(BD_MO[[#This Row],[N° VALE]]&lt;&gt;"",BD_MO[[#This Row],[EMULNOR 3000 (N° CART.)]]*PE_EMUL_3000[PE],"")</f>
        <v>1.1538461538461544</v>
      </c>
      <c r="AS62" s="176">
        <f>+IF(BD_MO[[#This Row],[N° VALE]]&lt;&gt;"",BD_MO[[#This Row],[PULVERULENTA (N° CART.)]]*PE_PULV_65[PE],"")</f>
        <v>0</v>
      </c>
      <c r="AT62" s="176">
        <f>+IF(BD_MO[[#This Row],[N° DISP]]&lt;&gt;"",BD_MO[[#This Row],[SEMIGELATINA (N° CART.)]]*PE_SEMIGEL_65[PE],"")</f>
        <v>0</v>
      </c>
      <c r="AU62" s="176">
        <f>+IF(BD_MO[N° VALE]&lt;&gt;"",BD_MO[[#This Row],[KG EXPLO SEMIGEL]]+BD_MO[[#This Row],[KG EXPLO PULVE]]+BD_MO[[#This Row],[KG EXPLO EMULN 3000]]+BD_MO[[#This Row],[KG EXPLO EMULN 1000]],"")</f>
        <v>3.9948461538461544</v>
      </c>
      <c r="AV62" s="172"/>
      <c r="AW62" s="172"/>
      <c r="AX62" s="172" t="str">
        <f>+IF(BD_MO[[#This Row],[MINERAL (U-35)]]&lt;&gt;"",BD_MO[[#This Row],[MINERAL (U-35)]]*1.45,"-")</f>
        <v>-</v>
      </c>
      <c r="AY62" s="172" t="str">
        <f>+IF(BD_MO[[#This Row],[DESMONTE (U-35)]]&lt;&gt;"",BD_MO[[#This Row],[DESMONTE (U-35)]]*1.23,"-")</f>
        <v>-</v>
      </c>
      <c r="AZ62" s="172"/>
      <c r="BA62" s="172"/>
      <c r="BB62" s="172"/>
      <c r="BC62" s="172"/>
      <c r="BD62" s="172"/>
      <c r="BE62" s="172"/>
      <c r="BF62" s="172"/>
      <c r="BG62" s="172"/>
      <c r="BH62" s="172"/>
      <c r="BI62" s="172"/>
      <c r="BJ62" s="172"/>
      <c r="BK62" s="172"/>
      <c r="BL62" s="172"/>
      <c r="BM62" s="172"/>
      <c r="BN62" s="171"/>
      <c r="BO62" s="172">
        <v>5</v>
      </c>
      <c r="BP62" s="172"/>
      <c r="BQ62" s="171"/>
      <c r="BR62" s="172"/>
      <c r="BS62" s="171"/>
      <c r="BT62" s="176"/>
      <c r="BU62" s="172"/>
      <c r="BV62" s="172"/>
      <c r="BW62" s="172"/>
      <c r="BX62" s="172"/>
      <c r="BY62" s="172"/>
      <c r="BZ62" s="172"/>
      <c r="CA62" s="172"/>
      <c r="CB62" s="172"/>
      <c r="CC62" s="172"/>
      <c r="CD62" s="172"/>
      <c r="CE62" s="172"/>
      <c r="CF62" s="172"/>
      <c r="CG62" s="172"/>
      <c r="CH62" s="172"/>
      <c r="CI62" s="172"/>
      <c r="CJ62" s="172"/>
      <c r="CK62" s="172"/>
      <c r="CL62" s="172">
        <v>2</v>
      </c>
      <c r="CM62" s="172">
        <v>6</v>
      </c>
      <c r="CN62" s="172"/>
      <c r="CO62" s="172"/>
      <c r="CP62" s="176">
        <f>+IF(BD_MO[[#This Row],[FECHA]]&lt;&gt;"",BD_MO[[#This Row],[PUNTAL 4"]]+BD_MO[[#This Row],[PUNTAL 5"]]+BD_MO[[#This Row],[PUNTAL 6"]]+BD_MO[[#This Row],[PUNTAL 7"]]+BD_MO[[#This Row],[PUNTAL 8"]],"")</f>
        <v>8</v>
      </c>
      <c r="CQ62" s="172"/>
      <c r="CR62" s="172"/>
      <c r="CS62" s="172">
        <v>2</v>
      </c>
      <c r="CT62" s="172"/>
      <c r="CU62" s="172"/>
      <c r="CV62" s="172"/>
      <c r="CW62" s="172"/>
      <c r="CX62" s="172"/>
      <c r="CY62" s="176"/>
      <c r="CZ6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380.77000000000004</v>
      </c>
      <c r="DA62" s="176">
        <f>+IF(BD_MO[[#This Row],[FECHA]]&lt;&gt;"",BD_MO[[#This Row],[DURMIENTE2]]*6.561+BD_MO[[#This Row],[LISTONES]]*4.921+BD_MO[[#This Row],[TABLA 1"x8"x3m]]*6.561+BD_MO[[#This Row],[TABLA 2"x8"x3m]]*13.122,"")</f>
        <v>0</v>
      </c>
      <c r="DB62" s="176">
        <f>+IF(BD_MO[[#This Row],[FECHA]]&lt;&gt;"",BD_MO[[#This Row],[PIE2 MADERA ASERRADA]]*1.95,"")</f>
        <v>0</v>
      </c>
      <c r="DC62" s="176">
        <f>+IF(BD_MO[[#This Row],[FECHA]]&lt;&gt;"",BD_MO[[#This Row],[KG. MADERA REDONDA]]+BD_MO[[#This Row],[KG MADERA ASERRADA]],"")</f>
        <v>380.77000000000004</v>
      </c>
      <c r="DD6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166.98000000000002</v>
      </c>
      <c r="DE62" s="172"/>
      <c r="DF62" s="172"/>
      <c r="DG62" s="172"/>
      <c r="DH62" s="172"/>
      <c r="DI62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62" s="180"/>
      <c r="DK62" s="180"/>
      <c r="DL62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62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62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62" s="181">
        <v>9.93</v>
      </c>
      <c r="DP62" s="180">
        <f>+IF(BD_MO[[#This Row],[M o D]]&lt;&gt;"",IF(BD_MO[[#This Row],[M o D]]="M",BD_MO[[#This Row],[ROTURA TMH]]/2.65,BD_MO[[#This Row],[ROTURA TMH]]/2.4),"")</f>
        <v>3.7471698113207546</v>
      </c>
      <c r="DQ62" s="180"/>
      <c r="DR62" s="116" t="str">
        <f>IF(BD_MO[[#This Row],[TIPO AVANCE]]="Avance",((BD_MO[[#This Row],[AVANCE (m)]]/BD_MO[[#This Row],[AVANCE TEÓRICO]]))," ")</f>
        <v xml:space="preserve"> </v>
      </c>
      <c r="DS62" s="134"/>
      <c r="DT62" s="134"/>
      <c r="DU62" s="134"/>
      <c r="DV62" s="134"/>
      <c r="DW62" s="134"/>
      <c r="DX62" s="135"/>
      <c r="DY62" s="135"/>
      <c r="DZ62" s="135"/>
    </row>
    <row r="63" spans="1:130" s="136" customFormat="1" ht="18" customHeight="1" x14ac:dyDescent="0.25">
      <c r="A63" s="168">
        <v>44655</v>
      </c>
      <c r="B63" s="169" t="s">
        <v>10647</v>
      </c>
      <c r="C63" s="169" t="s">
        <v>10680</v>
      </c>
      <c r="D63" s="170" t="s">
        <v>12149</v>
      </c>
      <c r="E63" s="171" t="str">
        <f>LEFT(BD_MO[[#This Row],[LABOR]],2)</f>
        <v>Es</v>
      </c>
      <c r="F63" s="172" t="s">
        <v>10687</v>
      </c>
      <c r="G63" s="172" t="s">
        <v>10648</v>
      </c>
      <c r="H6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63" s="171" t="str">
        <f>IF(BD_MO[FECHA]&lt;&gt;"",VLOOKUP(BD_MO[LABOR],TB_CECO[[LABOR]:[CECO_T]],3,FALSE),"")</f>
        <v>VANESSA</v>
      </c>
      <c r="J63" s="171" t="str">
        <f>IF(BD_MO[FECHA]&lt;&gt;"",VLOOKUP(BD_MO[LABOR],D_CECO!B:H,7,FALSE),"")</f>
        <v>LINEAL</v>
      </c>
      <c r="K63" s="171" t="str">
        <f>IF(BD_MO[FECHA]&lt;&gt;"",VLOOKUP(BD_MO[LABOR],D_CECO!B:H,4,FALSE),"")</f>
        <v>EXPLORACION</v>
      </c>
      <c r="L63" s="171"/>
      <c r="M63" s="169" t="s">
        <v>10646</v>
      </c>
      <c r="N63" s="172"/>
      <c r="O63" s="173" t="s">
        <v>11904</v>
      </c>
      <c r="P63" s="173" t="s">
        <v>11926</v>
      </c>
      <c r="Q63" s="173"/>
      <c r="R63" s="174"/>
      <c r="S63" s="175" t="str">
        <f>IFERROR(VLOOKUP(BD_MO[DNI 4],#REF!,2,FALSE)," ")</f>
        <v xml:space="preserve"> </v>
      </c>
      <c r="T63" s="176">
        <f>+IF(BD_MO[[#This Row],[FECHA]]&lt;&gt;"",COUNTA(BD_MO[[#This Row],[DNI]],BD_MO[[#This Row],[DNI 2]],BD_MO[[#This Row],[DNI 3]],BD_MO[[#This Row],[DNI 4]]),"")</f>
        <v>2</v>
      </c>
      <c r="U63" s="176">
        <v>1.1000000000000001</v>
      </c>
      <c r="V63" s="176">
        <v>0.7</v>
      </c>
      <c r="W63" s="176"/>
      <c r="X63" s="176">
        <v>0.2</v>
      </c>
      <c r="Y63" s="177">
        <f>SUM(BD_MO[[#This Row],[LIMP]:[SERV]])</f>
        <v>2</v>
      </c>
      <c r="Z63" s="172" t="s">
        <v>12175</v>
      </c>
      <c r="AA63" s="172">
        <f>+IF(BD_MO[[#This Row],[N° VALE]]&lt;&gt;"",1,"")</f>
        <v>1</v>
      </c>
      <c r="AB63" s="169" t="s">
        <v>10710</v>
      </c>
      <c r="AC63" s="172">
        <v>5</v>
      </c>
      <c r="AD63" s="172">
        <f>+IF(BD_MO[[#This Row],[N° VALE]]&lt;&gt;"",BD_MO[[#This Row],[FULMINANTE N° 08]]+BD_MO[CARMEX 7''],"")</f>
        <v>22</v>
      </c>
      <c r="AE63" s="172"/>
      <c r="AF63" s="172">
        <f>+IF(BD_MO[[#This Row],[N° VALE]]&lt;&gt;"",BD_MO[[#This Row],[N° TALADROS]]+BD_MO[[#This Row],[N° TAL. VACIOS]],"")</f>
        <v>22</v>
      </c>
      <c r="AG63" s="178">
        <v>60</v>
      </c>
      <c r="AH63" s="178">
        <v>74</v>
      </c>
      <c r="AI63" s="178"/>
      <c r="AJ63" s="178"/>
      <c r="AK63" s="178">
        <v>22</v>
      </c>
      <c r="AL63" s="178">
        <v>4</v>
      </c>
      <c r="AM63" s="171"/>
      <c r="AN63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63" s="172">
        <f>+IF(BD_MO[[#This Row],[N° VALE]]&lt;&gt;"",IF(BD_MO[[#This Row],[FULMINANTE N° 08]]&lt;&gt;"",BD_MO[[#This Row],[FULMINANTE N° 08]],IF(BD_MO[[#This Row],[CARMEX 7'']]&lt;&gt;0,0,"")),"")</f>
        <v>0</v>
      </c>
      <c r="AP63" s="176">
        <f>+IF(BD_MO[[#This Row],[N° VALE]]&lt;&gt;"",BD_MO[[#This Row],[N°  TOTAL TALADROS]]*BD_MO[[#This Row],[BARRA]]*0.95,"")</f>
        <v>104.5</v>
      </c>
      <c r="AQ63" s="176">
        <f>+IF(BD_MO[[#This Row],[N° VALE]]&lt;&gt;"",BD_MO[[#This Row],[EMULNOR 1000 (N° CART.)]]*PE_EMUL_1000[PE],"")</f>
        <v>7.0078000000000005</v>
      </c>
      <c r="AR63" s="176">
        <f>+IF(BD_MO[[#This Row],[N° VALE]]&lt;&gt;"",BD_MO[[#This Row],[EMULNOR 3000 (N° CART.)]]*PE_EMUL_3000[PE],"")</f>
        <v>5.7692307692307718</v>
      </c>
      <c r="AS63" s="176">
        <f>+IF(BD_MO[[#This Row],[N° VALE]]&lt;&gt;"",BD_MO[[#This Row],[PULVERULENTA (N° CART.)]]*PE_PULV_65[PE],"")</f>
        <v>0</v>
      </c>
      <c r="AT63" s="176">
        <f>+IF(BD_MO[[#This Row],[N° DISP]]&lt;&gt;"",BD_MO[[#This Row],[SEMIGELATINA (N° CART.)]]*PE_SEMIGEL_65[PE],"")</f>
        <v>0</v>
      </c>
      <c r="AU63" s="176">
        <f>+IF(BD_MO[N° VALE]&lt;&gt;"",BD_MO[[#This Row],[KG EXPLO SEMIGEL]]+BD_MO[[#This Row],[KG EXPLO PULVE]]+BD_MO[[#This Row],[KG EXPLO EMULN 3000]]+BD_MO[[#This Row],[KG EXPLO EMULN 1000]],"")</f>
        <v>12.777030769230773</v>
      </c>
      <c r="AV63" s="172"/>
      <c r="AW63" s="172">
        <v>15</v>
      </c>
      <c r="AX63" s="172" t="str">
        <f>+IF(BD_MO[[#This Row],[MINERAL (U-35)]]&lt;&gt;"",BD_MO[[#This Row],[MINERAL (U-35)]]*1.45,"-")</f>
        <v>-</v>
      </c>
      <c r="AY63" s="172">
        <f>+IF(BD_MO[[#This Row],[DESMONTE (U-35)]]&lt;&gt;"",BD_MO[[#This Row],[DESMONTE (U-35)]]*1.23,"-")</f>
        <v>18.45</v>
      </c>
      <c r="AZ63" s="172"/>
      <c r="BA63" s="172"/>
      <c r="BB63" s="172"/>
      <c r="BC63" s="172"/>
      <c r="BD63" s="172"/>
      <c r="BE63" s="172"/>
      <c r="BF63" s="172"/>
      <c r="BG63" s="172"/>
      <c r="BH63" s="172"/>
      <c r="BI63" s="172"/>
      <c r="BJ63" s="172"/>
      <c r="BK63" s="172"/>
      <c r="BL63" s="172"/>
      <c r="BM63" s="172"/>
      <c r="BN63" s="171"/>
      <c r="BO63" s="172"/>
      <c r="BP63" s="172"/>
      <c r="BQ63" s="171"/>
      <c r="BR63" s="172"/>
      <c r="BS63" s="171"/>
      <c r="BT63" s="176"/>
      <c r="BU63" s="172"/>
      <c r="BV63" s="172"/>
      <c r="BW63" s="172"/>
      <c r="BX63" s="172"/>
      <c r="BY63" s="172"/>
      <c r="BZ63" s="172"/>
      <c r="CA63" s="172"/>
      <c r="CB63" s="172"/>
      <c r="CC63" s="172"/>
      <c r="CD63" s="172"/>
      <c r="CE63" s="172"/>
      <c r="CF63" s="172"/>
      <c r="CG63" s="172"/>
      <c r="CH63" s="172"/>
      <c r="CI63" s="172"/>
      <c r="CJ63" s="172"/>
      <c r="CK63" s="172"/>
      <c r="CL63" s="172"/>
      <c r="CM63" s="172"/>
      <c r="CN63" s="172"/>
      <c r="CO63" s="172"/>
      <c r="CP63" s="176">
        <f>+IF(BD_MO[[#This Row],[FECHA]]&lt;&gt;"",BD_MO[[#This Row],[PUNTAL 4"]]+BD_MO[[#This Row],[PUNTAL 5"]]+BD_MO[[#This Row],[PUNTAL 6"]]+BD_MO[[#This Row],[PUNTAL 7"]]+BD_MO[[#This Row],[PUNTAL 8"]],"")</f>
        <v>0</v>
      </c>
      <c r="CQ63" s="172"/>
      <c r="CR63" s="172"/>
      <c r="CS63" s="172"/>
      <c r="CT63" s="172"/>
      <c r="CU63" s="172"/>
      <c r="CV63" s="172"/>
      <c r="CW63" s="172"/>
      <c r="CX63" s="172"/>
      <c r="CY63" s="176"/>
      <c r="CZ6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63" s="176">
        <f>+IF(BD_MO[[#This Row],[FECHA]]&lt;&gt;"",BD_MO[[#This Row],[DURMIENTE2]]*6.561+BD_MO[[#This Row],[LISTONES]]*4.921+BD_MO[[#This Row],[TABLA 1"x8"x3m]]*6.561+BD_MO[[#This Row],[TABLA 2"x8"x3m]]*13.122,"")</f>
        <v>0</v>
      </c>
      <c r="DB63" s="176">
        <f>+IF(BD_MO[[#This Row],[FECHA]]&lt;&gt;"",BD_MO[[#This Row],[PIE2 MADERA ASERRADA]]*1.95,"")</f>
        <v>0</v>
      </c>
      <c r="DC63" s="176">
        <f>+IF(BD_MO[[#This Row],[FECHA]]&lt;&gt;"",BD_MO[[#This Row],[KG. MADERA REDONDA]]+BD_MO[[#This Row],[KG MADERA ASERRADA]],"")</f>
        <v>0</v>
      </c>
      <c r="DD6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63" s="172"/>
      <c r="DF63" s="172"/>
      <c r="DG63" s="172"/>
      <c r="DH63" s="172"/>
      <c r="DI63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63" s="180"/>
      <c r="DK63" s="180"/>
      <c r="DL63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63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63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63" s="181">
        <v>11.01</v>
      </c>
      <c r="DP63" s="180">
        <v>4.97</v>
      </c>
      <c r="DQ63" s="180">
        <v>0.7</v>
      </c>
      <c r="DR63" s="116">
        <f>IF(BD_MO[[#This Row],[TIPO AVANCE]]="Avance",((BD_MO[[#This Row],[AVANCE (m)]]/BD_MO[[#This Row],[AVANCE TEÓRICO]]))," ")</f>
        <v>0.51851851851851849</v>
      </c>
      <c r="DS63" s="134"/>
      <c r="DT63" s="134"/>
      <c r="DU63" s="134"/>
      <c r="DV63" s="134"/>
      <c r="DW63" s="134"/>
      <c r="DX63" s="135"/>
      <c r="DY63" s="135"/>
      <c r="DZ63" s="135"/>
    </row>
    <row r="64" spans="1:130" s="136" customFormat="1" ht="18" customHeight="1" x14ac:dyDescent="0.25">
      <c r="A64" s="168">
        <v>44655</v>
      </c>
      <c r="B64" s="169" t="s">
        <v>10647</v>
      </c>
      <c r="C64" s="169" t="s">
        <v>10680</v>
      </c>
      <c r="D64" s="170" t="s">
        <v>10951</v>
      </c>
      <c r="E64" s="171" t="str">
        <f>LEFT(BD_MO[[#This Row],[LABOR]],2)</f>
        <v>In</v>
      </c>
      <c r="F64" s="172"/>
      <c r="G64" s="172" t="s">
        <v>10669</v>
      </c>
      <c r="H6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64" s="171" t="str">
        <f>IF(BD_MO[FECHA]&lt;&gt;"",VLOOKUP(BD_MO[LABOR],TB_CECO[[LABOR]:[CECO_T]],3,FALSE),"")</f>
        <v>CACHORRO</v>
      </c>
      <c r="J64" s="171" t="str">
        <f>IF(BD_MO[FECHA]&lt;&gt;"",VLOOKUP(BD_MO[LABOR],D_CECO!B:H,7,FALSE),"")</f>
        <v>LINEAL</v>
      </c>
      <c r="K64" s="171" t="str">
        <f>IF(BD_MO[FECHA]&lt;&gt;"",VLOOKUP(BD_MO[LABOR],D_CECO!B:H,4,FALSE),"")</f>
        <v>EXPLORACION</v>
      </c>
      <c r="L64" s="171"/>
      <c r="M64" s="169"/>
      <c r="N64" s="172"/>
      <c r="O64" s="173" t="s">
        <v>11906</v>
      </c>
      <c r="P64" s="173"/>
      <c r="Q64" s="173"/>
      <c r="R64" s="174"/>
      <c r="S64" s="175" t="str">
        <f>IFERROR(VLOOKUP(BD_MO[DNI 4],#REF!,2,FALSE)," ")</f>
        <v xml:space="preserve"> </v>
      </c>
      <c r="T64" s="176">
        <f>+IF(BD_MO[[#This Row],[FECHA]]&lt;&gt;"",COUNTA(BD_MO[[#This Row],[DNI]],BD_MO[[#This Row],[DNI 2]],BD_MO[[#This Row],[DNI 3]],BD_MO[[#This Row],[DNI 4]]),"")</f>
        <v>1</v>
      </c>
      <c r="U64" s="176"/>
      <c r="V64" s="176"/>
      <c r="W64" s="176"/>
      <c r="X64" s="176">
        <v>1</v>
      </c>
      <c r="Y64" s="177">
        <f>SUM(BD_MO[[#This Row],[LIMP]:[SERV]])</f>
        <v>1</v>
      </c>
      <c r="Z64" s="172"/>
      <c r="AA64" s="172" t="str">
        <f>+IF(BD_MO[[#This Row],[N° VALE]]&lt;&gt;"",1,"")</f>
        <v/>
      </c>
      <c r="AB64" s="169"/>
      <c r="AC64" s="172"/>
      <c r="AD64" s="172" t="str">
        <f>+IF(BD_MO[[#This Row],[N° VALE]]&lt;&gt;"",BD_MO[[#This Row],[FULMINANTE N° 08]]+BD_MO[CARMEX 7''],"")</f>
        <v/>
      </c>
      <c r="AE64" s="172"/>
      <c r="AF64" s="172" t="str">
        <f>+IF(BD_MO[[#This Row],[N° VALE]]&lt;&gt;"",BD_MO[[#This Row],[N° TALADROS]]+BD_MO[[#This Row],[N° TAL. VACIOS]],"")</f>
        <v/>
      </c>
      <c r="AG64" s="178"/>
      <c r="AH64" s="178"/>
      <c r="AI64" s="178"/>
      <c r="AJ64" s="178"/>
      <c r="AK64" s="178"/>
      <c r="AL64" s="178"/>
      <c r="AM64" s="171"/>
      <c r="AN6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64" s="172" t="str">
        <f>+IF(BD_MO[[#This Row],[N° VALE]]&lt;&gt;"",IF(BD_MO[[#This Row],[FULMINANTE N° 08]]&lt;&gt;"",BD_MO[[#This Row],[FULMINANTE N° 08]],IF(BD_MO[[#This Row],[CARMEX 7'']]&lt;&gt;0,0,"")),"")</f>
        <v/>
      </c>
      <c r="AP64" s="176" t="str">
        <f>+IF(BD_MO[[#This Row],[N° VALE]]&lt;&gt;"",BD_MO[[#This Row],[N°  TOTAL TALADROS]]*BD_MO[[#This Row],[BARRA]]*0.95,"")</f>
        <v/>
      </c>
      <c r="AQ64" s="176" t="str">
        <f>+IF(BD_MO[[#This Row],[N° VALE]]&lt;&gt;"",BD_MO[[#This Row],[EMULNOR 1000 (N° CART.)]]*PE_EMUL_1000[PE],"")</f>
        <v/>
      </c>
      <c r="AR64" s="176" t="str">
        <f>+IF(BD_MO[[#This Row],[N° VALE]]&lt;&gt;"",BD_MO[[#This Row],[EMULNOR 3000 (N° CART.)]]*PE_EMUL_3000[PE],"")</f>
        <v/>
      </c>
      <c r="AS64" s="176" t="str">
        <f>+IF(BD_MO[[#This Row],[N° VALE]]&lt;&gt;"",BD_MO[[#This Row],[PULVERULENTA (N° CART.)]]*PE_PULV_65[PE],"")</f>
        <v/>
      </c>
      <c r="AT64" s="176" t="str">
        <f>+IF(BD_MO[[#This Row],[N° DISP]]&lt;&gt;"",BD_MO[[#This Row],[SEMIGELATINA (N° CART.)]]*PE_SEMIGEL_65[PE],"")</f>
        <v/>
      </c>
      <c r="AU64" s="176" t="str">
        <f>+IF(BD_MO[N° VALE]&lt;&gt;"",BD_MO[[#This Row],[KG EXPLO SEMIGEL]]+BD_MO[[#This Row],[KG EXPLO PULVE]]+BD_MO[[#This Row],[KG EXPLO EMULN 3000]]+BD_MO[[#This Row],[KG EXPLO EMULN 1000]],"")</f>
        <v/>
      </c>
      <c r="AV64" s="172"/>
      <c r="AW64" s="172"/>
      <c r="AX64" s="172" t="str">
        <f>+IF(BD_MO[[#This Row],[MINERAL (U-35)]]&lt;&gt;"",BD_MO[[#This Row],[MINERAL (U-35)]]*1.45,"-")</f>
        <v>-</v>
      </c>
      <c r="AY64" s="172" t="str">
        <f>+IF(BD_MO[[#This Row],[DESMONTE (U-35)]]&lt;&gt;"",BD_MO[[#This Row],[DESMONTE (U-35)]]*1.23,"-")</f>
        <v>-</v>
      </c>
      <c r="AZ64" s="172"/>
      <c r="BA64" s="172"/>
      <c r="BB64" s="172"/>
      <c r="BC64" s="172"/>
      <c r="BD64" s="172"/>
      <c r="BE64" s="172"/>
      <c r="BF64" s="172"/>
      <c r="BG64" s="172"/>
      <c r="BH64" s="172"/>
      <c r="BI64" s="172"/>
      <c r="BJ64" s="172"/>
      <c r="BK64" s="172"/>
      <c r="BL64" s="172"/>
      <c r="BM64" s="172"/>
      <c r="BN64" s="171"/>
      <c r="BO64" s="172"/>
      <c r="BP64" s="172"/>
      <c r="BQ64" s="171"/>
      <c r="BR64" s="172"/>
      <c r="BS64" s="171"/>
      <c r="BT64" s="176"/>
      <c r="BU64" s="172"/>
      <c r="BV64" s="172"/>
      <c r="BW64" s="172"/>
      <c r="BX64" s="172"/>
      <c r="BY64" s="172"/>
      <c r="BZ64" s="172"/>
      <c r="CA64" s="172"/>
      <c r="CB64" s="172"/>
      <c r="CC64" s="172"/>
      <c r="CD64" s="172"/>
      <c r="CE64" s="172"/>
      <c r="CF64" s="172"/>
      <c r="CG64" s="172"/>
      <c r="CH64" s="172"/>
      <c r="CI64" s="172"/>
      <c r="CJ64" s="172"/>
      <c r="CK64" s="172"/>
      <c r="CL64" s="172"/>
      <c r="CM64" s="172"/>
      <c r="CN64" s="172"/>
      <c r="CO64" s="172"/>
      <c r="CP64" s="176">
        <f>+IF(BD_MO[[#This Row],[FECHA]]&lt;&gt;"",BD_MO[[#This Row],[PUNTAL 4"]]+BD_MO[[#This Row],[PUNTAL 5"]]+BD_MO[[#This Row],[PUNTAL 6"]]+BD_MO[[#This Row],[PUNTAL 7"]]+BD_MO[[#This Row],[PUNTAL 8"]],"")</f>
        <v>0</v>
      </c>
      <c r="CQ64" s="172"/>
      <c r="CR64" s="172"/>
      <c r="CS64" s="172"/>
      <c r="CT64" s="172"/>
      <c r="CU64" s="172"/>
      <c r="CV64" s="172"/>
      <c r="CW64" s="172"/>
      <c r="CX64" s="172"/>
      <c r="CY64" s="176"/>
      <c r="CZ6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64" s="176">
        <f>+IF(BD_MO[[#This Row],[FECHA]]&lt;&gt;"",BD_MO[[#This Row],[DURMIENTE2]]*6.561+BD_MO[[#This Row],[LISTONES]]*4.921+BD_MO[[#This Row],[TABLA 1"x8"x3m]]*6.561+BD_MO[[#This Row],[TABLA 2"x8"x3m]]*13.122,"")</f>
        <v>0</v>
      </c>
      <c r="DB64" s="176">
        <f>+IF(BD_MO[[#This Row],[FECHA]]&lt;&gt;"",BD_MO[[#This Row],[PIE2 MADERA ASERRADA]]*1.95,"")</f>
        <v>0</v>
      </c>
      <c r="DC64" s="176">
        <f>+IF(BD_MO[[#This Row],[FECHA]]&lt;&gt;"",BD_MO[[#This Row],[KG. MADERA REDONDA]]+BD_MO[[#This Row],[KG MADERA ASERRADA]],"")</f>
        <v>0</v>
      </c>
      <c r="DD6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64" s="172"/>
      <c r="DF64" s="172"/>
      <c r="DG64" s="172"/>
      <c r="DH64" s="172"/>
      <c r="DI6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64" s="180"/>
      <c r="DK64" s="180"/>
      <c r="DL6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6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6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64" s="181"/>
      <c r="DP64" s="180" t="str">
        <f>+IF(BD_MO[[#This Row],[M o D]]&lt;&gt;"",IF(BD_MO[[#This Row],[M o D]]="M",BD_MO[[#This Row],[ROTURA TMH]]/2.65,BD_MO[[#This Row],[ROTURA TMH]]/2.4),"")</f>
        <v/>
      </c>
      <c r="DQ64" s="180"/>
      <c r="DR64" s="116" t="str">
        <f>IF(BD_MO[[#This Row],[TIPO AVANCE]]="Avance",((BD_MO[[#This Row],[AVANCE (m)]]/BD_MO[[#This Row],[AVANCE TEÓRICO]]))," ")</f>
        <v xml:space="preserve"> </v>
      </c>
      <c r="DS64" s="134"/>
      <c r="DT64" s="134"/>
      <c r="DU64" s="134"/>
      <c r="DV64" s="134"/>
      <c r="DW64" s="134"/>
      <c r="DX64" s="135"/>
      <c r="DY64" s="135"/>
      <c r="DZ64" s="135"/>
    </row>
    <row r="65" spans="1:130" s="136" customFormat="1" ht="18" customHeight="1" x14ac:dyDescent="0.25">
      <c r="A65" s="168">
        <v>44655</v>
      </c>
      <c r="B65" s="169" t="s">
        <v>10647</v>
      </c>
      <c r="C65" s="169" t="s">
        <v>10680</v>
      </c>
      <c r="D65" s="170" t="s">
        <v>11872</v>
      </c>
      <c r="E65" s="171" t="str">
        <f>LEFT(BD_MO[[#This Row],[LABOR]],2)</f>
        <v>PQ</v>
      </c>
      <c r="F65" s="172"/>
      <c r="G65" s="172" t="s">
        <v>10669</v>
      </c>
      <c r="H65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65" s="171" t="str">
        <f>IF(BD_MO[FECHA]&lt;&gt;"",VLOOKUP(BD_MO[LABOR],TB_CECO[[LABOR]:[CECO_T]],3,FALSE),"")</f>
        <v>ANDREA</v>
      </c>
      <c r="J65" s="171" t="str">
        <f>IF(BD_MO[FECHA]&lt;&gt;"",VLOOKUP(BD_MO[LABOR],D_CECO!B:H,7,FALSE),"")</f>
        <v>LINEAL</v>
      </c>
      <c r="K65" s="171" t="str">
        <f>IF(BD_MO[FECHA]&lt;&gt;"",VLOOKUP(BD_MO[LABOR],D_CECO!B:H,4,FALSE),"")</f>
        <v>EXPLOTACION</v>
      </c>
      <c r="L65" s="171"/>
      <c r="M65" s="169"/>
      <c r="N65" s="172"/>
      <c r="O65" s="173" t="s">
        <v>11908</v>
      </c>
      <c r="P65" s="173" t="s">
        <v>12171</v>
      </c>
      <c r="Q65" s="173" t="s">
        <v>12152</v>
      </c>
      <c r="R65" s="174"/>
      <c r="S65" s="175" t="str">
        <f>IFERROR(VLOOKUP(BD_MO[DNI 4],#REF!,2,FALSE)," ")</f>
        <v xml:space="preserve"> </v>
      </c>
      <c r="T65" s="176">
        <f>+IF(BD_MO[[#This Row],[FECHA]]&lt;&gt;"",COUNTA(BD_MO[[#This Row],[DNI]],BD_MO[[#This Row],[DNI 2]],BD_MO[[#This Row],[DNI 3]],BD_MO[[#This Row],[DNI 4]]),"")</f>
        <v>3</v>
      </c>
      <c r="U65" s="176"/>
      <c r="V65" s="176"/>
      <c r="W65" s="176"/>
      <c r="X65" s="176">
        <v>3</v>
      </c>
      <c r="Y65" s="177">
        <f>SUM(BD_MO[[#This Row],[LIMP]:[SERV]])</f>
        <v>3</v>
      </c>
      <c r="Z65" s="172"/>
      <c r="AA65" s="172" t="str">
        <f>+IF(BD_MO[[#This Row],[N° VALE]]&lt;&gt;"",1,"")</f>
        <v/>
      </c>
      <c r="AB65" s="169"/>
      <c r="AC65" s="172"/>
      <c r="AD65" s="172" t="str">
        <f>+IF(BD_MO[[#This Row],[N° VALE]]&lt;&gt;"",BD_MO[[#This Row],[FULMINANTE N° 08]]+BD_MO[CARMEX 7''],"")</f>
        <v/>
      </c>
      <c r="AE65" s="172"/>
      <c r="AF65" s="172" t="str">
        <f>+IF(BD_MO[[#This Row],[N° VALE]]&lt;&gt;"",BD_MO[[#This Row],[N° TALADROS]]+BD_MO[[#This Row],[N° TAL. VACIOS]],"")</f>
        <v/>
      </c>
      <c r="AG65" s="178"/>
      <c r="AH65" s="178"/>
      <c r="AI65" s="178"/>
      <c r="AJ65" s="178"/>
      <c r="AK65" s="178"/>
      <c r="AL65" s="178"/>
      <c r="AM65" s="171"/>
      <c r="AN65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65" s="172" t="str">
        <f>+IF(BD_MO[[#This Row],[N° VALE]]&lt;&gt;"",IF(BD_MO[[#This Row],[FULMINANTE N° 08]]&lt;&gt;"",BD_MO[[#This Row],[FULMINANTE N° 08]],IF(BD_MO[[#This Row],[CARMEX 7'']]&lt;&gt;0,0,"")),"")</f>
        <v/>
      </c>
      <c r="AP65" s="176" t="str">
        <f>+IF(BD_MO[[#This Row],[N° VALE]]&lt;&gt;"",BD_MO[[#This Row],[N°  TOTAL TALADROS]]*BD_MO[[#This Row],[BARRA]]*0.95,"")</f>
        <v/>
      </c>
      <c r="AQ65" s="176" t="str">
        <f>+IF(BD_MO[[#This Row],[N° VALE]]&lt;&gt;"",BD_MO[[#This Row],[EMULNOR 1000 (N° CART.)]]*PE_EMUL_1000[PE],"")</f>
        <v/>
      </c>
      <c r="AR65" s="176" t="str">
        <f>+IF(BD_MO[[#This Row],[N° VALE]]&lt;&gt;"",BD_MO[[#This Row],[EMULNOR 3000 (N° CART.)]]*PE_EMUL_3000[PE],"")</f>
        <v/>
      </c>
      <c r="AS65" s="176" t="str">
        <f>+IF(BD_MO[[#This Row],[N° VALE]]&lt;&gt;"",BD_MO[[#This Row],[PULVERULENTA (N° CART.)]]*PE_PULV_65[PE],"")</f>
        <v/>
      </c>
      <c r="AT65" s="176" t="str">
        <f>+IF(BD_MO[[#This Row],[N° DISP]]&lt;&gt;"",BD_MO[[#This Row],[SEMIGELATINA (N° CART.)]]*PE_SEMIGEL_65[PE],"")</f>
        <v/>
      </c>
      <c r="AU65" s="176" t="str">
        <f>+IF(BD_MO[N° VALE]&lt;&gt;"",BD_MO[[#This Row],[KG EXPLO SEMIGEL]]+BD_MO[[#This Row],[KG EXPLO PULVE]]+BD_MO[[#This Row],[KG EXPLO EMULN 3000]]+BD_MO[[#This Row],[KG EXPLO EMULN 1000]],"")</f>
        <v/>
      </c>
      <c r="AV65" s="172"/>
      <c r="AW65" s="172"/>
      <c r="AX65" s="172" t="str">
        <f>+IF(BD_MO[[#This Row],[MINERAL (U-35)]]&lt;&gt;"",BD_MO[[#This Row],[MINERAL (U-35)]]*1.45,"-")</f>
        <v>-</v>
      </c>
      <c r="AY65" s="172" t="str">
        <f>+IF(BD_MO[[#This Row],[DESMONTE (U-35)]]&lt;&gt;"",BD_MO[[#This Row],[DESMONTE (U-35)]]*1.23,"-")</f>
        <v>-</v>
      </c>
      <c r="AZ65" s="172"/>
      <c r="BA65" s="172"/>
      <c r="BB65" s="172"/>
      <c r="BC65" s="172"/>
      <c r="BD65" s="172"/>
      <c r="BE65" s="172"/>
      <c r="BF65" s="172"/>
      <c r="BG65" s="172"/>
      <c r="BH65" s="172"/>
      <c r="BI65" s="172"/>
      <c r="BJ65" s="172"/>
      <c r="BK65" s="172"/>
      <c r="BL65" s="172"/>
      <c r="BM65" s="172"/>
      <c r="BN65" s="171"/>
      <c r="BO65" s="172"/>
      <c r="BP65" s="172"/>
      <c r="BQ65" s="171"/>
      <c r="BR65" s="172"/>
      <c r="BS65" s="171"/>
      <c r="BT65" s="176"/>
      <c r="BU65" s="172"/>
      <c r="BV65" s="172"/>
      <c r="BW65" s="172"/>
      <c r="BX65" s="172"/>
      <c r="BY65" s="172"/>
      <c r="BZ65" s="172"/>
      <c r="CA65" s="172"/>
      <c r="CB65" s="172"/>
      <c r="CC65" s="172"/>
      <c r="CD65" s="172"/>
      <c r="CE65" s="172"/>
      <c r="CF65" s="172"/>
      <c r="CG65" s="172"/>
      <c r="CH65" s="172"/>
      <c r="CI65" s="172"/>
      <c r="CJ65" s="172"/>
      <c r="CK65" s="172"/>
      <c r="CL65" s="172"/>
      <c r="CM65" s="172"/>
      <c r="CN65" s="172"/>
      <c r="CO65" s="172"/>
      <c r="CP65" s="176">
        <f>+IF(BD_MO[[#This Row],[FECHA]]&lt;&gt;"",BD_MO[[#This Row],[PUNTAL 4"]]+BD_MO[[#This Row],[PUNTAL 5"]]+BD_MO[[#This Row],[PUNTAL 6"]]+BD_MO[[#This Row],[PUNTAL 7"]]+BD_MO[[#This Row],[PUNTAL 8"]],"")</f>
        <v>0</v>
      </c>
      <c r="CQ65" s="172"/>
      <c r="CR65" s="172"/>
      <c r="CS65" s="172"/>
      <c r="CT65" s="172"/>
      <c r="CU65" s="172"/>
      <c r="CV65" s="172"/>
      <c r="CW65" s="172"/>
      <c r="CX65" s="172"/>
      <c r="CY65" s="176"/>
      <c r="CZ65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65" s="176">
        <f>+IF(BD_MO[[#This Row],[FECHA]]&lt;&gt;"",BD_MO[[#This Row],[DURMIENTE2]]*6.561+BD_MO[[#This Row],[LISTONES]]*4.921+BD_MO[[#This Row],[TABLA 1"x8"x3m]]*6.561+BD_MO[[#This Row],[TABLA 2"x8"x3m]]*13.122,"")</f>
        <v>0</v>
      </c>
      <c r="DB65" s="176">
        <f>+IF(BD_MO[[#This Row],[FECHA]]&lt;&gt;"",BD_MO[[#This Row],[PIE2 MADERA ASERRADA]]*1.95,"")</f>
        <v>0</v>
      </c>
      <c r="DC65" s="176">
        <f>+IF(BD_MO[[#This Row],[FECHA]]&lt;&gt;"",BD_MO[[#This Row],[KG. MADERA REDONDA]]+BD_MO[[#This Row],[KG MADERA ASERRADA]],"")</f>
        <v>0</v>
      </c>
      <c r="DD65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65" s="172"/>
      <c r="DF65" s="172"/>
      <c r="DG65" s="172"/>
      <c r="DH65" s="172"/>
      <c r="DI65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65" s="180"/>
      <c r="DK65" s="180"/>
      <c r="DL65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65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65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65" s="181"/>
      <c r="DP65" s="180" t="str">
        <f>+IF(BD_MO[[#This Row],[M o D]]&lt;&gt;"",IF(BD_MO[[#This Row],[M o D]]="M",BD_MO[[#This Row],[ROTURA TMH]]/2.65,BD_MO[[#This Row],[ROTURA TMH]]/2.4),"")</f>
        <v/>
      </c>
      <c r="DQ65" s="180"/>
      <c r="DR65" s="116" t="str">
        <f>IF(BD_MO[[#This Row],[TIPO AVANCE]]="Avance",((BD_MO[[#This Row],[AVANCE (m)]]/BD_MO[[#This Row],[AVANCE TEÓRICO]]))," ")</f>
        <v xml:space="preserve"> </v>
      </c>
      <c r="DS65" s="134"/>
      <c r="DT65" s="134"/>
      <c r="DU65" s="134"/>
      <c r="DV65" s="134"/>
      <c r="DW65" s="134"/>
      <c r="DX65" s="135"/>
      <c r="DY65" s="135"/>
      <c r="DZ65" s="135"/>
    </row>
    <row r="66" spans="1:130" s="136" customFormat="1" ht="18" customHeight="1" x14ac:dyDescent="0.25">
      <c r="A66" s="168">
        <v>44655</v>
      </c>
      <c r="B66" s="169" t="s">
        <v>10647</v>
      </c>
      <c r="C66" s="169" t="s">
        <v>10680</v>
      </c>
      <c r="D66" s="170" t="s">
        <v>10954</v>
      </c>
      <c r="E66" s="171" t="str">
        <f>LEFT(BD_MO[[#This Row],[LABOR]],2)</f>
        <v>MO</v>
      </c>
      <c r="F66" s="172"/>
      <c r="G66" s="172" t="s">
        <v>10669</v>
      </c>
      <c r="H6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66" s="171" t="str">
        <f>IF(BD_MO[FECHA]&lt;&gt;"",VLOOKUP(BD_MO[LABOR],TB_CECO[[LABOR]:[CECO_T]],3,FALSE),"")</f>
        <v>INCA</v>
      </c>
      <c r="J66" s="171" t="str">
        <f>IF(BD_MO[FECHA]&lt;&gt;"",VLOOKUP(BD_MO[LABOR],D_CECO!B:H,7,FALSE),"")</f>
        <v>SERVICIOS</v>
      </c>
      <c r="K66" s="171" t="str">
        <f>IF(BD_MO[FECHA]&lt;&gt;"",VLOOKUP(BD_MO[LABOR],D_CECO!B:H,4,FALSE),"")</f>
        <v>SERVICIOS</v>
      </c>
      <c r="L66" s="171"/>
      <c r="M66" s="169"/>
      <c r="N66" s="172"/>
      <c r="O66" s="173" t="s">
        <v>12117</v>
      </c>
      <c r="P66" s="173" t="s">
        <v>11907</v>
      </c>
      <c r="Q66" s="173"/>
      <c r="R66" s="174"/>
      <c r="S66" s="175" t="str">
        <f>IFERROR(VLOOKUP(BD_MO[DNI 4],#REF!,2,FALSE)," ")</f>
        <v xml:space="preserve"> </v>
      </c>
      <c r="T66" s="176">
        <f>+IF(BD_MO[[#This Row],[FECHA]]&lt;&gt;"",COUNTA(BD_MO[[#This Row],[DNI]],BD_MO[[#This Row],[DNI 2]],BD_MO[[#This Row],[DNI 3]],BD_MO[[#This Row],[DNI 4]]),"")</f>
        <v>2</v>
      </c>
      <c r="U66" s="176"/>
      <c r="V66" s="176"/>
      <c r="W66" s="176"/>
      <c r="X66" s="176">
        <v>2</v>
      </c>
      <c r="Y66" s="177">
        <f>SUM(BD_MO[[#This Row],[LIMP]:[SERV]])</f>
        <v>2</v>
      </c>
      <c r="Z66" s="172"/>
      <c r="AA66" s="172" t="str">
        <f>+IF(BD_MO[[#This Row],[N° VALE]]&lt;&gt;"",1,"")</f>
        <v/>
      </c>
      <c r="AB66" s="169"/>
      <c r="AC66" s="172"/>
      <c r="AD66" s="172" t="str">
        <f>+IF(BD_MO[[#This Row],[N° VALE]]&lt;&gt;"",BD_MO[[#This Row],[FULMINANTE N° 08]]+BD_MO[CARMEX 7''],"")</f>
        <v/>
      </c>
      <c r="AE66" s="172"/>
      <c r="AF66" s="172" t="str">
        <f>+IF(BD_MO[[#This Row],[N° VALE]]&lt;&gt;"",BD_MO[[#This Row],[N° TALADROS]]+BD_MO[[#This Row],[N° TAL. VACIOS]],"")</f>
        <v/>
      </c>
      <c r="AG66" s="178"/>
      <c r="AH66" s="178"/>
      <c r="AI66" s="178"/>
      <c r="AJ66" s="178"/>
      <c r="AK66" s="178"/>
      <c r="AL66" s="178"/>
      <c r="AM66" s="171"/>
      <c r="AN66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66" s="172" t="str">
        <f>+IF(BD_MO[[#This Row],[N° VALE]]&lt;&gt;"",IF(BD_MO[[#This Row],[FULMINANTE N° 08]]&lt;&gt;"",BD_MO[[#This Row],[FULMINANTE N° 08]],IF(BD_MO[[#This Row],[CARMEX 7'']]&lt;&gt;0,0,"")),"")</f>
        <v/>
      </c>
      <c r="AP66" s="176" t="str">
        <f>+IF(BD_MO[[#This Row],[N° VALE]]&lt;&gt;"",BD_MO[[#This Row],[N°  TOTAL TALADROS]]*BD_MO[[#This Row],[BARRA]]*0.95,"")</f>
        <v/>
      </c>
      <c r="AQ66" s="176" t="str">
        <f>+IF(BD_MO[[#This Row],[N° VALE]]&lt;&gt;"",BD_MO[[#This Row],[EMULNOR 1000 (N° CART.)]]*PE_EMUL_1000[PE],"")</f>
        <v/>
      </c>
      <c r="AR66" s="176" t="str">
        <f>+IF(BD_MO[[#This Row],[N° VALE]]&lt;&gt;"",BD_MO[[#This Row],[EMULNOR 3000 (N° CART.)]]*PE_EMUL_3000[PE],"")</f>
        <v/>
      </c>
      <c r="AS66" s="176" t="str">
        <f>+IF(BD_MO[[#This Row],[N° VALE]]&lt;&gt;"",BD_MO[[#This Row],[PULVERULENTA (N° CART.)]]*PE_PULV_65[PE],"")</f>
        <v/>
      </c>
      <c r="AT66" s="176" t="str">
        <f>+IF(BD_MO[[#This Row],[N° DISP]]&lt;&gt;"",BD_MO[[#This Row],[SEMIGELATINA (N° CART.)]]*PE_SEMIGEL_65[PE],"")</f>
        <v/>
      </c>
      <c r="AU66" s="176" t="str">
        <f>+IF(BD_MO[N° VALE]&lt;&gt;"",BD_MO[[#This Row],[KG EXPLO SEMIGEL]]+BD_MO[[#This Row],[KG EXPLO PULVE]]+BD_MO[[#This Row],[KG EXPLO EMULN 3000]]+BD_MO[[#This Row],[KG EXPLO EMULN 1000]],"")</f>
        <v/>
      </c>
      <c r="AV66" s="172"/>
      <c r="AW66" s="172"/>
      <c r="AX66" s="172" t="str">
        <f>+IF(BD_MO[[#This Row],[MINERAL (U-35)]]&lt;&gt;"",BD_MO[[#This Row],[MINERAL (U-35)]]*1.45,"-")</f>
        <v>-</v>
      </c>
      <c r="AY66" s="172" t="str">
        <f>+IF(BD_MO[[#This Row],[DESMONTE (U-35)]]&lt;&gt;"",BD_MO[[#This Row],[DESMONTE (U-35)]]*1.23,"-")</f>
        <v>-</v>
      </c>
      <c r="AZ66" s="172"/>
      <c r="BA66" s="172"/>
      <c r="BB66" s="172"/>
      <c r="BC66" s="172"/>
      <c r="BD66" s="172"/>
      <c r="BE66" s="172"/>
      <c r="BF66" s="172"/>
      <c r="BG66" s="172"/>
      <c r="BH66" s="172"/>
      <c r="BI66" s="172"/>
      <c r="BJ66" s="172"/>
      <c r="BK66" s="172"/>
      <c r="BL66" s="172"/>
      <c r="BM66" s="172"/>
      <c r="BN66" s="171"/>
      <c r="BO66" s="172"/>
      <c r="BP66" s="172"/>
      <c r="BQ66" s="171"/>
      <c r="BR66" s="172"/>
      <c r="BS66" s="171"/>
      <c r="BT66" s="176"/>
      <c r="BU66" s="172"/>
      <c r="BV66" s="172"/>
      <c r="BW66" s="172"/>
      <c r="BX66" s="172"/>
      <c r="BY66" s="172"/>
      <c r="BZ66" s="172"/>
      <c r="CA66" s="172"/>
      <c r="CB66" s="172"/>
      <c r="CC66" s="172"/>
      <c r="CD66" s="172"/>
      <c r="CE66" s="172"/>
      <c r="CF66" s="172"/>
      <c r="CG66" s="172"/>
      <c r="CH66" s="172"/>
      <c r="CI66" s="172"/>
      <c r="CJ66" s="172"/>
      <c r="CK66" s="172"/>
      <c r="CL66" s="172"/>
      <c r="CM66" s="172"/>
      <c r="CN66" s="172"/>
      <c r="CO66" s="172"/>
      <c r="CP66" s="176">
        <f>+IF(BD_MO[[#This Row],[FECHA]]&lt;&gt;"",BD_MO[[#This Row],[PUNTAL 4"]]+BD_MO[[#This Row],[PUNTAL 5"]]+BD_MO[[#This Row],[PUNTAL 6"]]+BD_MO[[#This Row],[PUNTAL 7"]]+BD_MO[[#This Row],[PUNTAL 8"]],"")</f>
        <v>0</v>
      </c>
      <c r="CQ66" s="172"/>
      <c r="CR66" s="172"/>
      <c r="CS66" s="172"/>
      <c r="CT66" s="172"/>
      <c r="CU66" s="172"/>
      <c r="CV66" s="172"/>
      <c r="CW66" s="172"/>
      <c r="CX66" s="172"/>
      <c r="CY66" s="176"/>
      <c r="CZ6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66" s="176">
        <f>+IF(BD_MO[[#This Row],[FECHA]]&lt;&gt;"",BD_MO[[#This Row],[DURMIENTE2]]*6.561+BD_MO[[#This Row],[LISTONES]]*4.921+BD_MO[[#This Row],[TABLA 1"x8"x3m]]*6.561+BD_MO[[#This Row],[TABLA 2"x8"x3m]]*13.122,"")</f>
        <v>0</v>
      </c>
      <c r="DB66" s="176">
        <f>+IF(BD_MO[[#This Row],[FECHA]]&lt;&gt;"",BD_MO[[#This Row],[PIE2 MADERA ASERRADA]]*1.95,"")</f>
        <v>0</v>
      </c>
      <c r="DC66" s="176">
        <f>+IF(BD_MO[[#This Row],[FECHA]]&lt;&gt;"",BD_MO[[#This Row],[KG. MADERA REDONDA]]+BD_MO[[#This Row],[KG MADERA ASERRADA]],"")</f>
        <v>0</v>
      </c>
      <c r="DD6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66" s="172"/>
      <c r="DF66" s="172"/>
      <c r="DG66" s="172"/>
      <c r="DH66" s="172"/>
      <c r="DI66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66" s="180"/>
      <c r="DK66" s="180"/>
      <c r="DL6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66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66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66" s="181"/>
      <c r="DP66" s="180" t="str">
        <f>+IF(BD_MO[[#This Row],[M o D]]&lt;&gt;"",IF(BD_MO[[#This Row],[M o D]]="M",BD_MO[[#This Row],[ROTURA TMH]]/2.65,BD_MO[[#This Row],[ROTURA TMH]]/2.4),"")</f>
        <v/>
      </c>
      <c r="DQ66" s="180"/>
      <c r="DR66" s="116" t="str">
        <f>IF(BD_MO[[#This Row],[TIPO AVANCE]]="Avance",((BD_MO[[#This Row],[AVANCE (m)]]/BD_MO[[#This Row],[AVANCE TEÓRICO]]))," ")</f>
        <v xml:space="preserve"> </v>
      </c>
      <c r="DS66" s="134"/>
      <c r="DT66" s="134"/>
      <c r="DU66" s="134"/>
      <c r="DV66" s="134"/>
      <c r="DW66" s="134"/>
      <c r="DX66" s="135"/>
      <c r="DY66" s="135"/>
      <c r="DZ66" s="135"/>
    </row>
    <row r="67" spans="1:130" s="136" customFormat="1" ht="18" customHeight="1" x14ac:dyDescent="0.25">
      <c r="A67" s="168">
        <v>44655</v>
      </c>
      <c r="B67" s="169" t="s">
        <v>10647</v>
      </c>
      <c r="C67" s="169" t="s">
        <v>10680</v>
      </c>
      <c r="D67" s="170" t="s">
        <v>10717</v>
      </c>
      <c r="E67" s="171" t="str">
        <f>LEFT(BD_MO[[#This Row],[LABOR]],2)</f>
        <v>BO</v>
      </c>
      <c r="F67" s="172"/>
      <c r="G67" s="172" t="s">
        <v>10669</v>
      </c>
      <c r="H6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67" s="171" t="str">
        <f>IF(BD_MO[FECHA]&lt;&gt;"",VLOOKUP(BD_MO[LABOR],TB_CECO[[LABOR]:[CECO_T]],3,FALSE),"")</f>
        <v>CACHORRO</v>
      </c>
      <c r="J67" s="171" t="str">
        <f>IF(BD_MO[FECHA]&lt;&gt;"",VLOOKUP(BD_MO[LABOR],D_CECO!B:H,7,FALSE),"")</f>
        <v>SERVICIOS</v>
      </c>
      <c r="K67" s="171" t="str">
        <f>IF(BD_MO[FECHA]&lt;&gt;"",VLOOKUP(BD_MO[LABOR],D_CECO!B:H,4,FALSE),"")</f>
        <v>SERVICIOS</v>
      </c>
      <c r="L67" s="171"/>
      <c r="M67" s="169"/>
      <c r="N67" s="172"/>
      <c r="O67" s="173" t="s">
        <v>11909</v>
      </c>
      <c r="P67" s="173"/>
      <c r="Q67" s="173"/>
      <c r="R67" s="174"/>
      <c r="S67" s="175" t="str">
        <f>IFERROR(VLOOKUP(BD_MO[DNI 4],#REF!,2,FALSE)," ")</f>
        <v xml:space="preserve"> </v>
      </c>
      <c r="T67" s="176">
        <f>+IF(BD_MO[[#This Row],[FECHA]]&lt;&gt;"",COUNTA(BD_MO[[#This Row],[DNI]],BD_MO[[#This Row],[DNI 2]],BD_MO[[#This Row],[DNI 3]],BD_MO[[#This Row],[DNI 4]]),"")</f>
        <v>1</v>
      </c>
      <c r="U67" s="176"/>
      <c r="V67" s="176"/>
      <c r="W67" s="176"/>
      <c r="X67" s="176">
        <v>1</v>
      </c>
      <c r="Y67" s="177">
        <f>SUM(BD_MO[[#This Row],[LIMP]:[SERV]])</f>
        <v>1</v>
      </c>
      <c r="Z67" s="172"/>
      <c r="AA67" s="172" t="str">
        <f>+IF(BD_MO[[#This Row],[N° VALE]]&lt;&gt;"",1,"")</f>
        <v/>
      </c>
      <c r="AB67" s="169"/>
      <c r="AC67" s="172"/>
      <c r="AD67" s="172" t="str">
        <f>+IF(BD_MO[[#This Row],[N° VALE]]&lt;&gt;"",BD_MO[[#This Row],[FULMINANTE N° 08]]+BD_MO[CARMEX 7''],"")</f>
        <v/>
      </c>
      <c r="AE67" s="172"/>
      <c r="AF67" s="172" t="str">
        <f>+IF(BD_MO[[#This Row],[N° VALE]]&lt;&gt;"",BD_MO[[#This Row],[N° TALADROS]]+BD_MO[[#This Row],[N° TAL. VACIOS]],"")</f>
        <v/>
      </c>
      <c r="AG67" s="178"/>
      <c r="AH67" s="178"/>
      <c r="AI67" s="178"/>
      <c r="AJ67" s="178"/>
      <c r="AK67" s="178"/>
      <c r="AL67" s="178"/>
      <c r="AM67" s="171"/>
      <c r="AN67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67" s="172" t="str">
        <f>+IF(BD_MO[[#This Row],[N° VALE]]&lt;&gt;"",IF(BD_MO[[#This Row],[FULMINANTE N° 08]]&lt;&gt;"",BD_MO[[#This Row],[FULMINANTE N° 08]],IF(BD_MO[[#This Row],[CARMEX 7'']]&lt;&gt;0,0,"")),"")</f>
        <v/>
      </c>
      <c r="AP67" s="176" t="str">
        <f>+IF(BD_MO[[#This Row],[N° VALE]]&lt;&gt;"",BD_MO[[#This Row],[N°  TOTAL TALADROS]]*BD_MO[[#This Row],[BARRA]]*0.95,"")</f>
        <v/>
      </c>
      <c r="AQ67" s="176" t="str">
        <f>+IF(BD_MO[[#This Row],[N° VALE]]&lt;&gt;"",BD_MO[[#This Row],[EMULNOR 1000 (N° CART.)]]*PE_EMUL_1000[PE],"")</f>
        <v/>
      </c>
      <c r="AR67" s="176" t="str">
        <f>+IF(BD_MO[[#This Row],[N° VALE]]&lt;&gt;"",BD_MO[[#This Row],[EMULNOR 3000 (N° CART.)]]*PE_EMUL_3000[PE],"")</f>
        <v/>
      </c>
      <c r="AS67" s="176" t="str">
        <f>+IF(BD_MO[[#This Row],[N° VALE]]&lt;&gt;"",BD_MO[[#This Row],[PULVERULENTA (N° CART.)]]*PE_PULV_65[PE],"")</f>
        <v/>
      </c>
      <c r="AT67" s="176" t="str">
        <f>+IF(BD_MO[[#This Row],[N° DISP]]&lt;&gt;"",BD_MO[[#This Row],[SEMIGELATINA (N° CART.)]]*PE_SEMIGEL_65[PE],"")</f>
        <v/>
      </c>
      <c r="AU67" s="176" t="str">
        <f>+IF(BD_MO[N° VALE]&lt;&gt;"",BD_MO[[#This Row],[KG EXPLO SEMIGEL]]+BD_MO[[#This Row],[KG EXPLO PULVE]]+BD_MO[[#This Row],[KG EXPLO EMULN 3000]]+BD_MO[[#This Row],[KG EXPLO EMULN 1000]],"")</f>
        <v/>
      </c>
      <c r="AV67" s="172"/>
      <c r="AW67" s="172"/>
      <c r="AX67" s="172" t="str">
        <f>+IF(BD_MO[[#This Row],[MINERAL (U-35)]]&lt;&gt;"",BD_MO[[#This Row],[MINERAL (U-35)]]*1.45,"-")</f>
        <v>-</v>
      </c>
      <c r="AY67" s="172" t="str">
        <f>+IF(BD_MO[[#This Row],[DESMONTE (U-35)]]&lt;&gt;"",BD_MO[[#This Row],[DESMONTE (U-35)]]*1.23,"-")</f>
        <v>-</v>
      </c>
      <c r="AZ67" s="172"/>
      <c r="BA67" s="172"/>
      <c r="BB67" s="172"/>
      <c r="BC67" s="172"/>
      <c r="BD67" s="172"/>
      <c r="BE67" s="172"/>
      <c r="BF67" s="172"/>
      <c r="BG67" s="172"/>
      <c r="BH67" s="172"/>
      <c r="BI67" s="172"/>
      <c r="BJ67" s="172"/>
      <c r="BK67" s="172"/>
      <c r="BL67" s="172"/>
      <c r="BM67" s="172"/>
      <c r="BN67" s="171"/>
      <c r="BO67" s="172"/>
      <c r="BP67" s="172"/>
      <c r="BQ67" s="171"/>
      <c r="BR67" s="172"/>
      <c r="BS67" s="171"/>
      <c r="BT67" s="176"/>
      <c r="BU67" s="172"/>
      <c r="BV67" s="172"/>
      <c r="BW67" s="172"/>
      <c r="BX67" s="172"/>
      <c r="BY67" s="172"/>
      <c r="BZ67" s="172"/>
      <c r="CA67" s="172"/>
      <c r="CB67" s="172"/>
      <c r="CC67" s="172"/>
      <c r="CD67" s="172"/>
      <c r="CE67" s="172"/>
      <c r="CF67" s="172"/>
      <c r="CG67" s="172"/>
      <c r="CH67" s="172"/>
      <c r="CI67" s="172"/>
      <c r="CJ67" s="172"/>
      <c r="CK67" s="172"/>
      <c r="CL67" s="172"/>
      <c r="CM67" s="172"/>
      <c r="CN67" s="172"/>
      <c r="CO67" s="172"/>
      <c r="CP67" s="176">
        <f>+IF(BD_MO[[#This Row],[FECHA]]&lt;&gt;"",BD_MO[[#This Row],[PUNTAL 4"]]+BD_MO[[#This Row],[PUNTAL 5"]]+BD_MO[[#This Row],[PUNTAL 6"]]+BD_MO[[#This Row],[PUNTAL 7"]]+BD_MO[[#This Row],[PUNTAL 8"]],"")</f>
        <v>0</v>
      </c>
      <c r="CQ67" s="172"/>
      <c r="CR67" s="172"/>
      <c r="CS67" s="172"/>
      <c r="CT67" s="172"/>
      <c r="CU67" s="172"/>
      <c r="CV67" s="172"/>
      <c r="CW67" s="172"/>
      <c r="CX67" s="172"/>
      <c r="CY67" s="176"/>
      <c r="CZ6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67" s="176">
        <f>+IF(BD_MO[[#This Row],[FECHA]]&lt;&gt;"",BD_MO[[#This Row],[DURMIENTE2]]*6.561+BD_MO[[#This Row],[LISTONES]]*4.921+BD_MO[[#This Row],[TABLA 1"x8"x3m]]*6.561+BD_MO[[#This Row],[TABLA 2"x8"x3m]]*13.122,"")</f>
        <v>0</v>
      </c>
      <c r="DB67" s="176">
        <f>+IF(BD_MO[[#This Row],[FECHA]]&lt;&gt;"",BD_MO[[#This Row],[PIE2 MADERA ASERRADA]]*1.95,"")</f>
        <v>0</v>
      </c>
      <c r="DC67" s="176">
        <f>+IF(BD_MO[[#This Row],[FECHA]]&lt;&gt;"",BD_MO[[#This Row],[KG. MADERA REDONDA]]+BD_MO[[#This Row],[KG MADERA ASERRADA]],"")</f>
        <v>0</v>
      </c>
      <c r="DD6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67" s="172"/>
      <c r="DF67" s="172"/>
      <c r="DG67" s="172"/>
      <c r="DH67" s="172"/>
      <c r="DI67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67" s="180"/>
      <c r="DK67" s="180"/>
      <c r="DL6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67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67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67" s="181"/>
      <c r="DP67" s="180" t="str">
        <f>+IF(BD_MO[[#This Row],[M o D]]&lt;&gt;"",IF(BD_MO[[#This Row],[M o D]]="M",BD_MO[[#This Row],[ROTURA TMH]]/2.65,BD_MO[[#This Row],[ROTURA TMH]]/2.4),"")</f>
        <v/>
      </c>
      <c r="DQ67" s="180"/>
      <c r="DR67" s="116" t="str">
        <f>IF(BD_MO[[#This Row],[TIPO AVANCE]]="Avance",((BD_MO[[#This Row],[AVANCE (m)]]/BD_MO[[#This Row],[AVANCE TEÓRICO]]))," ")</f>
        <v xml:space="preserve"> </v>
      </c>
      <c r="DS67" s="134"/>
      <c r="DT67" s="134"/>
      <c r="DU67" s="134"/>
      <c r="DV67" s="134"/>
      <c r="DW67" s="134"/>
      <c r="DX67" s="135"/>
      <c r="DY67" s="135"/>
      <c r="DZ67" s="135"/>
    </row>
    <row r="68" spans="1:130" s="112" customFormat="1" ht="18" customHeight="1" thickBot="1" x14ac:dyDescent="0.3">
      <c r="A68" s="183">
        <v>44655</v>
      </c>
      <c r="B68" s="184" t="s">
        <v>10647</v>
      </c>
      <c r="C68" s="184" t="s">
        <v>10680</v>
      </c>
      <c r="D68" s="185" t="s">
        <v>10952</v>
      </c>
      <c r="E68" s="186" t="str">
        <f>LEFT(BD_MO[[#This Row],[LABOR]],2)</f>
        <v>In</v>
      </c>
      <c r="F68" s="187"/>
      <c r="G68" s="187" t="s">
        <v>10669</v>
      </c>
      <c r="H68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68" s="186" t="str">
        <f>IF(BD_MO[FECHA]&lt;&gt;"",VLOOKUP(BD_MO[LABOR],TB_CECO[[LABOR]:[CECO_T]],3,FALSE),"")</f>
        <v>VANESSA</v>
      </c>
      <c r="J68" s="186" t="str">
        <f>IF(BD_MO[FECHA]&lt;&gt;"",VLOOKUP(BD_MO[LABOR],D_CECO!B:H,7,FALSE),"")</f>
        <v>LINEAL</v>
      </c>
      <c r="K68" s="186" t="str">
        <f>IF(BD_MO[FECHA]&lt;&gt;"",VLOOKUP(BD_MO[LABOR],D_CECO!B:H,4,FALSE),"")</f>
        <v>EXPLORACION</v>
      </c>
      <c r="L68" s="186"/>
      <c r="M68" s="184"/>
      <c r="N68" s="187"/>
      <c r="O68" s="188" t="s">
        <v>11925</v>
      </c>
      <c r="P68" s="188" t="s">
        <v>12172</v>
      </c>
      <c r="Q68" s="188"/>
      <c r="R68" s="189"/>
      <c r="S68" s="190" t="str">
        <f>IFERROR(VLOOKUP(BD_MO[DNI 4],#REF!,2,FALSE)," ")</f>
        <v xml:space="preserve"> </v>
      </c>
      <c r="T68" s="191">
        <f>+IF(BD_MO[[#This Row],[FECHA]]&lt;&gt;"",COUNTA(BD_MO[[#This Row],[DNI]],BD_MO[[#This Row],[DNI 2]],BD_MO[[#This Row],[DNI 3]],BD_MO[[#This Row],[DNI 4]]),"")</f>
        <v>2</v>
      </c>
      <c r="U68" s="191"/>
      <c r="V68" s="191"/>
      <c r="W68" s="191"/>
      <c r="X68" s="191">
        <v>2</v>
      </c>
      <c r="Y68" s="192">
        <f>SUM(BD_MO[[#This Row],[LIMP]:[SERV]])</f>
        <v>2</v>
      </c>
      <c r="Z68" s="187"/>
      <c r="AA68" s="187" t="str">
        <f>+IF(BD_MO[[#This Row],[N° VALE]]&lt;&gt;"",1,"")</f>
        <v/>
      </c>
      <c r="AB68" s="184"/>
      <c r="AC68" s="187"/>
      <c r="AD68" s="187" t="str">
        <f>+IF(BD_MO[[#This Row],[N° VALE]]&lt;&gt;"",BD_MO[[#This Row],[FULMINANTE N° 08]]+BD_MO[CARMEX 7''],"")</f>
        <v/>
      </c>
      <c r="AE68" s="187"/>
      <c r="AF68" s="187" t="str">
        <f>+IF(BD_MO[[#This Row],[N° VALE]]&lt;&gt;"",BD_MO[[#This Row],[N° TALADROS]]+BD_MO[[#This Row],[N° TAL. VACIOS]],"")</f>
        <v/>
      </c>
      <c r="AG68" s="193"/>
      <c r="AH68" s="193"/>
      <c r="AI68" s="193"/>
      <c r="AJ68" s="193"/>
      <c r="AK68" s="193"/>
      <c r="AL68" s="193"/>
      <c r="AM68" s="186"/>
      <c r="AN68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68" s="187" t="str">
        <f>+IF(BD_MO[[#This Row],[N° VALE]]&lt;&gt;"",IF(BD_MO[[#This Row],[FULMINANTE N° 08]]&lt;&gt;"",BD_MO[[#This Row],[FULMINANTE N° 08]],IF(BD_MO[[#This Row],[CARMEX 7'']]&lt;&gt;0,0,"")),"")</f>
        <v/>
      </c>
      <c r="AP68" s="191" t="str">
        <f>+IF(BD_MO[[#This Row],[N° VALE]]&lt;&gt;"",BD_MO[[#This Row],[N°  TOTAL TALADROS]]*BD_MO[[#This Row],[BARRA]]*0.95,"")</f>
        <v/>
      </c>
      <c r="AQ68" s="191" t="str">
        <f>+IF(BD_MO[[#This Row],[N° VALE]]&lt;&gt;"",BD_MO[[#This Row],[EMULNOR 1000 (N° CART.)]]*PE_EMUL_1000[PE],"")</f>
        <v/>
      </c>
      <c r="AR68" s="191" t="str">
        <f>+IF(BD_MO[[#This Row],[N° VALE]]&lt;&gt;"",BD_MO[[#This Row],[EMULNOR 3000 (N° CART.)]]*PE_EMUL_3000[PE],"")</f>
        <v/>
      </c>
      <c r="AS68" s="191" t="str">
        <f>+IF(BD_MO[[#This Row],[N° VALE]]&lt;&gt;"",BD_MO[[#This Row],[PULVERULENTA (N° CART.)]]*PE_PULV_65[PE],"")</f>
        <v/>
      </c>
      <c r="AT68" s="191" t="str">
        <f>+IF(BD_MO[[#This Row],[N° DISP]]&lt;&gt;"",BD_MO[[#This Row],[SEMIGELATINA (N° CART.)]]*PE_SEMIGEL_65[PE],"")</f>
        <v/>
      </c>
      <c r="AU68" s="191" t="str">
        <f>+IF(BD_MO[N° VALE]&lt;&gt;"",BD_MO[[#This Row],[KG EXPLO SEMIGEL]]+BD_MO[[#This Row],[KG EXPLO PULVE]]+BD_MO[[#This Row],[KG EXPLO EMULN 3000]]+BD_MO[[#This Row],[KG EXPLO EMULN 1000]],"")</f>
        <v/>
      </c>
      <c r="AV68" s="187"/>
      <c r="AW68" s="187"/>
      <c r="AX68" s="187" t="str">
        <f>+IF(BD_MO[[#This Row],[MINERAL (U-35)]]&lt;&gt;"",BD_MO[[#This Row],[MINERAL (U-35)]]*1.45,"-")</f>
        <v>-</v>
      </c>
      <c r="AY68" s="187" t="str">
        <f>+IF(BD_MO[[#This Row],[DESMONTE (U-35)]]&lt;&gt;"",BD_MO[[#This Row],[DESMONTE (U-35)]]*1.23,"-")</f>
        <v>-</v>
      </c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87"/>
      <c r="BN68" s="186"/>
      <c r="BO68" s="187"/>
      <c r="BP68" s="187"/>
      <c r="BQ68" s="186"/>
      <c r="BR68" s="187"/>
      <c r="BS68" s="186"/>
      <c r="BT68" s="191"/>
      <c r="BU68" s="187"/>
      <c r="BV68" s="187"/>
      <c r="BW68" s="187"/>
      <c r="BX68" s="187"/>
      <c r="BY68" s="187"/>
      <c r="BZ68" s="187"/>
      <c r="CA68" s="187"/>
      <c r="CB68" s="187"/>
      <c r="CC68" s="187"/>
      <c r="CD68" s="187"/>
      <c r="CE68" s="187"/>
      <c r="CF68" s="187"/>
      <c r="CG68" s="187"/>
      <c r="CH68" s="187"/>
      <c r="CI68" s="187"/>
      <c r="CJ68" s="187"/>
      <c r="CK68" s="187"/>
      <c r="CL68" s="187"/>
      <c r="CM68" s="187"/>
      <c r="CN68" s="187"/>
      <c r="CO68" s="187"/>
      <c r="CP68" s="191">
        <f>+IF(BD_MO[[#This Row],[FECHA]]&lt;&gt;"",BD_MO[[#This Row],[PUNTAL 4"]]+BD_MO[[#This Row],[PUNTAL 5"]]+BD_MO[[#This Row],[PUNTAL 6"]]+BD_MO[[#This Row],[PUNTAL 7"]]+BD_MO[[#This Row],[PUNTAL 8"]],"")</f>
        <v>0</v>
      </c>
      <c r="CQ68" s="187"/>
      <c r="CR68" s="187"/>
      <c r="CS68" s="187"/>
      <c r="CT68" s="187"/>
      <c r="CU68" s="187"/>
      <c r="CV68" s="187"/>
      <c r="CW68" s="187"/>
      <c r="CX68" s="187"/>
      <c r="CY68" s="191"/>
      <c r="CZ68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68" s="191">
        <f>+IF(BD_MO[[#This Row],[FECHA]]&lt;&gt;"",BD_MO[[#This Row],[DURMIENTE2]]*6.561+BD_MO[[#This Row],[LISTONES]]*4.921+BD_MO[[#This Row],[TABLA 1"x8"x3m]]*6.561+BD_MO[[#This Row],[TABLA 2"x8"x3m]]*13.122,"")</f>
        <v>0</v>
      </c>
      <c r="DB68" s="191">
        <f>+IF(BD_MO[[#This Row],[FECHA]]&lt;&gt;"",BD_MO[[#This Row],[PIE2 MADERA ASERRADA]]*1.95,"")</f>
        <v>0</v>
      </c>
      <c r="DC68" s="191">
        <f>+IF(BD_MO[[#This Row],[FECHA]]&lt;&gt;"",BD_MO[[#This Row],[KG. MADERA REDONDA]]+BD_MO[[#This Row],[KG MADERA ASERRADA]],"")</f>
        <v>0</v>
      </c>
      <c r="DD68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68" s="187"/>
      <c r="DF68" s="187"/>
      <c r="DG68" s="187"/>
      <c r="DH68" s="187"/>
      <c r="DI68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68" s="195"/>
      <c r="DK68" s="195"/>
      <c r="DL68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68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68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68" s="196"/>
      <c r="DP68" s="195" t="str">
        <f>+IF(BD_MO[[#This Row],[M o D]]&lt;&gt;"",IF(BD_MO[[#This Row],[M o D]]="M",BD_MO[[#This Row],[ROTURA TMH]]/2.65,BD_MO[[#This Row],[ROTURA TMH]]/2.4),"")</f>
        <v/>
      </c>
      <c r="DQ68" s="195"/>
      <c r="DR68" s="116" t="str">
        <f>IF(BD_MO[[#This Row],[TIPO AVANCE]]="Avance",((BD_MO[[#This Row],[AVANCE (m)]]/BD_MO[[#This Row],[AVANCE TEÓRICO]]))," ")</f>
        <v xml:space="preserve"> </v>
      </c>
      <c r="DS68" s="110"/>
      <c r="DT68" s="110"/>
      <c r="DU68" s="110"/>
      <c r="DV68" s="110"/>
      <c r="DW68" s="110"/>
      <c r="DX68" s="111"/>
      <c r="DY68" s="111"/>
      <c r="DZ68" s="111"/>
    </row>
    <row r="69" spans="1:130" s="136" customFormat="1" ht="18" customHeight="1" x14ac:dyDescent="0.25">
      <c r="A69" s="168">
        <v>44655</v>
      </c>
      <c r="B69" s="169" t="s">
        <v>10655</v>
      </c>
      <c r="C69" s="169" t="s">
        <v>10668</v>
      </c>
      <c r="D69" s="170" t="s">
        <v>11746</v>
      </c>
      <c r="E69" s="171" t="str">
        <f>LEFT(BD_MO[[#This Row],[LABOR]],2)</f>
        <v>Tj</v>
      </c>
      <c r="F69" s="172"/>
      <c r="G69" s="172" t="s">
        <v>10656</v>
      </c>
      <c r="H6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69" s="171" t="str">
        <f>IF(BD_MO[FECHA]&lt;&gt;"",VLOOKUP(BD_MO[LABOR],TB_CECO[[LABOR]:[CECO_T]],3,FALSE),"")</f>
        <v>CACHORRO</v>
      </c>
      <c r="J69" s="171" t="str">
        <f>IF(BD_MO[FECHA]&lt;&gt;"",VLOOKUP(BD_MO[LABOR],D_CECO!B:H,7,FALSE),"")</f>
        <v>TAJO</v>
      </c>
      <c r="K69" s="171" t="str">
        <f>IF(BD_MO[FECHA]&lt;&gt;"",VLOOKUP(BD_MO[LABOR],D_CECO!B:H,4,FALSE),"")</f>
        <v>EXPLOTACION</v>
      </c>
      <c r="L69" s="171"/>
      <c r="M69" s="169"/>
      <c r="N69" s="172"/>
      <c r="O69" s="173" t="s">
        <v>12157</v>
      </c>
      <c r="P69" s="173" t="s">
        <v>12158</v>
      </c>
      <c r="Q69" s="173" t="s">
        <v>12094</v>
      </c>
      <c r="R69" s="174"/>
      <c r="S69" s="175" t="str">
        <f>IFERROR(VLOOKUP(BD_MO[DNI 4],#REF!,2,FALSE)," ")</f>
        <v xml:space="preserve"> </v>
      </c>
      <c r="T69" s="176">
        <f>+IF(BD_MO[[#This Row],[FECHA]]&lt;&gt;"",COUNTA(BD_MO[[#This Row],[DNI]],BD_MO[[#This Row],[DNI 2]],BD_MO[[#This Row],[DNI 3]],BD_MO[[#This Row],[DNI 4]]),"")</f>
        <v>3</v>
      </c>
      <c r="U69" s="176">
        <v>2</v>
      </c>
      <c r="V69" s="176"/>
      <c r="W69" s="176"/>
      <c r="X69" s="176">
        <v>1</v>
      </c>
      <c r="Y69" s="177">
        <f>SUM(BD_MO[[#This Row],[LIMP]:[SERV]])</f>
        <v>3</v>
      </c>
      <c r="Z69" s="172"/>
      <c r="AA69" s="172" t="str">
        <f>+IF(BD_MO[[#This Row],[N° VALE]]&lt;&gt;"",1,"")</f>
        <v/>
      </c>
      <c r="AB69" s="169"/>
      <c r="AC69" s="172"/>
      <c r="AD69" s="172" t="str">
        <f>+IF(BD_MO[[#This Row],[N° VALE]]&lt;&gt;"",BD_MO[[#This Row],[FULMINANTE N° 08]]+BD_MO[CARMEX 7''],"")</f>
        <v/>
      </c>
      <c r="AE69" s="172"/>
      <c r="AF69" s="172" t="str">
        <f>+IF(BD_MO[[#This Row],[N° VALE]]&lt;&gt;"",BD_MO[[#This Row],[N° TALADROS]]+BD_MO[[#This Row],[N° TAL. VACIOS]],"")</f>
        <v/>
      </c>
      <c r="AG69" s="178"/>
      <c r="AH69" s="178"/>
      <c r="AI69" s="178"/>
      <c r="AJ69" s="178"/>
      <c r="AK69" s="178"/>
      <c r="AL69" s="178"/>
      <c r="AM69" s="171"/>
      <c r="AN69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69" s="172" t="str">
        <f>+IF(BD_MO[[#This Row],[N° VALE]]&lt;&gt;"",IF(BD_MO[[#This Row],[FULMINANTE N° 08]]&lt;&gt;"",BD_MO[[#This Row],[FULMINANTE N° 08]],IF(BD_MO[[#This Row],[CARMEX 7'']]&lt;&gt;0,0,"")),"")</f>
        <v/>
      </c>
      <c r="AP69" s="176" t="str">
        <f>+IF(BD_MO[[#This Row],[N° VALE]]&lt;&gt;"",BD_MO[[#This Row],[N°  TOTAL TALADROS]]*BD_MO[[#This Row],[BARRA]]*0.95,"")</f>
        <v/>
      </c>
      <c r="AQ69" s="176" t="str">
        <f>+IF(BD_MO[[#This Row],[N° VALE]]&lt;&gt;"",BD_MO[[#This Row],[EMULNOR 1000 (N° CART.)]]*PE_EMUL_1000[PE],"")</f>
        <v/>
      </c>
      <c r="AR69" s="176" t="str">
        <f>+IF(BD_MO[[#This Row],[N° VALE]]&lt;&gt;"",BD_MO[[#This Row],[EMULNOR 3000 (N° CART.)]]*PE_EMUL_3000[PE],"")</f>
        <v/>
      </c>
      <c r="AS69" s="176" t="str">
        <f>+IF(BD_MO[[#This Row],[N° VALE]]&lt;&gt;"",BD_MO[[#This Row],[PULVERULENTA (N° CART.)]]*PE_PULV_65[PE],"")</f>
        <v/>
      </c>
      <c r="AT69" s="176" t="str">
        <f>+IF(BD_MO[[#This Row],[N° DISP]]&lt;&gt;"",BD_MO[[#This Row],[SEMIGELATINA (N° CART.)]]*PE_SEMIGEL_65[PE],"")</f>
        <v/>
      </c>
      <c r="AU69" s="176" t="str">
        <f>+IF(BD_MO[N° VALE]&lt;&gt;"",BD_MO[[#This Row],[KG EXPLO SEMIGEL]]+BD_MO[[#This Row],[KG EXPLO PULVE]]+BD_MO[[#This Row],[KG EXPLO EMULN 3000]]+BD_MO[[#This Row],[KG EXPLO EMULN 1000]],"")</f>
        <v/>
      </c>
      <c r="AV69" s="172">
        <v>15</v>
      </c>
      <c r="AW69" s="172"/>
      <c r="AX69" s="172">
        <f>+IF(BD_MO[[#This Row],[MINERAL (U-35)]]&lt;&gt;"",BD_MO[[#This Row],[MINERAL (U-35)]]*1.45,"-")</f>
        <v>21.75</v>
      </c>
      <c r="AY69" s="172" t="str">
        <f>+IF(BD_MO[[#This Row],[DESMONTE (U-35)]]&lt;&gt;"",BD_MO[[#This Row],[DESMONTE (U-35)]]*1.23,"-")</f>
        <v>-</v>
      </c>
      <c r="AZ69" s="172"/>
      <c r="BA69" s="172"/>
      <c r="BB69" s="172"/>
      <c r="BC69" s="172"/>
      <c r="BD69" s="172"/>
      <c r="BE69" s="172"/>
      <c r="BF69" s="172"/>
      <c r="BG69" s="172"/>
      <c r="BH69" s="172"/>
      <c r="BI69" s="172"/>
      <c r="BJ69" s="172"/>
      <c r="BK69" s="172"/>
      <c r="BL69" s="172"/>
      <c r="BM69" s="172"/>
      <c r="BN69" s="171"/>
      <c r="BO69" s="172"/>
      <c r="BP69" s="172"/>
      <c r="BQ69" s="171"/>
      <c r="BR69" s="172"/>
      <c r="BS69" s="171"/>
      <c r="BT69" s="176"/>
      <c r="BU69" s="172"/>
      <c r="BV69" s="172"/>
      <c r="BW69" s="172"/>
      <c r="BX69" s="172"/>
      <c r="BY69" s="172"/>
      <c r="BZ69" s="172"/>
      <c r="CA69" s="172"/>
      <c r="CB69" s="172"/>
      <c r="CC69" s="172"/>
      <c r="CD69" s="172"/>
      <c r="CE69" s="172"/>
      <c r="CF69" s="172"/>
      <c r="CG69" s="172"/>
      <c r="CH69" s="172"/>
      <c r="CI69" s="172"/>
      <c r="CJ69" s="172"/>
      <c r="CK69" s="172"/>
      <c r="CL69" s="172"/>
      <c r="CM69" s="172"/>
      <c r="CN69" s="172"/>
      <c r="CO69" s="172"/>
      <c r="CP69" s="176">
        <f>+IF(BD_MO[[#This Row],[FECHA]]&lt;&gt;"",BD_MO[[#This Row],[PUNTAL 4"]]+BD_MO[[#This Row],[PUNTAL 5"]]+BD_MO[[#This Row],[PUNTAL 6"]]+BD_MO[[#This Row],[PUNTAL 7"]]+BD_MO[[#This Row],[PUNTAL 8"]],"")</f>
        <v>0</v>
      </c>
      <c r="CQ69" s="172"/>
      <c r="CR69" s="172"/>
      <c r="CS69" s="172"/>
      <c r="CT69" s="172"/>
      <c r="CU69" s="172"/>
      <c r="CV69" s="172"/>
      <c r="CW69" s="172"/>
      <c r="CX69" s="172">
        <v>2</v>
      </c>
      <c r="CY69" s="176"/>
      <c r="CZ6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69" s="176">
        <f>+IF(BD_MO[[#This Row],[FECHA]]&lt;&gt;"",BD_MO[[#This Row],[DURMIENTE2]]*6.561+BD_MO[[#This Row],[LISTONES]]*4.921+BD_MO[[#This Row],[TABLA 1"x8"x3m]]*6.561+BD_MO[[#This Row],[TABLA 2"x8"x3m]]*13.122,"")</f>
        <v>26.244</v>
      </c>
      <c r="DB69" s="176">
        <f>+IF(BD_MO[[#This Row],[FECHA]]&lt;&gt;"",BD_MO[[#This Row],[PIE2 MADERA ASERRADA]]*1.95,"")</f>
        <v>51.175799999999995</v>
      </c>
      <c r="DC69" s="176">
        <f>+IF(BD_MO[[#This Row],[FECHA]]&lt;&gt;"",BD_MO[[#This Row],[KG. MADERA REDONDA]]+BD_MO[[#This Row],[KG MADERA ASERRADA]],"")</f>
        <v>51.175799999999995</v>
      </c>
      <c r="DD6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30.44</v>
      </c>
      <c r="DE69" s="172"/>
      <c r="DF69" s="172"/>
      <c r="DG69" s="172"/>
      <c r="DH69" s="172"/>
      <c r="DI69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69" s="180"/>
      <c r="DK69" s="180"/>
      <c r="DL69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69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69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69" s="181"/>
      <c r="DP69" s="180" t="str">
        <f>+IF(BD_MO[[#This Row],[M o D]]&lt;&gt;"",IF(BD_MO[[#This Row],[M o D]]="M",BD_MO[[#This Row],[ROTURA TMH]]/2.65,BD_MO[[#This Row],[ROTURA TMH]]/2.4),"")</f>
        <v/>
      </c>
      <c r="DQ69" s="180"/>
      <c r="DR69" s="116" t="str">
        <f>IF(BD_MO[[#This Row],[TIPO AVANCE]]="Avance",((BD_MO[[#This Row],[AVANCE (m)]]/BD_MO[[#This Row],[AVANCE TEÓRICO]]))," ")</f>
        <v xml:space="preserve"> </v>
      </c>
      <c r="DS69" s="134"/>
      <c r="DT69" s="134"/>
      <c r="DU69" s="134"/>
      <c r="DV69" s="134"/>
      <c r="DW69" s="134"/>
      <c r="DX69" s="135"/>
      <c r="DY69" s="135"/>
      <c r="DZ69" s="135"/>
    </row>
    <row r="70" spans="1:130" s="136" customFormat="1" ht="18" customHeight="1" x14ac:dyDescent="0.25">
      <c r="A70" s="168">
        <v>44655</v>
      </c>
      <c r="B70" s="169" t="s">
        <v>10655</v>
      </c>
      <c r="C70" s="169" t="s">
        <v>10668</v>
      </c>
      <c r="D70" s="170" t="s">
        <v>12128</v>
      </c>
      <c r="E70" s="171" t="str">
        <f>LEFT(BD_MO[[#This Row],[LABOR]],2)</f>
        <v>Tj</v>
      </c>
      <c r="F70" s="172"/>
      <c r="G70" s="172" t="s">
        <v>10662</v>
      </c>
      <c r="H7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70" s="171" t="str">
        <f>IF(BD_MO[FECHA]&lt;&gt;"",VLOOKUP(BD_MO[LABOR],TB_CECO[[LABOR]:[CECO_T]],3,FALSE),"")</f>
        <v>VANESSA</v>
      </c>
      <c r="J70" s="171" t="str">
        <f>IF(BD_MO[FECHA]&lt;&gt;"",VLOOKUP(BD_MO[LABOR],D_CECO!B:H,7,FALSE),"")</f>
        <v>TAJO</v>
      </c>
      <c r="K70" s="171" t="str">
        <f>IF(BD_MO[FECHA]&lt;&gt;"",VLOOKUP(BD_MO[LABOR],D_CECO!B:H,4,FALSE),"")</f>
        <v>EXPLOTACION</v>
      </c>
      <c r="L70" s="171"/>
      <c r="M70" s="169"/>
      <c r="N70" s="172"/>
      <c r="O70" s="173" t="s">
        <v>12095</v>
      </c>
      <c r="P70" s="173" t="s">
        <v>12096</v>
      </c>
      <c r="Q70" s="173"/>
      <c r="R70" s="174"/>
      <c r="S70" s="175" t="str">
        <f>IFERROR(VLOOKUP(BD_MO[DNI 4],#REF!,2,FALSE)," ")</f>
        <v xml:space="preserve"> </v>
      </c>
      <c r="T70" s="176">
        <f>+IF(BD_MO[[#This Row],[FECHA]]&lt;&gt;"",COUNTA(BD_MO[[#This Row],[DNI]],BD_MO[[#This Row],[DNI 2]],BD_MO[[#This Row],[DNI 3]],BD_MO[[#This Row],[DNI 4]]),"")</f>
        <v>2</v>
      </c>
      <c r="U70" s="176">
        <v>0.6</v>
      </c>
      <c r="V70" s="176"/>
      <c r="W70" s="176">
        <v>0.8</v>
      </c>
      <c r="X70" s="176">
        <v>0.6</v>
      </c>
      <c r="Y70" s="177">
        <f>SUM(BD_MO[[#This Row],[LIMP]:[SERV]])</f>
        <v>2</v>
      </c>
      <c r="Z70" s="172"/>
      <c r="AA70" s="172" t="str">
        <f>+IF(BD_MO[[#This Row],[N° VALE]]&lt;&gt;"",1,"")</f>
        <v/>
      </c>
      <c r="AB70" s="169"/>
      <c r="AC70" s="172"/>
      <c r="AD70" s="172" t="str">
        <f>+IF(BD_MO[[#This Row],[N° VALE]]&lt;&gt;"",BD_MO[[#This Row],[FULMINANTE N° 08]]+BD_MO[CARMEX 7''],"")</f>
        <v/>
      </c>
      <c r="AE70" s="172"/>
      <c r="AF70" s="172" t="str">
        <f>+IF(BD_MO[[#This Row],[N° VALE]]&lt;&gt;"",BD_MO[[#This Row],[N° TALADROS]]+BD_MO[[#This Row],[N° TAL. VACIOS]],"")</f>
        <v/>
      </c>
      <c r="AG70" s="178"/>
      <c r="AH70" s="178"/>
      <c r="AI70" s="178"/>
      <c r="AJ70" s="178"/>
      <c r="AK70" s="178"/>
      <c r="AL70" s="178"/>
      <c r="AM70" s="171"/>
      <c r="AN70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70" s="172" t="str">
        <f>+IF(BD_MO[[#This Row],[N° VALE]]&lt;&gt;"",IF(BD_MO[[#This Row],[FULMINANTE N° 08]]&lt;&gt;"",BD_MO[[#This Row],[FULMINANTE N° 08]],IF(BD_MO[[#This Row],[CARMEX 7'']]&lt;&gt;0,0,"")),"")</f>
        <v/>
      </c>
      <c r="AP70" s="176" t="str">
        <f>+IF(BD_MO[[#This Row],[N° VALE]]&lt;&gt;"",BD_MO[[#This Row],[N°  TOTAL TALADROS]]*BD_MO[[#This Row],[BARRA]]*0.95,"")</f>
        <v/>
      </c>
      <c r="AQ70" s="176" t="str">
        <f>+IF(BD_MO[[#This Row],[N° VALE]]&lt;&gt;"",BD_MO[[#This Row],[EMULNOR 1000 (N° CART.)]]*PE_EMUL_1000[PE],"")</f>
        <v/>
      </c>
      <c r="AR70" s="176" t="str">
        <f>+IF(BD_MO[[#This Row],[N° VALE]]&lt;&gt;"",BD_MO[[#This Row],[EMULNOR 3000 (N° CART.)]]*PE_EMUL_3000[PE],"")</f>
        <v/>
      </c>
      <c r="AS70" s="176" t="str">
        <f>+IF(BD_MO[[#This Row],[N° VALE]]&lt;&gt;"",BD_MO[[#This Row],[PULVERULENTA (N° CART.)]]*PE_PULV_65[PE],"")</f>
        <v/>
      </c>
      <c r="AT70" s="176" t="str">
        <f>+IF(BD_MO[[#This Row],[N° DISP]]&lt;&gt;"",BD_MO[[#This Row],[SEMIGELATINA (N° CART.)]]*PE_SEMIGEL_65[PE],"")</f>
        <v/>
      </c>
      <c r="AU70" s="176" t="str">
        <f>+IF(BD_MO[N° VALE]&lt;&gt;"",BD_MO[[#This Row],[KG EXPLO SEMIGEL]]+BD_MO[[#This Row],[KG EXPLO PULVE]]+BD_MO[[#This Row],[KG EXPLO EMULN 3000]]+BD_MO[[#This Row],[KG EXPLO EMULN 1000]],"")</f>
        <v/>
      </c>
      <c r="AV70" s="172">
        <v>1</v>
      </c>
      <c r="AW70" s="172"/>
      <c r="AX70" s="172">
        <f>+IF(BD_MO[[#This Row],[MINERAL (U-35)]]&lt;&gt;"",BD_MO[[#This Row],[MINERAL (U-35)]]*1.45,"-")</f>
        <v>1.45</v>
      </c>
      <c r="AY70" s="172" t="str">
        <f>+IF(BD_MO[[#This Row],[DESMONTE (U-35)]]&lt;&gt;"",BD_MO[[#This Row],[DESMONTE (U-35)]]*1.23,"-")</f>
        <v>-</v>
      </c>
      <c r="AZ70" s="172"/>
      <c r="BA70" s="172"/>
      <c r="BB70" s="172"/>
      <c r="BC70" s="172"/>
      <c r="BD70" s="172"/>
      <c r="BE70" s="172"/>
      <c r="BF70" s="172"/>
      <c r="BG70" s="172"/>
      <c r="BH70" s="172"/>
      <c r="BI70" s="172">
        <v>1</v>
      </c>
      <c r="BJ70" s="172"/>
      <c r="BK70" s="172"/>
      <c r="BL70" s="172"/>
      <c r="BM70" s="172"/>
      <c r="BN70" s="171"/>
      <c r="BO70" s="172"/>
      <c r="BP70" s="172"/>
      <c r="BQ70" s="171"/>
      <c r="BR70" s="172"/>
      <c r="BS70" s="171"/>
      <c r="BT70" s="176"/>
      <c r="BU70" s="172"/>
      <c r="BV70" s="172"/>
      <c r="BW70" s="172"/>
      <c r="BX70" s="172">
        <v>2</v>
      </c>
      <c r="BY70" s="172"/>
      <c r="BZ70" s="172"/>
      <c r="CA70" s="172"/>
      <c r="CB70" s="172"/>
      <c r="CC70" s="172"/>
      <c r="CD70" s="172"/>
      <c r="CE70" s="172"/>
      <c r="CF70" s="172"/>
      <c r="CG70" s="172"/>
      <c r="CH70" s="172"/>
      <c r="CI70" s="172"/>
      <c r="CJ70" s="172"/>
      <c r="CK70" s="172"/>
      <c r="CL70" s="172"/>
      <c r="CM70" s="172"/>
      <c r="CN70" s="172"/>
      <c r="CO70" s="172"/>
      <c r="CP70" s="176">
        <f>+IF(BD_MO[[#This Row],[FECHA]]&lt;&gt;"",BD_MO[[#This Row],[PUNTAL 4"]]+BD_MO[[#This Row],[PUNTAL 5"]]+BD_MO[[#This Row],[PUNTAL 6"]]+BD_MO[[#This Row],[PUNTAL 7"]]+BD_MO[[#This Row],[PUNTAL 8"]],"")</f>
        <v>0</v>
      </c>
      <c r="CQ70" s="172"/>
      <c r="CR70" s="172"/>
      <c r="CS70" s="172"/>
      <c r="CT70" s="172"/>
      <c r="CU70" s="172"/>
      <c r="CV70" s="172"/>
      <c r="CW70" s="172"/>
      <c r="CX70" s="172"/>
      <c r="CY70" s="176"/>
      <c r="CZ7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70" s="176">
        <f>+IF(BD_MO[[#This Row],[FECHA]]&lt;&gt;"",BD_MO[[#This Row],[DURMIENTE2]]*6.561+BD_MO[[#This Row],[LISTONES]]*4.921+BD_MO[[#This Row],[TABLA 1"x8"x3m]]*6.561+BD_MO[[#This Row],[TABLA 2"x8"x3m]]*13.122,"")</f>
        <v>0</v>
      </c>
      <c r="DB70" s="176">
        <f>+IF(BD_MO[[#This Row],[FECHA]]&lt;&gt;"",BD_MO[[#This Row],[PIE2 MADERA ASERRADA]]*1.95,"")</f>
        <v>0</v>
      </c>
      <c r="DC70" s="176">
        <f>+IF(BD_MO[[#This Row],[FECHA]]&lt;&gt;"",BD_MO[[#This Row],[KG. MADERA REDONDA]]+BD_MO[[#This Row],[KG MADERA ASERRADA]],"")</f>
        <v>0</v>
      </c>
      <c r="DD7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70" s="172"/>
      <c r="DF70" s="172"/>
      <c r="DG70" s="172"/>
      <c r="DH70" s="172"/>
      <c r="DI70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70" s="180"/>
      <c r="DK70" s="180"/>
      <c r="DL70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70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70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70" s="181"/>
      <c r="DP70" s="180" t="str">
        <f>+IF(BD_MO[[#This Row],[M o D]]&lt;&gt;"",IF(BD_MO[[#This Row],[M o D]]="M",BD_MO[[#This Row],[ROTURA TMH]]/2.65,BD_MO[[#This Row],[ROTURA TMH]]/2.4),"")</f>
        <v/>
      </c>
      <c r="DQ70" s="180"/>
      <c r="DR70" s="116" t="str">
        <f>IF(BD_MO[[#This Row],[TIPO AVANCE]]="Avance",((BD_MO[[#This Row],[AVANCE (m)]]/BD_MO[[#This Row],[AVANCE TEÓRICO]]))," ")</f>
        <v xml:space="preserve"> </v>
      </c>
      <c r="DS70" s="134"/>
      <c r="DT70" s="134"/>
      <c r="DU70" s="134"/>
      <c r="DV70" s="134"/>
      <c r="DW70" s="134"/>
      <c r="DX70" s="135"/>
      <c r="DY70" s="135"/>
      <c r="DZ70" s="135"/>
    </row>
    <row r="71" spans="1:130" s="136" customFormat="1" ht="18" customHeight="1" x14ac:dyDescent="0.25">
      <c r="A71" s="168">
        <v>44655</v>
      </c>
      <c r="B71" s="169" t="s">
        <v>10655</v>
      </c>
      <c r="C71" s="169" t="s">
        <v>10668</v>
      </c>
      <c r="D71" s="170" t="s">
        <v>12164</v>
      </c>
      <c r="E71" s="171" t="str">
        <f>LEFT(BD_MO[[#This Row],[LABOR]],2)</f>
        <v>Tj</v>
      </c>
      <c r="F71" s="172"/>
      <c r="G71" s="172" t="s">
        <v>10662</v>
      </c>
      <c r="H71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71" s="171" t="str">
        <f>IF(BD_MO[FECHA]&lt;&gt;"",VLOOKUP(BD_MO[LABOR],TB_CECO[[LABOR]:[CECO_T]],3,FALSE),"")</f>
        <v>VANESSA</v>
      </c>
      <c r="J71" s="171" t="str">
        <f>IF(BD_MO[FECHA]&lt;&gt;"",VLOOKUP(BD_MO[LABOR],D_CECO!B:H,7,FALSE),"")</f>
        <v>TAJO</v>
      </c>
      <c r="K71" s="171" t="str">
        <f>IF(BD_MO[FECHA]&lt;&gt;"",VLOOKUP(BD_MO[LABOR],D_CECO!B:H,4,FALSE),"")</f>
        <v>EXPLOTACION</v>
      </c>
      <c r="L71" s="171"/>
      <c r="M71" s="169"/>
      <c r="N71" s="172"/>
      <c r="O71" s="173" t="s">
        <v>12160</v>
      </c>
      <c r="P71" s="173" t="s">
        <v>12088</v>
      </c>
      <c r="Q71" s="173"/>
      <c r="R71" s="174"/>
      <c r="S71" s="175" t="str">
        <f>IFERROR(VLOOKUP(BD_MO[DNI 4],#REF!,2,FALSE)," ")</f>
        <v xml:space="preserve"> </v>
      </c>
      <c r="T71" s="176">
        <f>+IF(BD_MO[[#This Row],[FECHA]]&lt;&gt;"",COUNTA(BD_MO[[#This Row],[DNI]],BD_MO[[#This Row],[DNI 2]],BD_MO[[#This Row],[DNI 3]],BD_MO[[#This Row],[DNI 4]]),"")</f>
        <v>2</v>
      </c>
      <c r="U71" s="176"/>
      <c r="V71" s="176"/>
      <c r="W71" s="176">
        <v>1.4</v>
      </c>
      <c r="X71" s="176">
        <v>0.6</v>
      </c>
      <c r="Y71" s="177">
        <f>SUM(BD_MO[[#This Row],[LIMP]:[SERV]])</f>
        <v>2</v>
      </c>
      <c r="Z71" s="172"/>
      <c r="AA71" s="172" t="str">
        <f>+IF(BD_MO[[#This Row],[N° VALE]]&lt;&gt;"",1,"")</f>
        <v/>
      </c>
      <c r="AB71" s="169"/>
      <c r="AC71" s="172"/>
      <c r="AD71" s="172" t="str">
        <f>+IF(BD_MO[[#This Row],[N° VALE]]&lt;&gt;"",BD_MO[[#This Row],[FULMINANTE N° 08]]+BD_MO[CARMEX 7''],"")</f>
        <v/>
      </c>
      <c r="AE71" s="172"/>
      <c r="AF71" s="172" t="str">
        <f>+IF(BD_MO[[#This Row],[N° VALE]]&lt;&gt;"",BD_MO[[#This Row],[N° TALADROS]]+BD_MO[[#This Row],[N° TAL. VACIOS]],"")</f>
        <v/>
      </c>
      <c r="AG71" s="178"/>
      <c r="AH71" s="178"/>
      <c r="AI71" s="178"/>
      <c r="AJ71" s="178"/>
      <c r="AK71" s="178"/>
      <c r="AL71" s="178"/>
      <c r="AM71" s="171"/>
      <c r="AN71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71" s="172" t="str">
        <f>+IF(BD_MO[[#This Row],[N° VALE]]&lt;&gt;"",IF(BD_MO[[#This Row],[FULMINANTE N° 08]]&lt;&gt;"",BD_MO[[#This Row],[FULMINANTE N° 08]],IF(BD_MO[[#This Row],[CARMEX 7'']]&lt;&gt;0,0,"")),"")</f>
        <v/>
      </c>
      <c r="AP71" s="176" t="str">
        <f>+IF(BD_MO[[#This Row],[N° VALE]]&lt;&gt;"",BD_MO[[#This Row],[N°  TOTAL TALADROS]]*BD_MO[[#This Row],[BARRA]]*0.95,"")</f>
        <v/>
      </c>
      <c r="AQ71" s="176" t="str">
        <f>+IF(BD_MO[[#This Row],[N° VALE]]&lt;&gt;"",BD_MO[[#This Row],[EMULNOR 1000 (N° CART.)]]*PE_EMUL_1000[PE],"")</f>
        <v/>
      </c>
      <c r="AR71" s="176" t="str">
        <f>+IF(BD_MO[[#This Row],[N° VALE]]&lt;&gt;"",BD_MO[[#This Row],[EMULNOR 3000 (N° CART.)]]*PE_EMUL_3000[PE],"")</f>
        <v/>
      </c>
      <c r="AS71" s="176" t="str">
        <f>+IF(BD_MO[[#This Row],[N° VALE]]&lt;&gt;"",BD_MO[[#This Row],[PULVERULENTA (N° CART.)]]*PE_PULV_65[PE],"")</f>
        <v/>
      </c>
      <c r="AT71" s="176" t="str">
        <f>+IF(BD_MO[[#This Row],[N° DISP]]&lt;&gt;"",BD_MO[[#This Row],[SEMIGELATINA (N° CART.)]]*PE_SEMIGEL_65[PE],"")</f>
        <v/>
      </c>
      <c r="AU71" s="176" t="str">
        <f>+IF(BD_MO[N° VALE]&lt;&gt;"",BD_MO[[#This Row],[KG EXPLO SEMIGEL]]+BD_MO[[#This Row],[KG EXPLO PULVE]]+BD_MO[[#This Row],[KG EXPLO EMULN 3000]]+BD_MO[[#This Row],[KG EXPLO EMULN 1000]],"")</f>
        <v/>
      </c>
      <c r="AV71" s="172"/>
      <c r="AW71" s="172"/>
      <c r="AX71" s="172" t="str">
        <f>+IF(BD_MO[[#This Row],[MINERAL (U-35)]]&lt;&gt;"",BD_MO[[#This Row],[MINERAL (U-35)]]*1.45,"-")</f>
        <v>-</v>
      </c>
      <c r="AY71" s="172" t="str">
        <f>+IF(BD_MO[[#This Row],[DESMONTE (U-35)]]&lt;&gt;"",BD_MO[[#This Row],[DESMONTE (U-35)]]*1.23,"-")</f>
        <v>-</v>
      </c>
      <c r="AZ71" s="172"/>
      <c r="BA71" s="172">
        <v>2</v>
      </c>
      <c r="BB71" s="172"/>
      <c r="BC71" s="172"/>
      <c r="BD71" s="172"/>
      <c r="BE71" s="172"/>
      <c r="BF71" s="172"/>
      <c r="BG71" s="172"/>
      <c r="BH71" s="172"/>
      <c r="BI71" s="172"/>
      <c r="BJ71" s="172"/>
      <c r="BK71" s="172"/>
      <c r="BL71" s="172"/>
      <c r="BM71" s="172"/>
      <c r="BN71" s="171"/>
      <c r="BO71" s="172">
        <v>1</v>
      </c>
      <c r="BP71" s="172"/>
      <c r="BQ71" s="171"/>
      <c r="BR71" s="172"/>
      <c r="BS71" s="171"/>
      <c r="BT71" s="176"/>
      <c r="BU71" s="172"/>
      <c r="BV71" s="172"/>
      <c r="BW71" s="172"/>
      <c r="BX71" s="172"/>
      <c r="BY71" s="172"/>
      <c r="BZ71" s="172"/>
      <c r="CA71" s="172"/>
      <c r="CB71" s="172"/>
      <c r="CC71" s="172"/>
      <c r="CD71" s="172"/>
      <c r="CE71" s="172"/>
      <c r="CF71" s="172"/>
      <c r="CG71" s="172"/>
      <c r="CH71" s="172"/>
      <c r="CI71" s="172"/>
      <c r="CJ71" s="172"/>
      <c r="CK71" s="172"/>
      <c r="CL71" s="172">
        <v>2</v>
      </c>
      <c r="CM71" s="172">
        <v>6</v>
      </c>
      <c r="CN71" s="172">
        <v>3</v>
      </c>
      <c r="CO71" s="172"/>
      <c r="CP71" s="176">
        <f>+IF(BD_MO[[#This Row],[FECHA]]&lt;&gt;"",BD_MO[[#This Row],[PUNTAL 4"]]+BD_MO[[#This Row],[PUNTAL 5"]]+BD_MO[[#This Row],[PUNTAL 6"]]+BD_MO[[#This Row],[PUNTAL 7"]]+BD_MO[[#This Row],[PUNTAL 8"]],"")</f>
        <v>11</v>
      </c>
      <c r="CQ71" s="172"/>
      <c r="CR71" s="172"/>
      <c r="CS71" s="172"/>
      <c r="CT71" s="172"/>
      <c r="CU71" s="172"/>
      <c r="CV71" s="172"/>
      <c r="CW71" s="172"/>
      <c r="CX71" s="172"/>
      <c r="CY71" s="176"/>
      <c r="CZ71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514.80700000000002</v>
      </c>
      <c r="DA71" s="176">
        <f>+IF(BD_MO[[#This Row],[FECHA]]&lt;&gt;"",BD_MO[[#This Row],[DURMIENTE2]]*6.561+BD_MO[[#This Row],[LISTONES]]*4.921+BD_MO[[#This Row],[TABLA 1"x8"x3m]]*6.561+BD_MO[[#This Row],[TABLA 2"x8"x3m]]*13.122,"")</f>
        <v>0</v>
      </c>
      <c r="DB71" s="176">
        <f>+IF(BD_MO[[#This Row],[FECHA]]&lt;&gt;"",BD_MO[[#This Row],[PIE2 MADERA ASERRADA]]*1.95,"")</f>
        <v>0</v>
      </c>
      <c r="DC71" s="176">
        <f>+IF(BD_MO[[#This Row],[FECHA]]&lt;&gt;"",BD_MO[[#This Row],[KG. MADERA REDONDA]]+BD_MO[[#This Row],[KG MADERA ASERRADA]],"")</f>
        <v>514.80700000000002</v>
      </c>
      <c r="DD71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195.8</v>
      </c>
      <c r="DE71" s="172"/>
      <c r="DF71" s="172"/>
      <c r="DG71" s="172"/>
      <c r="DH71" s="172"/>
      <c r="DI71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71" s="180"/>
      <c r="DK71" s="180"/>
      <c r="DL71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71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71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71" s="181"/>
      <c r="DP71" s="180" t="str">
        <f>+IF(BD_MO[[#This Row],[M o D]]&lt;&gt;"",IF(BD_MO[[#This Row],[M o D]]="M",BD_MO[[#This Row],[ROTURA TMH]]/2.65,BD_MO[[#This Row],[ROTURA TMH]]/2.4),"")</f>
        <v/>
      </c>
      <c r="DQ71" s="180"/>
      <c r="DR71" s="116" t="str">
        <f>IF(BD_MO[[#This Row],[TIPO AVANCE]]="Avance",((BD_MO[[#This Row],[AVANCE (m)]]/BD_MO[[#This Row],[AVANCE TEÓRICO]]))," ")</f>
        <v xml:space="preserve"> </v>
      </c>
      <c r="DS71" s="134"/>
      <c r="DT71" s="134"/>
      <c r="DU71" s="134"/>
      <c r="DV71" s="134"/>
      <c r="DW71" s="134"/>
      <c r="DX71" s="135"/>
      <c r="DY71" s="135"/>
      <c r="DZ71" s="135"/>
    </row>
    <row r="72" spans="1:130" s="136" customFormat="1" ht="18" customHeight="1" x14ac:dyDescent="0.25">
      <c r="A72" s="168">
        <v>44655</v>
      </c>
      <c r="B72" s="169" t="s">
        <v>10655</v>
      </c>
      <c r="C72" s="169" t="s">
        <v>10668</v>
      </c>
      <c r="D72" s="170" t="s">
        <v>10952</v>
      </c>
      <c r="E72" s="171" t="str">
        <f>LEFT(BD_MO[[#This Row],[LABOR]],2)</f>
        <v>In</v>
      </c>
      <c r="F72" s="172"/>
      <c r="G72" s="172" t="s">
        <v>10656</v>
      </c>
      <c r="H7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72" s="171" t="str">
        <f>IF(BD_MO[FECHA]&lt;&gt;"",VLOOKUP(BD_MO[LABOR],TB_CECO[[LABOR]:[CECO_T]],3,FALSE),"")</f>
        <v>VANESSA</v>
      </c>
      <c r="J72" s="171" t="str">
        <f>IF(BD_MO[FECHA]&lt;&gt;"",VLOOKUP(BD_MO[LABOR],D_CECO!B:H,7,FALSE),"")</f>
        <v>LINEAL</v>
      </c>
      <c r="K72" s="171" t="str">
        <f>IF(BD_MO[FECHA]&lt;&gt;"",VLOOKUP(BD_MO[LABOR],D_CECO!B:H,4,FALSE),"")</f>
        <v>EXPLORACION</v>
      </c>
      <c r="L72" s="171"/>
      <c r="M72" s="169"/>
      <c r="N72" s="172"/>
      <c r="O72" s="173" t="s">
        <v>12091</v>
      </c>
      <c r="P72" s="173" t="s">
        <v>12159</v>
      </c>
      <c r="Q72" s="173"/>
      <c r="R72" s="174"/>
      <c r="S72" s="175" t="str">
        <f>IFERROR(VLOOKUP(BD_MO[DNI 4],#REF!,2,FALSE)," ")</f>
        <v xml:space="preserve"> </v>
      </c>
      <c r="T72" s="176">
        <f>+IF(BD_MO[[#This Row],[FECHA]]&lt;&gt;"",COUNTA(BD_MO[[#This Row],[DNI]],BD_MO[[#This Row],[DNI 2]],BD_MO[[#This Row],[DNI 3]],BD_MO[[#This Row],[DNI 4]]),"")</f>
        <v>2</v>
      </c>
      <c r="U72" s="176">
        <v>1.1000000000000001</v>
      </c>
      <c r="V72" s="176"/>
      <c r="W72" s="176">
        <v>0.5</v>
      </c>
      <c r="X72" s="176">
        <v>0.4</v>
      </c>
      <c r="Y72" s="177">
        <f>SUM(BD_MO[[#This Row],[LIMP]:[SERV]])</f>
        <v>2</v>
      </c>
      <c r="Z72" s="172"/>
      <c r="AA72" s="172" t="str">
        <f>+IF(BD_MO[[#This Row],[N° VALE]]&lt;&gt;"",1,"")</f>
        <v/>
      </c>
      <c r="AB72" s="169"/>
      <c r="AC72" s="172"/>
      <c r="AD72" s="172" t="str">
        <f>+IF(BD_MO[[#This Row],[N° VALE]]&lt;&gt;"",BD_MO[[#This Row],[FULMINANTE N° 08]]+BD_MO[CARMEX 7''],"")</f>
        <v/>
      </c>
      <c r="AE72" s="172"/>
      <c r="AF72" s="172" t="str">
        <f>+IF(BD_MO[[#This Row],[N° VALE]]&lt;&gt;"",BD_MO[[#This Row],[N° TALADROS]]+BD_MO[[#This Row],[N° TAL. VACIOS]],"")</f>
        <v/>
      </c>
      <c r="AG72" s="178"/>
      <c r="AH72" s="178"/>
      <c r="AI72" s="178"/>
      <c r="AJ72" s="178"/>
      <c r="AK72" s="178"/>
      <c r="AL72" s="178"/>
      <c r="AM72" s="171"/>
      <c r="AN72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72" s="172" t="str">
        <f>+IF(BD_MO[[#This Row],[N° VALE]]&lt;&gt;"",IF(BD_MO[[#This Row],[FULMINANTE N° 08]]&lt;&gt;"",BD_MO[[#This Row],[FULMINANTE N° 08]],IF(BD_MO[[#This Row],[CARMEX 7'']]&lt;&gt;0,0,"")),"")</f>
        <v/>
      </c>
      <c r="AP72" s="176" t="str">
        <f>+IF(BD_MO[[#This Row],[N° VALE]]&lt;&gt;"",BD_MO[[#This Row],[N°  TOTAL TALADROS]]*BD_MO[[#This Row],[BARRA]]*0.95,"")</f>
        <v/>
      </c>
      <c r="AQ72" s="176" t="str">
        <f>+IF(BD_MO[[#This Row],[N° VALE]]&lt;&gt;"",BD_MO[[#This Row],[EMULNOR 1000 (N° CART.)]]*PE_EMUL_1000[PE],"")</f>
        <v/>
      </c>
      <c r="AR72" s="176" t="str">
        <f>+IF(BD_MO[[#This Row],[N° VALE]]&lt;&gt;"",BD_MO[[#This Row],[EMULNOR 3000 (N° CART.)]]*PE_EMUL_3000[PE],"")</f>
        <v/>
      </c>
      <c r="AS72" s="176" t="str">
        <f>+IF(BD_MO[[#This Row],[N° VALE]]&lt;&gt;"",BD_MO[[#This Row],[PULVERULENTA (N° CART.)]]*PE_PULV_65[PE],"")</f>
        <v/>
      </c>
      <c r="AT72" s="176" t="str">
        <f>+IF(BD_MO[[#This Row],[N° DISP]]&lt;&gt;"",BD_MO[[#This Row],[SEMIGELATINA (N° CART.)]]*PE_SEMIGEL_65[PE],"")</f>
        <v/>
      </c>
      <c r="AU72" s="176" t="str">
        <f>+IF(BD_MO[N° VALE]&lt;&gt;"",BD_MO[[#This Row],[KG EXPLO SEMIGEL]]+BD_MO[[#This Row],[KG EXPLO PULVE]]+BD_MO[[#This Row],[KG EXPLO EMULN 3000]]+BD_MO[[#This Row],[KG EXPLO EMULN 1000]],"")</f>
        <v/>
      </c>
      <c r="AV72" s="172"/>
      <c r="AW72" s="172"/>
      <c r="AX72" s="172" t="str">
        <f>+IF(BD_MO[[#This Row],[MINERAL (U-35)]]&lt;&gt;"",BD_MO[[#This Row],[MINERAL (U-35)]]*1.45,"-")</f>
        <v>-</v>
      </c>
      <c r="AY72" s="172" t="str">
        <f>+IF(BD_MO[[#This Row],[DESMONTE (U-35)]]&lt;&gt;"",BD_MO[[#This Row],[DESMONTE (U-35)]]*1.23,"-")</f>
        <v>-</v>
      </c>
      <c r="AZ72" s="172"/>
      <c r="BA72" s="172"/>
      <c r="BB72" s="172"/>
      <c r="BC72" s="172"/>
      <c r="BD72" s="172"/>
      <c r="BE72" s="172"/>
      <c r="BF72" s="172"/>
      <c r="BG72" s="172"/>
      <c r="BH72" s="172"/>
      <c r="BI72" s="172">
        <v>1</v>
      </c>
      <c r="BJ72" s="172"/>
      <c r="BK72" s="172"/>
      <c r="BL72" s="172"/>
      <c r="BM72" s="172"/>
      <c r="BN72" s="171"/>
      <c r="BO72" s="172"/>
      <c r="BP72" s="172"/>
      <c r="BQ72" s="171"/>
      <c r="BR72" s="172"/>
      <c r="BS72" s="171"/>
      <c r="BT72" s="176"/>
      <c r="BU72" s="172"/>
      <c r="BV72" s="172"/>
      <c r="BW72" s="172"/>
      <c r="BX72" s="172"/>
      <c r="BY72" s="172"/>
      <c r="BZ72" s="172"/>
      <c r="CA72" s="172"/>
      <c r="CB72" s="172"/>
      <c r="CC72" s="172"/>
      <c r="CD72" s="172"/>
      <c r="CE72" s="172"/>
      <c r="CF72" s="172"/>
      <c r="CG72" s="172"/>
      <c r="CH72" s="172"/>
      <c r="CI72" s="172"/>
      <c r="CJ72" s="172"/>
      <c r="CK72" s="172"/>
      <c r="CL72" s="172"/>
      <c r="CM72" s="172"/>
      <c r="CN72" s="172">
        <v>1</v>
      </c>
      <c r="CO72" s="172"/>
      <c r="CP72" s="176">
        <f>+IF(BD_MO[[#This Row],[FECHA]]&lt;&gt;"",BD_MO[[#This Row],[PUNTAL 4"]]+BD_MO[[#This Row],[PUNTAL 5"]]+BD_MO[[#This Row],[PUNTAL 6"]]+BD_MO[[#This Row],[PUNTAL 7"]]+BD_MO[[#This Row],[PUNTAL 8"]],"")</f>
        <v>1</v>
      </c>
      <c r="CQ72" s="172"/>
      <c r="CR72" s="172"/>
      <c r="CS72" s="172"/>
      <c r="CT72" s="172"/>
      <c r="CU72" s="172"/>
      <c r="CV72" s="172"/>
      <c r="CW72" s="172"/>
      <c r="CX72" s="172"/>
      <c r="CY72" s="176"/>
      <c r="CZ7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61.079000000000001</v>
      </c>
      <c r="DA72" s="176">
        <f>+IF(BD_MO[[#This Row],[FECHA]]&lt;&gt;"",BD_MO[[#This Row],[DURMIENTE2]]*6.561+BD_MO[[#This Row],[LISTONES]]*4.921+BD_MO[[#This Row],[TABLA 1"x8"x3m]]*6.561+BD_MO[[#This Row],[TABLA 2"x8"x3m]]*13.122,"")</f>
        <v>0</v>
      </c>
      <c r="DB72" s="176">
        <f>+IF(BD_MO[[#This Row],[FECHA]]&lt;&gt;"",BD_MO[[#This Row],[PIE2 MADERA ASERRADA]]*1.95,"")</f>
        <v>0</v>
      </c>
      <c r="DC72" s="176">
        <f>+IF(BD_MO[[#This Row],[FECHA]]&lt;&gt;"",BD_MO[[#This Row],[KG. MADERA REDONDA]]+BD_MO[[#This Row],[KG MADERA ASERRADA]],"")</f>
        <v>61.079000000000001</v>
      </c>
      <c r="DD7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72" s="172"/>
      <c r="DF72" s="172"/>
      <c r="DG72" s="172"/>
      <c r="DH72" s="172"/>
      <c r="DI72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72" s="180"/>
      <c r="DK72" s="180"/>
      <c r="DL72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72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72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72" s="181"/>
      <c r="DP72" s="180" t="str">
        <f>+IF(BD_MO[[#This Row],[M o D]]&lt;&gt;"",IF(BD_MO[[#This Row],[M o D]]="M",BD_MO[[#This Row],[ROTURA TMH]]/2.65,BD_MO[[#This Row],[ROTURA TMH]]/2.4),"")</f>
        <v/>
      </c>
      <c r="DQ72" s="180"/>
      <c r="DR72" s="116" t="str">
        <f>IF(BD_MO[[#This Row],[TIPO AVANCE]]="Avance",((BD_MO[[#This Row],[AVANCE (m)]]/BD_MO[[#This Row],[AVANCE TEÓRICO]]))," ")</f>
        <v xml:space="preserve"> </v>
      </c>
      <c r="DS72" s="134"/>
      <c r="DT72" s="134"/>
      <c r="DU72" s="134"/>
      <c r="DV72" s="134"/>
      <c r="DW72" s="134"/>
      <c r="DX72" s="135"/>
      <c r="DY72" s="135"/>
      <c r="DZ72" s="135"/>
    </row>
    <row r="73" spans="1:130" s="136" customFormat="1" ht="18" customHeight="1" x14ac:dyDescent="0.25">
      <c r="A73" s="168">
        <v>44655</v>
      </c>
      <c r="B73" s="169" t="s">
        <v>10655</v>
      </c>
      <c r="C73" s="169" t="s">
        <v>10668</v>
      </c>
      <c r="D73" s="170" t="s">
        <v>10952</v>
      </c>
      <c r="E73" s="171" t="str">
        <f>LEFT(BD_MO[[#This Row],[LABOR]],2)</f>
        <v>In</v>
      </c>
      <c r="F73" s="172"/>
      <c r="G73" s="172" t="s">
        <v>10669</v>
      </c>
      <c r="H7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73" s="171" t="str">
        <f>IF(BD_MO[FECHA]&lt;&gt;"",VLOOKUP(BD_MO[LABOR],TB_CECO[[LABOR]:[CECO_T]],3,FALSE),"")</f>
        <v>VANESSA</v>
      </c>
      <c r="J73" s="171" t="str">
        <f>IF(BD_MO[FECHA]&lt;&gt;"",VLOOKUP(BD_MO[LABOR],D_CECO!B:H,7,FALSE),"")</f>
        <v>LINEAL</v>
      </c>
      <c r="K73" s="171" t="str">
        <f>IF(BD_MO[FECHA]&lt;&gt;"",VLOOKUP(BD_MO[LABOR],D_CECO!B:H,4,FALSE),"")</f>
        <v>EXPLORACION</v>
      </c>
      <c r="L73" s="171"/>
      <c r="M73" s="169"/>
      <c r="N73" s="172"/>
      <c r="O73" s="173" t="s">
        <v>12092</v>
      </c>
      <c r="P73" s="173" t="s">
        <v>12093</v>
      </c>
      <c r="Q73" s="173"/>
      <c r="R73" s="174"/>
      <c r="S73" s="175" t="str">
        <f>IFERROR(VLOOKUP(BD_MO[DNI 4],#REF!,2,FALSE)," ")</f>
        <v xml:space="preserve"> </v>
      </c>
      <c r="T73" s="176">
        <f>+IF(BD_MO[[#This Row],[FECHA]]&lt;&gt;"",COUNTA(BD_MO[[#This Row],[DNI]],BD_MO[[#This Row],[DNI 2]],BD_MO[[#This Row],[DNI 3]],BD_MO[[#This Row],[DNI 4]]),"")</f>
        <v>2</v>
      </c>
      <c r="U73" s="176"/>
      <c r="V73" s="176"/>
      <c r="W73" s="176"/>
      <c r="X73" s="176">
        <v>2</v>
      </c>
      <c r="Y73" s="177">
        <f>SUM(BD_MO[[#This Row],[LIMP]:[SERV]])</f>
        <v>2</v>
      </c>
      <c r="Z73" s="172"/>
      <c r="AA73" s="172" t="str">
        <f>+IF(BD_MO[[#This Row],[N° VALE]]&lt;&gt;"",1,"")</f>
        <v/>
      </c>
      <c r="AB73" s="169"/>
      <c r="AC73" s="172"/>
      <c r="AD73" s="172" t="str">
        <f>+IF(BD_MO[[#This Row],[N° VALE]]&lt;&gt;"",BD_MO[[#This Row],[FULMINANTE N° 08]]+BD_MO[CARMEX 7''],"")</f>
        <v/>
      </c>
      <c r="AE73" s="172"/>
      <c r="AF73" s="172" t="str">
        <f>+IF(BD_MO[[#This Row],[N° VALE]]&lt;&gt;"",BD_MO[[#This Row],[N° TALADROS]]+BD_MO[[#This Row],[N° TAL. VACIOS]],"")</f>
        <v/>
      </c>
      <c r="AG73" s="178"/>
      <c r="AH73" s="178"/>
      <c r="AI73" s="178"/>
      <c r="AJ73" s="178"/>
      <c r="AK73" s="178"/>
      <c r="AL73" s="178"/>
      <c r="AM73" s="171"/>
      <c r="AN73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73" s="172" t="str">
        <f>+IF(BD_MO[[#This Row],[N° VALE]]&lt;&gt;"",IF(BD_MO[[#This Row],[FULMINANTE N° 08]]&lt;&gt;"",BD_MO[[#This Row],[FULMINANTE N° 08]],IF(BD_MO[[#This Row],[CARMEX 7'']]&lt;&gt;0,0,"")),"")</f>
        <v/>
      </c>
      <c r="AP73" s="176" t="str">
        <f>+IF(BD_MO[[#This Row],[N° VALE]]&lt;&gt;"",BD_MO[[#This Row],[N°  TOTAL TALADROS]]*BD_MO[[#This Row],[BARRA]]*0.95,"")</f>
        <v/>
      </c>
      <c r="AQ73" s="176" t="str">
        <f>+IF(BD_MO[[#This Row],[N° VALE]]&lt;&gt;"",BD_MO[[#This Row],[EMULNOR 1000 (N° CART.)]]*PE_EMUL_1000[PE],"")</f>
        <v/>
      </c>
      <c r="AR73" s="176" t="str">
        <f>+IF(BD_MO[[#This Row],[N° VALE]]&lt;&gt;"",BD_MO[[#This Row],[EMULNOR 3000 (N° CART.)]]*PE_EMUL_3000[PE],"")</f>
        <v/>
      </c>
      <c r="AS73" s="176" t="str">
        <f>+IF(BD_MO[[#This Row],[N° VALE]]&lt;&gt;"",BD_MO[[#This Row],[PULVERULENTA (N° CART.)]]*PE_PULV_65[PE],"")</f>
        <v/>
      </c>
      <c r="AT73" s="176" t="str">
        <f>+IF(BD_MO[[#This Row],[N° DISP]]&lt;&gt;"",BD_MO[[#This Row],[SEMIGELATINA (N° CART.)]]*PE_SEMIGEL_65[PE],"")</f>
        <v/>
      </c>
      <c r="AU73" s="176" t="str">
        <f>+IF(BD_MO[N° VALE]&lt;&gt;"",BD_MO[[#This Row],[KG EXPLO SEMIGEL]]+BD_MO[[#This Row],[KG EXPLO PULVE]]+BD_MO[[#This Row],[KG EXPLO EMULN 3000]]+BD_MO[[#This Row],[KG EXPLO EMULN 1000]],"")</f>
        <v/>
      </c>
      <c r="AV73" s="172"/>
      <c r="AW73" s="172"/>
      <c r="AX73" s="172" t="str">
        <f>+IF(BD_MO[[#This Row],[MINERAL (U-35)]]&lt;&gt;"",BD_MO[[#This Row],[MINERAL (U-35)]]*1.45,"-")</f>
        <v>-</v>
      </c>
      <c r="AY73" s="172" t="str">
        <f>+IF(BD_MO[[#This Row],[DESMONTE (U-35)]]&lt;&gt;"",BD_MO[[#This Row],[DESMONTE (U-35)]]*1.23,"-")</f>
        <v>-</v>
      </c>
      <c r="AZ73" s="172"/>
      <c r="BA73" s="172"/>
      <c r="BB73" s="172"/>
      <c r="BC73" s="172"/>
      <c r="BD73" s="172"/>
      <c r="BE73" s="172"/>
      <c r="BF73" s="172"/>
      <c r="BG73" s="172"/>
      <c r="BH73" s="172"/>
      <c r="BI73" s="172"/>
      <c r="BJ73" s="172"/>
      <c r="BK73" s="172"/>
      <c r="BL73" s="172"/>
      <c r="BM73" s="172"/>
      <c r="BN73" s="171"/>
      <c r="BO73" s="172"/>
      <c r="BP73" s="172"/>
      <c r="BQ73" s="171"/>
      <c r="BR73" s="172"/>
      <c r="BS73" s="171"/>
      <c r="BT73" s="176"/>
      <c r="BU73" s="172"/>
      <c r="BV73" s="172"/>
      <c r="BW73" s="172"/>
      <c r="BX73" s="172"/>
      <c r="BY73" s="172"/>
      <c r="BZ73" s="172"/>
      <c r="CA73" s="172"/>
      <c r="CB73" s="172"/>
      <c r="CC73" s="172"/>
      <c r="CD73" s="172"/>
      <c r="CE73" s="172"/>
      <c r="CF73" s="172"/>
      <c r="CG73" s="172"/>
      <c r="CH73" s="172"/>
      <c r="CI73" s="172"/>
      <c r="CJ73" s="172"/>
      <c r="CK73" s="172"/>
      <c r="CL73" s="172"/>
      <c r="CM73" s="172"/>
      <c r="CN73" s="172"/>
      <c r="CO73" s="172"/>
      <c r="CP73" s="176">
        <f>+IF(BD_MO[[#This Row],[FECHA]]&lt;&gt;"",BD_MO[[#This Row],[PUNTAL 4"]]+BD_MO[[#This Row],[PUNTAL 5"]]+BD_MO[[#This Row],[PUNTAL 6"]]+BD_MO[[#This Row],[PUNTAL 7"]]+BD_MO[[#This Row],[PUNTAL 8"]],"")</f>
        <v>0</v>
      </c>
      <c r="CQ73" s="172"/>
      <c r="CR73" s="172"/>
      <c r="CS73" s="172"/>
      <c r="CT73" s="172"/>
      <c r="CU73" s="172"/>
      <c r="CV73" s="172"/>
      <c r="CW73" s="172"/>
      <c r="CX73" s="172"/>
      <c r="CY73" s="176"/>
      <c r="CZ7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73" s="176">
        <f>+IF(BD_MO[[#This Row],[FECHA]]&lt;&gt;"",BD_MO[[#This Row],[DURMIENTE2]]*6.561+BD_MO[[#This Row],[LISTONES]]*4.921+BD_MO[[#This Row],[TABLA 1"x8"x3m]]*6.561+BD_MO[[#This Row],[TABLA 2"x8"x3m]]*13.122,"")</f>
        <v>0</v>
      </c>
      <c r="DB73" s="176">
        <f>+IF(BD_MO[[#This Row],[FECHA]]&lt;&gt;"",BD_MO[[#This Row],[PIE2 MADERA ASERRADA]]*1.95,"")</f>
        <v>0</v>
      </c>
      <c r="DC73" s="176">
        <f>+IF(BD_MO[[#This Row],[FECHA]]&lt;&gt;"",BD_MO[[#This Row],[KG. MADERA REDONDA]]+BD_MO[[#This Row],[KG MADERA ASERRADA]],"")</f>
        <v>0</v>
      </c>
      <c r="DD7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73" s="172"/>
      <c r="DF73" s="172"/>
      <c r="DG73" s="172"/>
      <c r="DH73" s="172"/>
      <c r="DI73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73" s="180"/>
      <c r="DK73" s="180"/>
      <c r="DL73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73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73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73" s="181"/>
      <c r="DP73" s="180" t="str">
        <f>+IF(BD_MO[[#This Row],[M o D]]&lt;&gt;"",IF(BD_MO[[#This Row],[M o D]]="M",BD_MO[[#This Row],[ROTURA TMH]]/2.65,BD_MO[[#This Row],[ROTURA TMH]]/2.4),"")</f>
        <v/>
      </c>
      <c r="DQ73" s="180"/>
      <c r="DR73" s="116" t="str">
        <f>IF(BD_MO[[#This Row],[TIPO AVANCE]]="Avance",((BD_MO[[#This Row],[AVANCE (m)]]/BD_MO[[#This Row],[AVANCE TEÓRICO]]))," ")</f>
        <v xml:space="preserve"> </v>
      </c>
      <c r="DS73" s="134"/>
      <c r="DT73" s="134"/>
      <c r="DU73" s="134"/>
      <c r="DV73" s="134"/>
      <c r="DW73" s="134"/>
      <c r="DX73" s="135"/>
      <c r="DY73" s="135"/>
      <c r="DZ73" s="135"/>
    </row>
    <row r="74" spans="1:130" s="136" customFormat="1" ht="18" customHeight="1" x14ac:dyDescent="0.25">
      <c r="A74" s="168">
        <v>44655</v>
      </c>
      <c r="B74" s="169" t="s">
        <v>10655</v>
      </c>
      <c r="C74" s="169" t="s">
        <v>10668</v>
      </c>
      <c r="D74" s="170" t="s">
        <v>10951</v>
      </c>
      <c r="E74" s="171" t="str">
        <f>LEFT(BD_MO[[#This Row],[LABOR]],2)</f>
        <v>In</v>
      </c>
      <c r="F74" s="172"/>
      <c r="G74" s="172" t="s">
        <v>10669</v>
      </c>
      <c r="H7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74" s="171" t="str">
        <f>IF(BD_MO[FECHA]&lt;&gt;"",VLOOKUP(BD_MO[LABOR],TB_CECO[[LABOR]:[CECO_T]],3,FALSE),"")</f>
        <v>CACHORRO</v>
      </c>
      <c r="J74" s="171" t="str">
        <f>IF(BD_MO[FECHA]&lt;&gt;"",VLOOKUP(BD_MO[LABOR],D_CECO!B:H,7,FALSE),"")</f>
        <v>LINEAL</v>
      </c>
      <c r="K74" s="171" t="str">
        <f>IF(BD_MO[FECHA]&lt;&gt;"",VLOOKUP(BD_MO[LABOR],D_CECO!B:H,4,FALSE),"")</f>
        <v>EXPLORACION</v>
      </c>
      <c r="L74" s="171"/>
      <c r="M74" s="169"/>
      <c r="N74" s="172"/>
      <c r="O74" s="173" t="s">
        <v>12099</v>
      </c>
      <c r="P74" s="173" t="s">
        <v>12100</v>
      </c>
      <c r="Q74" s="173"/>
      <c r="R74" s="174"/>
      <c r="S74" s="175" t="str">
        <f>IFERROR(VLOOKUP(BD_MO[DNI 4],#REF!,2,FALSE)," ")</f>
        <v xml:space="preserve"> </v>
      </c>
      <c r="T74" s="176">
        <f>+IF(BD_MO[[#This Row],[FECHA]]&lt;&gt;"",COUNTA(BD_MO[[#This Row],[DNI]],BD_MO[[#This Row],[DNI 2]],BD_MO[[#This Row],[DNI 3]],BD_MO[[#This Row],[DNI 4]]),"")</f>
        <v>2</v>
      </c>
      <c r="U74" s="176"/>
      <c r="V74" s="176"/>
      <c r="W74" s="176"/>
      <c r="X74" s="176">
        <v>2</v>
      </c>
      <c r="Y74" s="177">
        <f>SUM(BD_MO[[#This Row],[LIMP]:[SERV]])</f>
        <v>2</v>
      </c>
      <c r="Z74" s="172"/>
      <c r="AA74" s="172" t="str">
        <f>+IF(BD_MO[[#This Row],[N° VALE]]&lt;&gt;"",1,"")</f>
        <v/>
      </c>
      <c r="AB74" s="169"/>
      <c r="AC74" s="172"/>
      <c r="AD74" s="172" t="str">
        <f>+IF(BD_MO[[#This Row],[N° VALE]]&lt;&gt;"",BD_MO[[#This Row],[FULMINANTE N° 08]]+BD_MO[CARMEX 7''],"")</f>
        <v/>
      </c>
      <c r="AE74" s="172"/>
      <c r="AF74" s="172" t="str">
        <f>+IF(BD_MO[[#This Row],[N° VALE]]&lt;&gt;"",BD_MO[[#This Row],[N° TALADROS]]+BD_MO[[#This Row],[N° TAL. VACIOS]],"")</f>
        <v/>
      </c>
      <c r="AG74" s="178"/>
      <c r="AH74" s="178"/>
      <c r="AI74" s="178"/>
      <c r="AJ74" s="178"/>
      <c r="AK74" s="178"/>
      <c r="AL74" s="178"/>
      <c r="AM74" s="171"/>
      <c r="AN7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74" s="172" t="str">
        <f>+IF(BD_MO[[#This Row],[N° VALE]]&lt;&gt;"",IF(BD_MO[[#This Row],[FULMINANTE N° 08]]&lt;&gt;"",BD_MO[[#This Row],[FULMINANTE N° 08]],IF(BD_MO[[#This Row],[CARMEX 7'']]&lt;&gt;0,0,"")),"")</f>
        <v/>
      </c>
      <c r="AP74" s="176" t="str">
        <f>+IF(BD_MO[[#This Row],[N° VALE]]&lt;&gt;"",BD_MO[[#This Row],[N°  TOTAL TALADROS]]*BD_MO[[#This Row],[BARRA]]*0.95,"")</f>
        <v/>
      </c>
      <c r="AQ74" s="176" t="str">
        <f>+IF(BD_MO[[#This Row],[N° VALE]]&lt;&gt;"",BD_MO[[#This Row],[EMULNOR 1000 (N° CART.)]]*PE_EMUL_1000[PE],"")</f>
        <v/>
      </c>
      <c r="AR74" s="176" t="str">
        <f>+IF(BD_MO[[#This Row],[N° VALE]]&lt;&gt;"",BD_MO[[#This Row],[EMULNOR 3000 (N° CART.)]]*PE_EMUL_3000[PE],"")</f>
        <v/>
      </c>
      <c r="AS74" s="176" t="str">
        <f>+IF(BD_MO[[#This Row],[N° VALE]]&lt;&gt;"",BD_MO[[#This Row],[PULVERULENTA (N° CART.)]]*PE_PULV_65[PE],"")</f>
        <v/>
      </c>
      <c r="AT74" s="176" t="str">
        <f>+IF(BD_MO[[#This Row],[N° DISP]]&lt;&gt;"",BD_MO[[#This Row],[SEMIGELATINA (N° CART.)]]*PE_SEMIGEL_65[PE],"")</f>
        <v/>
      </c>
      <c r="AU74" s="176" t="str">
        <f>+IF(BD_MO[N° VALE]&lt;&gt;"",BD_MO[[#This Row],[KG EXPLO SEMIGEL]]+BD_MO[[#This Row],[KG EXPLO PULVE]]+BD_MO[[#This Row],[KG EXPLO EMULN 3000]]+BD_MO[[#This Row],[KG EXPLO EMULN 1000]],"")</f>
        <v/>
      </c>
      <c r="AV74" s="172"/>
      <c r="AW74" s="172"/>
      <c r="AX74" s="172" t="str">
        <f>+IF(BD_MO[[#This Row],[MINERAL (U-35)]]&lt;&gt;"",BD_MO[[#This Row],[MINERAL (U-35)]]*1.45,"-")</f>
        <v>-</v>
      </c>
      <c r="AY74" s="172" t="str">
        <f>+IF(BD_MO[[#This Row],[DESMONTE (U-35)]]&lt;&gt;"",BD_MO[[#This Row],[DESMONTE (U-35)]]*1.23,"-")</f>
        <v>-</v>
      </c>
      <c r="AZ74" s="172"/>
      <c r="BA74" s="172"/>
      <c r="BB74" s="172"/>
      <c r="BC74" s="172"/>
      <c r="BD74" s="172"/>
      <c r="BE74" s="172"/>
      <c r="BF74" s="172"/>
      <c r="BG74" s="172"/>
      <c r="BH74" s="172"/>
      <c r="BI74" s="172"/>
      <c r="BJ74" s="172"/>
      <c r="BK74" s="172"/>
      <c r="BL74" s="172"/>
      <c r="BM74" s="172"/>
      <c r="BN74" s="171"/>
      <c r="BO74" s="172"/>
      <c r="BP74" s="172"/>
      <c r="BQ74" s="171"/>
      <c r="BR74" s="172"/>
      <c r="BS74" s="171"/>
      <c r="BT74" s="176"/>
      <c r="BU74" s="172"/>
      <c r="BV74" s="172"/>
      <c r="BW74" s="172"/>
      <c r="BX74" s="172"/>
      <c r="BY74" s="172"/>
      <c r="BZ74" s="172"/>
      <c r="CA74" s="172"/>
      <c r="CB74" s="172"/>
      <c r="CC74" s="172"/>
      <c r="CD74" s="172"/>
      <c r="CE74" s="172"/>
      <c r="CF74" s="172"/>
      <c r="CG74" s="172"/>
      <c r="CH74" s="172"/>
      <c r="CI74" s="172"/>
      <c r="CJ74" s="172"/>
      <c r="CK74" s="172"/>
      <c r="CL74" s="172"/>
      <c r="CM74" s="172"/>
      <c r="CN74" s="172"/>
      <c r="CO74" s="172"/>
      <c r="CP74" s="176">
        <f>+IF(BD_MO[[#This Row],[FECHA]]&lt;&gt;"",BD_MO[[#This Row],[PUNTAL 4"]]+BD_MO[[#This Row],[PUNTAL 5"]]+BD_MO[[#This Row],[PUNTAL 6"]]+BD_MO[[#This Row],[PUNTAL 7"]]+BD_MO[[#This Row],[PUNTAL 8"]],"")</f>
        <v>0</v>
      </c>
      <c r="CQ74" s="172"/>
      <c r="CR74" s="172"/>
      <c r="CS74" s="172"/>
      <c r="CT74" s="172"/>
      <c r="CU74" s="172"/>
      <c r="CV74" s="172"/>
      <c r="CW74" s="172"/>
      <c r="CX74" s="172"/>
      <c r="CY74" s="176"/>
      <c r="CZ7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74" s="176">
        <f>+IF(BD_MO[[#This Row],[FECHA]]&lt;&gt;"",BD_MO[[#This Row],[DURMIENTE2]]*6.561+BD_MO[[#This Row],[LISTONES]]*4.921+BD_MO[[#This Row],[TABLA 1"x8"x3m]]*6.561+BD_MO[[#This Row],[TABLA 2"x8"x3m]]*13.122,"")</f>
        <v>0</v>
      </c>
      <c r="DB74" s="176">
        <f>+IF(BD_MO[[#This Row],[FECHA]]&lt;&gt;"",BD_MO[[#This Row],[PIE2 MADERA ASERRADA]]*1.95,"")</f>
        <v>0</v>
      </c>
      <c r="DC74" s="176">
        <f>+IF(BD_MO[[#This Row],[FECHA]]&lt;&gt;"",BD_MO[[#This Row],[KG. MADERA REDONDA]]+BD_MO[[#This Row],[KG MADERA ASERRADA]],"")</f>
        <v>0</v>
      </c>
      <c r="DD7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74" s="172"/>
      <c r="DF74" s="172"/>
      <c r="DG74" s="172"/>
      <c r="DH74" s="172"/>
      <c r="DI7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74" s="180"/>
      <c r="DK74" s="180"/>
      <c r="DL7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7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7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74" s="181"/>
      <c r="DP74" s="180" t="str">
        <f>+IF(BD_MO[[#This Row],[M o D]]&lt;&gt;"",IF(BD_MO[[#This Row],[M o D]]="M",BD_MO[[#This Row],[ROTURA TMH]]/2.65,BD_MO[[#This Row],[ROTURA TMH]]/2.4),"")</f>
        <v/>
      </c>
      <c r="DQ74" s="180"/>
      <c r="DR74" s="116" t="str">
        <f>IF(BD_MO[[#This Row],[TIPO AVANCE]]="Avance",((BD_MO[[#This Row],[AVANCE (m)]]/BD_MO[[#This Row],[AVANCE TEÓRICO]]))," ")</f>
        <v xml:space="preserve"> </v>
      </c>
      <c r="DS74" s="134"/>
      <c r="DT74" s="134"/>
      <c r="DU74" s="134"/>
      <c r="DV74" s="134"/>
      <c r="DW74" s="134"/>
      <c r="DX74" s="135"/>
      <c r="DY74" s="135"/>
      <c r="DZ74" s="135"/>
    </row>
    <row r="75" spans="1:130" s="136" customFormat="1" ht="18" customHeight="1" x14ac:dyDescent="0.25">
      <c r="A75" s="168">
        <v>44655</v>
      </c>
      <c r="B75" s="169" t="s">
        <v>10655</v>
      </c>
      <c r="C75" s="169" t="s">
        <v>10668</v>
      </c>
      <c r="D75" s="170" t="s">
        <v>11492</v>
      </c>
      <c r="E75" s="171" t="str">
        <f>LEFT(BD_MO[[#This Row],[LABOR]],2)</f>
        <v>Pq</v>
      </c>
      <c r="F75" s="172"/>
      <c r="G75" s="172" t="s">
        <v>10669</v>
      </c>
      <c r="H75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75" s="171" t="str">
        <f>IF(BD_MO[FECHA]&lt;&gt;"",VLOOKUP(BD_MO[LABOR],TB_CECO[[LABOR]:[CECO_T]],3,FALSE),"")</f>
        <v>ESCONDIDA</v>
      </c>
      <c r="J75" s="171" t="str">
        <f>IF(BD_MO[FECHA]&lt;&gt;"",VLOOKUP(BD_MO[LABOR],D_CECO!B:H,7,FALSE),"")</f>
        <v>LINEAL</v>
      </c>
      <c r="K75" s="171" t="str">
        <f>IF(BD_MO[FECHA]&lt;&gt;"",VLOOKUP(BD_MO[LABOR],D_CECO!B:H,4,FALSE),"")</f>
        <v>EXPLOTACION</v>
      </c>
      <c r="L75" s="171"/>
      <c r="M75" s="169"/>
      <c r="N75" s="172"/>
      <c r="O75" s="173" t="s">
        <v>12097</v>
      </c>
      <c r="P75" s="173" t="s">
        <v>12089</v>
      </c>
      <c r="Q75" s="173"/>
      <c r="R75" s="174"/>
      <c r="S75" s="175" t="str">
        <f>IFERROR(VLOOKUP(BD_MO[DNI 4],#REF!,2,FALSE)," ")</f>
        <v xml:space="preserve"> </v>
      </c>
      <c r="T75" s="176">
        <f>+IF(BD_MO[[#This Row],[FECHA]]&lt;&gt;"",COUNTA(BD_MO[[#This Row],[DNI]],BD_MO[[#This Row],[DNI 2]],BD_MO[[#This Row],[DNI 3]],BD_MO[[#This Row],[DNI 4]]),"")</f>
        <v>2</v>
      </c>
      <c r="U75" s="176"/>
      <c r="V75" s="176"/>
      <c r="W75" s="176"/>
      <c r="X75" s="176">
        <v>2</v>
      </c>
      <c r="Y75" s="177">
        <f>SUM(BD_MO[[#This Row],[LIMP]:[SERV]])</f>
        <v>2</v>
      </c>
      <c r="Z75" s="172"/>
      <c r="AA75" s="172" t="str">
        <f>+IF(BD_MO[[#This Row],[N° VALE]]&lt;&gt;"",1,"")</f>
        <v/>
      </c>
      <c r="AB75" s="169"/>
      <c r="AC75" s="172"/>
      <c r="AD75" s="172" t="str">
        <f>+IF(BD_MO[[#This Row],[N° VALE]]&lt;&gt;"",BD_MO[[#This Row],[FULMINANTE N° 08]]+BD_MO[CARMEX 7''],"")</f>
        <v/>
      </c>
      <c r="AE75" s="172"/>
      <c r="AF75" s="172" t="str">
        <f>+IF(BD_MO[[#This Row],[N° VALE]]&lt;&gt;"",BD_MO[[#This Row],[N° TALADROS]]+BD_MO[[#This Row],[N° TAL. VACIOS]],"")</f>
        <v/>
      </c>
      <c r="AG75" s="178"/>
      <c r="AH75" s="178"/>
      <c r="AI75" s="178"/>
      <c r="AJ75" s="178"/>
      <c r="AK75" s="178"/>
      <c r="AL75" s="178"/>
      <c r="AM75" s="171"/>
      <c r="AN75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75" s="172" t="str">
        <f>+IF(BD_MO[[#This Row],[N° VALE]]&lt;&gt;"",IF(BD_MO[[#This Row],[FULMINANTE N° 08]]&lt;&gt;"",BD_MO[[#This Row],[FULMINANTE N° 08]],IF(BD_MO[[#This Row],[CARMEX 7'']]&lt;&gt;0,0,"")),"")</f>
        <v/>
      </c>
      <c r="AP75" s="176" t="str">
        <f>+IF(BD_MO[[#This Row],[N° VALE]]&lt;&gt;"",BD_MO[[#This Row],[N°  TOTAL TALADROS]]*BD_MO[[#This Row],[BARRA]]*0.95,"")</f>
        <v/>
      </c>
      <c r="AQ75" s="176" t="str">
        <f>+IF(BD_MO[[#This Row],[N° VALE]]&lt;&gt;"",BD_MO[[#This Row],[EMULNOR 1000 (N° CART.)]]*PE_EMUL_1000[PE],"")</f>
        <v/>
      </c>
      <c r="AR75" s="176" t="str">
        <f>+IF(BD_MO[[#This Row],[N° VALE]]&lt;&gt;"",BD_MO[[#This Row],[EMULNOR 3000 (N° CART.)]]*PE_EMUL_3000[PE],"")</f>
        <v/>
      </c>
      <c r="AS75" s="176" t="str">
        <f>+IF(BD_MO[[#This Row],[N° VALE]]&lt;&gt;"",BD_MO[[#This Row],[PULVERULENTA (N° CART.)]]*PE_PULV_65[PE],"")</f>
        <v/>
      </c>
      <c r="AT75" s="176" t="str">
        <f>+IF(BD_MO[[#This Row],[N° DISP]]&lt;&gt;"",BD_MO[[#This Row],[SEMIGELATINA (N° CART.)]]*PE_SEMIGEL_65[PE],"")</f>
        <v/>
      </c>
      <c r="AU75" s="176" t="str">
        <f>+IF(BD_MO[N° VALE]&lt;&gt;"",BD_MO[[#This Row],[KG EXPLO SEMIGEL]]+BD_MO[[#This Row],[KG EXPLO PULVE]]+BD_MO[[#This Row],[KG EXPLO EMULN 3000]]+BD_MO[[#This Row],[KG EXPLO EMULN 1000]],"")</f>
        <v/>
      </c>
      <c r="AV75" s="172"/>
      <c r="AW75" s="172"/>
      <c r="AX75" s="172" t="str">
        <f>+IF(BD_MO[[#This Row],[MINERAL (U-35)]]&lt;&gt;"",BD_MO[[#This Row],[MINERAL (U-35)]]*1.45,"-")</f>
        <v>-</v>
      </c>
      <c r="AY75" s="172" t="str">
        <f>+IF(BD_MO[[#This Row],[DESMONTE (U-35)]]&lt;&gt;"",BD_MO[[#This Row],[DESMONTE (U-35)]]*1.23,"-")</f>
        <v>-</v>
      </c>
      <c r="AZ75" s="172"/>
      <c r="BA75" s="172"/>
      <c r="BB75" s="172"/>
      <c r="BC75" s="172"/>
      <c r="BD75" s="172"/>
      <c r="BE75" s="172"/>
      <c r="BF75" s="172"/>
      <c r="BG75" s="172"/>
      <c r="BH75" s="172"/>
      <c r="BI75" s="172"/>
      <c r="BJ75" s="172"/>
      <c r="BK75" s="172"/>
      <c r="BL75" s="172"/>
      <c r="BM75" s="172"/>
      <c r="BN75" s="171"/>
      <c r="BO75" s="172"/>
      <c r="BP75" s="172"/>
      <c r="BQ75" s="171"/>
      <c r="BR75" s="172"/>
      <c r="BS75" s="171"/>
      <c r="BT75" s="176"/>
      <c r="BU75" s="172"/>
      <c r="BV75" s="172"/>
      <c r="BW75" s="172"/>
      <c r="BX75" s="172"/>
      <c r="BY75" s="172"/>
      <c r="BZ75" s="172"/>
      <c r="CA75" s="172"/>
      <c r="CB75" s="172"/>
      <c r="CC75" s="172"/>
      <c r="CD75" s="172"/>
      <c r="CE75" s="172"/>
      <c r="CF75" s="172"/>
      <c r="CG75" s="172"/>
      <c r="CH75" s="172"/>
      <c r="CI75" s="172"/>
      <c r="CJ75" s="172"/>
      <c r="CK75" s="172"/>
      <c r="CL75" s="172"/>
      <c r="CM75" s="172"/>
      <c r="CN75" s="172"/>
      <c r="CO75" s="172"/>
      <c r="CP75" s="176">
        <f>+IF(BD_MO[[#This Row],[FECHA]]&lt;&gt;"",BD_MO[[#This Row],[PUNTAL 4"]]+BD_MO[[#This Row],[PUNTAL 5"]]+BD_MO[[#This Row],[PUNTAL 6"]]+BD_MO[[#This Row],[PUNTAL 7"]]+BD_MO[[#This Row],[PUNTAL 8"]],"")</f>
        <v>0</v>
      </c>
      <c r="CQ75" s="172"/>
      <c r="CR75" s="172"/>
      <c r="CS75" s="172"/>
      <c r="CT75" s="172"/>
      <c r="CU75" s="172"/>
      <c r="CV75" s="172"/>
      <c r="CW75" s="172"/>
      <c r="CX75" s="172"/>
      <c r="CY75" s="176"/>
      <c r="CZ75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75" s="176">
        <f>+IF(BD_MO[[#This Row],[FECHA]]&lt;&gt;"",BD_MO[[#This Row],[DURMIENTE2]]*6.561+BD_MO[[#This Row],[LISTONES]]*4.921+BD_MO[[#This Row],[TABLA 1"x8"x3m]]*6.561+BD_MO[[#This Row],[TABLA 2"x8"x3m]]*13.122,"")</f>
        <v>0</v>
      </c>
      <c r="DB75" s="176">
        <f>+IF(BD_MO[[#This Row],[FECHA]]&lt;&gt;"",BD_MO[[#This Row],[PIE2 MADERA ASERRADA]]*1.95,"")</f>
        <v>0</v>
      </c>
      <c r="DC75" s="176">
        <f>+IF(BD_MO[[#This Row],[FECHA]]&lt;&gt;"",BD_MO[[#This Row],[KG. MADERA REDONDA]]+BD_MO[[#This Row],[KG MADERA ASERRADA]],"")</f>
        <v>0</v>
      </c>
      <c r="DD75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75" s="172"/>
      <c r="DF75" s="172"/>
      <c r="DG75" s="172"/>
      <c r="DH75" s="172"/>
      <c r="DI75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75" s="180"/>
      <c r="DK75" s="180"/>
      <c r="DL75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75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75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75" s="181"/>
      <c r="DP75" s="180" t="str">
        <f>+IF(BD_MO[[#This Row],[M o D]]&lt;&gt;"",IF(BD_MO[[#This Row],[M o D]]="M",BD_MO[[#This Row],[ROTURA TMH]]/2.65,BD_MO[[#This Row],[ROTURA TMH]]/2.4),"")</f>
        <v/>
      </c>
      <c r="DQ75" s="180"/>
      <c r="DR75" s="116" t="str">
        <f>IF(BD_MO[[#This Row],[TIPO AVANCE]]="Avance",((BD_MO[[#This Row],[AVANCE (m)]]/BD_MO[[#This Row],[AVANCE TEÓRICO]]))," ")</f>
        <v xml:space="preserve"> </v>
      </c>
      <c r="DS75" s="134"/>
      <c r="DT75" s="134"/>
      <c r="DU75" s="134"/>
      <c r="DV75" s="134"/>
      <c r="DW75" s="134"/>
      <c r="DX75" s="135"/>
      <c r="DY75" s="135"/>
      <c r="DZ75" s="135"/>
    </row>
    <row r="76" spans="1:130" s="112" customFormat="1" ht="18" customHeight="1" thickBot="1" x14ac:dyDescent="0.3">
      <c r="A76" s="183">
        <v>44655</v>
      </c>
      <c r="B76" s="184" t="s">
        <v>10655</v>
      </c>
      <c r="C76" s="184" t="s">
        <v>10668</v>
      </c>
      <c r="D76" s="185" t="s">
        <v>10954</v>
      </c>
      <c r="E76" s="186" t="str">
        <f>LEFT(BD_MO[[#This Row],[LABOR]],2)</f>
        <v>MO</v>
      </c>
      <c r="F76" s="187"/>
      <c r="G76" s="187" t="s">
        <v>10669</v>
      </c>
      <c r="H76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76" s="186" t="str">
        <f>IF(BD_MO[FECHA]&lt;&gt;"",VLOOKUP(BD_MO[LABOR],TB_CECO[[LABOR]:[CECO_T]],3,FALSE),"")</f>
        <v>INCA</v>
      </c>
      <c r="J76" s="186" t="str">
        <f>IF(BD_MO[FECHA]&lt;&gt;"",VLOOKUP(BD_MO[LABOR],D_CECO!B:H,7,FALSE),"")</f>
        <v>SERVICIOS</v>
      </c>
      <c r="K76" s="186" t="str">
        <f>IF(BD_MO[FECHA]&lt;&gt;"",VLOOKUP(BD_MO[LABOR],D_CECO!B:H,4,FALSE),"")</f>
        <v>SERVICIOS</v>
      </c>
      <c r="L76" s="186"/>
      <c r="M76" s="184"/>
      <c r="N76" s="187"/>
      <c r="O76" s="188" t="s">
        <v>12098</v>
      </c>
      <c r="P76" s="188" t="s">
        <v>12162</v>
      </c>
      <c r="Q76" s="188"/>
      <c r="R76" s="189"/>
      <c r="S76" s="190" t="str">
        <f>IFERROR(VLOOKUP(BD_MO[DNI 4],#REF!,2,FALSE)," ")</f>
        <v xml:space="preserve"> </v>
      </c>
      <c r="T76" s="191">
        <f>+IF(BD_MO[[#This Row],[FECHA]]&lt;&gt;"",COUNTA(BD_MO[[#This Row],[DNI]],BD_MO[[#This Row],[DNI 2]],BD_MO[[#This Row],[DNI 3]],BD_MO[[#This Row],[DNI 4]]),"")</f>
        <v>2</v>
      </c>
      <c r="U76" s="191"/>
      <c r="V76" s="191"/>
      <c r="W76" s="191"/>
      <c r="X76" s="191">
        <v>2</v>
      </c>
      <c r="Y76" s="192">
        <f>SUM(BD_MO[[#This Row],[LIMP]:[SERV]])</f>
        <v>2</v>
      </c>
      <c r="Z76" s="187"/>
      <c r="AA76" s="187" t="str">
        <f>+IF(BD_MO[[#This Row],[N° VALE]]&lt;&gt;"",1,"")</f>
        <v/>
      </c>
      <c r="AB76" s="184"/>
      <c r="AC76" s="187"/>
      <c r="AD76" s="187" t="str">
        <f>+IF(BD_MO[[#This Row],[N° VALE]]&lt;&gt;"",BD_MO[[#This Row],[FULMINANTE N° 08]]+BD_MO[CARMEX 7''],"")</f>
        <v/>
      </c>
      <c r="AE76" s="187"/>
      <c r="AF76" s="187" t="str">
        <f>+IF(BD_MO[[#This Row],[N° VALE]]&lt;&gt;"",BD_MO[[#This Row],[N° TALADROS]]+BD_MO[[#This Row],[N° TAL. VACIOS]],"")</f>
        <v/>
      </c>
      <c r="AG76" s="193"/>
      <c r="AH76" s="193"/>
      <c r="AI76" s="193"/>
      <c r="AJ76" s="193"/>
      <c r="AK76" s="193"/>
      <c r="AL76" s="193"/>
      <c r="AM76" s="186"/>
      <c r="AN76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76" s="187" t="str">
        <f>+IF(BD_MO[[#This Row],[N° VALE]]&lt;&gt;"",IF(BD_MO[[#This Row],[FULMINANTE N° 08]]&lt;&gt;"",BD_MO[[#This Row],[FULMINANTE N° 08]],IF(BD_MO[[#This Row],[CARMEX 7'']]&lt;&gt;0,0,"")),"")</f>
        <v/>
      </c>
      <c r="AP76" s="191" t="str">
        <f>+IF(BD_MO[[#This Row],[N° VALE]]&lt;&gt;"",BD_MO[[#This Row],[N°  TOTAL TALADROS]]*BD_MO[[#This Row],[BARRA]]*0.95,"")</f>
        <v/>
      </c>
      <c r="AQ76" s="191" t="str">
        <f>+IF(BD_MO[[#This Row],[N° VALE]]&lt;&gt;"",BD_MO[[#This Row],[EMULNOR 1000 (N° CART.)]]*PE_EMUL_1000[PE],"")</f>
        <v/>
      </c>
      <c r="AR76" s="191" t="str">
        <f>+IF(BD_MO[[#This Row],[N° VALE]]&lt;&gt;"",BD_MO[[#This Row],[EMULNOR 3000 (N° CART.)]]*PE_EMUL_3000[PE],"")</f>
        <v/>
      </c>
      <c r="AS76" s="191" t="str">
        <f>+IF(BD_MO[[#This Row],[N° VALE]]&lt;&gt;"",BD_MO[[#This Row],[PULVERULENTA (N° CART.)]]*PE_PULV_65[PE],"")</f>
        <v/>
      </c>
      <c r="AT76" s="191" t="str">
        <f>+IF(BD_MO[[#This Row],[N° DISP]]&lt;&gt;"",BD_MO[[#This Row],[SEMIGELATINA (N° CART.)]]*PE_SEMIGEL_65[PE],"")</f>
        <v/>
      </c>
      <c r="AU76" s="191" t="str">
        <f>+IF(BD_MO[N° VALE]&lt;&gt;"",BD_MO[[#This Row],[KG EXPLO SEMIGEL]]+BD_MO[[#This Row],[KG EXPLO PULVE]]+BD_MO[[#This Row],[KG EXPLO EMULN 3000]]+BD_MO[[#This Row],[KG EXPLO EMULN 1000]],"")</f>
        <v/>
      </c>
      <c r="AV76" s="187"/>
      <c r="AW76" s="187"/>
      <c r="AX76" s="187" t="str">
        <f>+IF(BD_MO[[#This Row],[MINERAL (U-35)]]&lt;&gt;"",BD_MO[[#This Row],[MINERAL (U-35)]]*1.45,"-")</f>
        <v>-</v>
      </c>
      <c r="AY76" s="187" t="str">
        <f>+IF(BD_MO[[#This Row],[DESMONTE (U-35)]]&lt;&gt;"",BD_MO[[#This Row],[DESMONTE (U-35)]]*1.23,"-")</f>
        <v>-</v>
      </c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87"/>
      <c r="BL76" s="187"/>
      <c r="BM76" s="187"/>
      <c r="BN76" s="186"/>
      <c r="BO76" s="187"/>
      <c r="BP76" s="187"/>
      <c r="BQ76" s="186"/>
      <c r="BR76" s="187"/>
      <c r="BS76" s="186"/>
      <c r="BT76" s="191"/>
      <c r="BU76" s="187"/>
      <c r="BV76" s="187"/>
      <c r="BW76" s="187"/>
      <c r="BX76" s="187"/>
      <c r="BY76" s="187"/>
      <c r="BZ76" s="187"/>
      <c r="CA76" s="187"/>
      <c r="CB76" s="187"/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91">
        <f>+IF(BD_MO[[#This Row],[FECHA]]&lt;&gt;"",BD_MO[[#This Row],[PUNTAL 4"]]+BD_MO[[#This Row],[PUNTAL 5"]]+BD_MO[[#This Row],[PUNTAL 6"]]+BD_MO[[#This Row],[PUNTAL 7"]]+BD_MO[[#This Row],[PUNTAL 8"]],"")</f>
        <v>0</v>
      </c>
      <c r="CQ76" s="187"/>
      <c r="CR76" s="187"/>
      <c r="CS76" s="187"/>
      <c r="CT76" s="187"/>
      <c r="CU76" s="187"/>
      <c r="CV76" s="187"/>
      <c r="CW76" s="187"/>
      <c r="CX76" s="187"/>
      <c r="CY76" s="191"/>
      <c r="CZ76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76" s="191">
        <f>+IF(BD_MO[[#This Row],[FECHA]]&lt;&gt;"",BD_MO[[#This Row],[DURMIENTE2]]*6.561+BD_MO[[#This Row],[LISTONES]]*4.921+BD_MO[[#This Row],[TABLA 1"x8"x3m]]*6.561+BD_MO[[#This Row],[TABLA 2"x8"x3m]]*13.122,"")</f>
        <v>0</v>
      </c>
      <c r="DB76" s="191">
        <f>+IF(BD_MO[[#This Row],[FECHA]]&lt;&gt;"",BD_MO[[#This Row],[PIE2 MADERA ASERRADA]]*1.95,"")</f>
        <v>0</v>
      </c>
      <c r="DC76" s="191">
        <f>+IF(BD_MO[[#This Row],[FECHA]]&lt;&gt;"",BD_MO[[#This Row],[KG. MADERA REDONDA]]+BD_MO[[#This Row],[KG MADERA ASERRADA]],"")</f>
        <v>0</v>
      </c>
      <c r="DD76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76" s="187"/>
      <c r="DF76" s="187"/>
      <c r="DG76" s="187"/>
      <c r="DH76" s="187"/>
      <c r="DI76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76" s="195"/>
      <c r="DK76" s="195"/>
      <c r="DL76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76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76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76" s="196"/>
      <c r="DP76" s="195" t="str">
        <f>+IF(BD_MO[[#This Row],[M o D]]&lt;&gt;"",IF(BD_MO[[#This Row],[M o D]]="M",BD_MO[[#This Row],[ROTURA TMH]]/2.65,BD_MO[[#This Row],[ROTURA TMH]]/2.4),"")</f>
        <v/>
      </c>
      <c r="DQ76" s="195"/>
      <c r="DR76" s="116" t="str">
        <f>IF(BD_MO[[#This Row],[TIPO AVANCE]]="Avance",((BD_MO[[#This Row],[AVANCE (m)]]/BD_MO[[#This Row],[AVANCE TEÓRICO]]))," ")</f>
        <v xml:space="preserve"> </v>
      </c>
      <c r="DS76" s="110"/>
      <c r="DT76" s="110"/>
      <c r="DU76" s="110"/>
      <c r="DV76" s="110"/>
      <c r="DW76" s="110"/>
      <c r="DX76" s="111"/>
      <c r="DY76" s="111"/>
      <c r="DZ76" s="111"/>
    </row>
    <row r="77" spans="1:130" s="136" customFormat="1" ht="18" customHeight="1" x14ac:dyDescent="0.25">
      <c r="A77" s="168">
        <v>44656</v>
      </c>
      <c r="B77" s="169" t="s">
        <v>10647</v>
      </c>
      <c r="C77" s="169" t="s">
        <v>10680</v>
      </c>
      <c r="D77" s="170" t="s">
        <v>10952</v>
      </c>
      <c r="E77" s="171" t="str">
        <f>LEFT(BD_MO[[#This Row],[LABOR]],2)</f>
        <v>In</v>
      </c>
      <c r="F77" s="172" t="s">
        <v>10687</v>
      </c>
      <c r="G77" s="172" t="s">
        <v>10648</v>
      </c>
      <c r="H7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77" s="171" t="str">
        <f>IF(BD_MO[FECHA]&lt;&gt;"",VLOOKUP(BD_MO[LABOR],TB_CECO[[LABOR]:[CECO_T]],3,FALSE),"")</f>
        <v>VANESSA</v>
      </c>
      <c r="J77" s="171" t="str">
        <f>IF(BD_MO[FECHA]&lt;&gt;"",VLOOKUP(BD_MO[LABOR],D_CECO!B:H,7,FALSE),"")</f>
        <v>LINEAL</v>
      </c>
      <c r="K77" s="171" t="str">
        <f>IF(BD_MO[FECHA]&lt;&gt;"",VLOOKUP(BD_MO[LABOR],D_CECO!B:H,4,FALSE),"")</f>
        <v>EXPLORACION</v>
      </c>
      <c r="L77" s="171"/>
      <c r="M77" s="169" t="s">
        <v>10646</v>
      </c>
      <c r="N77" s="172"/>
      <c r="O77" s="173" t="s">
        <v>11904</v>
      </c>
      <c r="P77" s="173" t="s">
        <v>11926</v>
      </c>
      <c r="Q77" s="173"/>
      <c r="R77" s="174"/>
      <c r="S77" s="175" t="str">
        <f>IFERROR(VLOOKUP(BD_MO[DNI 4],#REF!,2,FALSE)," ")</f>
        <v xml:space="preserve"> </v>
      </c>
      <c r="T77" s="176">
        <f>+IF(BD_MO[[#This Row],[FECHA]]&lt;&gt;"",COUNTA(BD_MO[[#This Row],[DNI]],BD_MO[[#This Row],[DNI 2]],BD_MO[[#This Row],[DNI 3]],BD_MO[[#This Row],[DNI 4]]),"")</f>
        <v>2</v>
      </c>
      <c r="U77" s="176">
        <v>0.8</v>
      </c>
      <c r="V77" s="176">
        <v>0.5</v>
      </c>
      <c r="W77" s="176">
        <v>0.45</v>
      </c>
      <c r="X77" s="176">
        <v>0.25</v>
      </c>
      <c r="Y77" s="177">
        <f>SUM(BD_MO[[#This Row],[LIMP]:[SERV]])</f>
        <v>2</v>
      </c>
      <c r="Z77" s="172" t="s">
        <v>12179</v>
      </c>
      <c r="AA77" s="172">
        <f>+IF(BD_MO[[#This Row],[N° VALE]]&lt;&gt;"",1,"")</f>
        <v>1</v>
      </c>
      <c r="AB77" s="169" t="s">
        <v>10710</v>
      </c>
      <c r="AC77" s="172">
        <v>4</v>
      </c>
      <c r="AD77" s="172">
        <f>+IF(BD_MO[[#This Row],[N° VALE]]&lt;&gt;"",BD_MO[[#This Row],[FULMINANTE N° 08]]+BD_MO[CARMEX 7''],"")</f>
        <v>25</v>
      </c>
      <c r="AE77" s="172">
        <v>3</v>
      </c>
      <c r="AF77" s="172">
        <f>+IF(BD_MO[[#This Row],[N° VALE]]&lt;&gt;"",BD_MO[[#This Row],[N° TALADROS]]+BD_MO[[#This Row],[N° TAL. VACIOS]],"")</f>
        <v>28</v>
      </c>
      <c r="AG77" s="178">
        <v>52</v>
      </c>
      <c r="AH77" s="178">
        <v>60</v>
      </c>
      <c r="AI77" s="178"/>
      <c r="AJ77" s="178"/>
      <c r="AK77" s="178">
        <v>25</v>
      </c>
      <c r="AL77" s="178">
        <v>6</v>
      </c>
      <c r="AM77" s="171"/>
      <c r="AN77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77" s="172">
        <f>+IF(BD_MO[[#This Row],[N° VALE]]&lt;&gt;"",IF(BD_MO[[#This Row],[FULMINANTE N° 08]]&lt;&gt;"",BD_MO[[#This Row],[FULMINANTE N° 08]],IF(BD_MO[[#This Row],[CARMEX 7'']]&lt;&gt;0,0,"")),"")</f>
        <v>0</v>
      </c>
      <c r="AP77" s="176">
        <f>+IF(BD_MO[[#This Row],[N° VALE]]&lt;&gt;"",BD_MO[[#This Row],[N°  TOTAL TALADROS]]*BD_MO[[#This Row],[BARRA]]*0.95,"")</f>
        <v>106.39999999999999</v>
      </c>
      <c r="AQ77" s="176">
        <f>+IF(BD_MO[[#This Row],[N° VALE]]&lt;&gt;"",BD_MO[[#This Row],[EMULNOR 1000 (N° CART.)]]*PE_EMUL_1000[PE],"")</f>
        <v>5.6820000000000004</v>
      </c>
      <c r="AR77" s="176">
        <f>+IF(BD_MO[[#This Row],[N° VALE]]&lt;&gt;"",BD_MO[[#This Row],[EMULNOR 3000 (N° CART.)]]*PE_EMUL_3000[PE],"")</f>
        <v>5.0000000000000027</v>
      </c>
      <c r="AS77" s="176">
        <f>+IF(BD_MO[[#This Row],[N° VALE]]&lt;&gt;"",BD_MO[[#This Row],[PULVERULENTA (N° CART.)]]*PE_PULV_65[PE],"")</f>
        <v>0</v>
      </c>
      <c r="AT77" s="176">
        <f>+IF(BD_MO[[#This Row],[N° DISP]]&lt;&gt;"",BD_MO[[#This Row],[SEMIGELATINA (N° CART.)]]*PE_SEMIGEL_65[PE],"")</f>
        <v>0</v>
      </c>
      <c r="AU77" s="176">
        <f>+IF(BD_MO[N° VALE]&lt;&gt;"",BD_MO[[#This Row],[KG EXPLO SEMIGEL]]+BD_MO[[#This Row],[KG EXPLO PULVE]]+BD_MO[[#This Row],[KG EXPLO EMULN 3000]]+BD_MO[[#This Row],[KG EXPLO EMULN 1000]],"")</f>
        <v>10.682000000000002</v>
      </c>
      <c r="AV77" s="172"/>
      <c r="AW77" s="172">
        <v>12</v>
      </c>
      <c r="AX77" s="172" t="str">
        <f>+IF(BD_MO[[#This Row],[MINERAL (U-35)]]&lt;&gt;"",BD_MO[[#This Row],[MINERAL (U-35)]]*1.45,"-")</f>
        <v>-</v>
      </c>
      <c r="AY77" s="172">
        <f>+IF(BD_MO[[#This Row],[DESMONTE (U-35)]]&lt;&gt;"",BD_MO[[#This Row],[DESMONTE (U-35)]]*1.23,"-")</f>
        <v>14.76</v>
      </c>
      <c r="AZ77" s="172"/>
      <c r="BA77" s="172"/>
      <c r="BB77" s="172"/>
      <c r="BC77" s="172"/>
      <c r="BD77" s="172"/>
      <c r="BE77" s="172"/>
      <c r="BF77" s="172"/>
      <c r="BG77" s="172"/>
      <c r="BH77" s="172"/>
      <c r="BI77" s="172"/>
      <c r="BJ77" s="172"/>
      <c r="BK77" s="172"/>
      <c r="BL77" s="172"/>
      <c r="BM77" s="172"/>
      <c r="BN77" s="171"/>
      <c r="BO77" s="172"/>
      <c r="BP77" s="172"/>
      <c r="BQ77" s="171"/>
      <c r="BR77" s="172"/>
      <c r="BS77" s="171"/>
      <c r="BT77" s="176"/>
      <c r="BU77" s="172"/>
      <c r="BV77" s="172"/>
      <c r="BW77" s="172"/>
      <c r="BX77" s="172"/>
      <c r="BY77" s="172"/>
      <c r="BZ77" s="172"/>
      <c r="CA77" s="172"/>
      <c r="CB77" s="172"/>
      <c r="CC77" s="172"/>
      <c r="CD77" s="172">
        <v>2</v>
      </c>
      <c r="CE77" s="172"/>
      <c r="CF77" s="172"/>
      <c r="CG77" s="172"/>
      <c r="CH77" s="172"/>
      <c r="CI77" s="172"/>
      <c r="CJ77" s="172"/>
      <c r="CK77" s="172"/>
      <c r="CL77" s="172"/>
      <c r="CM77" s="172"/>
      <c r="CN77" s="172"/>
      <c r="CO77" s="172"/>
      <c r="CP77" s="176">
        <f>+IF(BD_MO[[#This Row],[FECHA]]&lt;&gt;"",BD_MO[[#This Row],[PUNTAL 4"]]+BD_MO[[#This Row],[PUNTAL 5"]]+BD_MO[[#This Row],[PUNTAL 6"]]+BD_MO[[#This Row],[PUNTAL 7"]]+BD_MO[[#This Row],[PUNTAL 8"]],"")</f>
        <v>0</v>
      </c>
      <c r="CQ77" s="172"/>
      <c r="CR77" s="172"/>
      <c r="CS77" s="172"/>
      <c r="CT77" s="172"/>
      <c r="CU77" s="172"/>
      <c r="CV77" s="172"/>
      <c r="CW77" s="172"/>
      <c r="CX77" s="172"/>
      <c r="CY77" s="176"/>
      <c r="CZ7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77" s="176">
        <f>+IF(BD_MO[[#This Row],[FECHA]]&lt;&gt;"",BD_MO[[#This Row],[DURMIENTE2]]*6.561+BD_MO[[#This Row],[LISTONES]]*4.921+BD_MO[[#This Row],[TABLA 1"x8"x3m]]*6.561+BD_MO[[#This Row],[TABLA 2"x8"x3m]]*13.122,"")</f>
        <v>0</v>
      </c>
      <c r="DB77" s="176">
        <f>+IF(BD_MO[[#This Row],[FECHA]]&lt;&gt;"",BD_MO[[#This Row],[PIE2 MADERA ASERRADA]]*1.95,"")</f>
        <v>0</v>
      </c>
      <c r="DC77" s="176">
        <f>+IF(BD_MO[[#This Row],[FECHA]]&lt;&gt;"",BD_MO[[#This Row],[KG. MADERA REDONDA]]+BD_MO[[#This Row],[KG MADERA ASERRADA]],"")</f>
        <v>0</v>
      </c>
      <c r="DD7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77" s="172"/>
      <c r="DF77" s="172"/>
      <c r="DG77" s="172"/>
      <c r="DH77" s="172"/>
      <c r="DI77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77" s="180"/>
      <c r="DK77" s="180"/>
      <c r="DL7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77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77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77" s="181">
        <v>16.21</v>
      </c>
      <c r="DP77" s="180">
        <f>+IF(BD_MO[[#This Row],[M o D]]&lt;&gt;"",IF(BD_MO[[#This Row],[M o D]]="M",BD_MO[[#This Row],[ROTURA TMH]]/2.65,BD_MO[[#This Row],[ROTURA TMH]]/2.4),"")</f>
        <v>6.7541666666666673</v>
      </c>
      <c r="DQ77" s="228">
        <v>1</v>
      </c>
      <c r="DR77" s="116">
        <f>IF(BD_MO[[#This Row],[TIPO AVANCE]]="Avance",((BD_MO[[#This Row],[AVANCE (m)]]/BD_MO[[#This Row],[AVANCE TEÓRICO]]))," ")</f>
        <v>0.92592592592592582</v>
      </c>
      <c r="DS77" s="134"/>
      <c r="DT77" s="134"/>
      <c r="DU77" s="134"/>
      <c r="DV77" s="134"/>
      <c r="DW77" s="134"/>
      <c r="DX77" s="135"/>
      <c r="DY77" s="135"/>
      <c r="DZ77" s="135"/>
    </row>
    <row r="78" spans="1:130" s="136" customFormat="1" ht="18" customHeight="1" x14ac:dyDescent="0.25">
      <c r="A78" s="168">
        <v>44656</v>
      </c>
      <c r="B78" s="169" t="s">
        <v>10647</v>
      </c>
      <c r="C78" s="169" t="s">
        <v>10680</v>
      </c>
      <c r="D78" s="170" t="s">
        <v>12116</v>
      </c>
      <c r="E78" s="171" t="str">
        <f>LEFT(BD_MO[[#This Row],[LABOR]],2)</f>
        <v>Cx</v>
      </c>
      <c r="F78" s="172"/>
      <c r="G78" s="172" t="s">
        <v>10662</v>
      </c>
      <c r="H78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78" s="171" t="str">
        <f>IF(BD_MO[FECHA]&lt;&gt;"",VLOOKUP(BD_MO[LABOR],TB_CECO[[LABOR]:[CECO_T]],3,FALSE),"")</f>
        <v>ESCONDIDA</v>
      </c>
      <c r="J78" s="171" t="str">
        <f>IF(BD_MO[FECHA]&lt;&gt;"",VLOOKUP(BD_MO[LABOR],D_CECO!B:H,7,FALSE),"")</f>
        <v>LINEAL</v>
      </c>
      <c r="K78" s="171" t="str">
        <f>IF(BD_MO[FECHA]&lt;&gt;"",VLOOKUP(BD_MO[LABOR],D_CECO!B:H,4,FALSE),"")</f>
        <v>EXPLOTACION</v>
      </c>
      <c r="L78" s="171"/>
      <c r="M78" s="169"/>
      <c r="N78" s="172"/>
      <c r="O78" s="173" t="s">
        <v>11911</v>
      </c>
      <c r="P78" s="173" t="s">
        <v>11913</v>
      </c>
      <c r="Q78" s="173"/>
      <c r="R78" s="174"/>
      <c r="S78" s="175" t="str">
        <f>IFERROR(VLOOKUP(BD_MO[DNI 4],#REF!,2,FALSE)," ")</f>
        <v xml:space="preserve"> </v>
      </c>
      <c r="T78" s="176">
        <f>+IF(BD_MO[[#This Row],[FECHA]]&lt;&gt;"",COUNTA(BD_MO[[#This Row],[DNI]],BD_MO[[#This Row],[DNI 2]],BD_MO[[#This Row],[DNI 3]],BD_MO[[#This Row],[DNI 4]]),"")</f>
        <v>2</v>
      </c>
      <c r="U78" s="176">
        <v>0.6</v>
      </c>
      <c r="V78" s="176"/>
      <c r="W78" s="176">
        <v>1.2</v>
      </c>
      <c r="X78" s="176">
        <v>0.2</v>
      </c>
      <c r="Y78" s="177">
        <f>SUM(BD_MO[[#This Row],[LIMP]:[SERV]])</f>
        <v>1.9999999999999998</v>
      </c>
      <c r="Z78" s="172"/>
      <c r="AA78" s="172" t="str">
        <f>+IF(BD_MO[[#This Row],[N° VALE]]&lt;&gt;"",1,"")</f>
        <v/>
      </c>
      <c r="AB78" s="169"/>
      <c r="AC78" s="172"/>
      <c r="AD78" s="172" t="str">
        <f>+IF(BD_MO[[#This Row],[N° VALE]]&lt;&gt;"",BD_MO[[#This Row],[FULMINANTE N° 08]]+BD_MO[CARMEX 7''],"")</f>
        <v/>
      </c>
      <c r="AE78" s="172"/>
      <c r="AF78" s="172" t="str">
        <f>+IF(BD_MO[[#This Row],[N° VALE]]&lt;&gt;"",BD_MO[[#This Row],[N° TALADROS]]+BD_MO[[#This Row],[N° TAL. VACIOS]],"")</f>
        <v/>
      </c>
      <c r="AG78" s="178"/>
      <c r="AH78" s="178"/>
      <c r="AI78" s="178"/>
      <c r="AJ78" s="178"/>
      <c r="AK78" s="178"/>
      <c r="AL78" s="178"/>
      <c r="AM78" s="171"/>
      <c r="AN78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78" s="172" t="str">
        <f>+IF(BD_MO[[#This Row],[N° VALE]]&lt;&gt;"",IF(BD_MO[[#This Row],[FULMINANTE N° 08]]&lt;&gt;"",BD_MO[[#This Row],[FULMINANTE N° 08]],IF(BD_MO[[#This Row],[CARMEX 7'']]&lt;&gt;0,0,"")),"")</f>
        <v/>
      </c>
      <c r="AP78" s="176" t="str">
        <f>+IF(BD_MO[[#This Row],[N° VALE]]&lt;&gt;"",BD_MO[[#This Row],[N°  TOTAL TALADROS]]*BD_MO[[#This Row],[BARRA]]*0.95,"")</f>
        <v/>
      </c>
      <c r="AQ78" s="176" t="str">
        <f>+IF(BD_MO[[#This Row],[N° VALE]]&lt;&gt;"",BD_MO[[#This Row],[EMULNOR 1000 (N° CART.)]]*PE_EMUL_1000[PE],"")</f>
        <v/>
      </c>
      <c r="AR78" s="176" t="str">
        <f>+IF(BD_MO[[#This Row],[N° VALE]]&lt;&gt;"",BD_MO[[#This Row],[EMULNOR 3000 (N° CART.)]]*PE_EMUL_3000[PE],"")</f>
        <v/>
      </c>
      <c r="AS78" s="176" t="str">
        <f>+IF(BD_MO[[#This Row],[N° VALE]]&lt;&gt;"",BD_MO[[#This Row],[PULVERULENTA (N° CART.)]]*PE_PULV_65[PE],"")</f>
        <v/>
      </c>
      <c r="AT78" s="176" t="str">
        <f>+IF(BD_MO[[#This Row],[N° DISP]]&lt;&gt;"",BD_MO[[#This Row],[SEMIGELATINA (N° CART.)]]*PE_SEMIGEL_65[PE],"")</f>
        <v/>
      </c>
      <c r="AU78" s="176" t="str">
        <f>+IF(BD_MO[N° VALE]&lt;&gt;"",BD_MO[[#This Row],[KG EXPLO SEMIGEL]]+BD_MO[[#This Row],[KG EXPLO PULVE]]+BD_MO[[#This Row],[KG EXPLO EMULN 3000]]+BD_MO[[#This Row],[KG EXPLO EMULN 1000]],"")</f>
        <v/>
      </c>
      <c r="AV78" s="172"/>
      <c r="AW78" s="172">
        <v>1</v>
      </c>
      <c r="AX78" s="172" t="str">
        <f>+IF(BD_MO[[#This Row],[MINERAL (U-35)]]&lt;&gt;"",BD_MO[[#This Row],[MINERAL (U-35)]]*1.45,"-")</f>
        <v>-</v>
      </c>
      <c r="AY78" s="172">
        <f>+IF(BD_MO[[#This Row],[DESMONTE (U-35)]]&lt;&gt;"",BD_MO[[#This Row],[DESMONTE (U-35)]]*1.23,"-")</f>
        <v>1.23</v>
      </c>
      <c r="AZ78" s="172"/>
      <c r="BA78" s="172"/>
      <c r="BB78" s="172"/>
      <c r="BC78" s="172"/>
      <c r="BD78" s="172"/>
      <c r="BE78" s="172"/>
      <c r="BF78" s="172"/>
      <c r="BG78" s="172"/>
      <c r="BH78" s="172"/>
      <c r="BI78" s="172"/>
      <c r="BJ78" s="172"/>
      <c r="BK78" s="172"/>
      <c r="BL78" s="172"/>
      <c r="BM78" s="172"/>
      <c r="BN78" s="171">
        <v>6</v>
      </c>
      <c r="BO78" s="172"/>
      <c r="BP78" s="172"/>
      <c r="BQ78" s="171"/>
      <c r="BR78" s="172"/>
      <c r="BS78" s="171"/>
      <c r="BT78" s="176"/>
      <c r="BU78" s="172"/>
      <c r="BV78" s="172"/>
      <c r="BW78" s="172"/>
      <c r="BX78" s="172"/>
      <c r="BY78" s="172"/>
      <c r="BZ78" s="172"/>
      <c r="CA78" s="172"/>
      <c r="CB78" s="172"/>
      <c r="CC78" s="172"/>
      <c r="CD78" s="172"/>
      <c r="CE78" s="172"/>
      <c r="CF78" s="172"/>
      <c r="CG78" s="172">
        <v>2</v>
      </c>
      <c r="CH78" s="172"/>
      <c r="CI78" s="172"/>
      <c r="CJ78" s="172"/>
      <c r="CK78" s="172"/>
      <c r="CL78" s="172"/>
      <c r="CM78" s="172"/>
      <c r="CN78" s="172"/>
      <c r="CO78" s="172"/>
      <c r="CP78" s="176">
        <f>+IF(BD_MO[[#This Row],[FECHA]]&lt;&gt;"",BD_MO[[#This Row],[PUNTAL 4"]]+BD_MO[[#This Row],[PUNTAL 5"]]+BD_MO[[#This Row],[PUNTAL 6"]]+BD_MO[[#This Row],[PUNTAL 7"]]+BD_MO[[#This Row],[PUNTAL 8"]],"")</f>
        <v>0</v>
      </c>
      <c r="CQ78" s="172"/>
      <c r="CR78" s="172"/>
      <c r="CS78" s="172"/>
      <c r="CT78" s="172"/>
      <c r="CU78" s="172"/>
      <c r="CV78" s="172"/>
      <c r="CW78" s="172"/>
      <c r="CX78" s="172"/>
      <c r="CY78" s="176"/>
      <c r="CZ78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78" s="176">
        <f>+IF(BD_MO[[#This Row],[FECHA]]&lt;&gt;"",BD_MO[[#This Row],[DURMIENTE2]]*6.561+BD_MO[[#This Row],[LISTONES]]*4.921+BD_MO[[#This Row],[TABLA 1"x8"x3m]]*6.561+BD_MO[[#This Row],[TABLA 2"x8"x3m]]*13.122,"")</f>
        <v>0</v>
      </c>
      <c r="DB78" s="176">
        <f>+IF(BD_MO[[#This Row],[FECHA]]&lt;&gt;"",BD_MO[[#This Row],[PIE2 MADERA ASERRADA]]*1.95,"")</f>
        <v>0</v>
      </c>
      <c r="DC78" s="176">
        <f>+IF(BD_MO[[#This Row],[FECHA]]&lt;&gt;"",BD_MO[[#This Row],[KG. MADERA REDONDA]]+BD_MO[[#This Row],[KG MADERA ASERRADA]],"")</f>
        <v>0</v>
      </c>
      <c r="DD78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78" s="172"/>
      <c r="DF78" s="172"/>
      <c r="DG78" s="172"/>
      <c r="DH78" s="172"/>
      <c r="DI78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78" s="180"/>
      <c r="DK78" s="180"/>
      <c r="DL78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78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78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78" s="181"/>
      <c r="DP78" s="180" t="str">
        <f>+IF(BD_MO[[#This Row],[M o D]]&lt;&gt;"",IF(BD_MO[[#This Row],[M o D]]="M",BD_MO[[#This Row],[ROTURA TMH]]/2.65,BD_MO[[#This Row],[ROTURA TMH]]/2.4),"")</f>
        <v/>
      </c>
      <c r="DQ78" s="180"/>
      <c r="DR78" s="116" t="str">
        <f>IF(BD_MO[[#This Row],[TIPO AVANCE]]="Avance",((BD_MO[[#This Row],[AVANCE (m)]]/BD_MO[[#This Row],[AVANCE TEÓRICO]]))," ")</f>
        <v xml:space="preserve"> </v>
      </c>
      <c r="DS78" s="134"/>
      <c r="DT78" s="134"/>
      <c r="DU78" s="134"/>
      <c r="DV78" s="134"/>
      <c r="DW78" s="134"/>
      <c r="DX78" s="135"/>
      <c r="DY78" s="135"/>
      <c r="DZ78" s="135"/>
    </row>
    <row r="79" spans="1:130" s="136" customFormat="1" ht="18" customHeight="1" x14ac:dyDescent="0.25">
      <c r="A79" s="168">
        <v>44656</v>
      </c>
      <c r="B79" s="169" t="s">
        <v>10647</v>
      </c>
      <c r="C79" s="169" t="s">
        <v>10680</v>
      </c>
      <c r="D79" s="170" t="s">
        <v>12164</v>
      </c>
      <c r="E79" s="171" t="str">
        <f>LEFT(BD_MO[[#This Row],[LABOR]],2)</f>
        <v>Tj</v>
      </c>
      <c r="F79" s="172" t="s">
        <v>10950</v>
      </c>
      <c r="G79" s="172" t="s">
        <v>10648</v>
      </c>
      <c r="H7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79" s="171" t="str">
        <f>IF(BD_MO[FECHA]&lt;&gt;"",VLOOKUP(BD_MO[LABOR],TB_CECO[[LABOR]:[CECO_T]],3,FALSE),"")</f>
        <v>VANESSA</v>
      </c>
      <c r="J79" s="171" t="str">
        <f>IF(BD_MO[FECHA]&lt;&gt;"",VLOOKUP(BD_MO[LABOR],D_CECO!B:H,7,FALSE),"")</f>
        <v>TAJO</v>
      </c>
      <c r="K79" s="171" t="str">
        <f>IF(BD_MO[FECHA]&lt;&gt;"",VLOOKUP(BD_MO[LABOR],D_CECO!B:H,4,FALSE),"")</f>
        <v>EXPLOTACION</v>
      </c>
      <c r="L79" s="171"/>
      <c r="M79" s="169" t="s">
        <v>10661</v>
      </c>
      <c r="N79" s="172"/>
      <c r="O79" s="173" t="s">
        <v>12177</v>
      </c>
      <c r="P79" s="173" t="s">
        <v>11912</v>
      </c>
      <c r="Q79" s="173"/>
      <c r="R79" s="174"/>
      <c r="S79" s="175" t="str">
        <f>IFERROR(VLOOKUP(BD_MO[DNI 4],#REF!,2,FALSE)," ")</f>
        <v xml:space="preserve"> </v>
      </c>
      <c r="T79" s="176">
        <f>+IF(BD_MO[[#This Row],[FECHA]]&lt;&gt;"",COUNTA(BD_MO[[#This Row],[DNI]],BD_MO[[#This Row],[DNI 2]],BD_MO[[#This Row],[DNI 3]],BD_MO[[#This Row],[DNI 4]]),"")</f>
        <v>2</v>
      </c>
      <c r="U79" s="176">
        <v>1.2</v>
      </c>
      <c r="V79" s="176">
        <v>0.3</v>
      </c>
      <c r="W79" s="176">
        <v>0.4</v>
      </c>
      <c r="X79" s="176">
        <v>0.2</v>
      </c>
      <c r="Y79" s="177">
        <f>SUM(BD_MO[[#This Row],[LIMP]:[SERV]])</f>
        <v>2.1</v>
      </c>
      <c r="Z79" s="172" t="s">
        <v>12180</v>
      </c>
      <c r="AA79" s="172">
        <f>+IF(BD_MO[[#This Row],[N° VALE]]&lt;&gt;"",1,"")</f>
        <v>1</v>
      </c>
      <c r="AB79" s="169" t="s">
        <v>10708</v>
      </c>
      <c r="AC79" s="172">
        <v>4</v>
      </c>
      <c r="AD79" s="172">
        <f>+IF(BD_MO[[#This Row],[N° VALE]]&lt;&gt;"",BD_MO[[#This Row],[FULMINANTE N° 08]]+BD_MO[CARMEX 7''],"")</f>
        <v>10</v>
      </c>
      <c r="AE79" s="172"/>
      <c r="AF79" s="172">
        <f>+IF(BD_MO[[#This Row],[N° VALE]]&lt;&gt;"",BD_MO[[#This Row],[N° TALADROS]]+BD_MO[[#This Row],[N° TAL. VACIOS]],"")</f>
        <v>10</v>
      </c>
      <c r="AG79" s="178"/>
      <c r="AH79" s="178">
        <v>40</v>
      </c>
      <c r="AI79" s="178"/>
      <c r="AJ79" s="178"/>
      <c r="AK79" s="178">
        <v>10</v>
      </c>
      <c r="AL79" s="178">
        <v>3</v>
      </c>
      <c r="AM79" s="171"/>
      <c r="AN79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79" s="172">
        <f>+IF(BD_MO[[#This Row],[N° VALE]]&lt;&gt;"",IF(BD_MO[[#This Row],[FULMINANTE N° 08]]&lt;&gt;"",BD_MO[[#This Row],[FULMINANTE N° 08]],IF(BD_MO[[#This Row],[CARMEX 7'']]&lt;&gt;0,0,"")),"")</f>
        <v>0</v>
      </c>
      <c r="AP79" s="176">
        <f>+IF(BD_MO[[#This Row],[N° VALE]]&lt;&gt;"",BD_MO[[#This Row],[N°  TOTAL TALADROS]]*BD_MO[[#This Row],[BARRA]]*0.95,"")</f>
        <v>38</v>
      </c>
      <c r="AQ79" s="176">
        <f>+IF(BD_MO[[#This Row],[N° VALE]]&lt;&gt;"",BD_MO[[#This Row],[EMULNOR 1000 (N° CART.)]]*PE_EMUL_1000[PE],"")</f>
        <v>3.7880000000000003</v>
      </c>
      <c r="AR79" s="176">
        <f>+IF(BD_MO[[#This Row],[N° VALE]]&lt;&gt;"",BD_MO[[#This Row],[EMULNOR 3000 (N° CART.)]]*PE_EMUL_3000[PE],"")</f>
        <v>0</v>
      </c>
      <c r="AS79" s="176">
        <f>+IF(BD_MO[[#This Row],[N° VALE]]&lt;&gt;"",BD_MO[[#This Row],[PULVERULENTA (N° CART.)]]*PE_PULV_65[PE],"")</f>
        <v>0</v>
      </c>
      <c r="AT79" s="176">
        <f>+IF(BD_MO[[#This Row],[N° DISP]]&lt;&gt;"",BD_MO[[#This Row],[SEMIGELATINA (N° CART.)]]*PE_SEMIGEL_65[PE],"")</f>
        <v>0</v>
      </c>
      <c r="AU79" s="176">
        <f>+IF(BD_MO[N° VALE]&lt;&gt;"",BD_MO[[#This Row],[KG EXPLO SEMIGEL]]+BD_MO[[#This Row],[KG EXPLO PULVE]]+BD_MO[[#This Row],[KG EXPLO EMULN 3000]]+BD_MO[[#This Row],[KG EXPLO EMULN 1000]],"")</f>
        <v>3.7880000000000003</v>
      </c>
      <c r="AV79" s="172">
        <v>12</v>
      </c>
      <c r="AW79" s="172"/>
      <c r="AX79" s="172">
        <f>+IF(BD_MO[[#This Row],[MINERAL (U-35)]]&lt;&gt;"",BD_MO[[#This Row],[MINERAL (U-35)]]*1.45,"-")</f>
        <v>17.399999999999999</v>
      </c>
      <c r="AY79" s="172" t="str">
        <f>+IF(BD_MO[[#This Row],[DESMONTE (U-35)]]&lt;&gt;"",BD_MO[[#This Row],[DESMONTE (U-35)]]*1.23,"-")</f>
        <v>-</v>
      </c>
      <c r="AZ79" s="172"/>
      <c r="BA79" s="172"/>
      <c r="BB79" s="172"/>
      <c r="BC79" s="172"/>
      <c r="BD79" s="172"/>
      <c r="BE79" s="172"/>
      <c r="BF79" s="172"/>
      <c r="BG79" s="172"/>
      <c r="BH79" s="172"/>
      <c r="BI79" s="172"/>
      <c r="BJ79" s="172"/>
      <c r="BK79" s="172"/>
      <c r="BL79" s="172"/>
      <c r="BM79" s="172"/>
      <c r="BN79" s="171"/>
      <c r="BO79" s="172"/>
      <c r="BP79" s="172"/>
      <c r="BQ79" s="171"/>
      <c r="BR79" s="172"/>
      <c r="BS79" s="171"/>
      <c r="BT79" s="176"/>
      <c r="BU79" s="172"/>
      <c r="BV79" s="172"/>
      <c r="BW79" s="172"/>
      <c r="BX79" s="172"/>
      <c r="BY79" s="172"/>
      <c r="BZ79" s="172"/>
      <c r="CA79" s="172"/>
      <c r="CB79" s="172"/>
      <c r="CC79" s="172"/>
      <c r="CD79" s="172"/>
      <c r="CE79" s="172"/>
      <c r="CF79" s="172"/>
      <c r="CG79" s="172"/>
      <c r="CH79" s="172"/>
      <c r="CI79" s="172"/>
      <c r="CJ79" s="172"/>
      <c r="CK79" s="172"/>
      <c r="CL79" s="172"/>
      <c r="CM79" s="172"/>
      <c r="CN79" s="172"/>
      <c r="CO79" s="172"/>
      <c r="CP79" s="176">
        <f>+IF(BD_MO[[#This Row],[FECHA]]&lt;&gt;"",BD_MO[[#This Row],[PUNTAL 4"]]+BD_MO[[#This Row],[PUNTAL 5"]]+BD_MO[[#This Row],[PUNTAL 6"]]+BD_MO[[#This Row],[PUNTAL 7"]]+BD_MO[[#This Row],[PUNTAL 8"]],"")</f>
        <v>0</v>
      </c>
      <c r="CQ79" s="172"/>
      <c r="CR79" s="172"/>
      <c r="CS79" s="172"/>
      <c r="CT79" s="172"/>
      <c r="CU79" s="172"/>
      <c r="CV79" s="172"/>
      <c r="CW79" s="172"/>
      <c r="CX79" s="172"/>
      <c r="CY79" s="176"/>
      <c r="CZ7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79" s="176">
        <f>+IF(BD_MO[[#This Row],[FECHA]]&lt;&gt;"",BD_MO[[#This Row],[DURMIENTE2]]*6.561+BD_MO[[#This Row],[LISTONES]]*4.921+BD_MO[[#This Row],[TABLA 1"x8"x3m]]*6.561+BD_MO[[#This Row],[TABLA 2"x8"x3m]]*13.122,"")</f>
        <v>0</v>
      </c>
      <c r="DB79" s="176">
        <f>+IF(BD_MO[[#This Row],[FECHA]]&lt;&gt;"",BD_MO[[#This Row],[PIE2 MADERA ASERRADA]]*1.95,"")</f>
        <v>0</v>
      </c>
      <c r="DC79" s="176">
        <f>+IF(BD_MO[[#This Row],[FECHA]]&lt;&gt;"",BD_MO[[#This Row],[KG. MADERA REDONDA]]+BD_MO[[#This Row],[KG MADERA ASERRADA]],"")</f>
        <v>0</v>
      </c>
      <c r="DD7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79" s="172"/>
      <c r="DF79" s="172"/>
      <c r="DG79" s="172"/>
      <c r="DH79" s="172"/>
      <c r="DI79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79" s="180"/>
      <c r="DK79" s="180"/>
      <c r="DL79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79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79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79" s="181">
        <v>10.62</v>
      </c>
      <c r="DP79" s="180">
        <f>+IF(BD_MO[[#This Row],[M o D]]&lt;&gt;"",IF(BD_MO[[#This Row],[M o D]]="M",BD_MO[[#This Row],[ROTURA TMH]]/2.65,BD_MO[[#This Row],[ROTURA TMH]]/2.4),"")</f>
        <v>4.0075471698113203</v>
      </c>
      <c r="DQ79" s="180"/>
      <c r="DR79" s="116" t="str">
        <f>IF(BD_MO[[#This Row],[TIPO AVANCE]]="Avance",((BD_MO[[#This Row],[AVANCE (m)]]/BD_MO[[#This Row],[AVANCE TEÓRICO]]))," ")</f>
        <v xml:space="preserve"> </v>
      </c>
      <c r="DS79" s="134"/>
      <c r="DT79" s="134"/>
      <c r="DU79" s="134"/>
      <c r="DV79" s="134"/>
      <c r="DW79" s="134"/>
      <c r="DX79" s="135"/>
      <c r="DY79" s="135"/>
      <c r="DZ79" s="135"/>
    </row>
    <row r="80" spans="1:130" s="136" customFormat="1" ht="18" customHeight="1" x14ac:dyDescent="0.25">
      <c r="A80" s="168">
        <v>44656</v>
      </c>
      <c r="B80" s="169" t="s">
        <v>10647</v>
      </c>
      <c r="C80" s="169" t="s">
        <v>10680</v>
      </c>
      <c r="D80" s="170" t="s">
        <v>12128</v>
      </c>
      <c r="E80" s="171" t="str">
        <f>LEFT(BD_MO[[#This Row],[LABOR]],2)</f>
        <v>Tj</v>
      </c>
      <c r="F80" s="172"/>
      <c r="G80" s="172" t="s">
        <v>10656</v>
      </c>
      <c r="H8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80" s="171" t="str">
        <f>IF(BD_MO[FECHA]&lt;&gt;"",VLOOKUP(BD_MO[LABOR],TB_CECO[[LABOR]:[CECO_T]],3,FALSE),"")</f>
        <v>VANESSA</v>
      </c>
      <c r="J80" s="171" t="str">
        <f>IF(BD_MO[FECHA]&lt;&gt;"",VLOOKUP(BD_MO[LABOR],D_CECO!B:H,7,FALSE),"")</f>
        <v>TAJO</v>
      </c>
      <c r="K80" s="171" t="str">
        <f>IF(BD_MO[FECHA]&lt;&gt;"",VLOOKUP(BD_MO[LABOR],D_CECO!B:H,4,FALSE),"")</f>
        <v>EXPLOTACION</v>
      </c>
      <c r="L80" s="171"/>
      <c r="M80" s="169"/>
      <c r="N80" s="172"/>
      <c r="O80" s="173" t="s">
        <v>11976</v>
      </c>
      <c r="P80" s="173" t="s">
        <v>11924</v>
      </c>
      <c r="Q80" s="173"/>
      <c r="R80" s="174"/>
      <c r="S80" s="175" t="str">
        <f>IFERROR(VLOOKUP(BD_MO[DNI 4],#REF!,2,FALSE)," ")</f>
        <v xml:space="preserve"> </v>
      </c>
      <c r="T80" s="176">
        <f>+IF(BD_MO[[#This Row],[FECHA]]&lt;&gt;"",COUNTA(BD_MO[[#This Row],[DNI]],BD_MO[[#This Row],[DNI 2]],BD_MO[[#This Row],[DNI 3]],BD_MO[[#This Row],[DNI 4]]),"")</f>
        <v>2</v>
      </c>
      <c r="U80" s="176">
        <v>1.8</v>
      </c>
      <c r="V80" s="176"/>
      <c r="W80" s="176"/>
      <c r="X80" s="176">
        <v>0.2</v>
      </c>
      <c r="Y80" s="177">
        <f>SUM(BD_MO[[#This Row],[LIMP]:[SERV]])</f>
        <v>2</v>
      </c>
      <c r="Z80" s="172"/>
      <c r="AA80" s="172" t="str">
        <f>+IF(BD_MO[[#This Row],[N° VALE]]&lt;&gt;"",1,"")</f>
        <v/>
      </c>
      <c r="AB80" s="169"/>
      <c r="AC80" s="172"/>
      <c r="AD80" s="172" t="str">
        <f>+IF(BD_MO[[#This Row],[N° VALE]]&lt;&gt;"",BD_MO[[#This Row],[FULMINANTE N° 08]]+BD_MO[CARMEX 7''],"")</f>
        <v/>
      </c>
      <c r="AE80" s="172"/>
      <c r="AF80" s="172" t="str">
        <f>+IF(BD_MO[[#This Row],[N° VALE]]&lt;&gt;"",BD_MO[[#This Row],[N° TALADROS]]+BD_MO[[#This Row],[N° TAL. VACIOS]],"")</f>
        <v/>
      </c>
      <c r="AG80" s="178"/>
      <c r="AH80" s="178"/>
      <c r="AI80" s="178"/>
      <c r="AJ80" s="178"/>
      <c r="AK80" s="178"/>
      <c r="AL80" s="178"/>
      <c r="AM80" s="171"/>
      <c r="AN80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80" s="172" t="str">
        <f>+IF(BD_MO[[#This Row],[N° VALE]]&lt;&gt;"",IF(BD_MO[[#This Row],[FULMINANTE N° 08]]&lt;&gt;"",BD_MO[[#This Row],[FULMINANTE N° 08]],IF(BD_MO[[#This Row],[CARMEX 7'']]&lt;&gt;0,0,"")),"")</f>
        <v/>
      </c>
      <c r="AP80" s="176" t="str">
        <f>+IF(BD_MO[[#This Row],[N° VALE]]&lt;&gt;"",BD_MO[[#This Row],[N°  TOTAL TALADROS]]*BD_MO[[#This Row],[BARRA]]*0.95,"")</f>
        <v/>
      </c>
      <c r="AQ80" s="176" t="str">
        <f>+IF(BD_MO[[#This Row],[N° VALE]]&lt;&gt;"",BD_MO[[#This Row],[EMULNOR 1000 (N° CART.)]]*PE_EMUL_1000[PE],"")</f>
        <v/>
      </c>
      <c r="AR80" s="176" t="str">
        <f>+IF(BD_MO[[#This Row],[N° VALE]]&lt;&gt;"",BD_MO[[#This Row],[EMULNOR 3000 (N° CART.)]]*PE_EMUL_3000[PE],"")</f>
        <v/>
      </c>
      <c r="AS80" s="176" t="str">
        <f>+IF(BD_MO[[#This Row],[N° VALE]]&lt;&gt;"",BD_MO[[#This Row],[PULVERULENTA (N° CART.)]]*PE_PULV_65[PE],"")</f>
        <v/>
      </c>
      <c r="AT80" s="176" t="str">
        <f>+IF(BD_MO[[#This Row],[N° DISP]]&lt;&gt;"",BD_MO[[#This Row],[SEMIGELATINA (N° CART.)]]*PE_SEMIGEL_65[PE],"")</f>
        <v/>
      </c>
      <c r="AU80" s="176" t="str">
        <f>+IF(BD_MO[N° VALE]&lt;&gt;"",BD_MO[[#This Row],[KG EXPLO SEMIGEL]]+BD_MO[[#This Row],[KG EXPLO PULVE]]+BD_MO[[#This Row],[KG EXPLO EMULN 3000]]+BD_MO[[#This Row],[KG EXPLO EMULN 1000]],"")</f>
        <v/>
      </c>
      <c r="AV80" s="172">
        <v>9</v>
      </c>
      <c r="AW80" s="172"/>
      <c r="AX80" s="172">
        <f>+IF(BD_MO[[#This Row],[MINERAL (U-35)]]&lt;&gt;"",BD_MO[[#This Row],[MINERAL (U-35)]]*1.45,"-")</f>
        <v>13.049999999999999</v>
      </c>
      <c r="AY80" s="172" t="str">
        <f>+IF(BD_MO[[#This Row],[DESMONTE (U-35)]]&lt;&gt;"",BD_MO[[#This Row],[DESMONTE (U-35)]]*1.23,"-")</f>
        <v>-</v>
      </c>
      <c r="AZ80" s="172"/>
      <c r="BA80" s="172"/>
      <c r="BB80" s="172"/>
      <c r="BC80" s="172"/>
      <c r="BD80" s="172"/>
      <c r="BE80" s="172"/>
      <c r="BF80" s="172"/>
      <c r="BG80" s="172"/>
      <c r="BH80" s="172"/>
      <c r="BI80" s="172"/>
      <c r="BJ80" s="172"/>
      <c r="BK80" s="172"/>
      <c r="BL80" s="172"/>
      <c r="BM80" s="172"/>
      <c r="BN80" s="171"/>
      <c r="BO80" s="172"/>
      <c r="BP80" s="172"/>
      <c r="BQ80" s="171"/>
      <c r="BR80" s="172"/>
      <c r="BS80" s="171"/>
      <c r="BT80" s="176"/>
      <c r="BU80" s="172"/>
      <c r="BV80" s="172"/>
      <c r="BW80" s="172"/>
      <c r="BX80" s="172"/>
      <c r="BY80" s="172"/>
      <c r="BZ80" s="172"/>
      <c r="CA80" s="172"/>
      <c r="CB80" s="172"/>
      <c r="CC80" s="172"/>
      <c r="CD80" s="172"/>
      <c r="CE80" s="172"/>
      <c r="CF80" s="172"/>
      <c r="CG80" s="172"/>
      <c r="CH80" s="172"/>
      <c r="CI80" s="172"/>
      <c r="CJ80" s="172"/>
      <c r="CK80" s="172"/>
      <c r="CL80" s="172"/>
      <c r="CM80" s="172"/>
      <c r="CN80" s="172"/>
      <c r="CO80" s="172"/>
      <c r="CP80" s="176">
        <f>+IF(BD_MO[[#This Row],[FECHA]]&lt;&gt;"",BD_MO[[#This Row],[PUNTAL 4"]]+BD_MO[[#This Row],[PUNTAL 5"]]+BD_MO[[#This Row],[PUNTAL 6"]]+BD_MO[[#This Row],[PUNTAL 7"]]+BD_MO[[#This Row],[PUNTAL 8"]],"")</f>
        <v>0</v>
      </c>
      <c r="CQ80" s="172"/>
      <c r="CR80" s="172"/>
      <c r="CS80" s="172"/>
      <c r="CT80" s="172"/>
      <c r="CU80" s="172"/>
      <c r="CV80" s="172"/>
      <c r="CW80" s="172"/>
      <c r="CX80" s="172"/>
      <c r="CY80" s="176"/>
      <c r="CZ8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80" s="176">
        <f>+IF(BD_MO[[#This Row],[FECHA]]&lt;&gt;"",BD_MO[[#This Row],[DURMIENTE2]]*6.561+BD_MO[[#This Row],[LISTONES]]*4.921+BD_MO[[#This Row],[TABLA 1"x8"x3m]]*6.561+BD_MO[[#This Row],[TABLA 2"x8"x3m]]*13.122,"")</f>
        <v>0</v>
      </c>
      <c r="DB80" s="176">
        <f>+IF(BD_MO[[#This Row],[FECHA]]&lt;&gt;"",BD_MO[[#This Row],[PIE2 MADERA ASERRADA]]*1.95,"")</f>
        <v>0</v>
      </c>
      <c r="DC80" s="176">
        <f>+IF(BD_MO[[#This Row],[FECHA]]&lt;&gt;"",BD_MO[[#This Row],[KG. MADERA REDONDA]]+BD_MO[[#This Row],[KG MADERA ASERRADA]],"")</f>
        <v>0</v>
      </c>
      <c r="DD8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80" s="172"/>
      <c r="DF80" s="172"/>
      <c r="DG80" s="172"/>
      <c r="DH80" s="172"/>
      <c r="DI80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80" s="180"/>
      <c r="DK80" s="180"/>
      <c r="DL80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80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80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80" s="181"/>
      <c r="DP80" s="180" t="str">
        <f>+IF(BD_MO[[#This Row],[M o D]]&lt;&gt;"",IF(BD_MO[[#This Row],[M o D]]="M",BD_MO[[#This Row],[ROTURA TMH]]/2.65,BD_MO[[#This Row],[ROTURA TMH]]/2.4),"")</f>
        <v/>
      </c>
      <c r="DQ80" s="180"/>
      <c r="DR80" s="116" t="str">
        <f>IF(BD_MO[[#This Row],[TIPO AVANCE]]="Avance",((BD_MO[[#This Row],[AVANCE (m)]]/BD_MO[[#This Row],[AVANCE TEÓRICO]]))," ")</f>
        <v xml:space="preserve"> </v>
      </c>
      <c r="DS80" s="134"/>
      <c r="DT80" s="134"/>
      <c r="DU80" s="134"/>
      <c r="DV80" s="134"/>
      <c r="DW80" s="134"/>
      <c r="DX80" s="135"/>
      <c r="DY80" s="135"/>
      <c r="DZ80" s="135"/>
    </row>
    <row r="81" spans="1:130" s="136" customFormat="1" ht="18" customHeight="1" x14ac:dyDescent="0.25">
      <c r="A81" s="168">
        <v>44656</v>
      </c>
      <c r="B81" s="169" t="s">
        <v>10647</v>
      </c>
      <c r="C81" s="169" t="s">
        <v>10680</v>
      </c>
      <c r="D81" s="170" t="s">
        <v>12176</v>
      </c>
      <c r="E81" s="171" t="str">
        <f>LEFT(BD_MO[[#This Row],[LABOR]],2)</f>
        <v>Sn</v>
      </c>
      <c r="F81" s="172"/>
      <c r="G81" s="172" t="s">
        <v>10669</v>
      </c>
      <c r="H81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81" s="171" t="str">
        <f>IF(BD_MO[FECHA]&lt;&gt;"",VLOOKUP(BD_MO[LABOR],TB_CECO[[LABOR]:[CECO_T]],3,FALSE),"")</f>
        <v>VANESSA</v>
      </c>
      <c r="J81" s="171" t="str">
        <f>IF(BD_MO[FECHA]&lt;&gt;"",VLOOKUP(BD_MO[LABOR],D_CECO!B:H,7,FALSE),"")</f>
        <v>LINEAL</v>
      </c>
      <c r="K81" s="171" t="str">
        <f>IF(BD_MO[FECHA]&lt;&gt;"",VLOOKUP(BD_MO[LABOR],D_CECO!B:H,4,FALSE),"")</f>
        <v>EXPLORACION</v>
      </c>
      <c r="L81" s="171"/>
      <c r="M81" s="169"/>
      <c r="N81" s="172"/>
      <c r="O81" s="173" t="s">
        <v>12101</v>
      </c>
      <c r="P81" s="173" t="s">
        <v>12120</v>
      </c>
      <c r="Q81" s="173"/>
      <c r="R81" s="174"/>
      <c r="S81" s="175" t="str">
        <f>IFERROR(VLOOKUP(BD_MO[DNI 4],#REF!,2,FALSE)," ")</f>
        <v xml:space="preserve"> </v>
      </c>
      <c r="T81" s="176">
        <f>+IF(BD_MO[[#This Row],[FECHA]]&lt;&gt;"",COUNTA(BD_MO[[#This Row],[DNI]],BD_MO[[#This Row],[DNI 2]],BD_MO[[#This Row],[DNI 3]],BD_MO[[#This Row],[DNI 4]]),"")</f>
        <v>2</v>
      </c>
      <c r="U81" s="176"/>
      <c r="V81" s="176"/>
      <c r="W81" s="176"/>
      <c r="X81" s="176">
        <v>2</v>
      </c>
      <c r="Y81" s="177">
        <f>SUM(BD_MO[[#This Row],[LIMP]:[SERV]])</f>
        <v>2</v>
      </c>
      <c r="Z81" s="172"/>
      <c r="AA81" s="172" t="str">
        <f>+IF(BD_MO[[#This Row],[N° VALE]]&lt;&gt;"",1,"")</f>
        <v/>
      </c>
      <c r="AB81" s="169"/>
      <c r="AC81" s="172"/>
      <c r="AD81" s="172" t="str">
        <f>+IF(BD_MO[[#This Row],[N° VALE]]&lt;&gt;"",BD_MO[[#This Row],[FULMINANTE N° 08]]+BD_MO[CARMEX 7''],"")</f>
        <v/>
      </c>
      <c r="AE81" s="172"/>
      <c r="AF81" s="172" t="str">
        <f>+IF(BD_MO[[#This Row],[N° VALE]]&lt;&gt;"",BD_MO[[#This Row],[N° TALADROS]]+BD_MO[[#This Row],[N° TAL. VACIOS]],"")</f>
        <v/>
      </c>
      <c r="AG81" s="178"/>
      <c r="AH81" s="178"/>
      <c r="AI81" s="178"/>
      <c r="AJ81" s="178"/>
      <c r="AK81" s="178"/>
      <c r="AL81" s="178"/>
      <c r="AM81" s="171"/>
      <c r="AN81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81" s="172" t="str">
        <f>+IF(BD_MO[[#This Row],[N° VALE]]&lt;&gt;"",IF(BD_MO[[#This Row],[FULMINANTE N° 08]]&lt;&gt;"",BD_MO[[#This Row],[FULMINANTE N° 08]],IF(BD_MO[[#This Row],[CARMEX 7'']]&lt;&gt;0,0,"")),"")</f>
        <v/>
      </c>
      <c r="AP81" s="176" t="str">
        <f>+IF(BD_MO[[#This Row],[N° VALE]]&lt;&gt;"",BD_MO[[#This Row],[N°  TOTAL TALADROS]]*BD_MO[[#This Row],[BARRA]]*0.95,"")</f>
        <v/>
      </c>
      <c r="AQ81" s="176" t="str">
        <f>+IF(BD_MO[[#This Row],[N° VALE]]&lt;&gt;"",BD_MO[[#This Row],[EMULNOR 1000 (N° CART.)]]*PE_EMUL_1000[PE],"")</f>
        <v/>
      </c>
      <c r="AR81" s="176" t="str">
        <f>+IF(BD_MO[[#This Row],[N° VALE]]&lt;&gt;"",BD_MO[[#This Row],[EMULNOR 3000 (N° CART.)]]*PE_EMUL_3000[PE],"")</f>
        <v/>
      </c>
      <c r="AS81" s="176" t="str">
        <f>+IF(BD_MO[[#This Row],[N° VALE]]&lt;&gt;"",BD_MO[[#This Row],[PULVERULENTA (N° CART.)]]*PE_PULV_65[PE],"")</f>
        <v/>
      </c>
      <c r="AT81" s="176" t="str">
        <f>+IF(BD_MO[[#This Row],[N° DISP]]&lt;&gt;"",BD_MO[[#This Row],[SEMIGELATINA (N° CART.)]]*PE_SEMIGEL_65[PE],"")</f>
        <v/>
      </c>
      <c r="AU81" s="176" t="str">
        <f>+IF(BD_MO[N° VALE]&lt;&gt;"",BD_MO[[#This Row],[KG EXPLO SEMIGEL]]+BD_MO[[#This Row],[KG EXPLO PULVE]]+BD_MO[[#This Row],[KG EXPLO EMULN 3000]]+BD_MO[[#This Row],[KG EXPLO EMULN 1000]],"")</f>
        <v/>
      </c>
      <c r="AV81" s="172"/>
      <c r="AW81" s="172"/>
      <c r="AX81" s="172" t="str">
        <f>+IF(BD_MO[[#This Row],[MINERAL (U-35)]]&lt;&gt;"",BD_MO[[#This Row],[MINERAL (U-35)]]*1.45,"-")</f>
        <v>-</v>
      </c>
      <c r="AY81" s="172" t="str">
        <f>+IF(BD_MO[[#This Row],[DESMONTE (U-35)]]&lt;&gt;"",BD_MO[[#This Row],[DESMONTE (U-35)]]*1.23,"-")</f>
        <v>-</v>
      </c>
      <c r="AZ81" s="172"/>
      <c r="BA81" s="172"/>
      <c r="BB81" s="172"/>
      <c r="BC81" s="172"/>
      <c r="BD81" s="172"/>
      <c r="BE81" s="172"/>
      <c r="BF81" s="172"/>
      <c r="BG81" s="172"/>
      <c r="BH81" s="172"/>
      <c r="BI81" s="172"/>
      <c r="BJ81" s="172"/>
      <c r="BK81" s="172"/>
      <c r="BL81" s="172"/>
      <c r="BM81" s="172"/>
      <c r="BN81" s="171"/>
      <c r="BO81" s="172"/>
      <c r="BP81" s="172"/>
      <c r="BQ81" s="171"/>
      <c r="BR81" s="172"/>
      <c r="BS81" s="171"/>
      <c r="BT81" s="176"/>
      <c r="BU81" s="172"/>
      <c r="BV81" s="172"/>
      <c r="BW81" s="172"/>
      <c r="BX81" s="172"/>
      <c r="BY81" s="172"/>
      <c r="BZ81" s="172"/>
      <c r="CA81" s="172"/>
      <c r="CB81" s="172"/>
      <c r="CC81" s="172"/>
      <c r="CD81" s="172"/>
      <c r="CE81" s="172"/>
      <c r="CF81" s="172"/>
      <c r="CG81" s="172"/>
      <c r="CH81" s="172"/>
      <c r="CI81" s="172"/>
      <c r="CJ81" s="172"/>
      <c r="CK81" s="172"/>
      <c r="CL81" s="172"/>
      <c r="CM81" s="172"/>
      <c r="CN81" s="172"/>
      <c r="CO81" s="172"/>
      <c r="CP81" s="176">
        <f>+IF(BD_MO[[#This Row],[FECHA]]&lt;&gt;"",BD_MO[[#This Row],[PUNTAL 4"]]+BD_MO[[#This Row],[PUNTAL 5"]]+BD_MO[[#This Row],[PUNTAL 6"]]+BD_MO[[#This Row],[PUNTAL 7"]]+BD_MO[[#This Row],[PUNTAL 8"]],"")</f>
        <v>0</v>
      </c>
      <c r="CQ81" s="172"/>
      <c r="CR81" s="172"/>
      <c r="CS81" s="172"/>
      <c r="CT81" s="172"/>
      <c r="CU81" s="172"/>
      <c r="CV81" s="172"/>
      <c r="CW81" s="172"/>
      <c r="CX81" s="172"/>
      <c r="CY81" s="176"/>
      <c r="CZ81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81" s="176">
        <f>+IF(BD_MO[[#This Row],[FECHA]]&lt;&gt;"",BD_MO[[#This Row],[DURMIENTE2]]*6.561+BD_MO[[#This Row],[LISTONES]]*4.921+BD_MO[[#This Row],[TABLA 1"x8"x3m]]*6.561+BD_MO[[#This Row],[TABLA 2"x8"x3m]]*13.122,"")</f>
        <v>0</v>
      </c>
      <c r="DB81" s="176">
        <f>+IF(BD_MO[[#This Row],[FECHA]]&lt;&gt;"",BD_MO[[#This Row],[PIE2 MADERA ASERRADA]]*1.95,"")</f>
        <v>0</v>
      </c>
      <c r="DC81" s="176">
        <f>+IF(BD_MO[[#This Row],[FECHA]]&lt;&gt;"",BD_MO[[#This Row],[KG. MADERA REDONDA]]+BD_MO[[#This Row],[KG MADERA ASERRADA]],"")</f>
        <v>0</v>
      </c>
      <c r="DD81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81" s="172"/>
      <c r="DF81" s="172"/>
      <c r="DG81" s="172"/>
      <c r="DH81" s="172"/>
      <c r="DI81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81" s="180"/>
      <c r="DK81" s="180"/>
      <c r="DL81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81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81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81" s="181"/>
      <c r="DP81" s="180" t="str">
        <f>+IF(BD_MO[[#This Row],[M o D]]&lt;&gt;"",IF(BD_MO[[#This Row],[M o D]]="M",BD_MO[[#This Row],[ROTURA TMH]]/2.65,BD_MO[[#This Row],[ROTURA TMH]]/2.4),"")</f>
        <v/>
      </c>
      <c r="DQ81" s="180"/>
      <c r="DR81" s="116" t="str">
        <f>IF(BD_MO[[#This Row],[TIPO AVANCE]]="Avance",((BD_MO[[#This Row],[AVANCE (m)]]/BD_MO[[#This Row],[AVANCE TEÓRICO]]))," ")</f>
        <v xml:space="preserve"> </v>
      </c>
      <c r="DS81" s="134"/>
      <c r="DT81" s="134"/>
      <c r="DU81" s="134"/>
      <c r="DV81" s="134"/>
      <c r="DW81" s="134"/>
      <c r="DX81" s="135"/>
      <c r="DY81" s="135"/>
      <c r="DZ81" s="135"/>
    </row>
    <row r="82" spans="1:130" s="136" customFormat="1" ht="18" customHeight="1" x14ac:dyDescent="0.25">
      <c r="A82" s="168">
        <v>44656</v>
      </c>
      <c r="B82" s="169" t="s">
        <v>10647</v>
      </c>
      <c r="C82" s="169" t="s">
        <v>10680</v>
      </c>
      <c r="D82" s="170" t="s">
        <v>10952</v>
      </c>
      <c r="E82" s="171" t="str">
        <f>LEFT(BD_MO[[#This Row],[LABOR]],2)</f>
        <v>In</v>
      </c>
      <c r="F82" s="172"/>
      <c r="G82" s="172" t="s">
        <v>10669</v>
      </c>
      <c r="H8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82" s="171" t="str">
        <f>IF(BD_MO[FECHA]&lt;&gt;"",VLOOKUP(BD_MO[LABOR],TB_CECO[[LABOR]:[CECO_T]],3,FALSE),"")</f>
        <v>VANESSA</v>
      </c>
      <c r="J82" s="171" t="str">
        <f>IF(BD_MO[FECHA]&lt;&gt;"",VLOOKUP(BD_MO[LABOR],D_CECO!B:H,7,FALSE),"")</f>
        <v>LINEAL</v>
      </c>
      <c r="K82" s="171" t="str">
        <f>IF(BD_MO[FECHA]&lt;&gt;"",VLOOKUP(BD_MO[LABOR],D_CECO!B:H,4,FALSE),"")</f>
        <v>EXPLORACION</v>
      </c>
      <c r="L82" s="171"/>
      <c r="M82" s="169"/>
      <c r="N82" s="172"/>
      <c r="O82" s="173" t="s">
        <v>11925</v>
      </c>
      <c r="P82" s="173" t="s">
        <v>12102</v>
      </c>
      <c r="Q82" s="173"/>
      <c r="R82" s="174"/>
      <c r="S82" s="175" t="str">
        <f>IFERROR(VLOOKUP(BD_MO[DNI 4],#REF!,2,FALSE)," ")</f>
        <v xml:space="preserve"> </v>
      </c>
      <c r="T82" s="176">
        <f>+IF(BD_MO[[#This Row],[FECHA]]&lt;&gt;"",COUNTA(BD_MO[[#This Row],[DNI]],BD_MO[[#This Row],[DNI 2]],BD_MO[[#This Row],[DNI 3]],BD_MO[[#This Row],[DNI 4]]),"")</f>
        <v>2</v>
      </c>
      <c r="U82" s="176"/>
      <c r="V82" s="176"/>
      <c r="W82" s="176"/>
      <c r="X82" s="176">
        <v>2</v>
      </c>
      <c r="Y82" s="177">
        <f>SUM(BD_MO[[#This Row],[LIMP]:[SERV]])</f>
        <v>2</v>
      </c>
      <c r="Z82" s="172"/>
      <c r="AA82" s="172" t="str">
        <f>+IF(BD_MO[[#This Row],[N° VALE]]&lt;&gt;"",1,"")</f>
        <v/>
      </c>
      <c r="AB82" s="169"/>
      <c r="AC82" s="172"/>
      <c r="AD82" s="172" t="str">
        <f>+IF(BD_MO[[#This Row],[N° VALE]]&lt;&gt;"",BD_MO[[#This Row],[FULMINANTE N° 08]]+BD_MO[CARMEX 7''],"")</f>
        <v/>
      </c>
      <c r="AE82" s="172"/>
      <c r="AF82" s="172" t="str">
        <f>+IF(BD_MO[[#This Row],[N° VALE]]&lt;&gt;"",BD_MO[[#This Row],[N° TALADROS]]+BD_MO[[#This Row],[N° TAL. VACIOS]],"")</f>
        <v/>
      </c>
      <c r="AG82" s="178"/>
      <c r="AH82" s="178"/>
      <c r="AI82" s="178"/>
      <c r="AJ82" s="178"/>
      <c r="AK82" s="178"/>
      <c r="AL82" s="178"/>
      <c r="AM82" s="171"/>
      <c r="AN82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82" s="172" t="str">
        <f>+IF(BD_MO[[#This Row],[N° VALE]]&lt;&gt;"",IF(BD_MO[[#This Row],[FULMINANTE N° 08]]&lt;&gt;"",BD_MO[[#This Row],[FULMINANTE N° 08]],IF(BD_MO[[#This Row],[CARMEX 7'']]&lt;&gt;0,0,"")),"")</f>
        <v/>
      </c>
      <c r="AP82" s="176" t="str">
        <f>+IF(BD_MO[[#This Row],[N° VALE]]&lt;&gt;"",BD_MO[[#This Row],[N°  TOTAL TALADROS]]*BD_MO[[#This Row],[BARRA]]*0.95,"")</f>
        <v/>
      </c>
      <c r="AQ82" s="176" t="str">
        <f>+IF(BD_MO[[#This Row],[N° VALE]]&lt;&gt;"",BD_MO[[#This Row],[EMULNOR 1000 (N° CART.)]]*PE_EMUL_1000[PE],"")</f>
        <v/>
      </c>
      <c r="AR82" s="176" t="str">
        <f>+IF(BD_MO[[#This Row],[N° VALE]]&lt;&gt;"",BD_MO[[#This Row],[EMULNOR 3000 (N° CART.)]]*PE_EMUL_3000[PE],"")</f>
        <v/>
      </c>
      <c r="AS82" s="176" t="str">
        <f>+IF(BD_MO[[#This Row],[N° VALE]]&lt;&gt;"",BD_MO[[#This Row],[PULVERULENTA (N° CART.)]]*PE_PULV_65[PE],"")</f>
        <v/>
      </c>
      <c r="AT82" s="176" t="str">
        <f>+IF(BD_MO[[#This Row],[N° DISP]]&lt;&gt;"",BD_MO[[#This Row],[SEMIGELATINA (N° CART.)]]*PE_SEMIGEL_65[PE],"")</f>
        <v/>
      </c>
      <c r="AU82" s="176" t="str">
        <f>+IF(BD_MO[N° VALE]&lt;&gt;"",BD_MO[[#This Row],[KG EXPLO SEMIGEL]]+BD_MO[[#This Row],[KG EXPLO PULVE]]+BD_MO[[#This Row],[KG EXPLO EMULN 3000]]+BD_MO[[#This Row],[KG EXPLO EMULN 1000]],"")</f>
        <v/>
      </c>
      <c r="AV82" s="172"/>
      <c r="AW82" s="172"/>
      <c r="AX82" s="172" t="str">
        <f>+IF(BD_MO[[#This Row],[MINERAL (U-35)]]&lt;&gt;"",BD_MO[[#This Row],[MINERAL (U-35)]]*1.45,"-")</f>
        <v>-</v>
      </c>
      <c r="AY82" s="172" t="str">
        <f>+IF(BD_MO[[#This Row],[DESMONTE (U-35)]]&lt;&gt;"",BD_MO[[#This Row],[DESMONTE (U-35)]]*1.23,"-")</f>
        <v>-</v>
      </c>
      <c r="AZ82" s="172"/>
      <c r="BA82" s="172"/>
      <c r="BB82" s="172"/>
      <c r="BC82" s="172"/>
      <c r="BD82" s="172"/>
      <c r="BE82" s="172"/>
      <c r="BF82" s="172"/>
      <c r="BG82" s="172"/>
      <c r="BH82" s="172"/>
      <c r="BI82" s="172"/>
      <c r="BJ82" s="172"/>
      <c r="BK82" s="172"/>
      <c r="BL82" s="172"/>
      <c r="BM82" s="172"/>
      <c r="BN82" s="171"/>
      <c r="BO82" s="172"/>
      <c r="BP82" s="172"/>
      <c r="BQ82" s="171"/>
      <c r="BR82" s="172"/>
      <c r="BS82" s="171"/>
      <c r="BT82" s="176"/>
      <c r="BU82" s="172"/>
      <c r="BV82" s="172"/>
      <c r="BW82" s="172"/>
      <c r="BX82" s="172"/>
      <c r="BY82" s="172"/>
      <c r="BZ82" s="172"/>
      <c r="CA82" s="172"/>
      <c r="CB82" s="172"/>
      <c r="CC82" s="172"/>
      <c r="CD82" s="172"/>
      <c r="CE82" s="172"/>
      <c r="CF82" s="172"/>
      <c r="CG82" s="172"/>
      <c r="CH82" s="172"/>
      <c r="CI82" s="172"/>
      <c r="CJ82" s="172"/>
      <c r="CK82" s="172"/>
      <c r="CL82" s="172"/>
      <c r="CM82" s="172"/>
      <c r="CN82" s="172"/>
      <c r="CO82" s="172"/>
      <c r="CP82" s="176">
        <f>+IF(BD_MO[[#This Row],[FECHA]]&lt;&gt;"",BD_MO[[#This Row],[PUNTAL 4"]]+BD_MO[[#This Row],[PUNTAL 5"]]+BD_MO[[#This Row],[PUNTAL 6"]]+BD_MO[[#This Row],[PUNTAL 7"]]+BD_MO[[#This Row],[PUNTAL 8"]],"")</f>
        <v>0</v>
      </c>
      <c r="CQ82" s="172"/>
      <c r="CR82" s="172"/>
      <c r="CS82" s="172"/>
      <c r="CT82" s="172"/>
      <c r="CU82" s="172"/>
      <c r="CV82" s="172"/>
      <c r="CW82" s="172"/>
      <c r="CX82" s="172"/>
      <c r="CY82" s="176"/>
      <c r="CZ8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82" s="176">
        <f>+IF(BD_MO[[#This Row],[FECHA]]&lt;&gt;"",BD_MO[[#This Row],[DURMIENTE2]]*6.561+BD_MO[[#This Row],[LISTONES]]*4.921+BD_MO[[#This Row],[TABLA 1"x8"x3m]]*6.561+BD_MO[[#This Row],[TABLA 2"x8"x3m]]*13.122,"")</f>
        <v>0</v>
      </c>
      <c r="DB82" s="176">
        <f>+IF(BD_MO[[#This Row],[FECHA]]&lt;&gt;"",BD_MO[[#This Row],[PIE2 MADERA ASERRADA]]*1.95,"")</f>
        <v>0</v>
      </c>
      <c r="DC82" s="176">
        <f>+IF(BD_MO[[#This Row],[FECHA]]&lt;&gt;"",BD_MO[[#This Row],[KG. MADERA REDONDA]]+BD_MO[[#This Row],[KG MADERA ASERRADA]],"")</f>
        <v>0</v>
      </c>
      <c r="DD8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82" s="172"/>
      <c r="DF82" s="172"/>
      <c r="DG82" s="172"/>
      <c r="DH82" s="172"/>
      <c r="DI82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82" s="180"/>
      <c r="DK82" s="180"/>
      <c r="DL82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82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82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82" s="181"/>
      <c r="DP82" s="180" t="str">
        <f>+IF(BD_MO[[#This Row],[M o D]]&lt;&gt;"",IF(BD_MO[[#This Row],[M o D]]="M",BD_MO[[#This Row],[ROTURA TMH]]/2.65,BD_MO[[#This Row],[ROTURA TMH]]/2.4),"")</f>
        <v/>
      </c>
      <c r="DQ82" s="180"/>
      <c r="DR82" s="116" t="str">
        <f>IF(BD_MO[[#This Row],[TIPO AVANCE]]="Avance",((BD_MO[[#This Row],[AVANCE (m)]]/BD_MO[[#This Row],[AVANCE TEÓRICO]]))," ")</f>
        <v xml:space="preserve"> </v>
      </c>
      <c r="DS82" s="134"/>
      <c r="DT82" s="134"/>
      <c r="DU82" s="134"/>
      <c r="DV82" s="134"/>
      <c r="DW82" s="134"/>
      <c r="DX82" s="135"/>
      <c r="DY82" s="135"/>
      <c r="DZ82" s="135"/>
    </row>
    <row r="83" spans="1:130" s="136" customFormat="1" ht="18" customHeight="1" x14ac:dyDescent="0.25">
      <c r="A83" s="168">
        <v>44656</v>
      </c>
      <c r="B83" s="169" t="s">
        <v>10647</v>
      </c>
      <c r="C83" s="169" t="s">
        <v>10680</v>
      </c>
      <c r="D83" s="170" t="s">
        <v>10954</v>
      </c>
      <c r="E83" s="171" t="str">
        <f>LEFT(BD_MO[[#This Row],[LABOR]],2)</f>
        <v>MO</v>
      </c>
      <c r="F83" s="172"/>
      <c r="G83" s="172" t="s">
        <v>10669</v>
      </c>
      <c r="H8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83" s="171" t="str">
        <f>IF(BD_MO[FECHA]&lt;&gt;"",VLOOKUP(BD_MO[LABOR],TB_CECO[[LABOR]:[CECO_T]],3,FALSE),"")</f>
        <v>INCA</v>
      </c>
      <c r="J83" s="171" t="str">
        <f>IF(BD_MO[FECHA]&lt;&gt;"",VLOOKUP(BD_MO[LABOR],D_CECO!B:H,7,FALSE),"")</f>
        <v>SERVICIOS</v>
      </c>
      <c r="K83" s="171" t="str">
        <f>IF(BD_MO[FECHA]&lt;&gt;"",VLOOKUP(BD_MO[LABOR],D_CECO!B:H,4,FALSE),"")</f>
        <v>SERVICIOS</v>
      </c>
      <c r="L83" s="171"/>
      <c r="M83" s="169"/>
      <c r="N83" s="172"/>
      <c r="O83" s="173" t="s">
        <v>12117</v>
      </c>
      <c r="P83" s="173" t="s">
        <v>11907</v>
      </c>
      <c r="Q83" s="173"/>
      <c r="R83" s="174"/>
      <c r="S83" s="175" t="str">
        <f>IFERROR(VLOOKUP(BD_MO[DNI 4],#REF!,2,FALSE)," ")</f>
        <v xml:space="preserve"> </v>
      </c>
      <c r="T83" s="176">
        <f>+IF(BD_MO[[#This Row],[FECHA]]&lt;&gt;"",COUNTA(BD_MO[[#This Row],[DNI]],BD_MO[[#This Row],[DNI 2]],BD_MO[[#This Row],[DNI 3]],BD_MO[[#This Row],[DNI 4]]),"")</f>
        <v>2</v>
      </c>
      <c r="U83" s="176"/>
      <c r="V83" s="176"/>
      <c r="W83" s="176"/>
      <c r="X83" s="176">
        <v>2</v>
      </c>
      <c r="Y83" s="177">
        <f>SUM(BD_MO[[#This Row],[LIMP]:[SERV]])</f>
        <v>2</v>
      </c>
      <c r="Z83" s="172"/>
      <c r="AA83" s="172" t="str">
        <f>+IF(BD_MO[[#This Row],[N° VALE]]&lt;&gt;"",1,"")</f>
        <v/>
      </c>
      <c r="AB83" s="169"/>
      <c r="AC83" s="172"/>
      <c r="AD83" s="172" t="str">
        <f>+IF(BD_MO[[#This Row],[N° VALE]]&lt;&gt;"",BD_MO[[#This Row],[FULMINANTE N° 08]]+BD_MO[CARMEX 7''],"")</f>
        <v/>
      </c>
      <c r="AE83" s="172"/>
      <c r="AF83" s="172" t="str">
        <f>+IF(BD_MO[[#This Row],[N° VALE]]&lt;&gt;"",BD_MO[[#This Row],[N° TALADROS]]+BD_MO[[#This Row],[N° TAL. VACIOS]],"")</f>
        <v/>
      </c>
      <c r="AG83" s="178"/>
      <c r="AH83" s="178"/>
      <c r="AI83" s="178"/>
      <c r="AJ83" s="178"/>
      <c r="AK83" s="178"/>
      <c r="AL83" s="178"/>
      <c r="AM83" s="171"/>
      <c r="AN83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83" s="172" t="str">
        <f>+IF(BD_MO[[#This Row],[N° VALE]]&lt;&gt;"",IF(BD_MO[[#This Row],[FULMINANTE N° 08]]&lt;&gt;"",BD_MO[[#This Row],[FULMINANTE N° 08]],IF(BD_MO[[#This Row],[CARMEX 7'']]&lt;&gt;0,0,"")),"")</f>
        <v/>
      </c>
      <c r="AP83" s="176" t="str">
        <f>+IF(BD_MO[[#This Row],[N° VALE]]&lt;&gt;"",BD_MO[[#This Row],[N°  TOTAL TALADROS]]*BD_MO[[#This Row],[BARRA]]*0.95,"")</f>
        <v/>
      </c>
      <c r="AQ83" s="176" t="str">
        <f>+IF(BD_MO[[#This Row],[N° VALE]]&lt;&gt;"",BD_MO[[#This Row],[EMULNOR 1000 (N° CART.)]]*PE_EMUL_1000[PE],"")</f>
        <v/>
      </c>
      <c r="AR83" s="176" t="str">
        <f>+IF(BD_MO[[#This Row],[N° VALE]]&lt;&gt;"",BD_MO[[#This Row],[EMULNOR 3000 (N° CART.)]]*PE_EMUL_3000[PE],"")</f>
        <v/>
      </c>
      <c r="AS83" s="176" t="str">
        <f>+IF(BD_MO[[#This Row],[N° VALE]]&lt;&gt;"",BD_MO[[#This Row],[PULVERULENTA (N° CART.)]]*PE_PULV_65[PE],"")</f>
        <v/>
      </c>
      <c r="AT83" s="176" t="str">
        <f>+IF(BD_MO[[#This Row],[N° DISP]]&lt;&gt;"",BD_MO[[#This Row],[SEMIGELATINA (N° CART.)]]*PE_SEMIGEL_65[PE],"")</f>
        <v/>
      </c>
      <c r="AU83" s="176" t="str">
        <f>+IF(BD_MO[N° VALE]&lt;&gt;"",BD_MO[[#This Row],[KG EXPLO SEMIGEL]]+BD_MO[[#This Row],[KG EXPLO PULVE]]+BD_MO[[#This Row],[KG EXPLO EMULN 3000]]+BD_MO[[#This Row],[KG EXPLO EMULN 1000]],"")</f>
        <v/>
      </c>
      <c r="AV83" s="172"/>
      <c r="AW83" s="172"/>
      <c r="AX83" s="172" t="str">
        <f>+IF(BD_MO[[#This Row],[MINERAL (U-35)]]&lt;&gt;"",BD_MO[[#This Row],[MINERAL (U-35)]]*1.45,"-")</f>
        <v>-</v>
      </c>
      <c r="AY83" s="172" t="str">
        <f>+IF(BD_MO[[#This Row],[DESMONTE (U-35)]]&lt;&gt;"",BD_MO[[#This Row],[DESMONTE (U-35)]]*1.23,"-")</f>
        <v>-</v>
      </c>
      <c r="AZ83" s="172"/>
      <c r="BA83" s="172"/>
      <c r="BB83" s="172"/>
      <c r="BC83" s="172"/>
      <c r="BD83" s="172"/>
      <c r="BE83" s="172"/>
      <c r="BF83" s="172"/>
      <c r="BG83" s="172"/>
      <c r="BH83" s="172"/>
      <c r="BI83" s="172"/>
      <c r="BJ83" s="172"/>
      <c r="BK83" s="172"/>
      <c r="BL83" s="172"/>
      <c r="BM83" s="172"/>
      <c r="BN83" s="171"/>
      <c r="BO83" s="172"/>
      <c r="BP83" s="172"/>
      <c r="BQ83" s="171"/>
      <c r="BR83" s="172"/>
      <c r="BS83" s="171"/>
      <c r="BT83" s="176"/>
      <c r="BU83" s="172"/>
      <c r="BV83" s="172"/>
      <c r="BW83" s="172"/>
      <c r="BX83" s="172"/>
      <c r="BY83" s="172"/>
      <c r="BZ83" s="172"/>
      <c r="CA83" s="172"/>
      <c r="CB83" s="172"/>
      <c r="CC83" s="172"/>
      <c r="CD83" s="172"/>
      <c r="CE83" s="172"/>
      <c r="CF83" s="172"/>
      <c r="CG83" s="172"/>
      <c r="CH83" s="172"/>
      <c r="CI83" s="172"/>
      <c r="CJ83" s="172"/>
      <c r="CK83" s="172"/>
      <c r="CL83" s="172"/>
      <c r="CM83" s="172"/>
      <c r="CN83" s="172"/>
      <c r="CO83" s="172"/>
      <c r="CP83" s="176">
        <f>+IF(BD_MO[[#This Row],[FECHA]]&lt;&gt;"",BD_MO[[#This Row],[PUNTAL 4"]]+BD_MO[[#This Row],[PUNTAL 5"]]+BD_MO[[#This Row],[PUNTAL 6"]]+BD_MO[[#This Row],[PUNTAL 7"]]+BD_MO[[#This Row],[PUNTAL 8"]],"")</f>
        <v>0</v>
      </c>
      <c r="CQ83" s="172"/>
      <c r="CR83" s="172"/>
      <c r="CS83" s="172"/>
      <c r="CT83" s="172"/>
      <c r="CU83" s="172"/>
      <c r="CV83" s="172"/>
      <c r="CW83" s="172"/>
      <c r="CX83" s="172"/>
      <c r="CY83" s="176"/>
      <c r="CZ8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83" s="176">
        <f>+IF(BD_MO[[#This Row],[FECHA]]&lt;&gt;"",BD_MO[[#This Row],[DURMIENTE2]]*6.561+BD_MO[[#This Row],[LISTONES]]*4.921+BD_MO[[#This Row],[TABLA 1"x8"x3m]]*6.561+BD_MO[[#This Row],[TABLA 2"x8"x3m]]*13.122,"")</f>
        <v>0</v>
      </c>
      <c r="DB83" s="176">
        <f>+IF(BD_MO[[#This Row],[FECHA]]&lt;&gt;"",BD_MO[[#This Row],[PIE2 MADERA ASERRADA]]*1.95,"")</f>
        <v>0</v>
      </c>
      <c r="DC83" s="176">
        <f>+IF(BD_MO[[#This Row],[FECHA]]&lt;&gt;"",BD_MO[[#This Row],[KG. MADERA REDONDA]]+BD_MO[[#This Row],[KG MADERA ASERRADA]],"")</f>
        <v>0</v>
      </c>
      <c r="DD8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83" s="172"/>
      <c r="DF83" s="172"/>
      <c r="DG83" s="172"/>
      <c r="DH83" s="172"/>
      <c r="DI83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83" s="180"/>
      <c r="DK83" s="180"/>
      <c r="DL83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83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83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83" s="181"/>
      <c r="DP83" s="180" t="str">
        <f>+IF(BD_MO[[#This Row],[M o D]]&lt;&gt;"",IF(BD_MO[[#This Row],[M o D]]="M",BD_MO[[#This Row],[ROTURA TMH]]/2.65,BD_MO[[#This Row],[ROTURA TMH]]/2.4),"")</f>
        <v/>
      </c>
      <c r="DQ83" s="180"/>
      <c r="DR83" s="116" t="str">
        <f>IF(BD_MO[[#This Row],[TIPO AVANCE]]="Avance",((BD_MO[[#This Row],[AVANCE (m)]]/BD_MO[[#This Row],[AVANCE TEÓRICO]]))," ")</f>
        <v xml:space="preserve"> </v>
      </c>
      <c r="DS83" s="134"/>
      <c r="DT83" s="134"/>
      <c r="DU83" s="134"/>
      <c r="DV83" s="134"/>
      <c r="DW83" s="134"/>
      <c r="DX83" s="135"/>
      <c r="DY83" s="135"/>
      <c r="DZ83" s="135"/>
    </row>
    <row r="84" spans="1:130" s="136" customFormat="1" ht="18" customHeight="1" x14ac:dyDescent="0.25">
      <c r="A84" s="168">
        <v>44656</v>
      </c>
      <c r="B84" s="169" t="s">
        <v>10647</v>
      </c>
      <c r="C84" s="169" t="s">
        <v>10680</v>
      </c>
      <c r="D84" s="170" t="s">
        <v>10717</v>
      </c>
      <c r="E84" s="171" t="str">
        <f>LEFT(BD_MO[[#This Row],[LABOR]],2)</f>
        <v>BO</v>
      </c>
      <c r="F84" s="172"/>
      <c r="G84" s="172" t="s">
        <v>10669</v>
      </c>
      <c r="H8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84" s="171" t="str">
        <f>IF(BD_MO[FECHA]&lt;&gt;"",VLOOKUP(BD_MO[LABOR],TB_CECO[[LABOR]:[CECO_T]],3,FALSE),"")</f>
        <v>CACHORRO</v>
      </c>
      <c r="J84" s="171" t="str">
        <f>IF(BD_MO[FECHA]&lt;&gt;"",VLOOKUP(BD_MO[LABOR],D_CECO!B:H,7,FALSE),"")</f>
        <v>SERVICIOS</v>
      </c>
      <c r="K84" s="171" t="str">
        <f>IF(BD_MO[FECHA]&lt;&gt;"",VLOOKUP(BD_MO[LABOR],D_CECO!B:H,4,FALSE),"")</f>
        <v>SERVICIOS</v>
      </c>
      <c r="L84" s="171"/>
      <c r="M84" s="169"/>
      <c r="N84" s="172"/>
      <c r="O84" s="173" t="s">
        <v>11909</v>
      </c>
      <c r="P84" s="173"/>
      <c r="Q84" s="173"/>
      <c r="R84" s="174"/>
      <c r="S84" s="175" t="str">
        <f>IFERROR(VLOOKUP(BD_MO[DNI 4],#REF!,2,FALSE)," ")</f>
        <v xml:space="preserve"> </v>
      </c>
      <c r="T84" s="176">
        <f>+IF(BD_MO[[#This Row],[FECHA]]&lt;&gt;"",COUNTA(BD_MO[[#This Row],[DNI]],BD_MO[[#This Row],[DNI 2]],BD_MO[[#This Row],[DNI 3]],BD_MO[[#This Row],[DNI 4]]),"")</f>
        <v>1</v>
      </c>
      <c r="U84" s="176"/>
      <c r="V84" s="176"/>
      <c r="W84" s="176"/>
      <c r="X84" s="176">
        <v>1</v>
      </c>
      <c r="Y84" s="177">
        <f>SUM(BD_MO[[#This Row],[LIMP]:[SERV]])</f>
        <v>1</v>
      </c>
      <c r="Z84" s="172"/>
      <c r="AA84" s="172" t="str">
        <f>+IF(BD_MO[[#This Row],[N° VALE]]&lt;&gt;"",1,"")</f>
        <v/>
      </c>
      <c r="AB84" s="169"/>
      <c r="AC84" s="172"/>
      <c r="AD84" s="172" t="str">
        <f>+IF(BD_MO[[#This Row],[N° VALE]]&lt;&gt;"",BD_MO[[#This Row],[FULMINANTE N° 08]]+BD_MO[CARMEX 7''],"")</f>
        <v/>
      </c>
      <c r="AE84" s="172"/>
      <c r="AF84" s="172" t="str">
        <f>+IF(BD_MO[[#This Row],[N° VALE]]&lt;&gt;"",BD_MO[[#This Row],[N° TALADROS]]+BD_MO[[#This Row],[N° TAL. VACIOS]],"")</f>
        <v/>
      </c>
      <c r="AG84" s="178"/>
      <c r="AH84" s="178"/>
      <c r="AI84" s="178"/>
      <c r="AJ84" s="178"/>
      <c r="AK84" s="178"/>
      <c r="AL84" s="178"/>
      <c r="AM84" s="171"/>
      <c r="AN8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84" s="172" t="str">
        <f>+IF(BD_MO[[#This Row],[N° VALE]]&lt;&gt;"",IF(BD_MO[[#This Row],[FULMINANTE N° 08]]&lt;&gt;"",BD_MO[[#This Row],[FULMINANTE N° 08]],IF(BD_MO[[#This Row],[CARMEX 7'']]&lt;&gt;0,0,"")),"")</f>
        <v/>
      </c>
      <c r="AP84" s="176" t="str">
        <f>+IF(BD_MO[[#This Row],[N° VALE]]&lt;&gt;"",BD_MO[[#This Row],[N°  TOTAL TALADROS]]*BD_MO[[#This Row],[BARRA]]*0.95,"")</f>
        <v/>
      </c>
      <c r="AQ84" s="176" t="str">
        <f>+IF(BD_MO[[#This Row],[N° VALE]]&lt;&gt;"",BD_MO[[#This Row],[EMULNOR 1000 (N° CART.)]]*PE_EMUL_1000[PE],"")</f>
        <v/>
      </c>
      <c r="AR84" s="176" t="str">
        <f>+IF(BD_MO[[#This Row],[N° VALE]]&lt;&gt;"",BD_MO[[#This Row],[EMULNOR 3000 (N° CART.)]]*PE_EMUL_3000[PE],"")</f>
        <v/>
      </c>
      <c r="AS84" s="176" t="str">
        <f>+IF(BD_MO[[#This Row],[N° VALE]]&lt;&gt;"",BD_MO[[#This Row],[PULVERULENTA (N° CART.)]]*PE_PULV_65[PE],"")</f>
        <v/>
      </c>
      <c r="AT84" s="176" t="str">
        <f>+IF(BD_MO[[#This Row],[N° DISP]]&lt;&gt;"",BD_MO[[#This Row],[SEMIGELATINA (N° CART.)]]*PE_SEMIGEL_65[PE],"")</f>
        <v/>
      </c>
      <c r="AU84" s="176" t="str">
        <f>+IF(BD_MO[N° VALE]&lt;&gt;"",BD_MO[[#This Row],[KG EXPLO SEMIGEL]]+BD_MO[[#This Row],[KG EXPLO PULVE]]+BD_MO[[#This Row],[KG EXPLO EMULN 3000]]+BD_MO[[#This Row],[KG EXPLO EMULN 1000]],"")</f>
        <v/>
      </c>
      <c r="AV84" s="172"/>
      <c r="AW84" s="172"/>
      <c r="AX84" s="172" t="str">
        <f>+IF(BD_MO[[#This Row],[MINERAL (U-35)]]&lt;&gt;"",BD_MO[[#This Row],[MINERAL (U-35)]]*1.45,"-")</f>
        <v>-</v>
      </c>
      <c r="AY84" s="172" t="str">
        <f>+IF(BD_MO[[#This Row],[DESMONTE (U-35)]]&lt;&gt;"",BD_MO[[#This Row],[DESMONTE (U-35)]]*1.23,"-")</f>
        <v>-</v>
      </c>
      <c r="AZ84" s="172"/>
      <c r="BA84" s="172"/>
      <c r="BB84" s="172"/>
      <c r="BC84" s="172"/>
      <c r="BD84" s="172"/>
      <c r="BE84" s="172"/>
      <c r="BF84" s="172"/>
      <c r="BG84" s="172"/>
      <c r="BH84" s="172"/>
      <c r="BI84" s="172"/>
      <c r="BJ84" s="172"/>
      <c r="BK84" s="172"/>
      <c r="BL84" s="172"/>
      <c r="BM84" s="172"/>
      <c r="BN84" s="171"/>
      <c r="BO84" s="172"/>
      <c r="BP84" s="172"/>
      <c r="BQ84" s="171"/>
      <c r="BR84" s="172"/>
      <c r="BS84" s="171"/>
      <c r="BT84" s="176"/>
      <c r="BU84" s="172"/>
      <c r="BV84" s="172"/>
      <c r="BW84" s="172"/>
      <c r="BX84" s="172"/>
      <c r="BY84" s="172"/>
      <c r="BZ84" s="172"/>
      <c r="CA84" s="172"/>
      <c r="CB84" s="172"/>
      <c r="CC84" s="172"/>
      <c r="CD84" s="172"/>
      <c r="CE84" s="172"/>
      <c r="CF84" s="172"/>
      <c r="CG84" s="172"/>
      <c r="CH84" s="172"/>
      <c r="CI84" s="172"/>
      <c r="CJ84" s="172"/>
      <c r="CK84" s="172"/>
      <c r="CL84" s="172"/>
      <c r="CM84" s="172"/>
      <c r="CN84" s="172"/>
      <c r="CO84" s="172"/>
      <c r="CP84" s="176">
        <f>+IF(BD_MO[[#This Row],[FECHA]]&lt;&gt;"",BD_MO[[#This Row],[PUNTAL 4"]]+BD_MO[[#This Row],[PUNTAL 5"]]+BD_MO[[#This Row],[PUNTAL 6"]]+BD_MO[[#This Row],[PUNTAL 7"]]+BD_MO[[#This Row],[PUNTAL 8"]],"")</f>
        <v>0</v>
      </c>
      <c r="CQ84" s="172"/>
      <c r="CR84" s="172"/>
      <c r="CS84" s="172"/>
      <c r="CT84" s="172"/>
      <c r="CU84" s="172"/>
      <c r="CV84" s="172"/>
      <c r="CW84" s="172"/>
      <c r="CX84" s="172"/>
      <c r="CY84" s="176"/>
      <c r="CZ8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84" s="176">
        <f>+IF(BD_MO[[#This Row],[FECHA]]&lt;&gt;"",BD_MO[[#This Row],[DURMIENTE2]]*6.561+BD_MO[[#This Row],[LISTONES]]*4.921+BD_MO[[#This Row],[TABLA 1"x8"x3m]]*6.561+BD_MO[[#This Row],[TABLA 2"x8"x3m]]*13.122,"")</f>
        <v>0</v>
      </c>
      <c r="DB84" s="176">
        <f>+IF(BD_MO[[#This Row],[FECHA]]&lt;&gt;"",BD_MO[[#This Row],[PIE2 MADERA ASERRADA]]*1.95,"")</f>
        <v>0</v>
      </c>
      <c r="DC84" s="176">
        <f>+IF(BD_MO[[#This Row],[FECHA]]&lt;&gt;"",BD_MO[[#This Row],[KG. MADERA REDONDA]]+BD_MO[[#This Row],[KG MADERA ASERRADA]],"")</f>
        <v>0</v>
      </c>
      <c r="DD8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84" s="172"/>
      <c r="DF84" s="172"/>
      <c r="DG84" s="172"/>
      <c r="DH84" s="172"/>
      <c r="DI8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84" s="180"/>
      <c r="DK84" s="180"/>
      <c r="DL8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8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8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84" s="181"/>
      <c r="DP84" s="180" t="str">
        <f>+IF(BD_MO[[#This Row],[M o D]]&lt;&gt;"",IF(BD_MO[[#This Row],[M o D]]="M",BD_MO[[#This Row],[ROTURA TMH]]/2.65,BD_MO[[#This Row],[ROTURA TMH]]/2.4),"")</f>
        <v/>
      </c>
      <c r="DQ84" s="180"/>
      <c r="DR84" s="116" t="str">
        <f>IF(BD_MO[[#This Row],[TIPO AVANCE]]="Avance",((BD_MO[[#This Row],[AVANCE (m)]]/BD_MO[[#This Row],[AVANCE TEÓRICO]]))," ")</f>
        <v xml:space="preserve"> </v>
      </c>
      <c r="DS84" s="134"/>
      <c r="DT84" s="134"/>
      <c r="DU84" s="134"/>
      <c r="DV84" s="134"/>
      <c r="DW84" s="134"/>
      <c r="DX84" s="135"/>
      <c r="DY84" s="135"/>
      <c r="DZ84" s="135"/>
    </row>
    <row r="85" spans="1:130" s="112" customFormat="1" ht="18" customHeight="1" thickBot="1" x14ac:dyDescent="0.3">
      <c r="A85" s="183">
        <v>44656</v>
      </c>
      <c r="B85" s="184" t="s">
        <v>10647</v>
      </c>
      <c r="C85" s="184" t="s">
        <v>10680</v>
      </c>
      <c r="D85" s="185" t="s">
        <v>11872</v>
      </c>
      <c r="E85" s="186" t="str">
        <f>LEFT(BD_MO[[#This Row],[LABOR]],2)</f>
        <v>PQ</v>
      </c>
      <c r="F85" s="187"/>
      <c r="G85" s="187" t="s">
        <v>10669</v>
      </c>
      <c r="H85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85" s="186" t="str">
        <f>IF(BD_MO[FECHA]&lt;&gt;"",VLOOKUP(BD_MO[LABOR],TB_CECO[[LABOR]:[CECO_T]],3,FALSE),"")</f>
        <v>ANDREA</v>
      </c>
      <c r="J85" s="186" t="str">
        <f>IF(BD_MO[FECHA]&lt;&gt;"",VLOOKUP(BD_MO[LABOR],D_CECO!B:H,7,FALSE),"")</f>
        <v>LINEAL</v>
      </c>
      <c r="K85" s="186" t="str">
        <f>IF(BD_MO[FECHA]&lt;&gt;"",VLOOKUP(BD_MO[LABOR],D_CECO!B:H,4,FALSE),"")</f>
        <v>EXPLOTACION</v>
      </c>
      <c r="L85" s="186"/>
      <c r="M85" s="184"/>
      <c r="N85" s="187"/>
      <c r="O85" s="188" t="s">
        <v>11908</v>
      </c>
      <c r="P85" s="188" t="s">
        <v>11905</v>
      </c>
      <c r="Q85" s="188" t="s">
        <v>12178</v>
      </c>
      <c r="R85" s="189"/>
      <c r="S85" s="190" t="str">
        <f>IFERROR(VLOOKUP(BD_MO[DNI 4],#REF!,2,FALSE)," ")</f>
        <v xml:space="preserve"> </v>
      </c>
      <c r="T85" s="191">
        <f>+IF(BD_MO[[#This Row],[FECHA]]&lt;&gt;"",COUNTA(BD_MO[[#This Row],[DNI]],BD_MO[[#This Row],[DNI 2]],BD_MO[[#This Row],[DNI 3]],BD_MO[[#This Row],[DNI 4]]),"")</f>
        <v>3</v>
      </c>
      <c r="U85" s="191"/>
      <c r="V85" s="191"/>
      <c r="W85" s="191"/>
      <c r="X85" s="191">
        <v>3</v>
      </c>
      <c r="Y85" s="192">
        <f>SUM(BD_MO[[#This Row],[LIMP]:[SERV]])</f>
        <v>3</v>
      </c>
      <c r="Z85" s="187"/>
      <c r="AA85" s="187" t="str">
        <f>+IF(BD_MO[[#This Row],[N° VALE]]&lt;&gt;"",1,"")</f>
        <v/>
      </c>
      <c r="AB85" s="184"/>
      <c r="AC85" s="187"/>
      <c r="AD85" s="187" t="str">
        <f>+IF(BD_MO[[#This Row],[N° VALE]]&lt;&gt;"",BD_MO[[#This Row],[FULMINANTE N° 08]]+BD_MO[CARMEX 7''],"")</f>
        <v/>
      </c>
      <c r="AE85" s="187"/>
      <c r="AF85" s="187" t="str">
        <f>+IF(BD_MO[[#This Row],[N° VALE]]&lt;&gt;"",BD_MO[[#This Row],[N° TALADROS]]+BD_MO[[#This Row],[N° TAL. VACIOS]],"")</f>
        <v/>
      </c>
      <c r="AG85" s="193"/>
      <c r="AH85" s="193"/>
      <c r="AI85" s="193"/>
      <c r="AJ85" s="193"/>
      <c r="AK85" s="193"/>
      <c r="AL85" s="193"/>
      <c r="AM85" s="186"/>
      <c r="AN85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85" s="187" t="str">
        <f>+IF(BD_MO[[#This Row],[N° VALE]]&lt;&gt;"",IF(BD_MO[[#This Row],[FULMINANTE N° 08]]&lt;&gt;"",BD_MO[[#This Row],[FULMINANTE N° 08]],IF(BD_MO[[#This Row],[CARMEX 7'']]&lt;&gt;0,0,"")),"")</f>
        <v/>
      </c>
      <c r="AP85" s="191" t="str">
        <f>+IF(BD_MO[[#This Row],[N° VALE]]&lt;&gt;"",BD_MO[[#This Row],[N°  TOTAL TALADROS]]*BD_MO[[#This Row],[BARRA]]*0.95,"")</f>
        <v/>
      </c>
      <c r="AQ85" s="191" t="str">
        <f>+IF(BD_MO[[#This Row],[N° VALE]]&lt;&gt;"",BD_MO[[#This Row],[EMULNOR 1000 (N° CART.)]]*PE_EMUL_1000[PE],"")</f>
        <v/>
      </c>
      <c r="AR85" s="191" t="str">
        <f>+IF(BD_MO[[#This Row],[N° VALE]]&lt;&gt;"",BD_MO[[#This Row],[EMULNOR 3000 (N° CART.)]]*PE_EMUL_3000[PE],"")</f>
        <v/>
      </c>
      <c r="AS85" s="191" t="str">
        <f>+IF(BD_MO[[#This Row],[N° VALE]]&lt;&gt;"",BD_MO[[#This Row],[PULVERULENTA (N° CART.)]]*PE_PULV_65[PE],"")</f>
        <v/>
      </c>
      <c r="AT85" s="191" t="str">
        <f>+IF(BD_MO[[#This Row],[N° DISP]]&lt;&gt;"",BD_MO[[#This Row],[SEMIGELATINA (N° CART.)]]*PE_SEMIGEL_65[PE],"")</f>
        <v/>
      </c>
      <c r="AU85" s="191" t="str">
        <f>+IF(BD_MO[N° VALE]&lt;&gt;"",BD_MO[[#This Row],[KG EXPLO SEMIGEL]]+BD_MO[[#This Row],[KG EXPLO PULVE]]+BD_MO[[#This Row],[KG EXPLO EMULN 3000]]+BD_MO[[#This Row],[KG EXPLO EMULN 1000]],"")</f>
        <v/>
      </c>
      <c r="AV85" s="187"/>
      <c r="AW85" s="187"/>
      <c r="AX85" s="187" t="str">
        <f>+IF(BD_MO[[#This Row],[MINERAL (U-35)]]&lt;&gt;"",BD_MO[[#This Row],[MINERAL (U-35)]]*1.45,"-")</f>
        <v>-</v>
      </c>
      <c r="AY85" s="187" t="str">
        <f>+IF(BD_MO[[#This Row],[DESMONTE (U-35)]]&lt;&gt;"",BD_MO[[#This Row],[DESMONTE (U-35)]]*1.23,"-")</f>
        <v>-</v>
      </c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87"/>
      <c r="BN85" s="186"/>
      <c r="BO85" s="187"/>
      <c r="BP85" s="187"/>
      <c r="BQ85" s="186"/>
      <c r="BR85" s="187"/>
      <c r="BS85" s="186"/>
      <c r="BT85" s="191"/>
      <c r="BU85" s="187"/>
      <c r="BV85" s="187"/>
      <c r="BW85" s="187"/>
      <c r="BX85" s="187"/>
      <c r="BY85" s="187"/>
      <c r="BZ85" s="187"/>
      <c r="CA85" s="187"/>
      <c r="CB85" s="187"/>
      <c r="CC85" s="187"/>
      <c r="CD85" s="187"/>
      <c r="CE85" s="187"/>
      <c r="CF85" s="187"/>
      <c r="CG85" s="187"/>
      <c r="CH85" s="187"/>
      <c r="CI85" s="187"/>
      <c r="CJ85" s="187"/>
      <c r="CK85" s="187"/>
      <c r="CL85" s="187"/>
      <c r="CM85" s="187"/>
      <c r="CN85" s="187"/>
      <c r="CO85" s="187"/>
      <c r="CP85" s="191">
        <f>+IF(BD_MO[[#This Row],[FECHA]]&lt;&gt;"",BD_MO[[#This Row],[PUNTAL 4"]]+BD_MO[[#This Row],[PUNTAL 5"]]+BD_MO[[#This Row],[PUNTAL 6"]]+BD_MO[[#This Row],[PUNTAL 7"]]+BD_MO[[#This Row],[PUNTAL 8"]],"")</f>
        <v>0</v>
      </c>
      <c r="CQ85" s="187"/>
      <c r="CR85" s="187"/>
      <c r="CS85" s="187"/>
      <c r="CT85" s="187"/>
      <c r="CU85" s="187"/>
      <c r="CV85" s="187"/>
      <c r="CW85" s="187"/>
      <c r="CX85" s="187"/>
      <c r="CY85" s="191"/>
      <c r="CZ85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85" s="191">
        <f>+IF(BD_MO[[#This Row],[FECHA]]&lt;&gt;"",BD_MO[[#This Row],[DURMIENTE2]]*6.561+BD_MO[[#This Row],[LISTONES]]*4.921+BD_MO[[#This Row],[TABLA 1"x8"x3m]]*6.561+BD_MO[[#This Row],[TABLA 2"x8"x3m]]*13.122,"")</f>
        <v>0</v>
      </c>
      <c r="DB85" s="191">
        <f>+IF(BD_MO[[#This Row],[FECHA]]&lt;&gt;"",BD_MO[[#This Row],[PIE2 MADERA ASERRADA]]*1.95,"")</f>
        <v>0</v>
      </c>
      <c r="DC85" s="191">
        <f>+IF(BD_MO[[#This Row],[FECHA]]&lt;&gt;"",BD_MO[[#This Row],[KG. MADERA REDONDA]]+BD_MO[[#This Row],[KG MADERA ASERRADA]],"")</f>
        <v>0</v>
      </c>
      <c r="DD85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85" s="187"/>
      <c r="DF85" s="187"/>
      <c r="DG85" s="187"/>
      <c r="DH85" s="187"/>
      <c r="DI85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85" s="195"/>
      <c r="DK85" s="195"/>
      <c r="DL85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85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85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85" s="196"/>
      <c r="DP85" s="195" t="str">
        <f>+IF(BD_MO[[#This Row],[M o D]]&lt;&gt;"",IF(BD_MO[[#This Row],[M o D]]="M",BD_MO[[#This Row],[ROTURA TMH]]/2.65,BD_MO[[#This Row],[ROTURA TMH]]/2.4),"")</f>
        <v/>
      </c>
      <c r="DQ85" s="195"/>
      <c r="DR85" s="116" t="str">
        <f>IF(BD_MO[[#This Row],[TIPO AVANCE]]="Avance",((BD_MO[[#This Row],[AVANCE (m)]]/BD_MO[[#This Row],[AVANCE TEÓRICO]]))," ")</f>
        <v xml:space="preserve"> </v>
      </c>
      <c r="DS85" s="110"/>
      <c r="DT85" s="110"/>
      <c r="DU85" s="110"/>
      <c r="DV85" s="110"/>
      <c r="DW85" s="110"/>
      <c r="DX85" s="111"/>
      <c r="DY85" s="111"/>
      <c r="DZ85" s="111"/>
    </row>
    <row r="86" spans="1:130" s="136" customFormat="1" ht="18" customHeight="1" x14ac:dyDescent="0.25">
      <c r="A86" s="168">
        <v>44656</v>
      </c>
      <c r="B86" s="169" t="s">
        <v>10655</v>
      </c>
      <c r="C86" s="169" t="s">
        <v>10668</v>
      </c>
      <c r="D86" s="170" t="s">
        <v>12164</v>
      </c>
      <c r="E86" s="171" t="str">
        <f>LEFT(BD_MO[[#This Row],[LABOR]],2)</f>
        <v>Tj</v>
      </c>
      <c r="F86" s="172"/>
      <c r="G86" s="172" t="s">
        <v>10656</v>
      </c>
      <c r="H8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86" s="171" t="str">
        <f>IF(BD_MO[FECHA]&lt;&gt;"",VLOOKUP(BD_MO[LABOR],TB_CECO[[LABOR]:[CECO_T]],3,FALSE),"")</f>
        <v>VANESSA</v>
      </c>
      <c r="J86" s="171" t="str">
        <f>IF(BD_MO[FECHA]&lt;&gt;"",VLOOKUP(BD_MO[LABOR],D_CECO!B:H,7,FALSE),"")</f>
        <v>TAJO</v>
      </c>
      <c r="K86" s="171" t="str">
        <f>IF(BD_MO[FECHA]&lt;&gt;"",VLOOKUP(BD_MO[LABOR],D_CECO!B:H,4,FALSE),"")</f>
        <v>EXPLOTACION</v>
      </c>
      <c r="L86" s="171"/>
      <c r="M86" s="169"/>
      <c r="N86" s="172"/>
      <c r="O86" s="173" t="s">
        <v>12095</v>
      </c>
      <c r="P86" s="173" t="s">
        <v>12096</v>
      </c>
      <c r="Q86" s="173"/>
      <c r="R86" s="174"/>
      <c r="S86" s="175" t="str">
        <f>IFERROR(VLOOKUP(BD_MO[DNI 4],#REF!,2,FALSE)," ")</f>
        <v xml:space="preserve"> </v>
      </c>
      <c r="T86" s="176">
        <f>+IF(BD_MO[[#This Row],[FECHA]]&lt;&gt;"",COUNTA(BD_MO[[#This Row],[DNI]],BD_MO[[#This Row],[DNI 2]],BD_MO[[#This Row],[DNI 3]],BD_MO[[#This Row],[DNI 4]]),"")</f>
        <v>2</v>
      </c>
      <c r="U86" s="176">
        <v>1.6</v>
      </c>
      <c r="V86" s="176"/>
      <c r="W86" s="176"/>
      <c r="X86" s="176">
        <v>0.4</v>
      </c>
      <c r="Y86" s="177">
        <f>SUM(BD_MO[[#This Row],[LIMP]:[SERV]])</f>
        <v>2</v>
      </c>
      <c r="Z86" s="172"/>
      <c r="AA86" s="172" t="str">
        <f>+IF(BD_MO[[#This Row],[N° VALE]]&lt;&gt;"",1,"")</f>
        <v/>
      </c>
      <c r="AB86" s="169"/>
      <c r="AC86" s="172"/>
      <c r="AD86" s="172" t="str">
        <f>+IF(BD_MO[[#This Row],[N° VALE]]&lt;&gt;"",BD_MO[[#This Row],[FULMINANTE N° 08]]+BD_MO[CARMEX 7''],"")</f>
        <v/>
      </c>
      <c r="AE86" s="172"/>
      <c r="AF86" s="172" t="str">
        <f>+IF(BD_MO[[#This Row],[N° VALE]]&lt;&gt;"",BD_MO[[#This Row],[N° TALADROS]]+BD_MO[[#This Row],[N° TAL. VACIOS]],"")</f>
        <v/>
      </c>
      <c r="AG86" s="178"/>
      <c r="AH86" s="178"/>
      <c r="AI86" s="178"/>
      <c r="AJ86" s="178"/>
      <c r="AK86" s="178"/>
      <c r="AL86" s="178"/>
      <c r="AM86" s="171"/>
      <c r="AN86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86" s="172" t="str">
        <f>+IF(BD_MO[[#This Row],[N° VALE]]&lt;&gt;"",IF(BD_MO[[#This Row],[FULMINANTE N° 08]]&lt;&gt;"",BD_MO[[#This Row],[FULMINANTE N° 08]],IF(BD_MO[[#This Row],[CARMEX 7'']]&lt;&gt;0,0,"")),"")</f>
        <v/>
      </c>
      <c r="AP86" s="176" t="str">
        <f>+IF(BD_MO[[#This Row],[N° VALE]]&lt;&gt;"",BD_MO[[#This Row],[N°  TOTAL TALADROS]]*BD_MO[[#This Row],[BARRA]]*0.95,"")</f>
        <v/>
      </c>
      <c r="AQ86" s="176" t="str">
        <f>+IF(BD_MO[[#This Row],[N° VALE]]&lt;&gt;"",BD_MO[[#This Row],[EMULNOR 1000 (N° CART.)]]*PE_EMUL_1000[PE],"")</f>
        <v/>
      </c>
      <c r="AR86" s="176" t="str">
        <f>+IF(BD_MO[[#This Row],[N° VALE]]&lt;&gt;"",BD_MO[[#This Row],[EMULNOR 3000 (N° CART.)]]*PE_EMUL_3000[PE],"")</f>
        <v/>
      </c>
      <c r="AS86" s="176" t="str">
        <f>+IF(BD_MO[[#This Row],[N° VALE]]&lt;&gt;"",BD_MO[[#This Row],[PULVERULENTA (N° CART.)]]*PE_PULV_65[PE],"")</f>
        <v/>
      </c>
      <c r="AT86" s="176" t="str">
        <f>+IF(BD_MO[[#This Row],[N° DISP]]&lt;&gt;"",BD_MO[[#This Row],[SEMIGELATINA (N° CART.)]]*PE_SEMIGEL_65[PE],"")</f>
        <v/>
      </c>
      <c r="AU86" s="176" t="str">
        <f>+IF(BD_MO[N° VALE]&lt;&gt;"",BD_MO[[#This Row],[KG EXPLO SEMIGEL]]+BD_MO[[#This Row],[KG EXPLO PULVE]]+BD_MO[[#This Row],[KG EXPLO EMULN 3000]]+BD_MO[[#This Row],[KG EXPLO EMULN 1000]],"")</f>
        <v/>
      </c>
      <c r="AV86" s="172">
        <v>10</v>
      </c>
      <c r="AW86" s="172"/>
      <c r="AX86" s="172">
        <f>+IF(BD_MO[[#This Row],[MINERAL (U-35)]]&lt;&gt;"",BD_MO[[#This Row],[MINERAL (U-35)]]*1.45,"-")</f>
        <v>14.5</v>
      </c>
      <c r="AY86" s="172" t="str">
        <f>+IF(BD_MO[[#This Row],[DESMONTE (U-35)]]&lt;&gt;"",BD_MO[[#This Row],[DESMONTE (U-35)]]*1.23,"-")</f>
        <v>-</v>
      </c>
      <c r="AZ86" s="172"/>
      <c r="BA86" s="172"/>
      <c r="BB86" s="172"/>
      <c r="BC86" s="172"/>
      <c r="BD86" s="172"/>
      <c r="BE86" s="172"/>
      <c r="BF86" s="172"/>
      <c r="BG86" s="172"/>
      <c r="BH86" s="172"/>
      <c r="BI86" s="172"/>
      <c r="BJ86" s="172"/>
      <c r="BK86" s="172"/>
      <c r="BL86" s="172"/>
      <c r="BM86" s="172"/>
      <c r="BN86" s="171"/>
      <c r="BO86" s="172"/>
      <c r="BP86" s="172"/>
      <c r="BQ86" s="171"/>
      <c r="BR86" s="172"/>
      <c r="BS86" s="171"/>
      <c r="BT86" s="176"/>
      <c r="BU86" s="172"/>
      <c r="BV86" s="172"/>
      <c r="BW86" s="172"/>
      <c r="BX86" s="172"/>
      <c r="BY86" s="172"/>
      <c r="BZ86" s="172"/>
      <c r="CA86" s="172"/>
      <c r="CB86" s="172"/>
      <c r="CC86" s="172"/>
      <c r="CD86" s="172"/>
      <c r="CE86" s="172"/>
      <c r="CF86" s="172"/>
      <c r="CG86" s="172"/>
      <c r="CH86" s="172"/>
      <c r="CI86" s="172"/>
      <c r="CJ86" s="172"/>
      <c r="CK86" s="172"/>
      <c r="CL86" s="172"/>
      <c r="CM86" s="172"/>
      <c r="CN86" s="172"/>
      <c r="CO86" s="172"/>
      <c r="CP86" s="176">
        <f>+IF(BD_MO[[#This Row],[FECHA]]&lt;&gt;"",BD_MO[[#This Row],[PUNTAL 4"]]+BD_MO[[#This Row],[PUNTAL 5"]]+BD_MO[[#This Row],[PUNTAL 6"]]+BD_MO[[#This Row],[PUNTAL 7"]]+BD_MO[[#This Row],[PUNTAL 8"]],"")</f>
        <v>0</v>
      </c>
      <c r="CQ86" s="172"/>
      <c r="CR86" s="172"/>
      <c r="CS86" s="172"/>
      <c r="CT86" s="172"/>
      <c r="CU86" s="172"/>
      <c r="CV86" s="172"/>
      <c r="CW86" s="172"/>
      <c r="CX86" s="172"/>
      <c r="CY86" s="176"/>
      <c r="CZ8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86" s="176">
        <f>+IF(BD_MO[[#This Row],[FECHA]]&lt;&gt;"",BD_MO[[#This Row],[DURMIENTE2]]*6.561+BD_MO[[#This Row],[LISTONES]]*4.921+BD_MO[[#This Row],[TABLA 1"x8"x3m]]*6.561+BD_MO[[#This Row],[TABLA 2"x8"x3m]]*13.122,"")</f>
        <v>0</v>
      </c>
      <c r="DB86" s="176">
        <f>+IF(BD_MO[[#This Row],[FECHA]]&lt;&gt;"",BD_MO[[#This Row],[PIE2 MADERA ASERRADA]]*1.95,"")</f>
        <v>0</v>
      </c>
      <c r="DC86" s="176">
        <f>+IF(BD_MO[[#This Row],[FECHA]]&lt;&gt;"",BD_MO[[#This Row],[KG. MADERA REDONDA]]+BD_MO[[#This Row],[KG MADERA ASERRADA]],"")</f>
        <v>0</v>
      </c>
      <c r="DD8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86" s="172"/>
      <c r="DF86" s="172"/>
      <c r="DG86" s="172"/>
      <c r="DH86" s="172"/>
      <c r="DI86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86" s="180"/>
      <c r="DK86" s="180"/>
      <c r="DL8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86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86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86" s="181"/>
      <c r="DP86" s="180" t="str">
        <f>+IF(BD_MO[[#This Row],[M o D]]&lt;&gt;"",IF(BD_MO[[#This Row],[M o D]]="M",BD_MO[[#This Row],[ROTURA TMH]]/2.65,BD_MO[[#This Row],[ROTURA TMH]]/2.4),"")</f>
        <v/>
      </c>
      <c r="DQ86" s="180"/>
      <c r="DR86" s="116" t="str">
        <f>IF(BD_MO[[#This Row],[TIPO AVANCE]]="Avance",((BD_MO[[#This Row],[AVANCE (m)]]/BD_MO[[#This Row],[AVANCE TEÓRICO]]))," ")</f>
        <v xml:space="preserve"> </v>
      </c>
      <c r="DS86" s="134"/>
      <c r="DT86" s="134"/>
      <c r="DU86" s="134"/>
      <c r="DV86" s="134"/>
      <c r="DW86" s="134"/>
      <c r="DX86" s="135"/>
      <c r="DY86" s="135"/>
      <c r="DZ86" s="135"/>
    </row>
    <row r="87" spans="1:130" s="136" customFormat="1" ht="18" customHeight="1" x14ac:dyDescent="0.25">
      <c r="A87" s="168">
        <v>44656</v>
      </c>
      <c r="B87" s="169" t="s">
        <v>10655</v>
      </c>
      <c r="C87" s="169" t="s">
        <v>10668</v>
      </c>
      <c r="D87" s="170" t="s">
        <v>11746</v>
      </c>
      <c r="E87" s="171" t="str">
        <f>LEFT(BD_MO[[#This Row],[LABOR]],2)</f>
        <v>Tj</v>
      </c>
      <c r="F87" s="172"/>
      <c r="G87" s="172" t="s">
        <v>10656</v>
      </c>
      <c r="H8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87" s="171" t="str">
        <f>IF(BD_MO[FECHA]&lt;&gt;"",VLOOKUP(BD_MO[LABOR],TB_CECO[[LABOR]:[CECO_T]],3,FALSE),"")</f>
        <v>CACHORRO</v>
      </c>
      <c r="J87" s="171" t="str">
        <f>IF(BD_MO[FECHA]&lt;&gt;"",VLOOKUP(BD_MO[LABOR],D_CECO!B:H,7,FALSE),"")</f>
        <v>TAJO</v>
      </c>
      <c r="K87" s="171" t="str">
        <f>IF(BD_MO[FECHA]&lt;&gt;"",VLOOKUP(BD_MO[LABOR],D_CECO!B:H,4,FALSE),"")</f>
        <v>EXPLOTACION</v>
      </c>
      <c r="L87" s="171"/>
      <c r="M87" s="169"/>
      <c r="N87" s="172"/>
      <c r="O87" s="173" t="s">
        <v>12157</v>
      </c>
      <c r="P87" s="173" t="s">
        <v>12158</v>
      </c>
      <c r="Q87" s="173"/>
      <c r="R87" s="174"/>
      <c r="S87" s="175" t="str">
        <f>IFERROR(VLOOKUP(BD_MO[DNI 4],#REF!,2,FALSE)," ")</f>
        <v xml:space="preserve"> </v>
      </c>
      <c r="T87" s="176">
        <f>+IF(BD_MO[[#This Row],[FECHA]]&lt;&gt;"",COUNTA(BD_MO[[#This Row],[DNI]],BD_MO[[#This Row],[DNI 2]],BD_MO[[#This Row],[DNI 3]],BD_MO[[#This Row],[DNI 4]]),"")</f>
        <v>2</v>
      </c>
      <c r="U87" s="176">
        <v>1.6</v>
      </c>
      <c r="V87" s="176"/>
      <c r="W87" s="176"/>
      <c r="X87" s="176">
        <v>0.4</v>
      </c>
      <c r="Y87" s="177">
        <f>SUM(BD_MO[[#This Row],[LIMP]:[SERV]])</f>
        <v>2</v>
      </c>
      <c r="Z87" s="172"/>
      <c r="AA87" s="172" t="str">
        <f>+IF(BD_MO[[#This Row],[N° VALE]]&lt;&gt;"",1,"")</f>
        <v/>
      </c>
      <c r="AB87" s="169"/>
      <c r="AC87" s="172"/>
      <c r="AD87" s="172" t="str">
        <f>+IF(BD_MO[[#This Row],[N° VALE]]&lt;&gt;"",BD_MO[[#This Row],[FULMINANTE N° 08]]+BD_MO[CARMEX 7''],"")</f>
        <v/>
      </c>
      <c r="AE87" s="172"/>
      <c r="AF87" s="172" t="str">
        <f>+IF(BD_MO[[#This Row],[N° VALE]]&lt;&gt;"",BD_MO[[#This Row],[N° TALADROS]]+BD_MO[[#This Row],[N° TAL. VACIOS]],"")</f>
        <v/>
      </c>
      <c r="AG87" s="178"/>
      <c r="AH87" s="178"/>
      <c r="AI87" s="178"/>
      <c r="AJ87" s="178"/>
      <c r="AK87" s="178"/>
      <c r="AL87" s="178"/>
      <c r="AM87" s="171"/>
      <c r="AN87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87" s="172" t="str">
        <f>+IF(BD_MO[[#This Row],[N° VALE]]&lt;&gt;"",IF(BD_MO[[#This Row],[FULMINANTE N° 08]]&lt;&gt;"",BD_MO[[#This Row],[FULMINANTE N° 08]],IF(BD_MO[[#This Row],[CARMEX 7'']]&lt;&gt;0,0,"")),"")</f>
        <v/>
      </c>
      <c r="AP87" s="176" t="str">
        <f>+IF(BD_MO[[#This Row],[N° VALE]]&lt;&gt;"",BD_MO[[#This Row],[N°  TOTAL TALADROS]]*BD_MO[[#This Row],[BARRA]]*0.95,"")</f>
        <v/>
      </c>
      <c r="AQ87" s="176" t="str">
        <f>+IF(BD_MO[[#This Row],[N° VALE]]&lt;&gt;"",BD_MO[[#This Row],[EMULNOR 1000 (N° CART.)]]*PE_EMUL_1000[PE],"")</f>
        <v/>
      </c>
      <c r="AR87" s="176" t="str">
        <f>+IF(BD_MO[[#This Row],[N° VALE]]&lt;&gt;"",BD_MO[[#This Row],[EMULNOR 3000 (N° CART.)]]*PE_EMUL_3000[PE],"")</f>
        <v/>
      </c>
      <c r="AS87" s="176" t="str">
        <f>+IF(BD_MO[[#This Row],[N° VALE]]&lt;&gt;"",BD_MO[[#This Row],[PULVERULENTA (N° CART.)]]*PE_PULV_65[PE],"")</f>
        <v/>
      </c>
      <c r="AT87" s="176" t="str">
        <f>+IF(BD_MO[[#This Row],[N° DISP]]&lt;&gt;"",BD_MO[[#This Row],[SEMIGELATINA (N° CART.)]]*PE_SEMIGEL_65[PE],"")</f>
        <v/>
      </c>
      <c r="AU87" s="176" t="str">
        <f>+IF(BD_MO[N° VALE]&lt;&gt;"",BD_MO[[#This Row],[KG EXPLO SEMIGEL]]+BD_MO[[#This Row],[KG EXPLO PULVE]]+BD_MO[[#This Row],[KG EXPLO EMULN 3000]]+BD_MO[[#This Row],[KG EXPLO EMULN 1000]],"")</f>
        <v/>
      </c>
      <c r="AV87" s="172">
        <v>12</v>
      </c>
      <c r="AW87" s="172"/>
      <c r="AX87" s="172">
        <f>+IF(BD_MO[[#This Row],[MINERAL (U-35)]]&lt;&gt;"",BD_MO[[#This Row],[MINERAL (U-35)]]*1.45,"-")</f>
        <v>17.399999999999999</v>
      </c>
      <c r="AY87" s="172" t="str">
        <f>+IF(BD_MO[[#This Row],[DESMONTE (U-35)]]&lt;&gt;"",BD_MO[[#This Row],[DESMONTE (U-35)]]*1.23,"-")</f>
        <v>-</v>
      </c>
      <c r="AZ87" s="172"/>
      <c r="BA87" s="172"/>
      <c r="BB87" s="172"/>
      <c r="BC87" s="172"/>
      <c r="BD87" s="172"/>
      <c r="BE87" s="172"/>
      <c r="BF87" s="172"/>
      <c r="BG87" s="172"/>
      <c r="BH87" s="172"/>
      <c r="BI87" s="172"/>
      <c r="BJ87" s="172"/>
      <c r="BK87" s="172"/>
      <c r="BL87" s="172"/>
      <c r="BM87" s="172"/>
      <c r="BN87" s="171"/>
      <c r="BO87" s="172"/>
      <c r="BP87" s="172"/>
      <c r="BQ87" s="171"/>
      <c r="BR87" s="172"/>
      <c r="BS87" s="171"/>
      <c r="BT87" s="176"/>
      <c r="BU87" s="172"/>
      <c r="BV87" s="172"/>
      <c r="BW87" s="172"/>
      <c r="BX87" s="172"/>
      <c r="BY87" s="172"/>
      <c r="BZ87" s="172"/>
      <c r="CA87" s="172"/>
      <c r="CB87" s="172"/>
      <c r="CC87" s="172"/>
      <c r="CD87" s="172"/>
      <c r="CE87" s="172"/>
      <c r="CF87" s="172"/>
      <c r="CG87" s="172"/>
      <c r="CH87" s="172"/>
      <c r="CI87" s="172"/>
      <c r="CJ87" s="172"/>
      <c r="CK87" s="172"/>
      <c r="CL87" s="172"/>
      <c r="CM87" s="172"/>
      <c r="CN87" s="172"/>
      <c r="CO87" s="172"/>
      <c r="CP87" s="176">
        <f>+IF(BD_MO[[#This Row],[FECHA]]&lt;&gt;"",BD_MO[[#This Row],[PUNTAL 4"]]+BD_MO[[#This Row],[PUNTAL 5"]]+BD_MO[[#This Row],[PUNTAL 6"]]+BD_MO[[#This Row],[PUNTAL 7"]]+BD_MO[[#This Row],[PUNTAL 8"]],"")</f>
        <v>0</v>
      </c>
      <c r="CQ87" s="172"/>
      <c r="CR87" s="172"/>
      <c r="CS87" s="172"/>
      <c r="CT87" s="172"/>
      <c r="CU87" s="172"/>
      <c r="CV87" s="172"/>
      <c r="CW87" s="172"/>
      <c r="CX87" s="172"/>
      <c r="CY87" s="176"/>
      <c r="CZ8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87" s="176">
        <f>+IF(BD_MO[[#This Row],[FECHA]]&lt;&gt;"",BD_MO[[#This Row],[DURMIENTE2]]*6.561+BD_MO[[#This Row],[LISTONES]]*4.921+BD_MO[[#This Row],[TABLA 1"x8"x3m]]*6.561+BD_MO[[#This Row],[TABLA 2"x8"x3m]]*13.122,"")</f>
        <v>0</v>
      </c>
      <c r="DB87" s="176">
        <f>+IF(BD_MO[[#This Row],[FECHA]]&lt;&gt;"",BD_MO[[#This Row],[PIE2 MADERA ASERRADA]]*1.95,"")</f>
        <v>0</v>
      </c>
      <c r="DC87" s="176">
        <f>+IF(BD_MO[[#This Row],[FECHA]]&lt;&gt;"",BD_MO[[#This Row],[KG. MADERA REDONDA]]+BD_MO[[#This Row],[KG MADERA ASERRADA]],"")</f>
        <v>0</v>
      </c>
      <c r="DD8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87" s="172"/>
      <c r="DF87" s="172"/>
      <c r="DG87" s="172"/>
      <c r="DH87" s="172"/>
      <c r="DI87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87" s="180"/>
      <c r="DK87" s="180"/>
      <c r="DL8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87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87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87" s="181"/>
      <c r="DP87" s="180" t="str">
        <f>+IF(BD_MO[[#This Row],[M o D]]&lt;&gt;"",IF(BD_MO[[#This Row],[M o D]]="M",BD_MO[[#This Row],[ROTURA TMH]]/2.65,BD_MO[[#This Row],[ROTURA TMH]]/2.4),"")</f>
        <v/>
      </c>
      <c r="DQ87" s="180"/>
      <c r="DR87" s="116" t="str">
        <f>IF(BD_MO[[#This Row],[TIPO AVANCE]]="Avance",((BD_MO[[#This Row],[AVANCE (m)]]/BD_MO[[#This Row],[AVANCE TEÓRICO]]))," ")</f>
        <v xml:space="preserve"> </v>
      </c>
      <c r="DS87" s="134"/>
      <c r="DT87" s="134"/>
      <c r="DU87" s="134"/>
      <c r="DV87" s="134"/>
      <c r="DW87" s="134"/>
      <c r="DX87" s="135"/>
      <c r="DY87" s="135"/>
      <c r="DZ87" s="135"/>
    </row>
    <row r="88" spans="1:130" s="136" customFormat="1" ht="18" customHeight="1" x14ac:dyDescent="0.25">
      <c r="A88" s="168">
        <v>44656</v>
      </c>
      <c r="B88" s="169" t="s">
        <v>10655</v>
      </c>
      <c r="C88" s="169" t="s">
        <v>10668</v>
      </c>
      <c r="D88" s="170" t="s">
        <v>10952</v>
      </c>
      <c r="E88" s="171" t="str">
        <f>LEFT(BD_MO[[#This Row],[LABOR]],2)</f>
        <v>In</v>
      </c>
      <c r="F88" s="172"/>
      <c r="G88" s="172" t="s">
        <v>10656</v>
      </c>
      <c r="H88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88" s="171" t="str">
        <f>IF(BD_MO[FECHA]&lt;&gt;"",VLOOKUP(BD_MO[LABOR],TB_CECO[[LABOR]:[CECO_T]],3,FALSE),"")</f>
        <v>VANESSA</v>
      </c>
      <c r="J88" s="171" t="str">
        <f>IF(BD_MO[FECHA]&lt;&gt;"",VLOOKUP(BD_MO[LABOR],D_CECO!B:H,7,FALSE),"")</f>
        <v>LINEAL</v>
      </c>
      <c r="K88" s="171" t="str">
        <f>IF(BD_MO[FECHA]&lt;&gt;"",VLOOKUP(BD_MO[LABOR],D_CECO!B:H,4,FALSE),"")</f>
        <v>EXPLORACION</v>
      </c>
      <c r="L88" s="171"/>
      <c r="M88" s="169"/>
      <c r="N88" s="172"/>
      <c r="O88" s="173" t="s">
        <v>12091</v>
      </c>
      <c r="P88" s="173" t="s">
        <v>12159</v>
      </c>
      <c r="Q88" s="173"/>
      <c r="R88" s="174"/>
      <c r="S88" s="175" t="str">
        <f>IFERROR(VLOOKUP(BD_MO[DNI 4],#REF!,2,FALSE)," ")</f>
        <v xml:space="preserve"> </v>
      </c>
      <c r="T88" s="176">
        <f>+IF(BD_MO[[#This Row],[FECHA]]&lt;&gt;"",COUNTA(BD_MO[[#This Row],[DNI]],BD_MO[[#This Row],[DNI 2]],BD_MO[[#This Row],[DNI 3]],BD_MO[[#This Row],[DNI 4]]),"")</f>
        <v>2</v>
      </c>
      <c r="U88" s="176">
        <v>1.2</v>
      </c>
      <c r="V88" s="176"/>
      <c r="W88" s="176"/>
      <c r="X88" s="176">
        <v>0.8</v>
      </c>
      <c r="Y88" s="177">
        <f>SUM(BD_MO[[#This Row],[LIMP]:[SERV]])</f>
        <v>2</v>
      </c>
      <c r="Z88" s="172"/>
      <c r="AA88" s="172" t="str">
        <f>+IF(BD_MO[[#This Row],[N° VALE]]&lt;&gt;"",1,"")</f>
        <v/>
      </c>
      <c r="AB88" s="169"/>
      <c r="AC88" s="172"/>
      <c r="AD88" s="172" t="str">
        <f>+IF(BD_MO[[#This Row],[N° VALE]]&lt;&gt;"",BD_MO[[#This Row],[FULMINANTE N° 08]]+BD_MO[CARMEX 7''],"")</f>
        <v/>
      </c>
      <c r="AE88" s="172"/>
      <c r="AF88" s="172" t="str">
        <f>+IF(BD_MO[[#This Row],[N° VALE]]&lt;&gt;"",BD_MO[[#This Row],[N° TALADROS]]+BD_MO[[#This Row],[N° TAL. VACIOS]],"")</f>
        <v/>
      </c>
      <c r="AG88" s="178"/>
      <c r="AH88" s="178"/>
      <c r="AI88" s="178"/>
      <c r="AJ88" s="178"/>
      <c r="AK88" s="178"/>
      <c r="AL88" s="178"/>
      <c r="AM88" s="171"/>
      <c r="AN88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88" s="172" t="str">
        <f>+IF(BD_MO[[#This Row],[N° VALE]]&lt;&gt;"",IF(BD_MO[[#This Row],[FULMINANTE N° 08]]&lt;&gt;"",BD_MO[[#This Row],[FULMINANTE N° 08]],IF(BD_MO[[#This Row],[CARMEX 7'']]&lt;&gt;0,0,"")),"")</f>
        <v/>
      </c>
      <c r="AP88" s="176" t="str">
        <f>+IF(BD_MO[[#This Row],[N° VALE]]&lt;&gt;"",BD_MO[[#This Row],[N°  TOTAL TALADROS]]*BD_MO[[#This Row],[BARRA]]*0.95,"")</f>
        <v/>
      </c>
      <c r="AQ88" s="176" t="str">
        <f>+IF(BD_MO[[#This Row],[N° VALE]]&lt;&gt;"",BD_MO[[#This Row],[EMULNOR 1000 (N° CART.)]]*PE_EMUL_1000[PE],"")</f>
        <v/>
      </c>
      <c r="AR88" s="176" t="str">
        <f>+IF(BD_MO[[#This Row],[N° VALE]]&lt;&gt;"",BD_MO[[#This Row],[EMULNOR 3000 (N° CART.)]]*PE_EMUL_3000[PE],"")</f>
        <v/>
      </c>
      <c r="AS88" s="176" t="str">
        <f>+IF(BD_MO[[#This Row],[N° VALE]]&lt;&gt;"",BD_MO[[#This Row],[PULVERULENTA (N° CART.)]]*PE_PULV_65[PE],"")</f>
        <v/>
      </c>
      <c r="AT88" s="176" t="str">
        <f>+IF(BD_MO[[#This Row],[N° DISP]]&lt;&gt;"",BD_MO[[#This Row],[SEMIGELATINA (N° CART.)]]*PE_SEMIGEL_65[PE],"")</f>
        <v/>
      </c>
      <c r="AU88" s="176" t="str">
        <f>+IF(BD_MO[N° VALE]&lt;&gt;"",BD_MO[[#This Row],[KG EXPLO SEMIGEL]]+BD_MO[[#This Row],[KG EXPLO PULVE]]+BD_MO[[#This Row],[KG EXPLO EMULN 3000]]+BD_MO[[#This Row],[KG EXPLO EMULN 1000]],"")</f>
        <v/>
      </c>
      <c r="AV88" s="172"/>
      <c r="AW88" s="172"/>
      <c r="AX88" s="172" t="str">
        <f>+IF(BD_MO[[#This Row],[MINERAL (U-35)]]&lt;&gt;"",BD_MO[[#This Row],[MINERAL (U-35)]]*1.45,"-")</f>
        <v>-</v>
      </c>
      <c r="AY88" s="172" t="str">
        <f>+IF(BD_MO[[#This Row],[DESMONTE (U-35)]]&lt;&gt;"",BD_MO[[#This Row],[DESMONTE (U-35)]]*1.23,"-")</f>
        <v>-</v>
      </c>
      <c r="AZ88" s="172"/>
      <c r="BA88" s="172"/>
      <c r="BB88" s="172"/>
      <c r="BC88" s="172"/>
      <c r="BD88" s="172"/>
      <c r="BE88" s="172"/>
      <c r="BF88" s="172"/>
      <c r="BG88" s="172"/>
      <c r="BH88" s="172"/>
      <c r="BI88" s="172"/>
      <c r="BJ88" s="172"/>
      <c r="BK88" s="172"/>
      <c r="BL88" s="172"/>
      <c r="BM88" s="172"/>
      <c r="BN88" s="171"/>
      <c r="BO88" s="172"/>
      <c r="BP88" s="172"/>
      <c r="BQ88" s="171"/>
      <c r="BR88" s="172"/>
      <c r="BS88" s="171"/>
      <c r="BT88" s="176"/>
      <c r="BU88" s="172"/>
      <c r="BV88" s="172"/>
      <c r="BW88" s="172"/>
      <c r="BX88" s="172"/>
      <c r="BY88" s="172"/>
      <c r="BZ88" s="172"/>
      <c r="CA88" s="172"/>
      <c r="CB88" s="172"/>
      <c r="CC88" s="172"/>
      <c r="CD88" s="172"/>
      <c r="CE88" s="172"/>
      <c r="CF88" s="172"/>
      <c r="CG88" s="172"/>
      <c r="CH88" s="172"/>
      <c r="CI88" s="172"/>
      <c r="CJ88" s="172"/>
      <c r="CK88" s="172"/>
      <c r="CL88" s="172"/>
      <c r="CM88" s="172"/>
      <c r="CN88" s="172"/>
      <c r="CO88" s="172"/>
      <c r="CP88" s="176">
        <f>+IF(BD_MO[[#This Row],[FECHA]]&lt;&gt;"",BD_MO[[#This Row],[PUNTAL 4"]]+BD_MO[[#This Row],[PUNTAL 5"]]+BD_MO[[#This Row],[PUNTAL 6"]]+BD_MO[[#This Row],[PUNTAL 7"]]+BD_MO[[#This Row],[PUNTAL 8"]],"")</f>
        <v>0</v>
      </c>
      <c r="CQ88" s="172"/>
      <c r="CR88" s="172"/>
      <c r="CS88" s="172"/>
      <c r="CT88" s="172"/>
      <c r="CU88" s="172"/>
      <c r="CV88" s="172"/>
      <c r="CW88" s="172"/>
      <c r="CX88" s="172"/>
      <c r="CY88" s="176"/>
      <c r="CZ88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88" s="176">
        <f>+IF(BD_MO[[#This Row],[FECHA]]&lt;&gt;"",BD_MO[[#This Row],[DURMIENTE2]]*6.561+BD_MO[[#This Row],[LISTONES]]*4.921+BD_MO[[#This Row],[TABLA 1"x8"x3m]]*6.561+BD_MO[[#This Row],[TABLA 2"x8"x3m]]*13.122,"")</f>
        <v>0</v>
      </c>
      <c r="DB88" s="176">
        <f>+IF(BD_MO[[#This Row],[FECHA]]&lt;&gt;"",BD_MO[[#This Row],[PIE2 MADERA ASERRADA]]*1.95,"")</f>
        <v>0</v>
      </c>
      <c r="DC88" s="176">
        <f>+IF(BD_MO[[#This Row],[FECHA]]&lt;&gt;"",BD_MO[[#This Row],[KG. MADERA REDONDA]]+BD_MO[[#This Row],[KG MADERA ASERRADA]],"")</f>
        <v>0</v>
      </c>
      <c r="DD88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88" s="172"/>
      <c r="DF88" s="172"/>
      <c r="DG88" s="172"/>
      <c r="DH88" s="172"/>
      <c r="DI88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88" s="180"/>
      <c r="DK88" s="180"/>
      <c r="DL88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88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88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88" s="181"/>
      <c r="DP88" s="180" t="str">
        <f>+IF(BD_MO[[#This Row],[M o D]]&lt;&gt;"",IF(BD_MO[[#This Row],[M o D]]="M",BD_MO[[#This Row],[ROTURA TMH]]/2.65,BD_MO[[#This Row],[ROTURA TMH]]/2.4),"")</f>
        <v/>
      </c>
      <c r="DQ88" s="180"/>
      <c r="DR88" s="116" t="str">
        <f>IF(BD_MO[[#This Row],[TIPO AVANCE]]="Avance",((BD_MO[[#This Row],[AVANCE (m)]]/BD_MO[[#This Row],[AVANCE TEÓRICO]]))," ")</f>
        <v xml:space="preserve"> </v>
      </c>
      <c r="DS88" s="134"/>
      <c r="DT88" s="134"/>
      <c r="DU88" s="134"/>
      <c r="DV88" s="134"/>
      <c r="DW88" s="134"/>
      <c r="DX88" s="135"/>
      <c r="DY88" s="135"/>
      <c r="DZ88" s="135"/>
    </row>
    <row r="89" spans="1:130" s="136" customFormat="1" ht="18" customHeight="1" x14ac:dyDescent="0.25">
      <c r="A89" s="168">
        <v>44656</v>
      </c>
      <c r="B89" s="169" t="s">
        <v>10655</v>
      </c>
      <c r="C89" s="169" t="s">
        <v>10668</v>
      </c>
      <c r="D89" s="170" t="s">
        <v>10952</v>
      </c>
      <c r="E89" s="171" t="str">
        <f>LEFT(BD_MO[[#This Row],[LABOR]],2)</f>
        <v>In</v>
      </c>
      <c r="F89" s="172"/>
      <c r="G89" s="172" t="s">
        <v>10669</v>
      </c>
      <c r="H8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89" s="171" t="str">
        <f>IF(BD_MO[FECHA]&lt;&gt;"",VLOOKUP(BD_MO[LABOR],TB_CECO[[LABOR]:[CECO_T]],3,FALSE),"")</f>
        <v>VANESSA</v>
      </c>
      <c r="J89" s="171" t="str">
        <f>IF(BD_MO[FECHA]&lt;&gt;"",VLOOKUP(BD_MO[LABOR],D_CECO!B:H,7,FALSE),"")</f>
        <v>LINEAL</v>
      </c>
      <c r="K89" s="171" t="str">
        <f>IF(BD_MO[FECHA]&lt;&gt;"",VLOOKUP(BD_MO[LABOR],D_CECO!B:H,4,FALSE),"")</f>
        <v>EXPLORACION</v>
      </c>
      <c r="L89" s="171"/>
      <c r="M89" s="169"/>
      <c r="N89" s="172"/>
      <c r="O89" s="173" t="s">
        <v>12092</v>
      </c>
      <c r="P89" s="173" t="s">
        <v>12093</v>
      </c>
      <c r="Q89" s="173"/>
      <c r="R89" s="174"/>
      <c r="S89" s="175" t="str">
        <f>IFERROR(VLOOKUP(BD_MO[DNI 4],#REF!,2,FALSE)," ")</f>
        <v xml:space="preserve"> </v>
      </c>
      <c r="T89" s="176">
        <f>+IF(BD_MO[[#This Row],[FECHA]]&lt;&gt;"",COUNTA(BD_MO[[#This Row],[DNI]],BD_MO[[#This Row],[DNI 2]],BD_MO[[#This Row],[DNI 3]],BD_MO[[#This Row],[DNI 4]]),"")</f>
        <v>2</v>
      </c>
      <c r="U89" s="176"/>
      <c r="V89" s="176"/>
      <c r="W89" s="176"/>
      <c r="X89" s="176">
        <v>2</v>
      </c>
      <c r="Y89" s="177">
        <f>SUM(BD_MO[[#This Row],[LIMP]:[SERV]])</f>
        <v>2</v>
      </c>
      <c r="Z89" s="172"/>
      <c r="AA89" s="172" t="str">
        <f>+IF(BD_MO[[#This Row],[N° VALE]]&lt;&gt;"",1,"")</f>
        <v/>
      </c>
      <c r="AB89" s="169"/>
      <c r="AC89" s="172"/>
      <c r="AD89" s="172" t="str">
        <f>+IF(BD_MO[[#This Row],[N° VALE]]&lt;&gt;"",BD_MO[[#This Row],[FULMINANTE N° 08]]+BD_MO[CARMEX 7''],"")</f>
        <v/>
      </c>
      <c r="AE89" s="172"/>
      <c r="AF89" s="172" t="str">
        <f>+IF(BD_MO[[#This Row],[N° VALE]]&lt;&gt;"",BD_MO[[#This Row],[N° TALADROS]]+BD_MO[[#This Row],[N° TAL. VACIOS]],"")</f>
        <v/>
      </c>
      <c r="AG89" s="178"/>
      <c r="AH89" s="178"/>
      <c r="AI89" s="178"/>
      <c r="AJ89" s="178"/>
      <c r="AK89" s="178"/>
      <c r="AL89" s="178"/>
      <c r="AM89" s="171"/>
      <c r="AN89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89" s="172" t="str">
        <f>+IF(BD_MO[[#This Row],[N° VALE]]&lt;&gt;"",IF(BD_MO[[#This Row],[FULMINANTE N° 08]]&lt;&gt;"",BD_MO[[#This Row],[FULMINANTE N° 08]],IF(BD_MO[[#This Row],[CARMEX 7'']]&lt;&gt;0,0,"")),"")</f>
        <v/>
      </c>
      <c r="AP89" s="176" t="str">
        <f>+IF(BD_MO[[#This Row],[N° VALE]]&lt;&gt;"",BD_MO[[#This Row],[N°  TOTAL TALADROS]]*BD_MO[[#This Row],[BARRA]]*0.95,"")</f>
        <v/>
      </c>
      <c r="AQ89" s="176" t="str">
        <f>+IF(BD_MO[[#This Row],[N° VALE]]&lt;&gt;"",BD_MO[[#This Row],[EMULNOR 1000 (N° CART.)]]*PE_EMUL_1000[PE],"")</f>
        <v/>
      </c>
      <c r="AR89" s="176" t="str">
        <f>+IF(BD_MO[[#This Row],[N° VALE]]&lt;&gt;"",BD_MO[[#This Row],[EMULNOR 3000 (N° CART.)]]*PE_EMUL_3000[PE],"")</f>
        <v/>
      </c>
      <c r="AS89" s="176" t="str">
        <f>+IF(BD_MO[[#This Row],[N° VALE]]&lt;&gt;"",BD_MO[[#This Row],[PULVERULENTA (N° CART.)]]*PE_PULV_65[PE],"")</f>
        <v/>
      </c>
      <c r="AT89" s="176" t="str">
        <f>+IF(BD_MO[[#This Row],[N° DISP]]&lt;&gt;"",BD_MO[[#This Row],[SEMIGELATINA (N° CART.)]]*PE_SEMIGEL_65[PE],"")</f>
        <v/>
      </c>
      <c r="AU89" s="176" t="str">
        <f>+IF(BD_MO[N° VALE]&lt;&gt;"",BD_MO[[#This Row],[KG EXPLO SEMIGEL]]+BD_MO[[#This Row],[KG EXPLO PULVE]]+BD_MO[[#This Row],[KG EXPLO EMULN 3000]]+BD_MO[[#This Row],[KG EXPLO EMULN 1000]],"")</f>
        <v/>
      </c>
      <c r="AV89" s="172"/>
      <c r="AW89" s="172"/>
      <c r="AX89" s="172" t="str">
        <f>+IF(BD_MO[[#This Row],[MINERAL (U-35)]]&lt;&gt;"",BD_MO[[#This Row],[MINERAL (U-35)]]*1.45,"-")</f>
        <v>-</v>
      </c>
      <c r="AY89" s="172" t="str">
        <f>+IF(BD_MO[[#This Row],[DESMONTE (U-35)]]&lt;&gt;"",BD_MO[[#This Row],[DESMONTE (U-35)]]*1.23,"-")</f>
        <v>-</v>
      </c>
      <c r="AZ89" s="172"/>
      <c r="BA89" s="172"/>
      <c r="BB89" s="172"/>
      <c r="BC89" s="172"/>
      <c r="BD89" s="172"/>
      <c r="BE89" s="172"/>
      <c r="BF89" s="172"/>
      <c r="BG89" s="172"/>
      <c r="BH89" s="172"/>
      <c r="BI89" s="172"/>
      <c r="BJ89" s="172"/>
      <c r="BK89" s="172"/>
      <c r="BL89" s="172"/>
      <c r="BM89" s="172"/>
      <c r="BN89" s="171"/>
      <c r="BO89" s="172"/>
      <c r="BP89" s="172"/>
      <c r="BQ89" s="171"/>
      <c r="BR89" s="172"/>
      <c r="BS89" s="171"/>
      <c r="BT89" s="176"/>
      <c r="BU89" s="172"/>
      <c r="BV89" s="172"/>
      <c r="BW89" s="172"/>
      <c r="BX89" s="172"/>
      <c r="BY89" s="172"/>
      <c r="BZ89" s="172"/>
      <c r="CA89" s="172"/>
      <c r="CB89" s="172"/>
      <c r="CC89" s="172"/>
      <c r="CD89" s="172"/>
      <c r="CE89" s="172"/>
      <c r="CF89" s="172"/>
      <c r="CG89" s="172"/>
      <c r="CH89" s="172"/>
      <c r="CI89" s="172"/>
      <c r="CJ89" s="172"/>
      <c r="CK89" s="172"/>
      <c r="CL89" s="172"/>
      <c r="CM89" s="172"/>
      <c r="CN89" s="172"/>
      <c r="CO89" s="172"/>
      <c r="CP89" s="176">
        <f>+IF(BD_MO[[#This Row],[FECHA]]&lt;&gt;"",BD_MO[[#This Row],[PUNTAL 4"]]+BD_MO[[#This Row],[PUNTAL 5"]]+BD_MO[[#This Row],[PUNTAL 6"]]+BD_MO[[#This Row],[PUNTAL 7"]]+BD_MO[[#This Row],[PUNTAL 8"]],"")</f>
        <v>0</v>
      </c>
      <c r="CQ89" s="172"/>
      <c r="CR89" s="172"/>
      <c r="CS89" s="172"/>
      <c r="CT89" s="172"/>
      <c r="CU89" s="172"/>
      <c r="CV89" s="172"/>
      <c r="CW89" s="172"/>
      <c r="CX89" s="172"/>
      <c r="CY89" s="176"/>
      <c r="CZ8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89" s="176">
        <f>+IF(BD_MO[[#This Row],[FECHA]]&lt;&gt;"",BD_MO[[#This Row],[DURMIENTE2]]*6.561+BD_MO[[#This Row],[LISTONES]]*4.921+BD_MO[[#This Row],[TABLA 1"x8"x3m]]*6.561+BD_MO[[#This Row],[TABLA 2"x8"x3m]]*13.122,"")</f>
        <v>0</v>
      </c>
      <c r="DB89" s="176">
        <f>+IF(BD_MO[[#This Row],[FECHA]]&lt;&gt;"",BD_MO[[#This Row],[PIE2 MADERA ASERRADA]]*1.95,"")</f>
        <v>0</v>
      </c>
      <c r="DC89" s="176">
        <f>+IF(BD_MO[[#This Row],[FECHA]]&lt;&gt;"",BD_MO[[#This Row],[KG. MADERA REDONDA]]+BD_MO[[#This Row],[KG MADERA ASERRADA]],"")</f>
        <v>0</v>
      </c>
      <c r="DD8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89" s="172"/>
      <c r="DF89" s="172" t="s">
        <v>12183</v>
      </c>
      <c r="DG89" s="172">
        <v>7</v>
      </c>
      <c r="DH89" s="172"/>
      <c r="DI89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89" s="180"/>
      <c r="DK89" s="180"/>
      <c r="DL89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89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89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89" s="181"/>
      <c r="DP89" s="180" t="str">
        <f>+IF(BD_MO[[#This Row],[M o D]]&lt;&gt;"",IF(BD_MO[[#This Row],[M o D]]="M",BD_MO[[#This Row],[ROTURA TMH]]/2.65,BD_MO[[#This Row],[ROTURA TMH]]/2.4),"")</f>
        <v/>
      </c>
      <c r="DQ89" s="180"/>
      <c r="DR89" s="116" t="str">
        <f>IF(BD_MO[[#This Row],[TIPO AVANCE]]="Avance",((BD_MO[[#This Row],[AVANCE (m)]]/BD_MO[[#This Row],[AVANCE TEÓRICO]]))," ")</f>
        <v xml:space="preserve"> </v>
      </c>
      <c r="DS89" s="134"/>
      <c r="DT89" s="134"/>
      <c r="DU89" s="134"/>
      <c r="DV89" s="134"/>
      <c r="DW89" s="134"/>
      <c r="DX89" s="135"/>
      <c r="DY89" s="135"/>
      <c r="DZ89" s="135"/>
    </row>
    <row r="90" spans="1:130" s="136" customFormat="1" ht="18" customHeight="1" x14ac:dyDescent="0.25">
      <c r="A90" s="168">
        <v>44656</v>
      </c>
      <c r="B90" s="169" t="s">
        <v>10655</v>
      </c>
      <c r="C90" s="169" t="s">
        <v>10668</v>
      </c>
      <c r="D90" s="170" t="s">
        <v>11872</v>
      </c>
      <c r="E90" s="171" t="str">
        <f>LEFT(BD_MO[[#This Row],[LABOR]],2)</f>
        <v>PQ</v>
      </c>
      <c r="F90" s="172"/>
      <c r="G90" s="172" t="s">
        <v>10669</v>
      </c>
      <c r="H9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90" s="171" t="str">
        <f>IF(BD_MO[FECHA]&lt;&gt;"",VLOOKUP(BD_MO[LABOR],TB_CECO[[LABOR]:[CECO_T]],3,FALSE),"")</f>
        <v>ANDREA</v>
      </c>
      <c r="J90" s="171" t="str">
        <f>IF(BD_MO[FECHA]&lt;&gt;"",VLOOKUP(BD_MO[LABOR],D_CECO!B:H,7,FALSE),"")</f>
        <v>LINEAL</v>
      </c>
      <c r="K90" s="171" t="str">
        <f>IF(BD_MO[FECHA]&lt;&gt;"",VLOOKUP(BD_MO[LABOR],D_CECO!B:H,4,FALSE),"")</f>
        <v>EXPLOTACION</v>
      </c>
      <c r="L90" s="171"/>
      <c r="M90" s="169"/>
      <c r="N90" s="172"/>
      <c r="O90" s="173" t="s">
        <v>12097</v>
      </c>
      <c r="P90" s="173" t="s">
        <v>12090</v>
      </c>
      <c r="Q90" s="173" t="s">
        <v>12089</v>
      </c>
      <c r="R90" s="174"/>
      <c r="S90" s="175" t="str">
        <f>IFERROR(VLOOKUP(BD_MO[DNI 4],#REF!,2,FALSE)," ")</f>
        <v xml:space="preserve"> </v>
      </c>
      <c r="T90" s="176">
        <f>+IF(BD_MO[[#This Row],[FECHA]]&lt;&gt;"",COUNTA(BD_MO[[#This Row],[DNI]],BD_MO[[#This Row],[DNI 2]],BD_MO[[#This Row],[DNI 3]],BD_MO[[#This Row],[DNI 4]]),"")</f>
        <v>3</v>
      </c>
      <c r="U90" s="176"/>
      <c r="V90" s="176"/>
      <c r="W90" s="176"/>
      <c r="X90" s="176">
        <v>3</v>
      </c>
      <c r="Y90" s="177">
        <f>SUM(BD_MO[[#This Row],[LIMP]:[SERV]])</f>
        <v>3</v>
      </c>
      <c r="Z90" s="172"/>
      <c r="AA90" s="172" t="str">
        <f>+IF(BD_MO[[#This Row],[N° VALE]]&lt;&gt;"",1,"")</f>
        <v/>
      </c>
      <c r="AB90" s="169"/>
      <c r="AC90" s="172"/>
      <c r="AD90" s="172" t="str">
        <f>+IF(BD_MO[[#This Row],[N° VALE]]&lt;&gt;"",BD_MO[[#This Row],[FULMINANTE N° 08]]+BD_MO[CARMEX 7''],"")</f>
        <v/>
      </c>
      <c r="AE90" s="172"/>
      <c r="AF90" s="172" t="str">
        <f>+IF(BD_MO[[#This Row],[N° VALE]]&lt;&gt;"",BD_MO[[#This Row],[N° TALADROS]]+BD_MO[[#This Row],[N° TAL. VACIOS]],"")</f>
        <v/>
      </c>
      <c r="AG90" s="178"/>
      <c r="AH90" s="178"/>
      <c r="AI90" s="178"/>
      <c r="AJ90" s="178"/>
      <c r="AK90" s="178"/>
      <c r="AL90" s="178"/>
      <c r="AM90" s="171"/>
      <c r="AN90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90" s="172" t="str">
        <f>+IF(BD_MO[[#This Row],[N° VALE]]&lt;&gt;"",IF(BD_MO[[#This Row],[FULMINANTE N° 08]]&lt;&gt;"",BD_MO[[#This Row],[FULMINANTE N° 08]],IF(BD_MO[[#This Row],[CARMEX 7'']]&lt;&gt;0,0,"")),"")</f>
        <v/>
      </c>
      <c r="AP90" s="176" t="str">
        <f>+IF(BD_MO[[#This Row],[N° VALE]]&lt;&gt;"",BD_MO[[#This Row],[N°  TOTAL TALADROS]]*BD_MO[[#This Row],[BARRA]]*0.95,"")</f>
        <v/>
      </c>
      <c r="AQ90" s="176" t="str">
        <f>+IF(BD_MO[[#This Row],[N° VALE]]&lt;&gt;"",BD_MO[[#This Row],[EMULNOR 1000 (N° CART.)]]*PE_EMUL_1000[PE],"")</f>
        <v/>
      </c>
      <c r="AR90" s="176" t="str">
        <f>+IF(BD_MO[[#This Row],[N° VALE]]&lt;&gt;"",BD_MO[[#This Row],[EMULNOR 3000 (N° CART.)]]*PE_EMUL_3000[PE],"")</f>
        <v/>
      </c>
      <c r="AS90" s="176" t="str">
        <f>+IF(BD_MO[[#This Row],[N° VALE]]&lt;&gt;"",BD_MO[[#This Row],[PULVERULENTA (N° CART.)]]*PE_PULV_65[PE],"")</f>
        <v/>
      </c>
      <c r="AT90" s="176" t="str">
        <f>+IF(BD_MO[[#This Row],[N° DISP]]&lt;&gt;"",BD_MO[[#This Row],[SEMIGELATINA (N° CART.)]]*PE_SEMIGEL_65[PE],"")</f>
        <v/>
      </c>
      <c r="AU90" s="176" t="str">
        <f>+IF(BD_MO[N° VALE]&lt;&gt;"",BD_MO[[#This Row],[KG EXPLO SEMIGEL]]+BD_MO[[#This Row],[KG EXPLO PULVE]]+BD_MO[[#This Row],[KG EXPLO EMULN 3000]]+BD_MO[[#This Row],[KG EXPLO EMULN 1000]],"")</f>
        <v/>
      </c>
      <c r="AV90" s="172"/>
      <c r="AW90" s="172"/>
      <c r="AX90" s="172" t="str">
        <f>+IF(BD_MO[[#This Row],[MINERAL (U-35)]]&lt;&gt;"",BD_MO[[#This Row],[MINERAL (U-35)]]*1.45,"-")</f>
        <v>-</v>
      </c>
      <c r="AY90" s="172" t="str">
        <f>+IF(BD_MO[[#This Row],[DESMONTE (U-35)]]&lt;&gt;"",BD_MO[[#This Row],[DESMONTE (U-35)]]*1.23,"-")</f>
        <v>-</v>
      </c>
      <c r="AZ90" s="172"/>
      <c r="BA90" s="172"/>
      <c r="BB90" s="172"/>
      <c r="BC90" s="172"/>
      <c r="BD90" s="172"/>
      <c r="BE90" s="172"/>
      <c r="BF90" s="172"/>
      <c r="BG90" s="172"/>
      <c r="BH90" s="172"/>
      <c r="BI90" s="172"/>
      <c r="BJ90" s="172"/>
      <c r="BK90" s="172"/>
      <c r="BL90" s="172"/>
      <c r="BM90" s="172"/>
      <c r="BN90" s="171"/>
      <c r="BO90" s="172"/>
      <c r="BP90" s="172"/>
      <c r="BQ90" s="171"/>
      <c r="BR90" s="172"/>
      <c r="BS90" s="171"/>
      <c r="BT90" s="176"/>
      <c r="BU90" s="172"/>
      <c r="BV90" s="172"/>
      <c r="BW90" s="172"/>
      <c r="BX90" s="172"/>
      <c r="BY90" s="172"/>
      <c r="BZ90" s="172"/>
      <c r="CA90" s="172"/>
      <c r="CB90" s="172"/>
      <c r="CC90" s="172"/>
      <c r="CD90" s="172"/>
      <c r="CE90" s="172"/>
      <c r="CF90" s="172"/>
      <c r="CG90" s="172"/>
      <c r="CH90" s="172"/>
      <c r="CI90" s="172"/>
      <c r="CJ90" s="172"/>
      <c r="CK90" s="172"/>
      <c r="CL90" s="172"/>
      <c r="CM90" s="172"/>
      <c r="CN90" s="172"/>
      <c r="CO90" s="172"/>
      <c r="CP90" s="176">
        <f>+IF(BD_MO[[#This Row],[FECHA]]&lt;&gt;"",BD_MO[[#This Row],[PUNTAL 4"]]+BD_MO[[#This Row],[PUNTAL 5"]]+BD_MO[[#This Row],[PUNTAL 6"]]+BD_MO[[#This Row],[PUNTAL 7"]]+BD_MO[[#This Row],[PUNTAL 8"]],"")</f>
        <v>0</v>
      </c>
      <c r="CQ90" s="172"/>
      <c r="CR90" s="172"/>
      <c r="CS90" s="172"/>
      <c r="CT90" s="172"/>
      <c r="CU90" s="172"/>
      <c r="CV90" s="172"/>
      <c r="CW90" s="172"/>
      <c r="CX90" s="172"/>
      <c r="CY90" s="176"/>
      <c r="CZ9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90" s="176">
        <f>+IF(BD_MO[[#This Row],[FECHA]]&lt;&gt;"",BD_MO[[#This Row],[DURMIENTE2]]*6.561+BD_MO[[#This Row],[LISTONES]]*4.921+BD_MO[[#This Row],[TABLA 1"x8"x3m]]*6.561+BD_MO[[#This Row],[TABLA 2"x8"x3m]]*13.122,"")</f>
        <v>0</v>
      </c>
      <c r="DB90" s="176">
        <f>+IF(BD_MO[[#This Row],[FECHA]]&lt;&gt;"",BD_MO[[#This Row],[PIE2 MADERA ASERRADA]]*1.95,"")</f>
        <v>0</v>
      </c>
      <c r="DC90" s="176">
        <f>+IF(BD_MO[[#This Row],[FECHA]]&lt;&gt;"",BD_MO[[#This Row],[KG. MADERA REDONDA]]+BD_MO[[#This Row],[KG MADERA ASERRADA]],"")</f>
        <v>0</v>
      </c>
      <c r="DD9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90" s="172"/>
      <c r="DF90" s="172" t="s">
        <v>12184</v>
      </c>
      <c r="DG90" s="172">
        <v>8</v>
      </c>
      <c r="DH90" s="172"/>
      <c r="DI90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90" s="180"/>
      <c r="DK90" s="180"/>
      <c r="DL90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90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90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90" s="181"/>
      <c r="DP90" s="180" t="str">
        <f>+IF(BD_MO[[#This Row],[M o D]]&lt;&gt;"",IF(BD_MO[[#This Row],[M o D]]="M",BD_MO[[#This Row],[ROTURA TMH]]/2.65,BD_MO[[#This Row],[ROTURA TMH]]/2.4),"")</f>
        <v/>
      </c>
      <c r="DQ90" s="180"/>
      <c r="DR90" s="116" t="str">
        <f>IF(BD_MO[[#This Row],[TIPO AVANCE]]="Avance",((BD_MO[[#This Row],[AVANCE (m)]]/BD_MO[[#This Row],[AVANCE TEÓRICO]]))," ")</f>
        <v xml:space="preserve"> </v>
      </c>
      <c r="DS90" s="134"/>
      <c r="DT90" s="134"/>
      <c r="DU90" s="134"/>
      <c r="DV90" s="134"/>
      <c r="DW90" s="134"/>
      <c r="DX90" s="135"/>
      <c r="DY90" s="135"/>
      <c r="DZ90" s="135"/>
    </row>
    <row r="91" spans="1:130" s="136" customFormat="1" ht="18" customHeight="1" x14ac:dyDescent="0.25">
      <c r="A91" s="168">
        <v>44656</v>
      </c>
      <c r="B91" s="169" t="s">
        <v>10655</v>
      </c>
      <c r="C91" s="169" t="s">
        <v>10668</v>
      </c>
      <c r="D91" s="170" t="s">
        <v>10951</v>
      </c>
      <c r="E91" s="171" t="str">
        <f>LEFT(BD_MO[[#This Row],[LABOR]],2)</f>
        <v>In</v>
      </c>
      <c r="F91" s="172"/>
      <c r="G91" s="172" t="s">
        <v>10669</v>
      </c>
      <c r="H91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91" s="171" t="str">
        <f>IF(BD_MO[FECHA]&lt;&gt;"",VLOOKUP(BD_MO[LABOR],TB_CECO[[LABOR]:[CECO_T]],3,FALSE),"")</f>
        <v>CACHORRO</v>
      </c>
      <c r="J91" s="171" t="str">
        <f>IF(BD_MO[FECHA]&lt;&gt;"",VLOOKUP(BD_MO[LABOR],D_CECO!B:H,7,FALSE),"")</f>
        <v>LINEAL</v>
      </c>
      <c r="K91" s="171" t="str">
        <f>IF(BD_MO[FECHA]&lt;&gt;"",VLOOKUP(BD_MO[LABOR],D_CECO!B:H,4,FALSE),"")</f>
        <v>EXPLORACION</v>
      </c>
      <c r="L91" s="171"/>
      <c r="M91" s="169"/>
      <c r="N91" s="172"/>
      <c r="O91" s="173" t="s">
        <v>12099</v>
      </c>
      <c r="P91" s="173" t="s">
        <v>12100</v>
      </c>
      <c r="Q91" s="173"/>
      <c r="R91" s="174"/>
      <c r="S91" s="175" t="str">
        <f>IFERROR(VLOOKUP(BD_MO[DNI 4],#REF!,2,FALSE)," ")</f>
        <v xml:space="preserve"> </v>
      </c>
      <c r="T91" s="176">
        <f>+IF(BD_MO[[#This Row],[FECHA]]&lt;&gt;"",COUNTA(BD_MO[[#This Row],[DNI]],BD_MO[[#This Row],[DNI 2]],BD_MO[[#This Row],[DNI 3]],BD_MO[[#This Row],[DNI 4]]),"")</f>
        <v>2</v>
      </c>
      <c r="U91" s="176"/>
      <c r="V91" s="176"/>
      <c r="W91" s="176"/>
      <c r="X91" s="176">
        <v>2</v>
      </c>
      <c r="Y91" s="177">
        <f>SUM(BD_MO[[#This Row],[LIMP]:[SERV]])</f>
        <v>2</v>
      </c>
      <c r="Z91" s="172"/>
      <c r="AA91" s="172" t="str">
        <f>+IF(BD_MO[[#This Row],[N° VALE]]&lt;&gt;"",1,"")</f>
        <v/>
      </c>
      <c r="AB91" s="169"/>
      <c r="AC91" s="172"/>
      <c r="AD91" s="172" t="str">
        <f>+IF(BD_MO[[#This Row],[N° VALE]]&lt;&gt;"",BD_MO[[#This Row],[FULMINANTE N° 08]]+BD_MO[CARMEX 7''],"")</f>
        <v/>
      </c>
      <c r="AE91" s="172"/>
      <c r="AF91" s="172" t="str">
        <f>+IF(BD_MO[[#This Row],[N° VALE]]&lt;&gt;"",BD_MO[[#This Row],[N° TALADROS]]+BD_MO[[#This Row],[N° TAL. VACIOS]],"")</f>
        <v/>
      </c>
      <c r="AG91" s="178"/>
      <c r="AH91" s="178"/>
      <c r="AI91" s="178"/>
      <c r="AJ91" s="178"/>
      <c r="AK91" s="178"/>
      <c r="AL91" s="178"/>
      <c r="AM91" s="171"/>
      <c r="AN91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91" s="172" t="str">
        <f>+IF(BD_MO[[#This Row],[N° VALE]]&lt;&gt;"",IF(BD_MO[[#This Row],[FULMINANTE N° 08]]&lt;&gt;"",BD_MO[[#This Row],[FULMINANTE N° 08]],IF(BD_MO[[#This Row],[CARMEX 7'']]&lt;&gt;0,0,"")),"")</f>
        <v/>
      </c>
      <c r="AP91" s="176" t="str">
        <f>+IF(BD_MO[[#This Row],[N° VALE]]&lt;&gt;"",BD_MO[[#This Row],[N°  TOTAL TALADROS]]*BD_MO[[#This Row],[BARRA]]*0.95,"")</f>
        <v/>
      </c>
      <c r="AQ91" s="176" t="str">
        <f>+IF(BD_MO[[#This Row],[N° VALE]]&lt;&gt;"",BD_MO[[#This Row],[EMULNOR 1000 (N° CART.)]]*PE_EMUL_1000[PE],"")</f>
        <v/>
      </c>
      <c r="AR91" s="176" t="str">
        <f>+IF(BD_MO[[#This Row],[N° VALE]]&lt;&gt;"",BD_MO[[#This Row],[EMULNOR 3000 (N° CART.)]]*PE_EMUL_3000[PE],"")</f>
        <v/>
      </c>
      <c r="AS91" s="176" t="str">
        <f>+IF(BD_MO[[#This Row],[N° VALE]]&lt;&gt;"",BD_MO[[#This Row],[PULVERULENTA (N° CART.)]]*PE_PULV_65[PE],"")</f>
        <v/>
      </c>
      <c r="AT91" s="176" t="str">
        <f>+IF(BD_MO[[#This Row],[N° DISP]]&lt;&gt;"",BD_MO[[#This Row],[SEMIGELATINA (N° CART.)]]*PE_SEMIGEL_65[PE],"")</f>
        <v/>
      </c>
      <c r="AU91" s="176" t="str">
        <f>+IF(BD_MO[N° VALE]&lt;&gt;"",BD_MO[[#This Row],[KG EXPLO SEMIGEL]]+BD_MO[[#This Row],[KG EXPLO PULVE]]+BD_MO[[#This Row],[KG EXPLO EMULN 3000]]+BD_MO[[#This Row],[KG EXPLO EMULN 1000]],"")</f>
        <v/>
      </c>
      <c r="AV91" s="172"/>
      <c r="AW91" s="172"/>
      <c r="AX91" s="172" t="str">
        <f>+IF(BD_MO[[#This Row],[MINERAL (U-35)]]&lt;&gt;"",BD_MO[[#This Row],[MINERAL (U-35)]]*1.45,"-")</f>
        <v>-</v>
      </c>
      <c r="AY91" s="172" t="str">
        <f>+IF(BD_MO[[#This Row],[DESMONTE (U-35)]]&lt;&gt;"",BD_MO[[#This Row],[DESMONTE (U-35)]]*1.23,"-")</f>
        <v>-</v>
      </c>
      <c r="AZ91" s="172"/>
      <c r="BA91" s="172"/>
      <c r="BB91" s="172"/>
      <c r="BC91" s="172"/>
      <c r="BD91" s="172"/>
      <c r="BE91" s="172"/>
      <c r="BF91" s="172"/>
      <c r="BG91" s="172"/>
      <c r="BH91" s="172"/>
      <c r="BI91" s="172"/>
      <c r="BJ91" s="172"/>
      <c r="BK91" s="172"/>
      <c r="BL91" s="172"/>
      <c r="BM91" s="172"/>
      <c r="BN91" s="171"/>
      <c r="BO91" s="172"/>
      <c r="BP91" s="172"/>
      <c r="BQ91" s="171"/>
      <c r="BR91" s="172"/>
      <c r="BS91" s="171"/>
      <c r="BT91" s="176"/>
      <c r="BU91" s="172"/>
      <c r="BV91" s="172"/>
      <c r="BW91" s="172"/>
      <c r="BX91" s="172"/>
      <c r="BY91" s="172"/>
      <c r="BZ91" s="172"/>
      <c r="CA91" s="172"/>
      <c r="CB91" s="172"/>
      <c r="CC91" s="172"/>
      <c r="CD91" s="172"/>
      <c r="CE91" s="172"/>
      <c r="CF91" s="172"/>
      <c r="CG91" s="172"/>
      <c r="CH91" s="172"/>
      <c r="CI91" s="172"/>
      <c r="CJ91" s="172"/>
      <c r="CK91" s="172"/>
      <c r="CL91" s="172"/>
      <c r="CM91" s="172"/>
      <c r="CN91" s="172"/>
      <c r="CO91" s="172"/>
      <c r="CP91" s="176">
        <f>+IF(BD_MO[[#This Row],[FECHA]]&lt;&gt;"",BD_MO[[#This Row],[PUNTAL 4"]]+BD_MO[[#This Row],[PUNTAL 5"]]+BD_MO[[#This Row],[PUNTAL 6"]]+BD_MO[[#This Row],[PUNTAL 7"]]+BD_MO[[#This Row],[PUNTAL 8"]],"")</f>
        <v>0</v>
      </c>
      <c r="CQ91" s="172"/>
      <c r="CR91" s="172"/>
      <c r="CS91" s="172"/>
      <c r="CT91" s="172"/>
      <c r="CU91" s="172"/>
      <c r="CV91" s="172"/>
      <c r="CW91" s="172"/>
      <c r="CX91" s="172"/>
      <c r="CY91" s="176"/>
      <c r="CZ91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91" s="176">
        <f>+IF(BD_MO[[#This Row],[FECHA]]&lt;&gt;"",BD_MO[[#This Row],[DURMIENTE2]]*6.561+BD_MO[[#This Row],[LISTONES]]*4.921+BD_MO[[#This Row],[TABLA 1"x8"x3m]]*6.561+BD_MO[[#This Row],[TABLA 2"x8"x3m]]*13.122,"")</f>
        <v>0</v>
      </c>
      <c r="DB91" s="176">
        <f>+IF(BD_MO[[#This Row],[FECHA]]&lt;&gt;"",BD_MO[[#This Row],[PIE2 MADERA ASERRADA]]*1.95,"")</f>
        <v>0</v>
      </c>
      <c r="DC91" s="176">
        <f>+IF(BD_MO[[#This Row],[FECHA]]&lt;&gt;"",BD_MO[[#This Row],[KG. MADERA REDONDA]]+BD_MO[[#This Row],[KG MADERA ASERRADA]],"")</f>
        <v>0</v>
      </c>
      <c r="DD91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91" s="172"/>
      <c r="DF91" s="172" t="s">
        <v>12185</v>
      </c>
      <c r="DG91" s="172">
        <v>6</v>
      </c>
      <c r="DH91" s="172"/>
      <c r="DI91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91" s="180"/>
      <c r="DK91" s="180"/>
      <c r="DL91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91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91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91" s="181"/>
      <c r="DP91" s="180" t="str">
        <f>+IF(BD_MO[[#This Row],[M o D]]&lt;&gt;"",IF(BD_MO[[#This Row],[M o D]]="M",BD_MO[[#This Row],[ROTURA TMH]]/2.65,BD_MO[[#This Row],[ROTURA TMH]]/2.4),"")</f>
        <v/>
      </c>
      <c r="DQ91" s="180"/>
      <c r="DR91" s="116" t="str">
        <f>IF(BD_MO[[#This Row],[TIPO AVANCE]]="Avance",((BD_MO[[#This Row],[AVANCE (m)]]/BD_MO[[#This Row],[AVANCE TEÓRICO]]))," ")</f>
        <v xml:space="preserve"> </v>
      </c>
      <c r="DS91" s="134"/>
      <c r="DT91" s="134"/>
      <c r="DU91" s="134"/>
      <c r="DV91" s="134"/>
      <c r="DW91" s="134"/>
      <c r="DX91" s="135"/>
      <c r="DY91" s="135"/>
      <c r="DZ91" s="135"/>
    </row>
    <row r="92" spans="1:130" s="136" customFormat="1" ht="18" customHeight="1" x14ac:dyDescent="0.25">
      <c r="A92" s="168">
        <v>44656</v>
      </c>
      <c r="B92" s="169" t="s">
        <v>10655</v>
      </c>
      <c r="C92" s="169" t="s">
        <v>10668</v>
      </c>
      <c r="D92" s="170" t="s">
        <v>11492</v>
      </c>
      <c r="E92" s="171" t="str">
        <f>LEFT(BD_MO[[#This Row],[LABOR]],2)</f>
        <v>Pq</v>
      </c>
      <c r="F92" s="172"/>
      <c r="G92" s="172" t="s">
        <v>10669</v>
      </c>
      <c r="H9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92" s="171" t="str">
        <f>IF(BD_MO[FECHA]&lt;&gt;"",VLOOKUP(BD_MO[LABOR],TB_CECO[[LABOR]:[CECO_T]],3,FALSE),"")</f>
        <v>ESCONDIDA</v>
      </c>
      <c r="J92" s="171" t="str">
        <f>IF(BD_MO[FECHA]&lt;&gt;"",VLOOKUP(BD_MO[LABOR],D_CECO!B:H,7,FALSE),"")</f>
        <v>LINEAL</v>
      </c>
      <c r="K92" s="171" t="str">
        <f>IF(BD_MO[FECHA]&lt;&gt;"",VLOOKUP(BD_MO[LABOR],D_CECO!B:H,4,FALSE),"")</f>
        <v>EXPLOTACION</v>
      </c>
      <c r="L92" s="171"/>
      <c r="M92" s="169"/>
      <c r="N92" s="172"/>
      <c r="O92" s="173" t="s">
        <v>12118</v>
      </c>
      <c r="P92" s="173" t="s">
        <v>12182</v>
      </c>
      <c r="Q92" s="173" t="s">
        <v>12162</v>
      </c>
      <c r="R92" s="174"/>
      <c r="S92" s="175" t="str">
        <f>IFERROR(VLOOKUP(BD_MO[DNI 4],#REF!,2,FALSE)," ")</f>
        <v xml:space="preserve"> </v>
      </c>
      <c r="T92" s="176">
        <f>+IF(BD_MO[[#This Row],[FECHA]]&lt;&gt;"",COUNTA(BD_MO[[#This Row],[DNI]],BD_MO[[#This Row],[DNI 2]],BD_MO[[#This Row],[DNI 3]],BD_MO[[#This Row],[DNI 4]]),"")</f>
        <v>3</v>
      </c>
      <c r="U92" s="176"/>
      <c r="V92" s="176"/>
      <c r="W92" s="176"/>
      <c r="X92" s="176">
        <v>3</v>
      </c>
      <c r="Y92" s="177">
        <f>SUM(BD_MO[[#This Row],[LIMP]:[SERV]])</f>
        <v>3</v>
      </c>
      <c r="Z92" s="172"/>
      <c r="AA92" s="172" t="str">
        <f>+IF(BD_MO[[#This Row],[N° VALE]]&lt;&gt;"",1,"")</f>
        <v/>
      </c>
      <c r="AB92" s="169"/>
      <c r="AC92" s="172"/>
      <c r="AD92" s="172" t="str">
        <f>+IF(BD_MO[[#This Row],[N° VALE]]&lt;&gt;"",BD_MO[[#This Row],[FULMINANTE N° 08]]+BD_MO[CARMEX 7''],"")</f>
        <v/>
      </c>
      <c r="AE92" s="172"/>
      <c r="AF92" s="172" t="str">
        <f>+IF(BD_MO[[#This Row],[N° VALE]]&lt;&gt;"",BD_MO[[#This Row],[N° TALADROS]]+BD_MO[[#This Row],[N° TAL. VACIOS]],"")</f>
        <v/>
      </c>
      <c r="AG92" s="178"/>
      <c r="AH92" s="178"/>
      <c r="AI92" s="178"/>
      <c r="AJ92" s="178"/>
      <c r="AK92" s="178"/>
      <c r="AL92" s="178"/>
      <c r="AM92" s="171"/>
      <c r="AN92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92" s="172" t="str">
        <f>+IF(BD_MO[[#This Row],[N° VALE]]&lt;&gt;"",IF(BD_MO[[#This Row],[FULMINANTE N° 08]]&lt;&gt;"",BD_MO[[#This Row],[FULMINANTE N° 08]],IF(BD_MO[[#This Row],[CARMEX 7'']]&lt;&gt;0,0,"")),"")</f>
        <v/>
      </c>
      <c r="AP92" s="176" t="str">
        <f>+IF(BD_MO[[#This Row],[N° VALE]]&lt;&gt;"",BD_MO[[#This Row],[N°  TOTAL TALADROS]]*BD_MO[[#This Row],[BARRA]]*0.95,"")</f>
        <v/>
      </c>
      <c r="AQ92" s="176" t="str">
        <f>+IF(BD_MO[[#This Row],[N° VALE]]&lt;&gt;"",BD_MO[[#This Row],[EMULNOR 1000 (N° CART.)]]*PE_EMUL_1000[PE],"")</f>
        <v/>
      </c>
      <c r="AR92" s="176" t="str">
        <f>+IF(BD_MO[[#This Row],[N° VALE]]&lt;&gt;"",BD_MO[[#This Row],[EMULNOR 3000 (N° CART.)]]*PE_EMUL_3000[PE],"")</f>
        <v/>
      </c>
      <c r="AS92" s="176" t="str">
        <f>+IF(BD_MO[[#This Row],[N° VALE]]&lt;&gt;"",BD_MO[[#This Row],[PULVERULENTA (N° CART.)]]*PE_PULV_65[PE],"")</f>
        <v/>
      </c>
      <c r="AT92" s="176" t="str">
        <f>+IF(BD_MO[[#This Row],[N° DISP]]&lt;&gt;"",BD_MO[[#This Row],[SEMIGELATINA (N° CART.)]]*PE_SEMIGEL_65[PE],"")</f>
        <v/>
      </c>
      <c r="AU92" s="176" t="str">
        <f>+IF(BD_MO[N° VALE]&lt;&gt;"",BD_MO[[#This Row],[KG EXPLO SEMIGEL]]+BD_MO[[#This Row],[KG EXPLO PULVE]]+BD_MO[[#This Row],[KG EXPLO EMULN 3000]]+BD_MO[[#This Row],[KG EXPLO EMULN 1000]],"")</f>
        <v/>
      </c>
      <c r="AV92" s="172"/>
      <c r="AW92" s="172"/>
      <c r="AX92" s="172" t="str">
        <f>+IF(BD_MO[[#This Row],[MINERAL (U-35)]]&lt;&gt;"",BD_MO[[#This Row],[MINERAL (U-35)]]*1.45,"-")</f>
        <v>-</v>
      </c>
      <c r="AY92" s="172" t="str">
        <f>+IF(BD_MO[[#This Row],[DESMONTE (U-35)]]&lt;&gt;"",BD_MO[[#This Row],[DESMONTE (U-35)]]*1.23,"-")</f>
        <v>-</v>
      </c>
      <c r="AZ92" s="172"/>
      <c r="BA92" s="172"/>
      <c r="BB92" s="172"/>
      <c r="BC92" s="172"/>
      <c r="BD92" s="172"/>
      <c r="BE92" s="172"/>
      <c r="BF92" s="172"/>
      <c r="BG92" s="172"/>
      <c r="BH92" s="172"/>
      <c r="BI92" s="172"/>
      <c r="BJ92" s="172"/>
      <c r="BK92" s="172"/>
      <c r="BL92" s="172"/>
      <c r="BM92" s="172"/>
      <c r="BN92" s="171"/>
      <c r="BO92" s="172"/>
      <c r="BP92" s="172"/>
      <c r="BQ92" s="171"/>
      <c r="BR92" s="172"/>
      <c r="BS92" s="171"/>
      <c r="BT92" s="176"/>
      <c r="BU92" s="172"/>
      <c r="BV92" s="172"/>
      <c r="BW92" s="172"/>
      <c r="BX92" s="172"/>
      <c r="BY92" s="172"/>
      <c r="BZ92" s="172"/>
      <c r="CA92" s="172"/>
      <c r="CB92" s="172"/>
      <c r="CC92" s="172"/>
      <c r="CD92" s="172"/>
      <c r="CE92" s="172"/>
      <c r="CF92" s="172"/>
      <c r="CG92" s="172"/>
      <c r="CH92" s="172"/>
      <c r="CI92" s="172"/>
      <c r="CJ92" s="172"/>
      <c r="CK92" s="172"/>
      <c r="CL92" s="172"/>
      <c r="CM92" s="172"/>
      <c r="CN92" s="172"/>
      <c r="CO92" s="172"/>
      <c r="CP92" s="176">
        <f>+IF(BD_MO[[#This Row],[FECHA]]&lt;&gt;"",BD_MO[[#This Row],[PUNTAL 4"]]+BD_MO[[#This Row],[PUNTAL 5"]]+BD_MO[[#This Row],[PUNTAL 6"]]+BD_MO[[#This Row],[PUNTAL 7"]]+BD_MO[[#This Row],[PUNTAL 8"]],"")</f>
        <v>0</v>
      </c>
      <c r="CQ92" s="172"/>
      <c r="CR92" s="172"/>
      <c r="CS92" s="172"/>
      <c r="CT92" s="172"/>
      <c r="CU92" s="172"/>
      <c r="CV92" s="172"/>
      <c r="CW92" s="172"/>
      <c r="CX92" s="172"/>
      <c r="CY92" s="176"/>
      <c r="CZ9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92" s="176">
        <f>+IF(BD_MO[[#This Row],[FECHA]]&lt;&gt;"",BD_MO[[#This Row],[DURMIENTE2]]*6.561+BD_MO[[#This Row],[LISTONES]]*4.921+BD_MO[[#This Row],[TABLA 1"x8"x3m]]*6.561+BD_MO[[#This Row],[TABLA 2"x8"x3m]]*13.122,"")</f>
        <v>0</v>
      </c>
      <c r="DB92" s="176">
        <f>+IF(BD_MO[[#This Row],[FECHA]]&lt;&gt;"",BD_MO[[#This Row],[PIE2 MADERA ASERRADA]]*1.95,"")</f>
        <v>0</v>
      </c>
      <c r="DC92" s="176">
        <f>+IF(BD_MO[[#This Row],[FECHA]]&lt;&gt;"",BD_MO[[#This Row],[KG. MADERA REDONDA]]+BD_MO[[#This Row],[KG MADERA ASERRADA]],"")</f>
        <v>0</v>
      </c>
      <c r="DD9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92" s="172"/>
      <c r="DF92" s="172" t="s">
        <v>12186</v>
      </c>
      <c r="DG92" s="172">
        <v>4</v>
      </c>
      <c r="DH92" s="172"/>
      <c r="DI92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92" s="180"/>
      <c r="DK92" s="180"/>
      <c r="DL92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92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92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92" s="181"/>
      <c r="DP92" s="180" t="str">
        <f>+IF(BD_MO[[#This Row],[M o D]]&lt;&gt;"",IF(BD_MO[[#This Row],[M o D]]="M",BD_MO[[#This Row],[ROTURA TMH]]/2.65,BD_MO[[#This Row],[ROTURA TMH]]/2.4),"")</f>
        <v/>
      </c>
      <c r="DQ92" s="180"/>
      <c r="DR92" s="116" t="str">
        <f>IF(BD_MO[[#This Row],[TIPO AVANCE]]="Avance",((BD_MO[[#This Row],[AVANCE (m)]]/BD_MO[[#This Row],[AVANCE TEÓRICO]]))," ")</f>
        <v xml:space="preserve"> </v>
      </c>
      <c r="DS92" s="134"/>
      <c r="DT92" s="134"/>
      <c r="DU92" s="134"/>
      <c r="DV92" s="134"/>
      <c r="DW92" s="134"/>
      <c r="DX92" s="135"/>
      <c r="DY92" s="135"/>
      <c r="DZ92" s="135"/>
    </row>
    <row r="93" spans="1:130" s="136" customFormat="1" ht="18" customHeight="1" x14ac:dyDescent="0.25">
      <c r="A93" s="168">
        <v>44656</v>
      </c>
      <c r="B93" s="169" t="s">
        <v>10655</v>
      </c>
      <c r="C93" s="169" t="s">
        <v>10668</v>
      </c>
      <c r="D93" s="170" t="s">
        <v>12181</v>
      </c>
      <c r="E93" s="171" t="str">
        <f>LEFT(BD_MO[[#This Row],[LABOR]],2)</f>
        <v>Sn</v>
      </c>
      <c r="F93" s="172"/>
      <c r="G93" s="172" t="s">
        <v>10669</v>
      </c>
      <c r="H9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93" s="171" t="str">
        <f>IF(BD_MO[FECHA]&lt;&gt;"",VLOOKUP(BD_MO[LABOR],TB_CECO[[LABOR]:[CECO_T]],3,FALSE),"")</f>
        <v>CACHORRO</v>
      </c>
      <c r="J93" s="171" t="str">
        <f>IF(BD_MO[FECHA]&lt;&gt;"",VLOOKUP(BD_MO[LABOR],D_CECO!B:H,7,FALSE),"")</f>
        <v>LINEAL</v>
      </c>
      <c r="K93" s="171" t="str">
        <f>IF(BD_MO[FECHA]&lt;&gt;"",VLOOKUP(BD_MO[LABOR],D_CECO!B:H,4,FALSE),"")</f>
        <v>EXPLORACION</v>
      </c>
      <c r="L93" s="171"/>
      <c r="M93" s="169"/>
      <c r="N93" s="172"/>
      <c r="O93" s="173" t="s">
        <v>12094</v>
      </c>
      <c r="P93" s="173" t="s">
        <v>12088</v>
      </c>
      <c r="Q93" s="173"/>
      <c r="R93" s="174"/>
      <c r="S93" s="175" t="str">
        <f>IFERROR(VLOOKUP(BD_MO[DNI 4],#REF!,2,FALSE)," ")</f>
        <v xml:space="preserve"> </v>
      </c>
      <c r="T93" s="176">
        <f>+IF(BD_MO[[#This Row],[FECHA]]&lt;&gt;"",COUNTA(BD_MO[[#This Row],[DNI]],BD_MO[[#This Row],[DNI 2]],BD_MO[[#This Row],[DNI 3]],BD_MO[[#This Row],[DNI 4]]),"")</f>
        <v>2</v>
      </c>
      <c r="U93" s="176"/>
      <c r="V93" s="176"/>
      <c r="W93" s="176"/>
      <c r="X93" s="176">
        <v>2</v>
      </c>
      <c r="Y93" s="177">
        <f>SUM(BD_MO[[#This Row],[LIMP]:[SERV]])</f>
        <v>2</v>
      </c>
      <c r="Z93" s="172"/>
      <c r="AA93" s="172" t="str">
        <f>+IF(BD_MO[[#This Row],[N° VALE]]&lt;&gt;"",1,"")</f>
        <v/>
      </c>
      <c r="AB93" s="169"/>
      <c r="AC93" s="172"/>
      <c r="AD93" s="172" t="str">
        <f>+IF(BD_MO[[#This Row],[N° VALE]]&lt;&gt;"",BD_MO[[#This Row],[FULMINANTE N° 08]]+BD_MO[CARMEX 7''],"")</f>
        <v/>
      </c>
      <c r="AE93" s="172"/>
      <c r="AF93" s="172" t="str">
        <f>+IF(BD_MO[[#This Row],[N° VALE]]&lt;&gt;"",BD_MO[[#This Row],[N° TALADROS]]+BD_MO[[#This Row],[N° TAL. VACIOS]],"")</f>
        <v/>
      </c>
      <c r="AG93" s="178"/>
      <c r="AH93" s="178"/>
      <c r="AI93" s="178"/>
      <c r="AJ93" s="178"/>
      <c r="AK93" s="178"/>
      <c r="AL93" s="178"/>
      <c r="AM93" s="171"/>
      <c r="AN93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93" s="172" t="str">
        <f>+IF(BD_MO[[#This Row],[N° VALE]]&lt;&gt;"",IF(BD_MO[[#This Row],[FULMINANTE N° 08]]&lt;&gt;"",BD_MO[[#This Row],[FULMINANTE N° 08]],IF(BD_MO[[#This Row],[CARMEX 7'']]&lt;&gt;0,0,"")),"")</f>
        <v/>
      </c>
      <c r="AP93" s="176" t="str">
        <f>+IF(BD_MO[[#This Row],[N° VALE]]&lt;&gt;"",BD_MO[[#This Row],[N°  TOTAL TALADROS]]*BD_MO[[#This Row],[BARRA]]*0.95,"")</f>
        <v/>
      </c>
      <c r="AQ93" s="176" t="str">
        <f>+IF(BD_MO[[#This Row],[N° VALE]]&lt;&gt;"",BD_MO[[#This Row],[EMULNOR 1000 (N° CART.)]]*PE_EMUL_1000[PE],"")</f>
        <v/>
      </c>
      <c r="AR93" s="176" t="str">
        <f>+IF(BD_MO[[#This Row],[N° VALE]]&lt;&gt;"",BD_MO[[#This Row],[EMULNOR 3000 (N° CART.)]]*PE_EMUL_3000[PE],"")</f>
        <v/>
      </c>
      <c r="AS93" s="176" t="str">
        <f>+IF(BD_MO[[#This Row],[N° VALE]]&lt;&gt;"",BD_MO[[#This Row],[PULVERULENTA (N° CART.)]]*PE_PULV_65[PE],"")</f>
        <v/>
      </c>
      <c r="AT93" s="176" t="str">
        <f>+IF(BD_MO[[#This Row],[N° DISP]]&lt;&gt;"",BD_MO[[#This Row],[SEMIGELATINA (N° CART.)]]*PE_SEMIGEL_65[PE],"")</f>
        <v/>
      </c>
      <c r="AU93" s="176" t="str">
        <f>+IF(BD_MO[N° VALE]&lt;&gt;"",BD_MO[[#This Row],[KG EXPLO SEMIGEL]]+BD_MO[[#This Row],[KG EXPLO PULVE]]+BD_MO[[#This Row],[KG EXPLO EMULN 3000]]+BD_MO[[#This Row],[KG EXPLO EMULN 1000]],"")</f>
        <v/>
      </c>
      <c r="AV93" s="172"/>
      <c r="AW93" s="172"/>
      <c r="AX93" s="172" t="str">
        <f>+IF(BD_MO[[#This Row],[MINERAL (U-35)]]&lt;&gt;"",BD_MO[[#This Row],[MINERAL (U-35)]]*1.45,"-")</f>
        <v>-</v>
      </c>
      <c r="AY93" s="172" t="str">
        <f>+IF(BD_MO[[#This Row],[DESMONTE (U-35)]]&lt;&gt;"",BD_MO[[#This Row],[DESMONTE (U-35)]]*1.23,"-")</f>
        <v>-</v>
      </c>
      <c r="AZ93" s="172"/>
      <c r="BA93" s="172"/>
      <c r="BB93" s="172"/>
      <c r="BC93" s="172"/>
      <c r="BD93" s="172"/>
      <c r="BE93" s="172"/>
      <c r="BF93" s="172"/>
      <c r="BG93" s="172"/>
      <c r="BH93" s="172"/>
      <c r="BI93" s="172"/>
      <c r="BJ93" s="172"/>
      <c r="BK93" s="172"/>
      <c r="BL93" s="172"/>
      <c r="BM93" s="172"/>
      <c r="BN93" s="171"/>
      <c r="BO93" s="172"/>
      <c r="BP93" s="172"/>
      <c r="BQ93" s="171"/>
      <c r="BR93" s="172"/>
      <c r="BS93" s="171"/>
      <c r="BT93" s="176"/>
      <c r="BU93" s="172"/>
      <c r="BV93" s="172"/>
      <c r="BW93" s="172"/>
      <c r="BX93" s="172"/>
      <c r="BY93" s="172"/>
      <c r="BZ93" s="172"/>
      <c r="CA93" s="172"/>
      <c r="CB93" s="172"/>
      <c r="CC93" s="172"/>
      <c r="CD93" s="172"/>
      <c r="CE93" s="172"/>
      <c r="CF93" s="172"/>
      <c r="CG93" s="172"/>
      <c r="CH93" s="172"/>
      <c r="CI93" s="172"/>
      <c r="CJ93" s="172"/>
      <c r="CK93" s="172"/>
      <c r="CL93" s="172"/>
      <c r="CM93" s="172"/>
      <c r="CN93" s="172"/>
      <c r="CO93" s="172"/>
      <c r="CP93" s="176">
        <f>+IF(BD_MO[[#This Row],[FECHA]]&lt;&gt;"",BD_MO[[#This Row],[PUNTAL 4"]]+BD_MO[[#This Row],[PUNTAL 5"]]+BD_MO[[#This Row],[PUNTAL 6"]]+BD_MO[[#This Row],[PUNTAL 7"]]+BD_MO[[#This Row],[PUNTAL 8"]],"")</f>
        <v>0</v>
      </c>
      <c r="CQ93" s="172"/>
      <c r="CR93" s="172"/>
      <c r="CS93" s="172"/>
      <c r="CT93" s="172"/>
      <c r="CU93" s="172"/>
      <c r="CV93" s="172"/>
      <c r="CW93" s="172"/>
      <c r="CX93" s="172"/>
      <c r="CY93" s="176"/>
      <c r="CZ9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93" s="176">
        <f>+IF(BD_MO[[#This Row],[FECHA]]&lt;&gt;"",BD_MO[[#This Row],[DURMIENTE2]]*6.561+BD_MO[[#This Row],[LISTONES]]*4.921+BD_MO[[#This Row],[TABLA 1"x8"x3m]]*6.561+BD_MO[[#This Row],[TABLA 2"x8"x3m]]*13.122,"")</f>
        <v>0</v>
      </c>
      <c r="DB93" s="176">
        <f>+IF(BD_MO[[#This Row],[FECHA]]&lt;&gt;"",BD_MO[[#This Row],[PIE2 MADERA ASERRADA]]*1.95,"")</f>
        <v>0</v>
      </c>
      <c r="DC93" s="176">
        <f>+IF(BD_MO[[#This Row],[FECHA]]&lt;&gt;"",BD_MO[[#This Row],[KG. MADERA REDONDA]]+BD_MO[[#This Row],[KG MADERA ASERRADA]],"")</f>
        <v>0</v>
      </c>
      <c r="DD9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93" s="172"/>
      <c r="DF93" s="172"/>
      <c r="DG93" s="172"/>
      <c r="DH93" s="172"/>
      <c r="DI93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93" s="180"/>
      <c r="DK93" s="180"/>
      <c r="DL93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93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93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93" s="181"/>
      <c r="DP93" s="180" t="str">
        <f>+IF(BD_MO[[#This Row],[M o D]]&lt;&gt;"",IF(BD_MO[[#This Row],[M o D]]="M",BD_MO[[#This Row],[ROTURA TMH]]/2.65,BD_MO[[#This Row],[ROTURA TMH]]/2.4),"")</f>
        <v/>
      </c>
      <c r="DQ93" s="180"/>
      <c r="DR93" s="116" t="str">
        <f>IF(BD_MO[[#This Row],[TIPO AVANCE]]="Avance",((BD_MO[[#This Row],[AVANCE (m)]]/BD_MO[[#This Row],[AVANCE TEÓRICO]]))," ")</f>
        <v xml:space="preserve"> </v>
      </c>
      <c r="DS93" s="134"/>
      <c r="DT93" s="134"/>
      <c r="DU93" s="134"/>
      <c r="DV93" s="134"/>
      <c r="DW93" s="134"/>
      <c r="DX93" s="135"/>
      <c r="DY93" s="135"/>
      <c r="DZ93" s="135"/>
    </row>
    <row r="94" spans="1:130" s="136" customFormat="1" ht="18" customHeight="1" x14ac:dyDescent="0.25">
      <c r="A94" s="168">
        <v>44656</v>
      </c>
      <c r="B94" s="169" t="s">
        <v>10655</v>
      </c>
      <c r="C94" s="169" t="s">
        <v>10668</v>
      </c>
      <c r="D94" s="170" t="s">
        <v>10954</v>
      </c>
      <c r="E94" s="171" t="str">
        <f>LEFT(BD_MO[[#This Row],[LABOR]],2)</f>
        <v>MO</v>
      </c>
      <c r="F94" s="172"/>
      <c r="G94" s="172" t="s">
        <v>10669</v>
      </c>
      <c r="H9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94" s="171" t="str">
        <f>IF(BD_MO[FECHA]&lt;&gt;"",VLOOKUP(BD_MO[LABOR],TB_CECO[[LABOR]:[CECO_T]],3,FALSE),"")</f>
        <v>INCA</v>
      </c>
      <c r="J94" s="171" t="str">
        <f>IF(BD_MO[FECHA]&lt;&gt;"",VLOOKUP(BD_MO[LABOR],D_CECO!B:H,7,FALSE),"")</f>
        <v>SERVICIOS</v>
      </c>
      <c r="K94" s="171" t="str">
        <f>IF(BD_MO[FECHA]&lt;&gt;"",VLOOKUP(BD_MO[LABOR],D_CECO!B:H,4,FALSE),"")</f>
        <v>SERVICIOS</v>
      </c>
      <c r="L94" s="171"/>
      <c r="M94" s="169"/>
      <c r="N94" s="172"/>
      <c r="O94" s="173" t="s">
        <v>12098</v>
      </c>
      <c r="P94" s="173" t="s">
        <v>12162</v>
      </c>
      <c r="Q94" s="173"/>
      <c r="R94" s="174"/>
      <c r="S94" s="175" t="str">
        <f>IFERROR(VLOOKUP(BD_MO[DNI 4],#REF!,2,FALSE)," ")</f>
        <v xml:space="preserve"> </v>
      </c>
      <c r="T94" s="176">
        <f>+IF(BD_MO[[#This Row],[FECHA]]&lt;&gt;"",COUNTA(BD_MO[[#This Row],[DNI]],BD_MO[[#This Row],[DNI 2]],BD_MO[[#This Row],[DNI 3]],BD_MO[[#This Row],[DNI 4]]),"")</f>
        <v>2</v>
      </c>
      <c r="U94" s="176"/>
      <c r="V94" s="176"/>
      <c r="W94" s="176"/>
      <c r="X94" s="176">
        <v>2</v>
      </c>
      <c r="Y94" s="177">
        <f>SUM(BD_MO[[#This Row],[LIMP]:[SERV]])</f>
        <v>2</v>
      </c>
      <c r="Z94" s="172"/>
      <c r="AA94" s="172" t="str">
        <f>+IF(BD_MO[[#This Row],[N° VALE]]&lt;&gt;"",1,"")</f>
        <v/>
      </c>
      <c r="AB94" s="169"/>
      <c r="AC94" s="172"/>
      <c r="AD94" s="172" t="str">
        <f>+IF(BD_MO[[#This Row],[N° VALE]]&lt;&gt;"",BD_MO[[#This Row],[FULMINANTE N° 08]]+BD_MO[CARMEX 7''],"")</f>
        <v/>
      </c>
      <c r="AE94" s="172"/>
      <c r="AF94" s="172" t="str">
        <f>+IF(BD_MO[[#This Row],[N° VALE]]&lt;&gt;"",BD_MO[[#This Row],[N° TALADROS]]+BD_MO[[#This Row],[N° TAL. VACIOS]],"")</f>
        <v/>
      </c>
      <c r="AG94" s="178"/>
      <c r="AH94" s="178"/>
      <c r="AI94" s="178"/>
      <c r="AJ94" s="178"/>
      <c r="AK94" s="178"/>
      <c r="AL94" s="178"/>
      <c r="AM94" s="171"/>
      <c r="AN9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94" s="172" t="str">
        <f>+IF(BD_MO[[#This Row],[N° VALE]]&lt;&gt;"",IF(BD_MO[[#This Row],[FULMINANTE N° 08]]&lt;&gt;"",BD_MO[[#This Row],[FULMINANTE N° 08]],IF(BD_MO[[#This Row],[CARMEX 7'']]&lt;&gt;0,0,"")),"")</f>
        <v/>
      </c>
      <c r="AP94" s="176" t="str">
        <f>+IF(BD_MO[[#This Row],[N° VALE]]&lt;&gt;"",BD_MO[[#This Row],[N°  TOTAL TALADROS]]*BD_MO[[#This Row],[BARRA]]*0.95,"")</f>
        <v/>
      </c>
      <c r="AQ94" s="176" t="str">
        <f>+IF(BD_MO[[#This Row],[N° VALE]]&lt;&gt;"",BD_MO[[#This Row],[EMULNOR 1000 (N° CART.)]]*PE_EMUL_1000[PE],"")</f>
        <v/>
      </c>
      <c r="AR94" s="176" t="str">
        <f>+IF(BD_MO[[#This Row],[N° VALE]]&lt;&gt;"",BD_MO[[#This Row],[EMULNOR 3000 (N° CART.)]]*PE_EMUL_3000[PE],"")</f>
        <v/>
      </c>
      <c r="AS94" s="176" t="str">
        <f>+IF(BD_MO[[#This Row],[N° VALE]]&lt;&gt;"",BD_MO[[#This Row],[PULVERULENTA (N° CART.)]]*PE_PULV_65[PE],"")</f>
        <v/>
      </c>
      <c r="AT94" s="176" t="str">
        <f>+IF(BD_MO[[#This Row],[N° DISP]]&lt;&gt;"",BD_MO[[#This Row],[SEMIGELATINA (N° CART.)]]*PE_SEMIGEL_65[PE],"")</f>
        <v/>
      </c>
      <c r="AU94" s="176" t="str">
        <f>+IF(BD_MO[N° VALE]&lt;&gt;"",BD_MO[[#This Row],[KG EXPLO SEMIGEL]]+BD_MO[[#This Row],[KG EXPLO PULVE]]+BD_MO[[#This Row],[KG EXPLO EMULN 3000]]+BD_MO[[#This Row],[KG EXPLO EMULN 1000]],"")</f>
        <v/>
      </c>
      <c r="AV94" s="172"/>
      <c r="AW94" s="172"/>
      <c r="AX94" s="172" t="str">
        <f>+IF(BD_MO[[#This Row],[MINERAL (U-35)]]&lt;&gt;"",BD_MO[[#This Row],[MINERAL (U-35)]]*1.45,"-")</f>
        <v>-</v>
      </c>
      <c r="AY94" s="172" t="str">
        <f>+IF(BD_MO[[#This Row],[DESMONTE (U-35)]]&lt;&gt;"",BD_MO[[#This Row],[DESMONTE (U-35)]]*1.23,"-")</f>
        <v>-</v>
      </c>
      <c r="AZ94" s="172"/>
      <c r="BA94" s="172"/>
      <c r="BB94" s="172"/>
      <c r="BC94" s="172"/>
      <c r="BD94" s="172"/>
      <c r="BE94" s="172"/>
      <c r="BF94" s="172"/>
      <c r="BG94" s="172"/>
      <c r="BH94" s="172"/>
      <c r="BI94" s="172"/>
      <c r="BJ94" s="172"/>
      <c r="BK94" s="172"/>
      <c r="BL94" s="172"/>
      <c r="BM94" s="172"/>
      <c r="BN94" s="171"/>
      <c r="BO94" s="172"/>
      <c r="BP94" s="172"/>
      <c r="BQ94" s="171"/>
      <c r="BR94" s="172"/>
      <c r="BS94" s="171"/>
      <c r="BT94" s="176"/>
      <c r="BU94" s="172"/>
      <c r="BV94" s="172"/>
      <c r="BW94" s="172"/>
      <c r="BX94" s="172"/>
      <c r="BY94" s="172"/>
      <c r="BZ94" s="172"/>
      <c r="CA94" s="172"/>
      <c r="CB94" s="172"/>
      <c r="CC94" s="172"/>
      <c r="CD94" s="172"/>
      <c r="CE94" s="172"/>
      <c r="CF94" s="172"/>
      <c r="CG94" s="172"/>
      <c r="CH94" s="172"/>
      <c r="CI94" s="172"/>
      <c r="CJ94" s="172"/>
      <c r="CK94" s="172"/>
      <c r="CL94" s="172"/>
      <c r="CM94" s="172"/>
      <c r="CN94" s="172"/>
      <c r="CO94" s="172"/>
      <c r="CP94" s="176">
        <f>+IF(BD_MO[[#This Row],[FECHA]]&lt;&gt;"",BD_MO[[#This Row],[PUNTAL 4"]]+BD_MO[[#This Row],[PUNTAL 5"]]+BD_MO[[#This Row],[PUNTAL 6"]]+BD_MO[[#This Row],[PUNTAL 7"]]+BD_MO[[#This Row],[PUNTAL 8"]],"")</f>
        <v>0</v>
      </c>
      <c r="CQ94" s="172"/>
      <c r="CR94" s="172"/>
      <c r="CS94" s="172"/>
      <c r="CT94" s="172"/>
      <c r="CU94" s="172"/>
      <c r="CV94" s="172"/>
      <c r="CW94" s="172"/>
      <c r="CX94" s="172"/>
      <c r="CY94" s="176"/>
      <c r="CZ9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94" s="176">
        <f>+IF(BD_MO[[#This Row],[FECHA]]&lt;&gt;"",BD_MO[[#This Row],[DURMIENTE2]]*6.561+BD_MO[[#This Row],[LISTONES]]*4.921+BD_MO[[#This Row],[TABLA 1"x8"x3m]]*6.561+BD_MO[[#This Row],[TABLA 2"x8"x3m]]*13.122,"")</f>
        <v>0</v>
      </c>
      <c r="DB94" s="176">
        <f>+IF(BD_MO[[#This Row],[FECHA]]&lt;&gt;"",BD_MO[[#This Row],[PIE2 MADERA ASERRADA]]*1.95,"")</f>
        <v>0</v>
      </c>
      <c r="DC94" s="176">
        <f>+IF(BD_MO[[#This Row],[FECHA]]&lt;&gt;"",BD_MO[[#This Row],[KG. MADERA REDONDA]]+BD_MO[[#This Row],[KG MADERA ASERRADA]],"")</f>
        <v>0</v>
      </c>
      <c r="DD9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94" s="172"/>
      <c r="DF94" s="172"/>
      <c r="DG94" s="172"/>
      <c r="DH94" s="172"/>
      <c r="DI9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94" s="180"/>
      <c r="DK94" s="180"/>
      <c r="DL9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9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9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94" s="181"/>
      <c r="DP94" s="180" t="str">
        <f>+IF(BD_MO[[#This Row],[M o D]]&lt;&gt;"",IF(BD_MO[[#This Row],[M o D]]="M",BD_MO[[#This Row],[ROTURA TMH]]/2.65,BD_MO[[#This Row],[ROTURA TMH]]/2.4),"")</f>
        <v/>
      </c>
      <c r="DQ94" s="180"/>
      <c r="DR94" s="116" t="str">
        <f>IF(BD_MO[[#This Row],[TIPO AVANCE]]="Avance",((BD_MO[[#This Row],[AVANCE (m)]]/BD_MO[[#This Row],[AVANCE TEÓRICO]]))," ")</f>
        <v xml:space="preserve"> </v>
      </c>
      <c r="DS94" s="134"/>
      <c r="DT94" s="134"/>
      <c r="DU94" s="134"/>
      <c r="DV94" s="134"/>
      <c r="DW94" s="134"/>
      <c r="DX94" s="135"/>
      <c r="DY94" s="135"/>
      <c r="DZ94" s="135"/>
    </row>
    <row r="95" spans="1:130" s="112" customFormat="1" ht="18" customHeight="1" thickBot="1" x14ac:dyDescent="0.3">
      <c r="A95" s="183">
        <v>44656</v>
      </c>
      <c r="B95" s="184" t="s">
        <v>10655</v>
      </c>
      <c r="C95" s="184" t="s">
        <v>10668</v>
      </c>
      <c r="D95" s="185" t="s">
        <v>10717</v>
      </c>
      <c r="E95" s="186" t="str">
        <f>LEFT(BD_MO[[#This Row],[LABOR]],2)</f>
        <v>BO</v>
      </c>
      <c r="F95" s="187"/>
      <c r="G95" s="187" t="s">
        <v>10669</v>
      </c>
      <c r="H95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95" s="186" t="str">
        <f>IF(BD_MO[FECHA]&lt;&gt;"",VLOOKUP(BD_MO[LABOR],TB_CECO[[LABOR]:[CECO_T]],3,FALSE),"")</f>
        <v>CACHORRO</v>
      </c>
      <c r="J95" s="186" t="str">
        <f>IF(BD_MO[FECHA]&lt;&gt;"",VLOOKUP(BD_MO[LABOR],D_CECO!B:H,7,FALSE),"")</f>
        <v>SERVICIOS</v>
      </c>
      <c r="K95" s="186" t="str">
        <f>IF(BD_MO[FECHA]&lt;&gt;"",VLOOKUP(BD_MO[LABOR],D_CECO!B:H,4,FALSE),"")</f>
        <v>SERVICIOS</v>
      </c>
      <c r="L95" s="186"/>
      <c r="M95" s="184"/>
      <c r="N95" s="187"/>
      <c r="O95" s="188" t="s">
        <v>12118</v>
      </c>
      <c r="P95" s="188"/>
      <c r="Q95" s="188"/>
      <c r="R95" s="189"/>
      <c r="S95" s="190" t="str">
        <f>IFERROR(VLOOKUP(BD_MO[DNI 4],#REF!,2,FALSE)," ")</f>
        <v xml:space="preserve"> </v>
      </c>
      <c r="T95" s="191">
        <f>+IF(BD_MO[[#This Row],[FECHA]]&lt;&gt;"",COUNTA(BD_MO[[#This Row],[DNI]],BD_MO[[#This Row],[DNI 2]],BD_MO[[#This Row],[DNI 3]],BD_MO[[#This Row],[DNI 4]]),"")</f>
        <v>1</v>
      </c>
      <c r="U95" s="191"/>
      <c r="V95" s="191"/>
      <c r="W95" s="191"/>
      <c r="X95" s="191">
        <v>1</v>
      </c>
      <c r="Y95" s="192">
        <f>SUM(BD_MO[[#This Row],[LIMP]:[SERV]])</f>
        <v>1</v>
      </c>
      <c r="Z95" s="187"/>
      <c r="AA95" s="187" t="str">
        <f>+IF(BD_MO[[#This Row],[N° VALE]]&lt;&gt;"",1,"")</f>
        <v/>
      </c>
      <c r="AB95" s="184"/>
      <c r="AC95" s="187"/>
      <c r="AD95" s="187" t="str">
        <f>+IF(BD_MO[[#This Row],[N° VALE]]&lt;&gt;"",BD_MO[[#This Row],[FULMINANTE N° 08]]+BD_MO[CARMEX 7''],"")</f>
        <v/>
      </c>
      <c r="AE95" s="187"/>
      <c r="AF95" s="187" t="str">
        <f>+IF(BD_MO[[#This Row],[N° VALE]]&lt;&gt;"",BD_MO[[#This Row],[N° TALADROS]]+BD_MO[[#This Row],[N° TAL. VACIOS]],"")</f>
        <v/>
      </c>
      <c r="AG95" s="193"/>
      <c r="AH95" s="193"/>
      <c r="AI95" s="193"/>
      <c r="AJ95" s="193"/>
      <c r="AK95" s="193"/>
      <c r="AL95" s="193"/>
      <c r="AM95" s="186"/>
      <c r="AN95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95" s="187" t="str">
        <f>+IF(BD_MO[[#This Row],[N° VALE]]&lt;&gt;"",IF(BD_MO[[#This Row],[FULMINANTE N° 08]]&lt;&gt;"",BD_MO[[#This Row],[FULMINANTE N° 08]],IF(BD_MO[[#This Row],[CARMEX 7'']]&lt;&gt;0,0,"")),"")</f>
        <v/>
      </c>
      <c r="AP95" s="191" t="str">
        <f>+IF(BD_MO[[#This Row],[N° VALE]]&lt;&gt;"",BD_MO[[#This Row],[N°  TOTAL TALADROS]]*BD_MO[[#This Row],[BARRA]]*0.95,"")</f>
        <v/>
      </c>
      <c r="AQ95" s="191" t="str">
        <f>+IF(BD_MO[[#This Row],[N° VALE]]&lt;&gt;"",BD_MO[[#This Row],[EMULNOR 1000 (N° CART.)]]*PE_EMUL_1000[PE],"")</f>
        <v/>
      </c>
      <c r="AR95" s="191" t="str">
        <f>+IF(BD_MO[[#This Row],[N° VALE]]&lt;&gt;"",BD_MO[[#This Row],[EMULNOR 3000 (N° CART.)]]*PE_EMUL_3000[PE],"")</f>
        <v/>
      </c>
      <c r="AS95" s="191" t="str">
        <f>+IF(BD_MO[[#This Row],[N° VALE]]&lt;&gt;"",BD_MO[[#This Row],[PULVERULENTA (N° CART.)]]*PE_PULV_65[PE],"")</f>
        <v/>
      </c>
      <c r="AT95" s="191" t="str">
        <f>+IF(BD_MO[[#This Row],[N° DISP]]&lt;&gt;"",BD_MO[[#This Row],[SEMIGELATINA (N° CART.)]]*PE_SEMIGEL_65[PE],"")</f>
        <v/>
      </c>
      <c r="AU95" s="191" t="str">
        <f>+IF(BD_MO[N° VALE]&lt;&gt;"",BD_MO[[#This Row],[KG EXPLO SEMIGEL]]+BD_MO[[#This Row],[KG EXPLO PULVE]]+BD_MO[[#This Row],[KG EXPLO EMULN 3000]]+BD_MO[[#This Row],[KG EXPLO EMULN 1000]],"")</f>
        <v/>
      </c>
      <c r="AV95" s="187"/>
      <c r="AW95" s="187"/>
      <c r="AX95" s="187" t="str">
        <f>+IF(BD_MO[[#This Row],[MINERAL (U-35)]]&lt;&gt;"",BD_MO[[#This Row],[MINERAL (U-35)]]*1.45,"-")</f>
        <v>-</v>
      </c>
      <c r="AY95" s="187" t="str">
        <f>+IF(BD_MO[[#This Row],[DESMONTE (U-35)]]&lt;&gt;"",BD_MO[[#This Row],[DESMONTE (U-35)]]*1.23,"-")</f>
        <v>-</v>
      </c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6"/>
      <c r="BO95" s="187"/>
      <c r="BP95" s="187"/>
      <c r="BQ95" s="186"/>
      <c r="BR95" s="187"/>
      <c r="BS95" s="186"/>
      <c r="BT95" s="191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91">
        <f>+IF(BD_MO[[#This Row],[FECHA]]&lt;&gt;"",BD_MO[[#This Row],[PUNTAL 4"]]+BD_MO[[#This Row],[PUNTAL 5"]]+BD_MO[[#This Row],[PUNTAL 6"]]+BD_MO[[#This Row],[PUNTAL 7"]]+BD_MO[[#This Row],[PUNTAL 8"]],"")</f>
        <v>0</v>
      </c>
      <c r="CQ95" s="187"/>
      <c r="CR95" s="187"/>
      <c r="CS95" s="187"/>
      <c r="CT95" s="187"/>
      <c r="CU95" s="187"/>
      <c r="CV95" s="187"/>
      <c r="CW95" s="187"/>
      <c r="CX95" s="187"/>
      <c r="CY95" s="191"/>
      <c r="CZ95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95" s="191">
        <f>+IF(BD_MO[[#This Row],[FECHA]]&lt;&gt;"",BD_MO[[#This Row],[DURMIENTE2]]*6.561+BD_MO[[#This Row],[LISTONES]]*4.921+BD_MO[[#This Row],[TABLA 1"x8"x3m]]*6.561+BD_MO[[#This Row],[TABLA 2"x8"x3m]]*13.122,"")</f>
        <v>0</v>
      </c>
      <c r="DB95" s="191">
        <f>+IF(BD_MO[[#This Row],[FECHA]]&lt;&gt;"",BD_MO[[#This Row],[PIE2 MADERA ASERRADA]]*1.95,"")</f>
        <v>0</v>
      </c>
      <c r="DC95" s="191">
        <f>+IF(BD_MO[[#This Row],[FECHA]]&lt;&gt;"",BD_MO[[#This Row],[KG. MADERA REDONDA]]+BD_MO[[#This Row],[KG MADERA ASERRADA]],"")</f>
        <v>0</v>
      </c>
      <c r="DD95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95" s="187"/>
      <c r="DF95" s="187"/>
      <c r="DG95" s="187"/>
      <c r="DH95" s="187"/>
      <c r="DI95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95" s="195"/>
      <c r="DK95" s="195"/>
      <c r="DL95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95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95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95" s="196"/>
      <c r="DP95" s="195" t="str">
        <f>+IF(BD_MO[[#This Row],[M o D]]&lt;&gt;"",IF(BD_MO[[#This Row],[M o D]]="M",BD_MO[[#This Row],[ROTURA TMH]]/2.65,BD_MO[[#This Row],[ROTURA TMH]]/2.4),"")</f>
        <v/>
      </c>
      <c r="DQ95" s="195"/>
      <c r="DR95" s="116" t="str">
        <f>IF(BD_MO[[#This Row],[TIPO AVANCE]]="Avance",((BD_MO[[#This Row],[AVANCE (m)]]/BD_MO[[#This Row],[AVANCE TEÓRICO]]))," ")</f>
        <v xml:space="preserve"> </v>
      </c>
      <c r="DS95" s="110"/>
      <c r="DT95" s="110"/>
      <c r="DU95" s="110"/>
      <c r="DV95" s="110"/>
      <c r="DW95" s="110"/>
      <c r="DX95" s="111"/>
      <c r="DY95" s="111"/>
      <c r="DZ95" s="111"/>
    </row>
    <row r="96" spans="1:130" s="136" customFormat="1" ht="18" customHeight="1" x14ac:dyDescent="0.25">
      <c r="A96" s="168">
        <v>44657</v>
      </c>
      <c r="B96" s="169" t="s">
        <v>10647</v>
      </c>
      <c r="C96" s="169" t="s">
        <v>10680</v>
      </c>
      <c r="D96" s="170" t="s">
        <v>12149</v>
      </c>
      <c r="E96" s="171" t="str">
        <f>LEFT(BD_MO[[#This Row],[LABOR]],2)</f>
        <v>Es</v>
      </c>
      <c r="F96" s="172" t="s">
        <v>10687</v>
      </c>
      <c r="G96" s="172" t="s">
        <v>10648</v>
      </c>
      <c r="H9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96" s="171" t="str">
        <f>IF(BD_MO[FECHA]&lt;&gt;"",VLOOKUP(BD_MO[LABOR],TB_CECO[[LABOR]:[CECO_T]],3,FALSE),"")</f>
        <v>VANESSA</v>
      </c>
      <c r="J96" s="171" t="str">
        <f>IF(BD_MO[FECHA]&lt;&gt;"",VLOOKUP(BD_MO[LABOR],D_CECO!B:H,7,FALSE),"")</f>
        <v>LINEAL</v>
      </c>
      <c r="K96" s="171" t="str">
        <f>IF(BD_MO[FECHA]&lt;&gt;"",VLOOKUP(BD_MO[LABOR],D_CECO!B:H,4,FALSE),"")</f>
        <v>EXPLORACION</v>
      </c>
      <c r="L96" s="171"/>
      <c r="M96" s="169" t="s">
        <v>10646</v>
      </c>
      <c r="N96" s="172"/>
      <c r="O96" s="173" t="s">
        <v>11904</v>
      </c>
      <c r="P96" s="173" t="s">
        <v>11926</v>
      </c>
      <c r="Q96" s="173"/>
      <c r="R96" s="174"/>
      <c r="S96" s="175" t="str">
        <f>IFERROR(VLOOKUP(BD_MO[DNI 4],#REF!,2,FALSE)," ")</f>
        <v xml:space="preserve"> </v>
      </c>
      <c r="T96" s="176">
        <f>+IF(BD_MO[[#This Row],[FECHA]]&lt;&gt;"",COUNTA(BD_MO[[#This Row],[DNI]],BD_MO[[#This Row],[DNI 2]],BD_MO[[#This Row],[DNI 3]],BD_MO[[#This Row],[DNI 4]]),"")</f>
        <v>2</v>
      </c>
      <c r="U96" s="176">
        <v>1.2</v>
      </c>
      <c r="V96" s="176">
        <v>0.6</v>
      </c>
      <c r="W96" s="176">
        <v>0.3</v>
      </c>
      <c r="X96" s="176">
        <v>0.1</v>
      </c>
      <c r="Y96" s="177">
        <f>SUM(BD_MO[[#This Row],[LIMP]:[SERV]])</f>
        <v>2.1999999999999997</v>
      </c>
      <c r="Z96" s="172" t="s">
        <v>12189</v>
      </c>
      <c r="AA96" s="172">
        <f>+IF(BD_MO[[#This Row],[N° VALE]]&lt;&gt;"",1,"")</f>
        <v>1</v>
      </c>
      <c r="AB96" s="169" t="s">
        <v>10710</v>
      </c>
      <c r="AC96" s="172">
        <v>5</v>
      </c>
      <c r="AD96" s="172">
        <f>+IF(BD_MO[[#This Row],[N° VALE]]&lt;&gt;"",BD_MO[[#This Row],[FULMINANTE N° 08]]+BD_MO[CARMEX 7''],"")</f>
        <v>18</v>
      </c>
      <c r="AE96" s="172">
        <v>3</v>
      </c>
      <c r="AF96" s="172">
        <f>+IF(BD_MO[[#This Row],[N° VALE]]&lt;&gt;"",BD_MO[[#This Row],[N° TALADROS]]+BD_MO[[#This Row],[N° TAL. VACIOS]],"")</f>
        <v>21</v>
      </c>
      <c r="AG96" s="178">
        <v>50</v>
      </c>
      <c r="AH96" s="178">
        <v>60</v>
      </c>
      <c r="AI96" s="178"/>
      <c r="AJ96" s="178"/>
      <c r="AK96" s="178">
        <v>18</v>
      </c>
      <c r="AL96" s="178">
        <v>4</v>
      </c>
      <c r="AM96" s="171"/>
      <c r="AN96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96" s="172">
        <f>+IF(BD_MO[[#This Row],[N° VALE]]&lt;&gt;"",IF(BD_MO[[#This Row],[FULMINANTE N° 08]]&lt;&gt;"",BD_MO[[#This Row],[FULMINANTE N° 08]],IF(BD_MO[[#This Row],[CARMEX 7'']]&lt;&gt;0,0,"")),"")</f>
        <v>0</v>
      </c>
      <c r="AP96" s="176">
        <f>+IF(BD_MO[[#This Row],[N° VALE]]&lt;&gt;"",BD_MO[[#This Row],[N°  TOTAL TALADROS]]*BD_MO[[#This Row],[BARRA]]*0.95,"")</f>
        <v>99.75</v>
      </c>
      <c r="AQ96" s="176">
        <f>+IF(BD_MO[[#This Row],[N° VALE]]&lt;&gt;"",BD_MO[[#This Row],[EMULNOR 1000 (N° CART.)]]*PE_EMUL_1000[PE],"")</f>
        <v>5.6820000000000004</v>
      </c>
      <c r="AR96" s="176">
        <f>+IF(BD_MO[[#This Row],[N° VALE]]&lt;&gt;"",BD_MO[[#This Row],[EMULNOR 3000 (N° CART.)]]*PE_EMUL_3000[PE],"")</f>
        <v>4.8076923076923102</v>
      </c>
      <c r="AS96" s="176">
        <f>+IF(BD_MO[[#This Row],[N° VALE]]&lt;&gt;"",BD_MO[[#This Row],[PULVERULENTA (N° CART.)]]*PE_PULV_65[PE],"")</f>
        <v>0</v>
      </c>
      <c r="AT96" s="176">
        <f>+IF(BD_MO[[#This Row],[N° DISP]]&lt;&gt;"",BD_MO[[#This Row],[SEMIGELATINA (N° CART.)]]*PE_SEMIGEL_65[PE],"")</f>
        <v>0</v>
      </c>
      <c r="AU96" s="176">
        <f>+IF(BD_MO[N° VALE]&lt;&gt;"",BD_MO[[#This Row],[KG EXPLO SEMIGEL]]+BD_MO[[#This Row],[KG EXPLO PULVE]]+BD_MO[[#This Row],[KG EXPLO EMULN 3000]]+BD_MO[[#This Row],[KG EXPLO EMULN 1000]],"")</f>
        <v>10.489692307692311</v>
      </c>
      <c r="AV96" s="172"/>
      <c r="AW96" s="172"/>
      <c r="AX96" s="172" t="str">
        <f>+IF(BD_MO[[#This Row],[MINERAL (U-35)]]&lt;&gt;"",BD_MO[[#This Row],[MINERAL (U-35)]]*1.45,"-")</f>
        <v>-</v>
      </c>
      <c r="AY96" s="172" t="str">
        <f>+IF(BD_MO[[#This Row],[DESMONTE (U-35)]]&lt;&gt;"",BD_MO[[#This Row],[DESMONTE (U-35)]]*1.23,"-")</f>
        <v>-</v>
      </c>
      <c r="AZ96" s="172"/>
      <c r="BA96" s="172"/>
      <c r="BB96" s="172"/>
      <c r="BC96" s="172"/>
      <c r="BD96" s="172"/>
      <c r="BE96" s="172"/>
      <c r="BF96" s="172"/>
      <c r="BG96" s="172"/>
      <c r="BH96" s="172"/>
      <c r="BI96" s="172">
        <v>1</v>
      </c>
      <c r="BJ96" s="172"/>
      <c r="BK96" s="172"/>
      <c r="BL96" s="172"/>
      <c r="BM96" s="172"/>
      <c r="BN96" s="171">
        <v>2.5</v>
      </c>
      <c r="BO96" s="172"/>
      <c r="BP96" s="172"/>
      <c r="BQ96" s="171"/>
      <c r="BR96" s="172"/>
      <c r="BS96" s="171"/>
      <c r="BT96" s="176"/>
      <c r="BU96" s="172"/>
      <c r="BV96" s="172"/>
      <c r="BW96" s="172"/>
      <c r="BX96" s="172"/>
      <c r="BY96" s="172"/>
      <c r="BZ96" s="172"/>
      <c r="CA96" s="172"/>
      <c r="CB96" s="172"/>
      <c r="CC96" s="172"/>
      <c r="CD96" s="172"/>
      <c r="CE96" s="172"/>
      <c r="CF96" s="172"/>
      <c r="CG96" s="172"/>
      <c r="CH96" s="172"/>
      <c r="CI96" s="172"/>
      <c r="CJ96" s="172"/>
      <c r="CK96" s="172"/>
      <c r="CL96" s="172"/>
      <c r="CM96" s="172"/>
      <c r="CN96" s="172"/>
      <c r="CO96" s="172"/>
      <c r="CP96" s="176">
        <f>+IF(BD_MO[[#This Row],[FECHA]]&lt;&gt;"",BD_MO[[#This Row],[PUNTAL 4"]]+BD_MO[[#This Row],[PUNTAL 5"]]+BD_MO[[#This Row],[PUNTAL 6"]]+BD_MO[[#This Row],[PUNTAL 7"]]+BD_MO[[#This Row],[PUNTAL 8"]],"")</f>
        <v>0</v>
      </c>
      <c r="CQ96" s="172"/>
      <c r="CR96" s="172"/>
      <c r="CS96" s="172"/>
      <c r="CT96" s="172"/>
      <c r="CU96" s="172"/>
      <c r="CV96" s="172"/>
      <c r="CW96" s="172"/>
      <c r="CX96" s="172"/>
      <c r="CY96" s="176"/>
      <c r="CZ9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96" s="176">
        <f>+IF(BD_MO[[#This Row],[FECHA]]&lt;&gt;"",BD_MO[[#This Row],[DURMIENTE2]]*6.561+BD_MO[[#This Row],[LISTONES]]*4.921+BD_MO[[#This Row],[TABLA 1"x8"x3m]]*6.561+BD_MO[[#This Row],[TABLA 2"x8"x3m]]*13.122,"")</f>
        <v>0</v>
      </c>
      <c r="DB96" s="176">
        <f>+IF(BD_MO[[#This Row],[FECHA]]&lt;&gt;"",BD_MO[[#This Row],[PIE2 MADERA ASERRADA]]*1.95,"")</f>
        <v>0</v>
      </c>
      <c r="DC96" s="176">
        <f>+IF(BD_MO[[#This Row],[FECHA]]&lt;&gt;"",BD_MO[[#This Row],[KG. MADERA REDONDA]]+BD_MO[[#This Row],[KG MADERA ASERRADA]],"")</f>
        <v>0</v>
      </c>
      <c r="DD9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96" s="172"/>
      <c r="DF96" s="172"/>
      <c r="DG96" s="172"/>
      <c r="DH96" s="172"/>
      <c r="DI96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96" s="180"/>
      <c r="DK96" s="180"/>
      <c r="DL9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96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96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96" s="181">
        <v>9.98</v>
      </c>
      <c r="DP96" s="180">
        <v>3.7</v>
      </c>
      <c r="DQ96" s="180">
        <v>0.7</v>
      </c>
      <c r="DR96" s="116">
        <f>IF(BD_MO[[#This Row],[TIPO AVANCE]]="Avance",((BD_MO[[#This Row],[AVANCE (m)]]/BD_MO[[#This Row],[AVANCE TEÓRICO]]))," ")</f>
        <v>0.51851851851851849</v>
      </c>
      <c r="DS96" s="134"/>
      <c r="DT96" s="134"/>
      <c r="DU96" s="134"/>
      <c r="DV96" s="134"/>
      <c r="DW96" s="134"/>
      <c r="DX96" s="135"/>
      <c r="DY96" s="135"/>
      <c r="DZ96" s="135"/>
    </row>
    <row r="97" spans="1:130" s="136" customFormat="1" ht="18" customHeight="1" x14ac:dyDescent="0.25">
      <c r="A97" s="168">
        <v>44657</v>
      </c>
      <c r="B97" s="169" t="s">
        <v>10647</v>
      </c>
      <c r="C97" s="169" t="s">
        <v>10680</v>
      </c>
      <c r="D97" s="94" t="s">
        <v>12176</v>
      </c>
      <c r="E97" s="171" t="str">
        <f>LEFT(BD_MO[[#This Row],[LABOR]],2)</f>
        <v>Sn</v>
      </c>
      <c r="F97" s="172"/>
      <c r="G97" s="172" t="s">
        <v>10669</v>
      </c>
      <c r="H9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97" s="171" t="str">
        <f>IF(BD_MO[FECHA]&lt;&gt;"",VLOOKUP(BD_MO[LABOR],TB_CECO[[LABOR]:[CECO_T]],3,FALSE),"")</f>
        <v>VANESSA</v>
      </c>
      <c r="J97" s="171" t="str">
        <f>IF(BD_MO[FECHA]&lt;&gt;"",VLOOKUP(BD_MO[LABOR],D_CECO!B:H,7,FALSE),"")</f>
        <v>LINEAL</v>
      </c>
      <c r="K97" s="171" t="str">
        <f>IF(BD_MO[FECHA]&lt;&gt;"",VLOOKUP(BD_MO[LABOR],D_CECO!B:H,4,FALSE),"")</f>
        <v>EXPLORACION</v>
      </c>
      <c r="L97" s="171"/>
      <c r="M97" s="169"/>
      <c r="N97" s="172"/>
      <c r="O97" s="173" t="s">
        <v>11911</v>
      </c>
      <c r="P97" s="173" t="s">
        <v>11913</v>
      </c>
      <c r="Q97" s="173"/>
      <c r="R97" s="174"/>
      <c r="S97" s="175" t="str">
        <f>IFERROR(VLOOKUP(BD_MO[DNI 4],#REF!,2,FALSE)," ")</f>
        <v xml:space="preserve"> </v>
      </c>
      <c r="T97" s="176">
        <f>+IF(BD_MO[[#This Row],[FECHA]]&lt;&gt;"",COUNTA(BD_MO[[#This Row],[DNI]],BD_MO[[#This Row],[DNI 2]],BD_MO[[#This Row],[DNI 3]],BD_MO[[#This Row],[DNI 4]]),"")</f>
        <v>2</v>
      </c>
      <c r="U97" s="176">
        <v>1.2</v>
      </c>
      <c r="V97" s="176"/>
      <c r="W97" s="176"/>
      <c r="X97" s="176">
        <v>0.8</v>
      </c>
      <c r="Y97" s="177">
        <f>SUM(BD_MO[[#This Row],[LIMP]:[SERV]])</f>
        <v>2</v>
      </c>
      <c r="Z97" s="172"/>
      <c r="AA97" s="172" t="str">
        <f>+IF(BD_MO[[#This Row],[N° VALE]]&lt;&gt;"",1,"")</f>
        <v/>
      </c>
      <c r="AB97" s="169"/>
      <c r="AC97" s="172"/>
      <c r="AD97" s="172" t="str">
        <f>+IF(BD_MO[[#This Row],[N° VALE]]&lt;&gt;"",BD_MO[[#This Row],[FULMINANTE N° 08]]+BD_MO[CARMEX 7''],"")</f>
        <v/>
      </c>
      <c r="AE97" s="172"/>
      <c r="AF97" s="172" t="str">
        <f>+IF(BD_MO[[#This Row],[N° VALE]]&lt;&gt;"",BD_MO[[#This Row],[N° TALADROS]]+BD_MO[[#This Row],[N° TAL. VACIOS]],"")</f>
        <v/>
      </c>
      <c r="AG97" s="178"/>
      <c r="AH97" s="178"/>
      <c r="AI97" s="178"/>
      <c r="AJ97" s="178"/>
      <c r="AK97" s="178"/>
      <c r="AL97" s="178"/>
      <c r="AM97" s="171"/>
      <c r="AN97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97" s="172" t="str">
        <f>+IF(BD_MO[[#This Row],[N° VALE]]&lt;&gt;"",IF(BD_MO[[#This Row],[FULMINANTE N° 08]]&lt;&gt;"",BD_MO[[#This Row],[FULMINANTE N° 08]],IF(BD_MO[[#This Row],[CARMEX 7'']]&lt;&gt;0,0,"")),"")</f>
        <v/>
      </c>
      <c r="AP97" s="176" t="str">
        <f>+IF(BD_MO[[#This Row],[N° VALE]]&lt;&gt;"",BD_MO[[#This Row],[N°  TOTAL TALADROS]]*BD_MO[[#This Row],[BARRA]]*0.95,"")</f>
        <v/>
      </c>
      <c r="AQ97" s="176" t="str">
        <f>+IF(BD_MO[[#This Row],[N° VALE]]&lt;&gt;"",BD_MO[[#This Row],[EMULNOR 1000 (N° CART.)]]*PE_EMUL_1000[PE],"")</f>
        <v/>
      </c>
      <c r="AR97" s="176" t="str">
        <f>+IF(BD_MO[[#This Row],[N° VALE]]&lt;&gt;"",BD_MO[[#This Row],[EMULNOR 3000 (N° CART.)]]*PE_EMUL_3000[PE],"")</f>
        <v/>
      </c>
      <c r="AS97" s="176" t="str">
        <f>+IF(BD_MO[[#This Row],[N° VALE]]&lt;&gt;"",BD_MO[[#This Row],[PULVERULENTA (N° CART.)]]*PE_PULV_65[PE],"")</f>
        <v/>
      </c>
      <c r="AT97" s="176" t="str">
        <f>+IF(BD_MO[[#This Row],[N° DISP]]&lt;&gt;"",BD_MO[[#This Row],[SEMIGELATINA (N° CART.)]]*PE_SEMIGEL_65[PE],"")</f>
        <v/>
      </c>
      <c r="AU97" s="176" t="str">
        <f>+IF(BD_MO[N° VALE]&lt;&gt;"",BD_MO[[#This Row],[KG EXPLO SEMIGEL]]+BD_MO[[#This Row],[KG EXPLO PULVE]]+BD_MO[[#This Row],[KG EXPLO EMULN 3000]]+BD_MO[[#This Row],[KG EXPLO EMULN 1000]],"")</f>
        <v/>
      </c>
      <c r="AV97" s="172"/>
      <c r="AW97" s="172"/>
      <c r="AX97" s="172" t="str">
        <f>+IF(BD_MO[[#This Row],[MINERAL (U-35)]]&lt;&gt;"",BD_MO[[#This Row],[MINERAL (U-35)]]*1.45,"-")</f>
        <v>-</v>
      </c>
      <c r="AY97" s="172" t="str">
        <f>+IF(BD_MO[[#This Row],[DESMONTE (U-35)]]&lt;&gt;"",BD_MO[[#This Row],[DESMONTE (U-35)]]*1.23,"-")</f>
        <v>-</v>
      </c>
      <c r="AZ97" s="172"/>
      <c r="BA97" s="172"/>
      <c r="BB97" s="172"/>
      <c r="BC97" s="172"/>
      <c r="BD97" s="172"/>
      <c r="BE97" s="172"/>
      <c r="BF97" s="172"/>
      <c r="BG97" s="172"/>
      <c r="BH97" s="172"/>
      <c r="BI97" s="172"/>
      <c r="BJ97" s="172"/>
      <c r="BK97" s="172"/>
      <c r="BL97" s="172"/>
      <c r="BM97" s="172"/>
      <c r="BN97" s="171"/>
      <c r="BO97" s="172"/>
      <c r="BP97" s="172"/>
      <c r="BQ97" s="171"/>
      <c r="BR97" s="172"/>
      <c r="BS97" s="171"/>
      <c r="BT97" s="176"/>
      <c r="BU97" s="172"/>
      <c r="BV97" s="172"/>
      <c r="BW97" s="172"/>
      <c r="BX97" s="172"/>
      <c r="BY97" s="172"/>
      <c r="BZ97" s="172"/>
      <c r="CA97" s="172"/>
      <c r="CB97" s="172"/>
      <c r="CC97" s="172"/>
      <c r="CD97" s="172"/>
      <c r="CE97" s="172"/>
      <c r="CF97" s="172"/>
      <c r="CG97" s="172"/>
      <c r="CH97" s="172"/>
      <c r="CI97" s="172"/>
      <c r="CJ97" s="172"/>
      <c r="CK97" s="172"/>
      <c r="CL97" s="172"/>
      <c r="CM97" s="172"/>
      <c r="CN97" s="172"/>
      <c r="CO97" s="172"/>
      <c r="CP97" s="176">
        <f>+IF(BD_MO[[#This Row],[FECHA]]&lt;&gt;"",BD_MO[[#This Row],[PUNTAL 4"]]+BD_MO[[#This Row],[PUNTAL 5"]]+BD_MO[[#This Row],[PUNTAL 6"]]+BD_MO[[#This Row],[PUNTAL 7"]]+BD_MO[[#This Row],[PUNTAL 8"]],"")</f>
        <v>0</v>
      </c>
      <c r="CQ97" s="172"/>
      <c r="CR97" s="172"/>
      <c r="CS97" s="172"/>
      <c r="CT97" s="172"/>
      <c r="CU97" s="172"/>
      <c r="CV97" s="172"/>
      <c r="CW97" s="172"/>
      <c r="CX97" s="172"/>
      <c r="CY97" s="176"/>
      <c r="CZ9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97" s="176">
        <f>+IF(BD_MO[[#This Row],[FECHA]]&lt;&gt;"",BD_MO[[#This Row],[DURMIENTE2]]*6.561+BD_MO[[#This Row],[LISTONES]]*4.921+BD_MO[[#This Row],[TABLA 1"x8"x3m]]*6.561+BD_MO[[#This Row],[TABLA 2"x8"x3m]]*13.122,"")</f>
        <v>0</v>
      </c>
      <c r="DB97" s="176">
        <f>+IF(BD_MO[[#This Row],[FECHA]]&lt;&gt;"",BD_MO[[#This Row],[PIE2 MADERA ASERRADA]]*1.95,"")</f>
        <v>0</v>
      </c>
      <c r="DC97" s="176">
        <f>+IF(BD_MO[[#This Row],[FECHA]]&lt;&gt;"",BD_MO[[#This Row],[KG. MADERA REDONDA]]+BD_MO[[#This Row],[KG MADERA ASERRADA]],"")</f>
        <v>0</v>
      </c>
      <c r="DD9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97" s="172"/>
      <c r="DF97" s="172"/>
      <c r="DG97" s="172"/>
      <c r="DH97" s="172"/>
      <c r="DI97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97" s="180"/>
      <c r="DK97" s="180"/>
      <c r="DL9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97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97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97" s="181"/>
      <c r="DP97" s="180" t="str">
        <f>+IF(BD_MO[[#This Row],[M o D]]&lt;&gt;"",IF(BD_MO[[#This Row],[M o D]]="M",BD_MO[[#This Row],[ROTURA TMH]]/2.65,BD_MO[[#This Row],[ROTURA TMH]]/2.4),"")</f>
        <v/>
      </c>
      <c r="DQ97" s="180"/>
      <c r="DR97" s="116" t="str">
        <f>IF(BD_MO[[#This Row],[TIPO AVANCE]]="Avance",((BD_MO[[#This Row],[AVANCE (m)]]/BD_MO[[#This Row],[AVANCE TEÓRICO]]))," ")</f>
        <v xml:space="preserve"> </v>
      </c>
      <c r="DS97" s="134"/>
      <c r="DT97" s="134"/>
      <c r="DU97" s="134"/>
      <c r="DV97" s="134"/>
      <c r="DW97" s="134"/>
      <c r="DX97" s="135"/>
      <c r="DY97" s="135"/>
      <c r="DZ97" s="135"/>
    </row>
    <row r="98" spans="1:130" s="136" customFormat="1" ht="18" customHeight="1" x14ac:dyDescent="0.25">
      <c r="A98" s="168">
        <v>44657</v>
      </c>
      <c r="B98" s="169" t="s">
        <v>10647</v>
      </c>
      <c r="C98" s="169" t="s">
        <v>10680</v>
      </c>
      <c r="D98" s="170" t="s">
        <v>12164</v>
      </c>
      <c r="E98" s="171" t="str">
        <f>LEFT(BD_MO[[#This Row],[LABOR]],2)</f>
        <v>Tj</v>
      </c>
      <c r="F98" s="172"/>
      <c r="G98" s="172" t="s">
        <v>10662</v>
      </c>
      <c r="H98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98" s="171" t="str">
        <f>IF(BD_MO[FECHA]&lt;&gt;"",VLOOKUP(BD_MO[LABOR],TB_CECO[[LABOR]:[CECO_T]],3,FALSE),"")</f>
        <v>VANESSA</v>
      </c>
      <c r="J98" s="171" t="str">
        <f>IF(BD_MO[FECHA]&lt;&gt;"",VLOOKUP(BD_MO[LABOR],D_CECO!B:H,7,FALSE),"")</f>
        <v>TAJO</v>
      </c>
      <c r="K98" s="171" t="str">
        <f>IF(BD_MO[FECHA]&lt;&gt;"",VLOOKUP(BD_MO[LABOR],D_CECO!B:H,4,FALSE),"")</f>
        <v>EXPLOTACION</v>
      </c>
      <c r="L98" s="171"/>
      <c r="M98" s="169"/>
      <c r="N98" s="172"/>
      <c r="O98" s="173" t="s">
        <v>12165</v>
      </c>
      <c r="P98" s="173" t="s">
        <v>11912</v>
      </c>
      <c r="Q98" s="173"/>
      <c r="R98" s="174"/>
      <c r="S98" s="175" t="str">
        <f>IFERROR(VLOOKUP(BD_MO[DNI 4],#REF!,2,FALSE)," ")</f>
        <v xml:space="preserve"> </v>
      </c>
      <c r="T98" s="176">
        <f>+IF(BD_MO[[#This Row],[FECHA]]&lt;&gt;"",COUNTA(BD_MO[[#This Row],[DNI]],BD_MO[[#This Row],[DNI 2]],BD_MO[[#This Row],[DNI 3]],BD_MO[[#This Row],[DNI 4]]),"")</f>
        <v>2</v>
      </c>
      <c r="U98" s="176">
        <v>0.6</v>
      </c>
      <c r="V98" s="176"/>
      <c r="W98" s="176">
        <v>1.3</v>
      </c>
      <c r="X98" s="176">
        <v>0.1</v>
      </c>
      <c r="Y98" s="177">
        <f>SUM(BD_MO[[#This Row],[LIMP]:[SERV]])</f>
        <v>2</v>
      </c>
      <c r="Z98" s="172"/>
      <c r="AA98" s="172" t="str">
        <f>+IF(BD_MO[[#This Row],[N° VALE]]&lt;&gt;"",1,"")</f>
        <v/>
      </c>
      <c r="AB98" s="169"/>
      <c r="AC98" s="172"/>
      <c r="AD98" s="172" t="str">
        <f>+IF(BD_MO[[#This Row],[N° VALE]]&lt;&gt;"",BD_MO[[#This Row],[FULMINANTE N° 08]]+BD_MO[CARMEX 7''],"")</f>
        <v/>
      </c>
      <c r="AE98" s="172"/>
      <c r="AF98" s="172" t="str">
        <f>+IF(BD_MO[[#This Row],[N° VALE]]&lt;&gt;"",BD_MO[[#This Row],[N° TALADROS]]+BD_MO[[#This Row],[N° TAL. VACIOS]],"")</f>
        <v/>
      </c>
      <c r="AG98" s="178"/>
      <c r="AH98" s="178"/>
      <c r="AI98" s="178"/>
      <c r="AJ98" s="178"/>
      <c r="AK98" s="178"/>
      <c r="AL98" s="178"/>
      <c r="AM98" s="171"/>
      <c r="AN98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98" s="172" t="str">
        <f>+IF(BD_MO[[#This Row],[N° VALE]]&lt;&gt;"",IF(BD_MO[[#This Row],[FULMINANTE N° 08]]&lt;&gt;"",BD_MO[[#This Row],[FULMINANTE N° 08]],IF(BD_MO[[#This Row],[CARMEX 7'']]&lt;&gt;0,0,"")),"")</f>
        <v/>
      </c>
      <c r="AP98" s="176" t="str">
        <f>+IF(BD_MO[[#This Row],[N° VALE]]&lt;&gt;"",BD_MO[[#This Row],[N°  TOTAL TALADROS]]*BD_MO[[#This Row],[BARRA]]*0.95,"")</f>
        <v/>
      </c>
      <c r="AQ98" s="176" t="str">
        <f>+IF(BD_MO[[#This Row],[N° VALE]]&lt;&gt;"",BD_MO[[#This Row],[EMULNOR 1000 (N° CART.)]]*PE_EMUL_1000[PE],"")</f>
        <v/>
      </c>
      <c r="AR98" s="176" t="str">
        <f>+IF(BD_MO[[#This Row],[N° VALE]]&lt;&gt;"",BD_MO[[#This Row],[EMULNOR 3000 (N° CART.)]]*PE_EMUL_3000[PE],"")</f>
        <v/>
      </c>
      <c r="AS98" s="176" t="str">
        <f>+IF(BD_MO[[#This Row],[N° VALE]]&lt;&gt;"",BD_MO[[#This Row],[PULVERULENTA (N° CART.)]]*PE_PULV_65[PE],"")</f>
        <v/>
      </c>
      <c r="AT98" s="176" t="str">
        <f>+IF(BD_MO[[#This Row],[N° DISP]]&lt;&gt;"",BD_MO[[#This Row],[SEMIGELATINA (N° CART.)]]*PE_SEMIGEL_65[PE],"")</f>
        <v/>
      </c>
      <c r="AU98" s="176" t="str">
        <f>+IF(BD_MO[N° VALE]&lt;&gt;"",BD_MO[[#This Row],[KG EXPLO SEMIGEL]]+BD_MO[[#This Row],[KG EXPLO PULVE]]+BD_MO[[#This Row],[KG EXPLO EMULN 3000]]+BD_MO[[#This Row],[KG EXPLO EMULN 1000]],"")</f>
        <v/>
      </c>
      <c r="AV98" s="172">
        <v>10</v>
      </c>
      <c r="AW98" s="172"/>
      <c r="AX98" s="172">
        <f>+IF(BD_MO[[#This Row],[MINERAL (U-35)]]&lt;&gt;"",BD_MO[[#This Row],[MINERAL (U-35)]]*1.45,"-")</f>
        <v>14.5</v>
      </c>
      <c r="AY98" s="172" t="str">
        <f>+IF(BD_MO[[#This Row],[DESMONTE (U-35)]]&lt;&gt;"",BD_MO[[#This Row],[DESMONTE (U-35)]]*1.23,"-")</f>
        <v>-</v>
      </c>
      <c r="AZ98" s="172"/>
      <c r="BA98" s="172">
        <v>1</v>
      </c>
      <c r="BB98" s="172"/>
      <c r="BC98" s="172"/>
      <c r="BD98" s="172"/>
      <c r="BE98" s="172"/>
      <c r="BF98" s="172"/>
      <c r="BG98" s="172">
        <v>2</v>
      </c>
      <c r="BH98" s="172"/>
      <c r="BI98" s="172"/>
      <c r="BJ98" s="172"/>
      <c r="BK98" s="172"/>
      <c r="BL98" s="172"/>
      <c r="BM98" s="172"/>
      <c r="BN98" s="171"/>
      <c r="BO98" s="172">
        <v>1</v>
      </c>
      <c r="BP98" s="172"/>
      <c r="BQ98" s="171"/>
      <c r="BR98" s="172"/>
      <c r="BS98" s="171"/>
      <c r="BT98" s="176"/>
      <c r="BU98" s="172"/>
      <c r="BV98" s="172"/>
      <c r="BW98" s="172"/>
      <c r="BX98" s="172"/>
      <c r="BY98" s="172"/>
      <c r="BZ98" s="172"/>
      <c r="CA98" s="172"/>
      <c r="CB98" s="172"/>
      <c r="CC98" s="172"/>
      <c r="CD98" s="172"/>
      <c r="CE98" s="172"/>
      <c r="CF98" s="172"/>
      <c r="CG98" s="172"/>
      <c r="CH98" s="172"/>
      <c r="CI98" s="172"/>
      <c r="CJ98" s="172"/>
      <c r="CK98" s="172"/>
      <c r="CL98" s="172"/>
      <c r="CM98" s="172"/>
      <c r="CN98" s="172"/>
      <c r="CO98" s="172"/>
      <c r="CP98" s="176">
        <f>+IF(BD_MO[[#This Row],[FECHA]]&lt;&gt;"",BD_MO[[#This Row],[PUNTAL 4"]]+BD_MO[[#This Row],[PUNTAL 5"]]+BD_MO[[#This Row],[PUNTAL 6"]]+BD_MO[[#This Row],[PUNTAL 7"]]+BD_MO[[#This Row],[PUNTAL 8"]],"")</f>
        <v>0</v>
      </c>
      <c r="CQ98" s="172"/>
      <c r="CR98" s="172"/>
      <c r="CS98" s="172"/>
      <c r="CT98" s="172"/>
      <c r="CU98" s="172"/>
      <c r="CV98" s="172"/>
      <c r="CW98" s="172"/>
      <c r="CX98" s="172"/>
      <c r="CY98" s="176"/>
      <c r="CZ98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98" s="176">
        <f>+IF(BD_MO[[#This Row],[FECHA]]&lt;&gt;"",BD_MO[[#This Row],[DURMIENTE2]]*6.561+BD_MO[[#This Row],[LISTONES]]*4.921+BD_MO[[#This Row],[TABLA 1"x8"x3m]]*6.561+BD_MO[[#This Row],[TABLA 2"x8"x3m]]*13.122,"")</f>
        <v>0</v>
      </c>
      <c r="DB98" s="176">
        <f>+IF(BD_MO[[#This Row],[FECHA]]&lt;&gt;"",BD_MO[[#This Row],[PIE2 MADERA ASERRADA]]*1.95,"")</f>
        <v>0</v>
      </c>
      <c r="DC98" s="176">
        <f>+IF(BD_MO[[#This Row],[FECHA]]&lt;&gt;"",BD_MO[[#This Row],[KG. MADERA REDONDA]]+BD_MO[[#This Row],[KG MADERA ASERRADA]],"")</f>
        <v>0</v>
      </c>
      <c r="DD98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98" s="172"/>
      <c r="DF98" s="172"/>
      <c r="DG98" s="172"/>
      <c r="DH98" s="172"/>
      <c r="DI98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98" s="180"/>
      <c r="DK98" s="180"/>
      <c r="DL98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98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98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98" s="181"/>
      <c r="DP98" s="180" t="str">
        <f>+IF(BD_MO[[#This Row],[M o D]]&lt;&gt;"",IF(BD_MO[[#This Row],[M o D]]="M",BD_MO[[#This Row],[ROTURA TMH]]/2.65,BD_MO[[#This Row],[ROTURA TMH]]/2.4),"")</f>
        <v/>
      </c>
      <c r="DQ98" s="180"/>
      <c r="DR98" s="116" t="str">
        <f>IF(BD_MO[[#This Row],[TIPO AVANCE]]="Avance",((BD_MO[[#This Row],[AVANCE (m)]]/BD_MO[[#This Row],[AVANCE TEÓRICO]]))," ")</f>
        <v xml:space="preserve"> </v>
      </c>
      <c r="DS98" s="134"/>
      <c r="DT98" s="134"/>
      <c r="DU98" s="134"/>
      <c r="DV98" s="134"/>
      <c r="DW98" s="134"/>
      <c r="DX98" s="135"/>
      <c r="DY98" s="135"/>
      <c r="DZ98" s="135"/>
    </row>
    <row r="99" spans="1:130" s="136" customFormat="1" ht="18" customHeight="1" x14ac:dyDescent="0.25">
      <c r="A99" s="168">
        <v>44657</v>
      </c>
      <c r="B99" s="169" t="s">
        <v>10647</v>
      </c>
      <c r="C99" s="169" t="s">
        <v>10680</v>
      </c>
      <c r="D99" s="170" t="s">
        <v>12128</v>
      </c>
      <c r="E99" s="171" t="str">
        <f>LEFT(BD_MO[[#This Row],[LABOR]],2)</f>
        <v>Tj</v>
      </c>
      <c r="F99" s="172"/>
      <c r="G99" s="172" t="s">
        <v>10656</v>
      </c>
      <c r="H9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99" s="171" t="str">
        <f>IF(BD_MO[FECHA]&lt;&gt;"",VLOOKUP(BD_MO[LABOR],TB_CECO[[LABOR]:[CECO_T]],3,FALSE),"")</f>
        <v>VANESSA</v>
      </c>
      <c r="J99" s="171" t="str">
        <f>IF(BD_MO[FECHA]&lt;&gt;"",VLOOKUP(BD_MO[LABOR],D_CECO!B:H,7,FALSE),"")</f>
        <v>TAJO</v>
      </c>
      <c r="K99" s="171" t="str">
        <f>IF(BD_MO[FECHA]&lt;&gt;"",VLOOKUP(BD_MO[LABOR],D_CECO!B:H,4,FALSE),"")</f>
        <v>EXPLOTACION</v>
      </c>
      <c r="L99" s="171"/>
      <c r="M99" s="169"/>
      <c r="N99" s="172"/>
      <c r="O99" s="173" t="s">
        <v>11976</v>
      </c>
      <c r="P99" s="173" t="s">
        <v>11924</v>
      </c>
      <c r="Q99" s="173" t="s">
        <v>12151</v>
      </c>
      <c r="R99" s="174"/>
      <c r="S99" s="175" t="str">
        <f>IFERROR(VLOOKUP(BD_MO[DNI 4],#REF!,2,FALSE)," ")</f>
        <v xml:space="preserve"> </v>
      </c>
      <c r="T99" s="176">
        <f>+IF(BD_MO[[#This Row],[FECHA]]&lt;&gt;"",COUNTA(BD_MO[[#This Row],[DNI]],BD_MO[[#This Row],[DNI 2]],BD_MO[[#This Row],[DNI 3]],BD_MO[[#This Row],[DNI 4]]),"")</f>
        <v>3</v>
      </c>
      <c r="U99" s="176">
        <v>1.6</v>
      </c>
      <c r="V99" s="176"/>
      <c r="W99" s="176"/>
      <c r="X99" s="176">
        <v>0.4</v>
      </c>
      <c r="Y99" s="177">
        <f>SUM(BD_MO[[#This Row],[LIMP]:[SERV]])</f>
        <v>2</v>
      </c>
      <c r="Z99" s="172"/>
      <c r="AA99" s="172" t="str">
        <f>+IF(BD_MO[[#This Row],[N° VALE]]&lt;&gt;"",1,"")</f>
        <v/>
      </c>
      <c r="AB99" s="169"/>
      <c r="AC99" s="172"/>
      <c r="AD99" s="172" t="str">
        <f>+IF(BD_MO[[#This Row],[N° VALE]]&lt;&gt;"",BD_MO[[#This Row],[FULMINANTE N° 08]]+BD_MO[CARMEX 7''],"")</f>
        <v/>
      </c>
      <c r="AE99" s="172"/>
      <c r="AF99" s="172" t="str">
        <f>+IF(BD_MO[[#This Row],[N° VALE]]&lt;&gt;"",BD_MO[[#This Row],[N° TALADROS]]+BD_MO[[#This Row],[N° TAL. VACIOS]],"")</f>
        <v/>
      </c>
      <c r="AG99" s="178"/>
      <c r="AH99" s="178"/>
      <c r="AI99" s="178"/>
      <c r="AJ99" s="178"/>
      <c r="AK99" s="178"/>
      <c r="AL99" s="178"/>
      <c r="AM99" s="171"/>
      <c r="AN99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99" s="172" t="str">
        <f>+IF(BD_MO[[#This Row],[N° VALE]]&lt;&gt;"",IF(BD_MO[[#This Row],[FULMINANTE N° 08]]&lt;&gt;"",BD_MO[[#This Row],[FULMINANTE N° 08]],IF(BD_MO[[#This Row],[CARMEX 7'']]&lt;&gt;0,0,"")),"")</f>
        <v/>
      </c>
      <c r="AP99" s="176" t="str">
        <f>+IF(BD_MO[[#This Row],[N° VALE]]&lt;&gt;"",BD_MO[[#This Row],[N°  TOTAL TALADROS]]*BD_MO[[#This Row],[BARRA]]*0.95,"")</f>
        <v/>
      </c>
      <c r="AQ99" s="176" t="str">
        <f>+IF(BD_MO[[#This Row],[N° VALE]]&lt;&gt;"",BD_MO[[#This Row],[EMULNOR 1000 (N° CART.)]]*PE_EMUL_1000[PE],"")</f>
        <v/>
      </c>
      <c r="AR99" s="176" t="str">
        <f>+IF(BD_MO[[#This Row],[N° VALE]]&lt;&gt;"",BD_MO[[#This Row],[EMULNOR 3000 (N° CART.)]]*PE_EMUL_3000[PE],"")</f>
        <v/>
      </c>
      <c r="AS99" s="176" t="str">
        <f>+IF(BD_MO[[#This Row],[N° VALE]]&lt;&gt;"",BD_MO[[#This Row],[PULVERULENTA (N° CART.)]]*PE_PULV_65[PE],"")</f>
        <v/>
      </c>
      <c r="AT99" s="176" t="str">
        <f>+IF(BD_MO[[#This Row],[N° DISP]]&lt;&gt;"",BD_MO[[#This Row],[SEMIGELATINA (N° CART.)]]*PE_SEMIGEL_65[PE],"")</f>
        <v/>
      </c>
      <c r="AU99" s="176" t="str">
        <f>+IF(BD_MO[N° VALE]&lt;&gt;"",BD_MO[[#This Row],[KG EXPLO SEMIGEL]]+BD_MO[[#This Row],[KG EXPLO PULVE]]+BD_MO[[#This Row],[KG EXPLO EMULN 3000]]+BD_MO[[#This Row],[KG EXPLO EMULN 1000]],"")</f>
        <v/>
      </c>
      <c r="AV99" s="172">
        <v>7</v>
      </c>
      <c r="AW99" s="172"/>
      <c r="AX99" s="172">
        <f>+IF(BD_MO[[#This Row],[MINERAL (U-35)]]&lt;&gt;"",BD_MO[[#This Row],[MINERAL (U-35)]]*1.45,"-")</f>
        <v>10.15</v>
      </c>
      <c r="AY99" s="172" t="str">
        <f>+IF(BD_MO[[#This Row],[DESMONTE (U-35)]]&lt;&gt;"",BD_MO[[#This Row],[DESMONTE (U-35)]]*1.23,"-")</f>
        <v>-</v>
      </c>
      <c r="AZ99" s="172"/>
      <c r="BA99" s="172"/>
      <c r="BB99" s="172"/>
      <c r="BC99" s="172"/>
      <c r="BD99" s="172"/>
      <c r="BE99" s="172"/>
      <c r="BF99" s="172"/>
      <c r="BG99" s="172"/>
      <c r="BH99" s="172"/>
      <c r="BI99" s="172"/>
      <c r="BJ99" s="172"/>
      <c r="BK99" s="172"/>
      <c r="BL99" s="172"/>
      <c r="BM99" s="172"/>
      <c r="BN99" s="171"/>
      <c r="BO99" s="172"/>
      <c r="BP99" s="172"/>
      <c r="BQ99" s="171"/>
      <c r="BR99" s="172"/>
      <c r="BS99" s="171"/>
      <c r="BT99" s="176"/>
      <c r="BU99" s="172"/>
      <c r="BV99" s="172"/>
      <c r="BW99" s="172"/>
      <c r="BX99" s="172"/>
      <c r="BY99" s="172"/>
      <c r="BZ99" s="172"/>
      <c r="CA99" s="172"/>
      <c r="CB99" s="172"/>
      <c r="CC99" s="172"/>
      <c r="CD99" s="172"/>
      <c r="CE99" s="172"/>
      <c r="CF99" s="172"/>
      <c r="CG99" s="172"/>
      <c r="CH99" s="172"/>
      <c r="CI99" s="172"/>
      <c r="CJ99" s="172"/>
      <c r="CK99" s="172"/>
      <c r="CL99" s="172"/>
      <c r="CM99" s="172"/>
      <c r="CN99" s="172"/>
      <c r="CO99" s="172"/>
      <c r="CP99" s="176">
        <f>+IF(BD_MO[[#This Row],[FECHA]]&lt;&gt;"",BD_MO[[#This Row],[PUNTAL 4"]]+BD_MO[[#This Row],[PUNTAL 5"]]+BD_MO[[#This Row],[PUNTAL 6"]]+BD_MO[[#This Row],[PUNTAL 7"]]+BD_MO[[#This Row],[PUNTAL 8"]],"")</f>
        <v>0</v>
      </c>
      <c r="CQ99" s="172"/>
      <c r="CR99" s="172"/>
      <c r="CS99" s="172"/>
      <c r="CT99" s="172"/>
      <c r="CU99" s="172"/>
      <c r="CV99" s="172"/>
      <c r="CW99" s="172"/>
      <c r="CX99" s="172"/>
      <c r="CY99" s="176"/>
      <c r="CZ9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99" s="176">
        <f>+IF(BD_MO[[#This Row],[FECHA]]&lt;&gt;"",BD_MO[[#This Row],[DURMIENTE2]]*6.561+BD_MO[[#This Row],[LISTONES]]*4.921+BD_MO[[#This Row],[TABLA 1"x8"x3m]]*6.561+BD_MO[[#This Row],[TABLA 2"x8"x3m]]*13.122,"")</f>
        <v>0</v>
      </c>
      <c r="DB99" s="176">
        <f>+IF(BD_MO[[#This Row],[FECHA]]&lt;&gt;"",BD_MO[[#This Row],[PIE2 MADERA ASERRADA]]*1.95,"")</f>
        <v>0</v>
      </c>
      <c r="DC99" s="176">
        <f>+IF(BD_MO[[#This Row],[FECHA]]&lt;&gt;"",BD_MO[[#This Row],[KG. MADERA REDONDA]]+BD_MO[[#This Row],[KG MADERA ASERRADA]],"")</f>
        <v>0</v>
      </c>
      <c r="DD9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99" s="172"/>
      <c r="DF99" s="172"/>
      <c r="DG99" s="172"/>
      <c r="DH99" s="172"/>
      <c r="DI99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99" s="180"/>
      <c r="DK99" s="180"/>
      <c r="DL99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99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99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99" s="181"/>
      <c r="DP99" s="180" t="str">
        <f>+IF(BD_MO[[#This Row],[M o D]]&lt;&gt;"",IF(BD_MO[[#This Row],[M o D]]="M",BD_MO[[#This Row],[ROTURA TMH]]/2.65,BD_MO[[#This Row],[ROTURA TMH]]/2.4),"")</f>
        <v/>
      </c>
      <c r="DQ99" s="180"/>
      <c r="DR99" s="116" t="str">
        <f>IF(BD_MO[[#This Row],[TIPO AVANCE]]="Avance",((BD_MO[[#This Row],[AVANCE (m)]]/BD_MO[[#This Row],[AVANCE TEÓRICO]]))," ")</f>
        <v xml:space="preserve"> </v>
      </c>
      <c r="DS99" s="134"/>
      <c r="DT99" s="134"/>
      <c r="DU99" s="134"/>
      <c r="DV99" s="134"/>
      <c r="DW99" s="134"/>
      <c r="DX99" s="135"/>
      <c r="DY99" s="135"/>
      <c r="DZ99" s="135"/>
    </row>
    <row r="100" spans="1:130" s="136" customFormat="1" ht="18" customHeight="1" x14ac:dyDescent="0.25">
      <c r="A100" s="168">
        <v>44657</v>
      </c>
      <c r="B100" s="169" t="s">
        <v>10647</v>
      </c>
      <c r="C100" s="169" t="s">
        <v>10680</v>
      </c>
      <c r="D100" s="170" t="s">
        <v>10952</v>
      </c>
      <c r="E100" s="171" t="str">
        <f>LEFT(BD_MO[[#This Row],[LABOR]],2)</f>
        <v>In</v>
      </c>
      <c r="F100" s="172"/>
      <c r="G100" s="172" t="s">
        <v>10669</v>
      </c>
      <c r="H10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00" s="171" t="str">
        <f>IF(BD_MO[FECHA]&lt;&gt;"",VLOOKUP(BD_MO[LABOR],TB_CECO[[LABOR]:[CECO_T]],3,FALSE),"")</f>
        <v>VANESSA</v>
      </c>
      <c r="J100" s="171" t="str">
        <f>IF(BD_MO[FECHA]&lt;&gt;"",VLOOKUP(BD_MO[LABOR],D_CECO!B:H,7,FALSE),"")</f>
        <v>LINEAL</v>
      </c>
      <c r="K100" s="171" t="str">
        <f>IF(BD_MO[FECHA]&lt;&gt;"",VLOOKUP(BD_MO[LABOR],D_CECO!B:H,4,FALSE),"")</f>
        <v>EXPLORACION</v>
      </c>
      <c r="L100" s="171"/>
      <c r="M100" s="169"/>
      <c r="N100" s="172"/>
      <c r="O100" s="173" t="s">
        <v>11925</v>
      </c>
      <c r="P100" s="173"/>
      <c r="Q100" s="173"/>
      <c r="R100" s="174"/>
      <c r="S100" s="175" t="str">
        <f>IFERROR(VLOOKUP(BD_MO[DNI 4],#REF!,2,FALSE)," ")</f>
        <v xml:space="preserve"> </v>
      </c>
      <c r="T100" s="176">
        <f>+IF(BD_MO[[#This Row],[FECHA]]&lt;&gt;"",COUNTA(BD_MO[[#This Row],[DNI]],BD_MO[[#This Row],[DNI 2]],BD_MO[[#This Row],[DNI 3]],BD_MO[[#This Row],[DNI 4]]),"")</f>
        <v>1</v>
      </c>
      <c r="U100" s="176"/>
      <c r="V100" s="176"/>
      <c r="W100" s="176"/>
      <c r="X100" s="176">
        <v>2</v>
      </c>
      <c r="Y100" s="177">
        <f>SUM(BD_MO[[#This Row],[LIMP]:[SERV]])</f>
        <v>2</v>
      </c>
      <c r="Z100" s="172"/>
      <c r="AA100" s="172" t="str">
        <f>+IF(BD_MO[[#This Row],[N° VALE]]&lt;&gt;"",1,"")</f>
        <v/>
      </c>
      <c r="AB100" s="169"/>
      <c r="AC100" s="172"/>
      <c r="AD100" s="172" t="str">
        <f>+IF(BD_MO[[#This Row],[N° VALE]]&lt;&gt;"",BD_MO[[#This Row],[FULMINANTE N° 08]]+BD_MO[CARMEX 7''],"")</f>
        <v/>
      </c>
      <c r="AE100" s="172"/>
      <c r="AF100" s="172" t="str">
        <f>+IF(BD_MO[[#This Row],[N° VALE]]&lt;&gt;"",BD_MO[[#This Row],[N° TALADROS]]+BD_MO[[#This Row],[N° TAL. VACIOS]],"")</f>
        <v/>
      </c>
      <c r="AG100" s="178"/>
      <c r="AH100" s="178"/>
      <c r="AI100" s="178"/>
      <c r="AJ100" s="178"/>
      <c r="AK100" s="178"/>
      <c r="AL100" s="178"/>
      <c r="AM100" s="171"/>
      <c r="AN100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00" s="172" t="str">
        <f>+IF(BD_MO[[#This Row],[N° VALE]]&lt;&gt;"",IF(BD_MO[[#This Row],[FULMINANTE N° 08]]&lt;&gt;"",BD_MO[[#This Row],[FULMINANTE N° 08]],IF(BD_MO[[#This Row],[CARMEX 7'']]&lt;&gt;0,0,"")),"")</f>
        <v/>
      </c>
      <c r="AP100" s="176" t="str">
        <f>+IF(BD_MO[[#This Row],[N° VALE]]&lt;&gt;"",BD_MO[[#This Row],[N°  TOTAL TALADROS]]*BD_MO[[#This Row],[BARRA]]*0.95,"")</f>
        <v/>
      </c>
      <c r="AQ100" s="176" t="str">
        <f>+IF(BD_MO[[#This Row],[N° VALE]]&lt;&gt;"",BD_MO[[#This Row],[EMULNOR 1000 (N° CART.)]]*PE_EMUL_1000[PE],"")</f>
        <v/>
      </c>
      <c r="AR100" s="176" t="str">
        <f>+IF(BD_MO[[#This Row],[N° VALE]]&lt;&gt;"",BD_MO[[#This Row],[EMULNOR 3000 (N° CART.)]]*PE_EMUL_3000[PE],"")</f>
        <v/>
      </c>
      <c r="AS100" s="176" t="str">
        <f>+IF(BD_MO[[#This Row],[N° VALE]]&lt;&gt;"",BD_MO[[#This Row],[PULVERULENTA (N° CART.)]]*PE_PULV_65[PE],"")</f>
        <v/>
      </c>
      <c r="AT100" s="176" t="str">
        <f>+IF(BD_MO[[#This Row],[N° DISP]]&lt;&gt;"",BD_MO[[#This Row],[SEMIGELATINA (N° CART.)]]*PE_SEMIGEL_65[PE],"")</f>
        <v/>
      </c>
      <c r="AU100" s="176" t="str">
        <f>+IF(BD_MO[N° VALE]&lt;&gt;"",BD_MO[[#This Row],[KG EXPLO SEMIGEL]]+BD_MO[[#This Row],[KG EXPLO PULVE]]+BD_MO[[#This Row],[KG EXPLO EMULN 3000]]+BD_MO[[#This Row],[KG EXPLO EMULN 1000]],"")</f>
        <v/>
      </c>
      <c r="AV100" s="172"/>
      <c r="AW100" s="172">
        <v>5</v>
      </c>
      <c r="AX100" s="172" t="str">
        <f>+IF(BD_MO[[#This Row],[MINERAL (U-35)]]&lt;&gt;"",BD_MO[[#This Row],[MINERAL (U-35)]]*1.45,"-")</f>
        <v>-</v>
      </c>
      <c r="AY100" s="172">
        <f>+IF(BD_MO[[#This Row],[DESMONTE (U-35)]]&lt;&gt;"",BD_MO[[#This Row],[DESMONTE (U-35)]]*1.23,"-")</f>
        <v>6.15</v>
      </c>
      <c r="AZ100" s="172"/>
      <c r="BA100" s="172"/>
      <c r="BB100" s="172"/>
      <c r="BC100" s="172"/>
      <c r="BD100" s="172"/>
      <c r="BE100" s="172"/>
      <c r="BF100" s="172"/>
      <c r="BG100" s="172"/>
      <c r="BH100" s="172"/>
      <c r="BI100" s="172"/>
      <c r="BJ100" s="172"/>
      <c r="BK100" s="172"/>
      <c r="BL100" s="172"/>
      <c r="BM100" s="172"/>
      <c r="BN100" s="171"/>
      <c r="BO100" s="172"/>
      <c r="BP100" s="172"/>
      <c r="BQ100" s="171"/>
      <c r="BR100" s="172"/>
      <c r="BS100" s="171"/>
      <c r="BT100" s="176"/>
      <c r="BU100" s="172"/>
      <c r="BV100" s="172"/>
      <c r="BW100" s="172"/>
      <c r="BX100" s="172"/>
      <c r="BY100" s="172"/>
      <c r="BZ100" s="172"/>
      <c r="CA100" s="172"/>
      <c r="CB100" s="172"/>
      <c r="CC100" s="172"/>
      <c r="CD100" s="172"/>
      <c r="CE100" s="172"/>
      <c r="CF100" s="172"/>
      <c r="CG100" s="172"/>
      <c r="CH100" s="172"/>
      <c r="CI100" s="172"/>
      <c r="CJ100" s="172"/>
      <c r="CK100" s="172"/>
      <c r="CL100" s="172"/>
      <c r="CM100" s="172"/>
      <c r="CN100" s="172"/>
      <c r="CO100" s="172"/>
      <c r="CP100" s="176">
        <f>+IF(BD_MO[[#This Row],[FECHA]]&lt;&gt;"",BD_MO[[#This Row],[PUNTAL 4"]]+BD_MO[[#This Row],[PUNTAL 5"]]+BD_MO[[#This Row],[PUNTAL 6"]]+BD_MO[[#This Row],[PUNTAL 7"]]+BD_MO[[#This Row],[PUNTAL 8"]],"")</f>
        <v>0</v>
      </c>
      <c r="CQ100" s="172"/>
      <c r="CR100" s="172"/>
      <c r="CS100" s="172"/>
      <c r="CT100" s="172"/>
      <c r="CU100" s="172"/>
      <c r="CV100" s="172"/>
      <c r="CW100" s="172"/>
      <c r="CX100" s="172"/>
      <c r="CY100" s="176"/>
      <c r="CZ10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00" s="176">
        <f>+IF(BD_MO[[#This Row],[FECHA]]&lt;&gt;"",BD_MO[[#This Row],[DURMIENTE2]]*6.561+BD_MO[[#This Row],[LISTONES]]*4.921+BD_MO[[#This Row],[TABLA 1"x8"x3m]]*6.561+BD_MO[[#This Row],[TABLA 2"x8"x3m]]*13.122,"")</f>
        <v>0</v>
      </c>
      <c r="DB100" s="176">
        <f>+IF(BD_MO[[#This Row],[FECHA]]&lt;&gt;"",BD_MO[[#This Row],[PIE2 MADERA ASERRADA]]*1.95,"")</f>
        <v>0</v>
      </c>
      <c r="DC100" s="176">
        <f>+IF(BD_MO[[#This Row],[FECHA]]&lt;&gt;"",BD_MO[[#This Row],[KG. MADERA REDONDA]]+BD_MO[[#This Row],[KG MADERA ASERRADA]],"")</f>
        <v>0</v>
      </c>
      <c r="DD10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00" s="172"/>
      <c r="DF100" s="172"/>
      <c r="DG100" s="172"/>
      <c r="DH100" s="172"/>
      <c r="DI100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00" s="180"/>
      <c r="DK100" s="180"/>
      <c r="DL100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00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00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00" s="181"/>
      <c r="DP100" s="180" t="str">
        <f>+IF(BD_MO[[#This Row],[M o D]]&lt;&gt;"",IF(BD_MO[[#This Row],[M o D]]="M",BD_MO[[#This Row],[ROTURA TMH]]/2.65,BD_MO[[#This Row],[ROTURA TMH]]/2.4),"")</f>
        <v/>
      </c>
      <c r="DQ100" s="180"/>
      <c r="DR100" s="116" t="str">
        <f>IF(BD_MO[[#This Row],[TIPO AVANCE]]="Avance",((BD_MO[[#This Row],[AVANCE (m)]]/BD_MO[[#This Row],[AVANCE TEÓRICO]]))," ")</f>
        <v xml:space="preserve"> </v>
      </c>
      <c r="DS100" s="134"/>
      <c r="DT100" s="134"/>
      <c r="DU100" s="134"/>
      <c r="DV100" s="134"/>
      <c r="DW100" s="134"/>
      <c r="DX100" s="135"/>
      <c r="DY100" s="135"/>
      <c r="DZ100" s="135"/>
    </row>
    <row r="101" spans="1:130" s="136" customFormat="1" ht="18" customHeight="1" x14ac:dyDescent="0.25">
      <c r="A101" s="168">
        <v>44657</v>
      </c>
      <c r="B101" s="169" t="s">
        <v>10647</v>
      </c>
      <c r="C101" s="169" t="s">
        <v>10680</v>
      </c>
      <c r="D101" s="170" t="s">
        <v>11872</v>
      </c>
      <c r="E101" s="171" t="str">
        <f>LEFT(BD_MO[[#This Row],[LABOR]],2)</f>
        <v>PQ</v>
      </c>
      <c r="F101" s="172"/>
      <c r="G101" s="172" t="s">
        <v>10669</v>
      </c>
      <c r="H101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01" s="171" t="str">
        <f>IF(BD_MO[FECHA]&lt;&gt;"",VLOOKUP(BD_MO[LABOR],TB_CECO[[LABOR]:[CECO_T]],3,FALSE),"")</f>
        <v>ANDREA</v>
      </c>
      <c r="J101" s="171" t="str">
        <f>IF(BD_MO[FECHA]&lt;&gt;"",VLOOKUP(BD_MO[LABOR],D_CECO!B:H,7,FALSE),"")</f>
        <v>LINEAL</v>
      </c>
      <c r="K101" s="171" t="str">
        <f>IF(BD_MO[FECHA]&lt;&gt;"",VLOOKUP(BD_MO[LABOR],D_CECO!B:H,4,FALSE),"")</f>
        <v>EXPLOTACION</v>
      </c>
      <c r="L101" s="171"/>
      <c r="M101" s="169"/>
      <c r="N101" s="172"/>
      <c r="O101" s="173" t="s">
        <v>11908</v>
      </c>
      <c r="P101" s="173" t="s">
        <v>12187</v>
      </c>
      <c r="Q101" s="173" t="s">
        <v>12152</v>
      </c>
      <c r="R101" s="174"/>
      <c r="S101" s="175" t="str">
        <f>IFERROR(VLOOKUP(BD_MO[DNI 4],#REF!,2,FALSE)," ")</f>
        <v xml:space="preserve"> </v>
      </c>
      <c r="T101" s="176">
        <f>+IF(BD_MO[[#This Row],[FECHA]]&lt;&gt;"",COUNTA(BD_MO[[#This Row],[DNI]],BD_MO[[#This Row],[DNI 2]],BD_MO[[#This Row],[DNI 3]],BD_MO[[#This Row],[DNI 4]]),"")</f>
        <v>3</v>
      </c>
      <c r="U101" s="176"/>
      <c r="V101" s="176"/>
      <c r="W101" s="176"/>
      <c r="X101" s="176">
        <v>3</v>
      </c>
      <c r="Y101" s="177">
        <f>SUM(BD_MO[[#This Row],[LIMP]:[SERV]])</f>
        <v>3</v>
      </c>
      <c r="Z101" s="172"/>
      <c r="AA101" s="172" t="str">
        <f>+IF(BD_MO[[#This Row],[N° VALE]]&lt;&gt;"",1,"")</f>
        <v/>
      </c>
      <c r="AB101" s="169"/>
      <c r="AC101" s="172"/>
      <c r="AD101" s="172" t="str">
        <f>+IF(BD_MO[[#This Row],[N° VALE]]&lt;&gt;"",BD_MO[[#This Row],[FULMINANTE N° 08]]+BD_MO[CARMEX 7''],"")</f>
        <v/>
      </c>
      <c r="AE101" s="172"/>
      <c r="AF101" s="172" t="str">
        <f>+IF(BD_MO[[#This Row],[N° VALE]]&lt;&gt;"",BD_MO[[#This Row],[N° TALADROS]]+BD_MO[[#This Row],[N° TAL. VACIOS]],"")</f>
        <v/>
      </c>
      <c r="AG101" s="178"/>
      <c r="AH101" s="178"/>
      <c r="AI101" s="178"/>
      <c r="AJ101" s="178"/>
      <c r="AK101" s="178"/>
      <c r="AL101" s="178"/>
      <c r="AM101" s="171"/>
      <c r="AN101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01" s="172" t="str">
        <f>+IF(BD_MO[[#This Row],[N° VALE]]&lt;&gt;"",IF(BD_MO[[#This Row],[FULMINANTE N° 08]]&lt;&gt;"",BD_MO[[#This Row],[FULMINANTE N° 08]],IF(BD_MO[[#This Row],[CARMEX 7'']]&lt;&gt;0,0,"")),"")</f>
        <v/>
      </c>
      <c r="AP101" s="176" t="str">
        <f>+IF(BD_MO[[#This Row],[N° VALE]]&lt;&gt;"",BD_MO[[#This Row],[N°  TOTAL TALADROS]]*BD_MO[[#This Row],[BARRA]]*0.95,"")</f>
        <v/>
      </c>
      <c r="AQ101" s="176" t="str">
        <f>+IF(BD_MO[[#This Row],[N° VALE]]&lt;&gt;"",BD_MO[[#This Row],[EMULNOR 1000 (N° CART.)]]*PE_EMUL_1000[PE],"")</f>
        <v/>
      </c>
      <c r="AR101" s="176" t="str">
        <f>+IF(BD_MO[[#This Row],[N° VALE]]&lt;&gt;"",BD_MO[[#This Row],[EMULNOR 3000 (N° CART.)]]*PE_EMUL_3000[PE],"")</f>
        <v/>
      </c>
      <c r="AS101" s="176" t="str">
        <f>+IF(BD_MO[[#This Row],[N° VALE]]&lt;&gt;"",BD_MO[[#This Row],[PULVERULENTA (N° CART.)]]*PE_PULV_65[PE],"")</f>
        <v/>
      </c>
      <c r="AT101" s="176" t="str">
        <f>+IF(BD_MO[[#This Row],[N° DISP]]&lt;&gt;"",BD_MO[[#This Row],[SEMIGELATINA (N° CART.)]]*PE_SEMIGEL_65[PE],"")</f>
        <v/>
      </c>
      <c r="AU101" s="176" t="str">
        <f>+IF(BD_MO[N° VALE]&lt;&gt;"",BD_MO[[#This Row],[KG EXPLO SEMIGEL]]+BD_MO[[#This Row],[KG EXPLO PULVE]]+BD_MO[[#This Row],[KG EXPLO EMULN 3000]]+BD_MO[[#This Row],[KG EXPLO EMULN 1000]],"")</f>
        <v/>
      </c>
      <c r="AV101" s="172"/>
      <c r="AW101" s="172"/>
      <c r="AX101" s="172" t="str">
        <f>+IF(BD_MO[[#This Row],[MINERAL (U-35)]]&lt;&gt;"",BD_MO[[#This Row],[MINERAL (U-35)]]*1.45,"-")</f>
        <v>-</v>
      </c>
      <c r="AY101" s="172" t="str">
        <f>+IF(BD_MO[[#This Row],[DESMONTE (U-35)]]&lt;&gt;"",BD_MO[[#This Row],[DESMONTE (U-35)]]*1.23,"-")</f>
        <v>-</v>
      </c>
      <c r="AZ101" s="172"/>
      <c r="BA101" s="172"/>
      <c r="BB101" s="172"/>
      <c r="BC101" s="172"/>
      <c r="BD101" s="172"/>
      <c r="BE101" s="172"/>
      <c r="BF101" s="172"/>
      <c r="BG101" s="172"/>
      <c r="BH101" s="172"/>
      <c r="BI101" s="172"/>
      <c r="BJ101" s="172"/>
      <c r="BK101" s="172"/>
      <c r="BL101" s="172"/>
      <c r="BM101" s="172"/>
      <c r="BN101" s="171"/>
      <c r="BO101" s="172"/>
      <c r="BP101" s="172"/>
      <c r="BQ101" s="171"/>
      <c r="BR101" s="172"/>
      <c r="BS101" s="171"/>
      <c r="BT101" s="176"/>
      <c r="BU101" s="172"/>
      <c r="BV101" s="172"/>
      <c r="BW101" s="172"/>
      <c r="BX101" s="172"/>
      <c r="BY101" s="172"/>
      <c r="BZ101" s="172"/>
      <c r="CA101" s="172"/>
      <c r="CB101" s="172"/>
      <c r="CC101" s="172"/>
      <c r="CD101" s="172"/>
      <c r="CE101" s="172"/>
      <c r="CF101" s="172"/>
      <c r="CG101" s="172"/>
      <c r="CH101" s="172"/>
      <c r="CI101" s="172"/>
      <c r="CJ101" s="172"/>
      <c r="CK101" s="172"/>
      <c r="CL101" s="172"/>
      <c r="CM101" s="172"/>
      <c r="CN101" s="172"/>
      <c r="CO101" s="172"/>
      <c r="CP101" s="176">
        <f>+IF(BD_MO[[#This Row],[FECHA]]&lt;&gt;"",BD_MO[[#This Row],[PUNTAL 4"]]+BD_MO[[#This Row],[PUNTAL 5"]]+BD_MO[[#This Row],[PUNTAL 6"]]+BD_MO[[#This Row],[PUNTAL 7"]]+BD_MO[[#This Row],[PUNTAL 8"]],"")</f>
        <v>0</v>
      </c>
      <c r="CQ101" s="172"/>
      <c r="CR101" s="172"/>
      <c r="CS101" s="172"/>
      <c r="CT101" s="172"/>
      <c r="CU101" s="172"/>
      <c r="CV101" s="172"/>
      <c r="CW101" s="172"/>
      <c r="CX101" s="172"/>
      <c r="CY101" s="176"/>
      <c r="CZ101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01" s="176">
        <f>+IF(BD_MO[[#This Row],[FECHA]]&lt;&gt;"",BD_MO[[#This Row],[DURMIENTE2]]*6.561+BD_MO[[#This Row],[LISTONES]]*4.921+BD_MO[[#This Row],[TABLA 1"x8"x3m]]*6.561+BD_MO[[#This Row],[TABLA 2"x8"x3m]]*13.122,"")</f>
        <v>0</v>
      </c>
      <c r="DB101" s="176">
        <f>+IF(BD_MO[[#This Row],[FECHA]]&lt;&gt;"",BD_MO[[#This Row],[PIE2 MADERA ASERRADA]]*1.95,"")</f>
        <v>0</v>
      </c>
      <c r="DC101" s="176">
        <f>+IF(BD_MO[[#This Row],[FECHA]]&lt;&gt;"",BD_MO[[#This Row],[KG. MADERA REDONDA]]+BD_MO[[#This Row],[KG MADERA ASERRADA]],"")</f>
        <v>0</v>
      </c>
      <c r="DD101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01" s="172"/>
      <c r="DF101" s="172"/>
      <c r="DG101" s="172"/>
      <c r="DH101" s="172"/>
      <c r="DI101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01" s="180"/>
      <c r="DK101" s="180"/>
      <c r="DL101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01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01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01" s="181"/>
      <c r="DP101" s="180" t="str">
        <f>+IF(BD_MO[[#This Row],[M o D]]&lt;&gt;"",IF(BD_MO[[#This Row],[M o D]]="M",BD_MO[[#This Row],[ROTURA TMH]]/2.65,BD_MO[[#This Row],[ROTURA TMH]]/2.4),"")</f>
        <v/>
      </c>
      <c r="DQ101" s="180"/>
      <c r="DR101" s="116" t="str">
        <f>IF(BD_MO[[#This Row],[TIPO AVANCE]]="Avance",((BD_MO[[#This Row],[AVANCE (m)]]/BD_MO[[#This Row],[AVANCE TEÓRICO]]))," ")</f>
        <v xml:space="preserve"> </v>
      </c>
      <c r="DS101" s="134"/>
      <c r="DT101" s="134"/>
      <c r="DU101" s="134"/>
      <c r="DV101" s="134"/>
      <c r="DW101" s="134"/>
      <c r="DX101" s="135"/>
      <c r="DY101" s="135"/>
      <c r="DZ101" s="135"/>
    </row>
    <row r="102" spans="1:130" s="136" customFormat="1" ht="18" customHeight="1" x14ac:dyDescent="0.25">
      <c r="A102" s="168">
        <v>44657</v>
      </c>
      <c r="B102" s="169" t="s">
        <v>10647</v>
      </c>
      <c r="C102" s="169" t="s">
        <v>10680</v>
      </c>
      <c r="D102" s="170" t="s">
        <v>10954</v>
      </c>
      <c r="E102" s="171" t="str">
        <f>LEFT(BD_MO[[#This Row],[LABOR]],2)</f>
        <v>MO</v>
      </c>
      <c r="F102" s="172"/>
      <c r="G102" s="172" t="s">
        <v>10669</v>
      </c>
      <c r="H10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02" s="171" t="str">
        <f>IF(BD_MO[FECHA]&lt;&gt;"",VLOOKUP(BD_MO[LABOR],TB_CECO[[LABOR]:[CECO_T]],3,FALSE),"")</f>
        <v>INCA</v>
      </c>
      <c r="J102" s="171" t="str">
        <f>IF(BD_MO[FECHA]&lt;&gt;"",VLOOKUP(BD_MO[LABOR],D_CECO!B:H,7,FALSE),"")</f>
        <v>SERVICIOS</v>
      </c>
      <c r="K102" s="171" t="str">
        <f>IF(BD_MO[FECHA]&lt;&gt;"",VLOOKUP(BD_MO[LABOR],D_CECO!B:H,4,FALSE),"")</f>
        <v>SERVICIOS</v>
      </c>
      <c r="L102" s="171"/>
      <c r="M102" s="169"/>
      <c r="N102" s="172"/>
      <c r="O102" s="173" t="s">
        <v>12188</v>
      </c>
      <c r="P102" s="173" t="s">
        <v>11907</v>
      </c>
      <c r="Q102" s="173"/>
      <c r="R102" s="174"/>
      <c r="S102" s="175" t="str">
        <f>IFERROR(VLOOKUP(BD_MO[DNI 4],#REF!,2,FALSE)," ")</f>
        <v xml:space="preserve"> </v>
      </c>
      <c r="T102" s="176">
        <f>+IF(BD_MO[[#This Row],[FECHA]]&lt;&gt;"",COUNTA(BD_MO[[#This Row],[DNI]],BD_MO[[#This Row],[DNI 2]],BD_MO[[#This Row],[DNI 3]],BD_MO[[#This Row],[DNI 4]]),"")</f>
        <v>2</v>
      </c>
      <c r="U102" s="176"/>
      <c r="V102" s="176"/>
      <c r="W102" s="176"/>
      <c r="X102" s="176">
        <v>2</v>
      </c>
      <c r="Y102" s="177">
        <f>SUM(BD_MO[[#This Row],[LIMP]:[SERV]])</f>
        <v>2</v>
      </c>
      <c r="Z102" s="172"/>
      <c r="AA102" s="172" t="str">
        <f>+IF(BD_MO[[#This Row],[N° VALE]]&lt;&gt;"",1,"")</f>
        <v/>
      </c>
      <c r="AB102" s="169"/>
      <c r="AC102" s="172"/>
      <c r="AD102" s="172" t="str">
        <f>+IF(BD_MO[[#This Row],[N° VALE]]&lt;&gt;"",BD_MO[[#This Row],[FULMINANTE N° 08]]+BD_MO[CARMEX 7''],"")</f>
        <v/>
      </c>
      <c r="AE102" s="172"/>
      <c r="AF102" s="172" t="str">
        <f>+IF(BD_MO[[#This Row],[N° VALE]]&lt;&gt;"",BD_MO[[#This Row],[N° TALADROS]]+BD_MO[[#This Row],[N° TAL. VACIOS]],"")</f>
        <v/>
      </c>
      <c r="AG102" s="178"/>
      <c r="AH102" s="178"/>
      <c r="AI102" s="178"/>
      <c r="AJ102" s="178"/>
      <c r="AK102" s="178"/>
      <c r="AL102" s="178"/>
      <c r="AM102" s="171"/>
      <c r="AN102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02" s="172" t="str">
        <f>+IF(BD_MO[[#This Row],[N° VALE]]&lt;&gt;"",IF(BD_MO[[#This Row],[FULMINANTE N° 08]]&lt;&gt;"",BD_MO[[#This Row],[FULMINANTE N° 08]],IF(BD_MO[[#This Row],[CARMEX 7'']]&lt;&gt;0,0,"")),"")</f>
        <v/>
      </c>
      <c r="AP102" s="176" t="str">
        <f>+IF(BD_MO[[#This Row],[N° VALE]]&lt;&gt;"",BD_MO[[#This Row],[N°  TOTAL TALADROS]]*BD_MO[[#This Row],[BARRA]]*0.95,"")</f>
        <v/>
      </c>
      <c r="AQ102" s="176" t="str">
        <f>+IF(BD_MO[[#This Row],[N° VALE]]&lt;&gt;"",BD_MO[[#This Row],[EMULNOR 1000 (N° CART.)]]*PE_EMUL_1000[PE],"")</f>
        <v/>
      </c>
      <c r="AR102" s="176" t="str">
        <f>+IF(BD_MO[[#This Row],[N° VALE]]&lt;&gt;"",BD_MO[[#This Row],[EMULNOR 3000 (N° CART.)]]*PE_EMUL_3000[PE],"")</f>
        <v/>
      </c>
      <c r="AS102" s="176" t="str">
        <f>+IF(BD_MO[[#This Row],[N° VALE]]&lt;&gt;"",BD_MO[[#This Row],[PULVERULENTA (N° CART.)]]*PE_PULV_65[PE],"")</f>
        <v/>
      </c>
      <c r="AT102" s="176" t="str">
        <f>+IF(BD_MO[[#This Row],[N° DISP]]&lt;&gt;"",BD_MO[[#This Row],[SEMIGELATINA (N° CART.)]]*PE_SEMIGEL_65[PE],"")</f>
        <v/>
      </c>
      <c r="AU102" s="176" t="str">
        <f>+IF(BD_MO[N° VALE]&lt;&gt;"",BD_MO[[#This Row],[KG EXPLO SEMIGEL]]+BD_MO[[#This Row],[KG EXPLO PULVE]]+BD_MO[[#This Row],[KG EXPLO EMULN 3000]]+BD_MO[[#This Row],[KG EXPLO EMULN 1000]],"")</f>
        <v/>
      </c>
      <c r="AV102" s="172"/>
      <c r="AW102" s="172"/>
      <c r="AX102" s="172" t="str">
        <f>+IF(BD_MO[[#This Row],[MINERAL (U-35)]]&lt;&gt;"",BD_MO[[#This Row],[MINERAL (U-35)]]*1.45,"-")</f>
        <v>-</v>
      </c>
      <c r="AY102" s="172" t="str">
        <f>+IF(BD_MO[[#This Row],[DESMONTE (U-35)]]&lt;&gt;"",BD_MO[[#This Row],[DESMONTE (U-35)]]*1.23,"-")</f>
        <v>-</v>
      </c>
      <c r="AZ102" s="172"/>
      <c r="BA102" s="172"/>
      <c r="BB102" s="172"/>
      <c r="BC102" s="172"/>
      <c r="BD102" s="172"/>
      <c r="BE102" s="172"/>
      <c r="BF102" s="172"/>
      <c r="BG102" s="172"/>
      <c r="BH102" s="172"/>
      <c r="BI102" s="172"/>
      <c r="BJ102" s="172"/>
      <c r="BK102" s="172"/>
      <c r="BL102" s="172"/>
      <c r="BM102" s="172"/>
      <c r="BN102" s="171"/>
      <c r="BO102" s="172"/>
      <c r="BP102" s="172"/>
      <c r="BQ102" s="171"/>
      <c r="BR102" s="172"/>
      <c r="BS102" s="171"/>
      <c r="BT102" s="176"/>
      <c r="BU102" s="172"/>
      <c r="BV102" s="172"/>
      <c r="BW102" s="172"/>
      <c r="BX102" s="172"/>
      <c r="BY102" s="172"/>
      <c r="BZ102" s="172"/>
      <c r="CA102" s="172"/>
      <c r="CB102" s="172"/>
      <c r="CC102" s="172"/>
      <c r="CD102" s="172"/>
      <c r="CE102" s="172"/>
      <c r="CF102" s="172"/>
      <c r="CG102" s="172"/>
      <c r="CH102" s="172"/>
      <c r="CI102" s="172"/>
      <c r="CJ102" s="172"/>
      <c r="CK102" s="172"/>
      <c r="CL102" s="172"/>
      <c r="CM102" s="172"/>
      <c r="CN102" s="172"/>
      <c r="CO102" s="172"/>
      <c r="CP102" s="176">
        <f>+IF(BD_MO[[#This Row],[FECHA]]&lt;&gt;"",BD_MO[[#This Row],[PUNTAL 4"]]+BD_MO[[#This Row],[PUNTAL 5"]]+BD_MO[[#This Row],[PUNTAL 6"]]+BD_MO[[#This Row],[PUNTAL 7"]]+BD_MO[[#This Row],[PUNTAL 8"]],"")</f>
        <v>0</v>
      </c>
      <c r="CQ102" s="172"/>
      <c r="CR102" s="172"/>
      <c r="CS102" s="172"/>
      <c r="CT102" s="172"/>
      <c r="CU102" s="172"/>
      <c r="CV102" s="172"/>
      <c r="CW102" s="172"/>
      <c r="CX102" s="172"/>
      <c r="CY102" s="176"/>
      <c r="CZ10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02" s="176">
        <f>+IF(BD_MO[[#This Row],[FECHA]]&lt;&gt;"",BD_MO[[#This Row],[DURMIENTE2]]*6.561+BD_MO[[#This Row],[LISTONES]]*4.921+BD_MO[[#This Row],[TABLA 1"x8"x3m]]*6.561+BD_MO[[#This Row],[TABLA 2"x8"x3m]]*13.122,"")</f>
        <v>0</v>
      </c>
      <c r="DB102" s="176">
        <f>+IF(BD_MO[[#This Row],[FECHA]]&lt;&gt;"",BD_MO[[#This Row],[PIE2 MADERA ASERRADA]]*1.95,"")</f>
        <v>0</v>
      </c>
      <c r="DC102" s="176">
        <f>+IF(BD_MO[[#This Row],[FECHA]]&lt;&gt;"",BD_MO[[#This Row],[KG. MADERA REDONDA]]+BD_MO[[#This Row],[KG MADERA ASERRADA]],"")</f>
        <v>0</v>
      </c>
      <c r="DD10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02" s="172"/>
      <c r="DF102" s="172"/>
      <c r="DG102" s="172"/>
      <c r="DH102" s="172"/>
      <c r="DI102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02" s="180"/>
      <c r="DK102" s="180"/>
      <c r="DL102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02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02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02" s="181"/>
      <c r="DP102" s="180" t="str">
        <f>+IF(BD_MO[[#This Row],[M o D]]&lt;&gt;"",IF(BD_MO[[#This Row],[M o D]]="M",BD_MO[[#This Row],[ROTURA TMH]]/2.65,BD_MO[[#This Row],[ROTURA TMH]]/2.4),"")</f>
        <v/>
      </c>
      <c r="DQ102" s="180"/>
      <c r="DR102" s="116" t="str">
        <f>IF(BD_MO[[#This Row],[TIPO AVANCE]]="Avance",((BD_MO[[#This Row],[AVANCE (m)]]/BD_MO[[#This Row],[AVANCE TEÓRICO]]))," ")</f>
        <v xml:space="preserve"> </v>
      </c>
      <c r="DS102" s="134"/>
      <c r="DT102" s="134"/>
      <c r="DU102" s="134"/>
      <c r="DV102" s="134"/>
      <c r="DW102" s="134"/>
      <c r="DX102" s="135"/>
      <c r="DY102" s="135"/>
      <c r="DZ102" s="135"/>
    </row>
    <row r="103" spans="1:130" s="112" customFormat="1" ht="18" customHeight="1" thickBot="1" x14ac:dyDescent="0.3">
      <c r="A103" s="183">
        <v>44657</v>
      </c>
      <c r="B103" s="184" t="s">
        <v>10647</v>
      </c>
      <c r="C103" s="184" t="s">
        <v>10680</v>
      </c>
      <c r="D103" s="185" t="s">
        <v>10717</v>
      </c>
      <c r="E103" s="186" t="str">
        <f>LEFT(BD_MO[[#This Row],[LABOR]],2)</f>
        <v>BO</v>
      </c>
      <c r="F103" s="187"/>
      <c r="G103" s="187" t="s">
        <v>10669</v>
      </c>
      <c r="H103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03" s="186" t="str">
        <f>IF(BD_MO[FECHA]&lt;&gt;"",VLOOKUP(BD_MO[LABOR],TB_CECO[[LABOR]:[CECO_T]],3,FALSE),"")</f>
        <v>CACHORRO</v>
      </c>
      <c r="J103" s="186" t="str">
        <f>IF(BD_MO[FECHA]&lt;&gt;"",VLOOKUP(BD_MO[LABOR],D_CECO!B:H,7,FALSE),"")</f>
        <v>SERVICIOS</v>
      </c>
      <c r="K103" s="186" t="str">
        <f>IF(BD_MO[FECHA]&lt;&gt;"",VLOOKUP(BD_MO[LABOR],D_CECO!B:H,4,FALSE),"")</f>
        <v>SERVICIOS</v>
      </c>
      <c r="L103" s="186"/>
      <c r="M103" s="184"/>
      <c r="N103" s="187"/>
      <c r="O103" s="188" t="s">
        <v>11909</v>
      </c>
      <c r="P103" s="188"/>
      <c r="Q103" s="188"/>
      <c r="R103" s="189"/>
      <c r="S103" s="190" t="str">
        <f>IFERROR(VLOOKUP(BD_MO[DNI 4],#REF!,2,FALSE)," ")</f>
        <v xml:space="preserve"> </v>
      </c>
      <c r="T103" s="191">
        <f>+IF(BD_MO[[#This Row],[FECHA]]&lt;&gt;"",COUNTA(BD_MO[[#This Row],[DNI]],BD_MO[[#This Row],[DNI 2]],BD_MO[[#This Row],[DNI 3]],BD_MO[[#This Row],[DNI 4]]),"")</f>
        <v>1</v>
      </c>
      <c r="U103" s="191"/>
      <c r="V103" s="191"/>
      <c r="W103" s="191"/>
      <c r="X103" s="191">
        <v>1</v>
      </c>
      <c r="Y103" s="192">
        <f>SUM(BD_MO[[#This Row],[LIMP]:[SERV]])</f>
        <v>1</v>
      </c>
      <c r="Z103" s="187"/>
      <c r="AA103" s="187" t="str">
        <f>+IF(BD_MO[[#This Row],[N° VALE]]&lt;&gt;"",1,"")</f>
        <v/>
      </c>
      <c r="AB103" s="184"/>
      <c r="AC103" s="187"/>
      <c r="AD103" s="187" t="str">
        <f>+IF(BD_MO[[#This Row],[N° VALE]]&lt;&gt;"",BD_MO[[#This Row],[FULMINANTE N° 08]]+BD_MO[CARMEX 7''],"")</f>
        <v/>
      </c>
      <c r="AE103" s="187"/>
      <c r="AF103" s="187" t="str">
        <f>+IF(BD_MO[[#This Row],[N° VALE]]&lt;&gt;"",BD_MO[[#This Row],[N° TALADROS]]+BD_MO[[#This Row],[N° TAL. VACIOS]],"")</f>
        <v/>
      </c>
      <c r="AG103" s="193"/>
      <c r="AH103" s="193"/>
      <c r="AI103" s="193"/>
      <c r="AJ103" s="193"/>
      <c r="AK103" s="193"/>
      <c r="AL103" s="193"/>
      <c r="AM103" s="186"/>
      <c r="AN103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03" s="187" t="str">
        <f>+IF(BD_MO[[#This Row],[N° VALE]]&lt;&gt;"",IF(BD_MO[[#This Row],[FULMINANTE N° 08]]&lt;&gt;"",BD_MO[[#This Row],[FULMINANTE N° 08]],IF(BD_MO[[#This Row],[CARMEX 7'']]&lt;&gt;0,0,"")),"")</f>
        <v/>
      </c>
      <c r="AP103" s="191" t="str">
        <f>+IF(BD_MO[[#This Row],[N° VALE]]&lt;&gt;"",BD_MO[[#This Row],[N°  TOTAL TALADROS]]*BD_MO[[#This Row],[BARRA]]*0.95,"")</f>
        <v/>
      </c>
      <c r="AQ103" s="191" t="str">
        <f>+IF(BD_MO[[#This Row],[N° VALE]]&lt;&gt;"",BD_MO[[#This Row],[EMULNOR 1000 (N° CART.)]]*PE_EMUL_1000[PE],"")</f>
        <v/>
      </c>
      <c r="AR103" s="191" t="str">
        <f>+IF(BD_MO[[#This Row],[N° VALE]]&lt;&gt;"",BD_MO[[#This Row],[EMULNOR 3000 (N° CART.)]]*PE_EMUL_3000[PE],"")</f>
        <v/>
      </c>
      <c r="AS103" s="191" t="str">
        <f>+IF(BD_MO[[#This Row],[N° VALE]]&lt;&gt;"",BD_MO[[#This Row],[PULVERULENTA (N° CART.)]]*PE_PULV_65[PE],"")</f>
        <v/>
      </c>
      <c r="AT103" s="191" t="str">
        <f>+IF(BD_MO[[#This Row],[N° DISP]]&lt;&gt;"",BD_MO[[#This Row],[SEMIGELATINA (N° CART.)]]*PE_SEMIGEL_65[PE],"")</f>
        <v/>
      </c>
      <c r="AU103" s="191" t="str">
        <f>+IF(BD_MO[N° VALE]&lt;&gt;"",BD_MO[[#This Row],[KG EXPLO SEMIGEL]]+BD_MO[[#This Row],[KG EXPLO PULVE]]+BD_MO[[#This Row],[KG EXPLO EMULN 3000]]+BD_MO[[#This Row],[KG EXPLO EMULN 1000]],"")</f>
        <v/>
      </c>
      <c r="AV103" s="187"/>
      <c r="AW103" s="187"/>
      <c r="AX103" s="187" t="str">
        <f>+IF(BD_MO[[#This Row],[MINERAL (U-35)]]&lt;&gt;"",BD_MO[[#This Row],[MINERAL (U-35)]]*1.45,"-")</f>
        <v>-</v>
      </c>
      <c r="AY103" s="187" t="str">
        <f>+IF(BD_MO[[#This Row],[DESMONTE (U-35)]]&lt;&gt;"",BD_MO[[#This Row],[DESMONTE (U-35)]]*1.23,"-")</f>
        <v>-</v>
      </c>
      <c r="AZ103" s="187"/>
      <c r="BA103" s="187"/>
      <c r="BB103" s="187"/>
      <c r="BC103" s="187"/>
      <c r="BD103" s="187"/>
      <c r="BE103" s="187"/>
      <c r="BF103" s="187"/>
      <c r="BG103" s="187"/>
      <c r="BH103" s="187"/>
      <c r="BI103" s="187"/>
      <c r="BJ103" s="187"/>
      <c r="BK103" s="187"/>
      <c r="BL103" s="187"/>
      <c r="BM103" s="187"/>
      <c r="BN103" s="186"/>
      <c r="BO103" s="187"/>
      <c r="BP103" s="187"/>
      <c r="BQ103" s="186"/>
      <c r="BR103" s="187"/>
      <c r="BS103" s="186"/>
      <c r="BT103" s="191"/>
      <c r="BU103" s="187"/>
      <c r="BV103" s="187"/>
      <c r="BW103" s="187"/>
      <c r="BX103" s="187"/>
      <c r="BY103" s="187"/>
      <c r="BZ103" s="187"/>
      <c r="CA103" s="187"/>
      <c r="CB103" s="187"/>
      <c r="CC103" s="187"/>
      <c r="CD103" s="187"/>
      <c r="CE103" s="187"/>
      <c r="CF103" s="187"/>
      <c r="CG103" s="187"/>
      <c r="CH103" s="187"/>
      <c r="CI103" s="187"/>
      <c r="CJ103" s="187"/>
      <c r="CK103" s="187"/>
      <c r="CL103" s="187"/>
      <c r="CM103" s="187"/>
      <c r="CN103" s="187"/>
      <c r="CO103" s="187"/>
      <c r="CP103" s="191">
        <f>+IF(BD_MO[[#This Row],[FECHA]]&lt;&gt;"",BD_MO[[#This Row],[PUNTAL 4"]]+BD_MO[[#This Row],[PUNTAL 5"]]+BD_MO[[#This Row],[PUNTAL 6"]]+BD_MO[[#This Row],[PUNTAL 7"]]+BD_MO[[#This Row],[PUNTAL 8"]],"")</f>
        <v>0</v>
      </c>
      <c r="CQ103" s="187"/>
      <c r="CR103" s="187"/>
      <c r="CS103" s="187"/>
      <c r="CT103" s="187"/>
      <c r="CU103" s="187"/>
      <c r="CV103" s="187"/>
      <c r="CW103" s="187"/>
      <c r="CX103" s="187"/>
      <c r="CY103" s="191"/>
      <c r="CZ103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03" s="191">
        <f>+IF(BD_MO[[#This Row],[FECHA]]&lt;&gt;"",BD_MO[[#This Row],[DURMIENTE2]]*6.561+BD_MO[[#This Row],[LISTONES]]*4.921+BD_MO[[#This Row],[TABLA 1"x8"x3m]]*6.561+BD_MO[[#This Row],[TABLA 2"x8"x3m]]*13.122,"")</f>
        <v>0</v>
      </c>
      <c r="DB103" s="191">
        <f>+IF(BD_MO[[#This Row],[FECHA]]&lt;&gt;"",BD_MO[[#This Row],[PIE2 MADERA ASERRADA]]*1.95,"")</f>
        <v>0</v>
      </c>
      <c r="DC103" s="191">
        <f>+IF(BD_MO[[#This Row],[FECHA]]&lt;&gt;"",BD_MO[[#This Row],[KG. MADERA REDONDA]]+BD_MO[[#This Row],[KG MADERA ASERRADA]],"")</f>
        <v>0</v>
      </c>
      <c r="DD103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03" s="187"/>
      <c r="DF103" s="187"/>
      <c r="DG103" s="187"/>
      <c r="DH103" s="187"/>
      <c r="DI103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03" s="195"/>
      <c r="DK103" s="195"/>
      <c r="DL103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03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03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03" s="196"/>
      <c r="DP103" s="195" t="str">
        <f>+IF(BD_MO[[#This Row],[M o D]]&lt;&gt;"",IF(BD_MO[[#This Row],[M o D]]="M",BD_MO[[#This Row],[ROTURA TMH]]/2.65,BD_MO[[#This Row],[ROTURA TMH]]/2.4),"")</f>
        <v/>
      </c>
      <c r="DQ103" s="195"/>
      <c r="DR103" s="116" t="str">
        <f>IF(BD_MO[[#This Row],[TIPO AVANCE]]="Avance",((BD_MO[[#This Row],[AVANCE (m)]]/BD_MO[[#This Row],[AVANCE TEÓRICO]]))," ")</f>
        <v xml:space="preserve"> </v>
      </c>
      <c r="DS103" s="110"/>
      <c r="DT103" s="110"/>
      <c r="DU103" s="110"/>
      <c r="DV103" s="110"/>
      <c r="DW103" s="110"/>
      <c r="DX103" s="111"/>
      <c r="DY103" s="111"/>
      <c r="DZ103" s="111"/>
    </row>
    <row r="104" spans="1:130" s="136" customFormat="1" ht="18" customHeight="1" x14ac:dyDescent="0.25">
      <c r="A104" s="168">
        <v>44657</v>
      </c>
      <c r="B104" s="169" t="s">
        <v>10655</v>
      </c>
      <c r="C104" s="169" t="s">
        <v>10668</v>
      </c>
      <c r="D104" s="170" t="s">
        <v>11746</v>
      </c>
      <c r="E104" s="171" t="str">
        <f>LEFT(BD_MO[[#This Row],[LABOR]],2)</f>
        <v>Tj</v>
      </c>
      <c r="F104" s="172"/>
      <c r="G104" s="172" t="s">
        <v>10656</v>
      </c>
      <c r="H10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104" s="171" t="str">
        <f>IF(BD_MO[FECHA]&lt;&gt;"",VLOOKUP(BD_MO[LABOR],TB_CECO[[LABOR]:[CECO_T]],3,FALSE),"")</f>
        <v>CACHORRO</v>
      </c>
      <c r="J104" s="171" t="str">
        <f>IF(BD_MO[FECHA]&lt;&gt;"",VLOOKUP(BD_MO[LABOR],D_CECO!B:H,7,FALSE),"")</f>
        <v>TAJO</v>
      </c>
      <c r="K104" s="171" t="str">
        <f>IF(BD_MO[FECHA]&lt;&gt;"",VLOOKUP(BD_MO[LABOR],D_CECO!B:H,4,FALSE),"")</f>
        <v>EXPLOTACION</v>
      </c>
      <c r="L104" s="171"/>
      <c r="M104" s="169"/>
      <c r="N104" s="172"/>
      <c r="O104" s="173" t="s">
        <v>12157</v>
      </c>
      <c r="P104" s="173" t="s">
        <v>12158</v>
      </c>
      <c r="Q104" s="173" t="s">
        <v>12094</v>
      </c>
      <c r="R104" s="174"/>
      <c r="S104" s="175" t="str">
        <f>IFERROR(VLOOKUP(BD_MO[DNI 4],#REF!,2,FALSE)," ")</f>
        <v xml:space="preserve"> </v>
      </c>
      <c r="T104" s="176">
        <f>+IF(BD_MO[[#This Row],[FECHA]]&lt;&gt;"",COUNTA(BD_MO[[#This Row],[DNI]],BD_MO[[#This Row],[DNI 2]],BD_MO[[#This Row],[DNI 3]],BD_MO[[#This Row],[DNI 4]]),"")</f>
        <v>3</v>
      </c>
      <c r="U104" s="176">
        <v>1.3</v>
      </c>
      <c r="V104" s="176"/>
      <c r="W104" s="176"/>
      <c r="X104" s="176">
        <v>1.7</v>
      </c>
      <c r="Y104" s="177">
        <f>SUM(BD_MO[[#This Row],[LIMP]:[SERV]])</f>
        <v>3</v>
      </c>
      <c r="Z104" s="172"/>
      <c r="AA104" s="172" t="str">
        <f>+IF(BD_MO[[#This Row],[N° VALE]]&lt;&gt;"",1,"")</f>
        <v/>
      </c>
      <c r="AB104" s="169"/>
      <c r="AC104" s="172"/>
      <c r="AD104" s="172" t="str">
        <f>+IF(BD_MO[[#This Row],[N° VALE]]&lt;&gt;"",BD_MO[[#This Row],[FULMINANTE N° 08]]+BD_MO[CARMEX 7''],"")</f>
        <v/>
      </c>
      <c r="AE104" s="172"/>
      <c r="AF104" s="172" t="str">
        <f>+IF(BD_MO[[#This Row],[N° VALE]]&lt;&gt;"",BD_MO[[#This Row],[N° TALADROS]]+BD_MO[[#This Row],[N° TAL. VACIOS]],"")</f>
        <v/>
      </c>
      <c r="AG104" s="178"/>
      <c r="AH104" s="178"/>
      <c r="AI104" s="178"/>
      <c r="AJ104" s="178"/>
      <c r="AK104" s="178"/>
      <c r="AL104" s="178"/>
      <c r="AM104" s="171"/>
      <c r="AN10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04" s="172" t="str">
        <f>+IF(BD_MO[[#This Row],[N° VALE]]&lt;&gt;"",IF(BD_MO[[#This Row],[FULMINANTE N° 08]]&lt;&gt;"",BD_MO[[#This Row],[FULMINANTE N° 08]],IF(BD_MO[[#This Row],[CARMEX 7'']]&lt;&gt;0,0,"")),"")</f>
        <v/>
      </c>
      <c r="AP104" s="176" t="str">
        <f>+IF(BD_MO[[#This Row],[N° VALE]]&lt;&gt;"",BD_MO[[#This Row],[N°  TOTAL TALADROS]]*BD_MO[[#This Row],[BARRA]]*0.95,"")</f>
        <v/>
      </c>
      <c r="AQ104" s="176" t="str">
        <f>+IF(BD_MO[[#This Row],[N° VALE]]&lt;&gt;"",BD_MO[[#This Row],[EMULNOR 1000 (N° CART.)]]*PE_EMUL_1000[PE],"")</f>
        <v/>
      </c>
      <c r="AR104" s="176" t="str">
        <f>+IF(BD_MO[[#This Row],[N° VALE]]&lt;&gt;"",BD_MO[[#This Row],[EMULNOR 3000 (N° CART.)]]*PE_EMUL_3000[PE],"")</f>
        <v/>
      </c>
      <c r="AS104" s="176" t="str">
        <f>+IF(BD_MO[[#This Row],[N° VALE]]&lt;&gt;"",BD_MO[[#This Row],[PULVERULENTA (N° CART.)]]*PE_PULV_65[PE],"")</f>
        <v/>
      </c>
      <c r="AT104" s="176" t="str">
        <f>+IF(BD_MO[[#This Row],[N° DISP]]&lt;&gt;"",BD_MO[[#This Row],[SEMIGELATINA (N° CART.)]]*PE_SEMIGEL_65[PE],"")</f>
        <v/>
      </c>
      <c r="AU104" s="176" t="str">
        <f>+IF(BD_MO[N° VALE]&lt;&gt;"",BD_MO[[#This Row],[KG EXPLO SEMIGEL]]+BD_MO[[#This Row],[KG EXPLO PULVE]]+BD_MO[[#This Row],[KG EXPLO EMULN 3000]]+BD_MO[[#This Row],[KG EXPLO EMULN 1000]],"")</f>
        <v/>
      </c>
      <c r="AV104" s="172"/>
      <c r="AW104" s="172"/>
      <c r="AX104" s="172" t="str">
        <f>+IF(BD_MO[[#This Row],[MINERAL (U-35)]]&lt;&gt;"",BD_MO[[#This Row],[MINERAL (U-35)]]*1.45,"-")</f>
        <v>-</v>
      </c>
      <c r="AY104" s="172" t="str">
        <f>+IF(BD_MO[[#This Row],[DESMONTE (U-35)]]&lt;&gt;"",BD_MO[[#This Row],[DESMONTE (U-35)]]*1.23,"-")</f>
        <v>-</v>
      </c>
      <c r="AZ104" s="172"/>
      <c r="BA104" s="172"/>
      <c r="BB104" s="172"/>
      <c r="BC104" s="172"/>
      <c r="BD104" s="172"/>
      <c r="BE104" s="172"/>
      <c r="BF104" s="172"/>
      <c r="BG104" s="172"/>
      <c r="BH104" s="172"/>
      <c r="BI104" s="172"/>
      <c r="BJ104" s="172"/>
      <c r="BK104" s="172"/>
      <c r="BL104" s="172"/>
      <c r="BM104" s="172"/>
      <c r="BN104" s="171"/>
      <c r="BO104" s="172"/>
      <c r="BP104" s="172"/>
      <c r="BQ104" s="171"/>
      <c r="BR104" s="172"/>
      <c r="BS104" s="171"/>
      <c r="BT104" s="176"/>
      <c r="BU104" s="172"/>
      <c r="BV104" s="172"/>
      <c r="BW104" s="172"/>
      <c r="BX104" s="172"/>
      <c r="BY104" s="172"/>
      <c r="BZ104" s="172"/>
      <c r="CA104" s="172"/>
      <c r="CB104" s="172"/>
      <c r="CC104" s="172"/>
      <c r="CD104" s="172"/>
      <c r="CE104" s="172"/>
      <c r="CF104" s="172"/>
      <c r="CG104" s="172"/>
      <c r="CH104" s="172"/>
      <c r="CI104" s="172"/>
      <c r="CJ104" s="172"/>
      <c r="CK104" s="172"/>
      <c r="CL104" s="172"/>
      <c r="CM104" s="172"/>
      <c r="CN104" s="172"/>
      <c r="CO104" s="172"/>
      <c r="CP104" s="176">
        <f>+IF(BD_MO[[#This Row],[FECHA]]&lt;&gt;"",BD_MO[[#This Row],[PUNTAL 4"]]+BD_MO[[#This Row],[PUNTAL 5"]]+BD_MO[[#This Row],[PUNTAL 6"]]+BD_MO[[#This Row],[PUNTAL 7"]]+BD_MO[[#This Row],[PUNTAL 8"]],"")</f>
        <v>0</v>
      </c>
      <c r="CQ104" s="172"/>
      <c r="CR104" s="172"/>
      <c r="CS104" s="172"/>
      <c r="CT104" s="172"/>
      <c r="CU104" s="172"/>
      <c r="CV104" s="172"/>
      <c r="CW104" s="172"/>
      <c r="CX104" s="172"/>
      <c r="CY104" s="176"/>
      <c r="CZ10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04" s="176">
        <f>+IF(BD_MO[[#This Row],[FECHA]]&lt;&gt;"",BD_MO[[#This Row],[DURMIENTE2]]*6.561+BD_MO[[#This Row],[LISTONES]]*4.921+BD_MO[[#This Row],[TABLA 1"x8"x3m]]*6.561+BD_MO[[#This Row],[TABLA 2"x8"x3m]]*13.122,"")</f>
        <v>0</v>
      </c>
      <c r="DB104" s="176">
        <f>+IF(BD_MO[[#This Row],[FECHA]]&lt;&gt;"",BD_MO[[#This Row],[PIE2 MADERA ASERRADA]]*1.95,"")</f>
        <v>0</v>
      </c>
      <c r="DC104" s="176">
        <f>+IF(BD_MO[[#This Row],[FECHA]]&lt;&gt;"",BD_MO[[#This Row],[KG. MADERA REDONDA]]+BD_MO[[#This Row],[KG MADERA ASERRADA]],"")</f>
        <v>0</v>
      </c>
      <c r="DD10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04" s="172"/>
      <c r="DF104" s="172"/>
      <c r="DG104" s="172"/>
      <c r="DH104" s="172"/>
      <c r="DI10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04" s="180"/>
      <c r="DK104" s="180"/>
      <c r="DL10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0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0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04" s="181"/>
      <c r="DP104" s="180" t="str">
        <f>+IF(BD_MO[[#This Row],[M o D]]&lt;&gt;"",IF(BD_MO[[#This Row],[M o D]]="M",BD_MO[[#This Row],[ROTURA TMH]]/2.65,BD_MO[[#This Row],[ROTURA TMH]]/2.4),"")</f>
        <v/>
      </c>
      <c r="DQ104" s="180"/>
      <c r="DR104" s="116" t="str">
        <f>IF(BD_MO[[#This Row],[TIPO AVANCE]]="Avance",((BD_MO[[#This Row],[AVANCE (m)]]/BD_MO[[#This Row],[AVANCE TEÓRICO]]))," ")</f>
        <v xml:space="preserve"> </v>
      </c>
      <c r="DS104" s="134"/>
      <c r="DT104" s="134"/>
      <c r="DU104" s="134"/>
      <c r="DV104" s="134"/>
      <c r="DW104" s="134"/>
      <c r="DX104" s="135"/>
      <c r="DY104" s="135"/>
      <c r="DZ104" s="135"/>
    </row>
    <row r="105" spans="1:130" s="136" customFormat="1" ht="18" customHeight="1" x14ac:dyDescent="0.25">
      <c r="A105" s="168">
        <v>44657</v>
      </c>
      <c r="B105" s="169" t="s">
        <v>10655</v>
      </c>
      <c r="C105" s="169" t="s">
        <v>10668</v>
      </c>
      <c r="D105" s="170" t="s">
        <v>12149</v>
      </c>
      <c r="E105" s="171" t="str">
        <f>LEFT(BD_MO[[#This Row],[LABOR]],2)</f>
        <v>Es</v>
      </c>
      <c r="F105" s="172" t="s">
        <v>10687</v>
      </c>
      <c r="G105" s="172" t="s">
        <v>10648</v>
      </c>
      <c r="H105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05" s="171" t="str">
        <f>IF(BD_MO[FECHA]&lt;&gt;"",VLOOKUP(BD_MO[LABOR],TB_CECO[[LABOR]:[CECO_T]],3,FALSE),"")</f>
        <v>VANESSA</v>
      </c>
      <c r="J105" s="171" t="str">
        <f>IF(BD_MO[FECHA]&lt;&gt;"",VLOOKUP(BD_MO[LABOR],D_CECO!B:H,7,FALSE),"")</f>
        <v>LINEAL</v>
      </c>
      <c r="K105" s="171" t="str">
        <f>IF(BD_MO[FECHA]&lt;&gt;"",VLOOKUP(BD_MO[LABOR],D_CECO!B:H,4,FALSE),"")</f>
        <v>EXPLORACION</v>
      </c>
      <c r="L105" s="171"/>
      <c r="M105" s="169" t="s">
        <v>10646</v>
      </c>
      <c r="N105" s="172"/>
      <c r="O105" s="173" t="s">
        <v>12091</v>
      </c>
      <c r="P105" s="173" t="s">
        <v>12190</v>
      </c>
      <c r="Q105" s="173"/>
      <c r="R105" s="174"/>
      <c r="S105" s="175" t="str">
        <f>IFERROR(VLOOKUP(BD_MO[DNI 4],#REF!,2,FALSE)," ")</f>
        <v xml:space="preserve"> </v>
      </c>
      <c r="T105" s="176">
        <f>+IF(BD_MO[[#This Row],[FECHA]]&lt;&gt;"",COUNTA(BD_MO[[#This Row],[DNI]],BD_MO[[#This Row],[DNI 2]],BD_MO[[#This Row],[DNI 3]],BD_MO[[#This Row],[DNI 4]]),"")</f>
        <v>2</v>
      </c>
      <c r="U105" s="176">
        <v>1.2</v>
      </c>
      <c r="V105" s="176">
        <v>0.6</v>
      </c>
      <c r="W105" s="176"/>
      <c r="X105" s="176">
        <v>0.2</v>
      </c>
      <c r="Y105" s="177">
        <f>SUM(BD_MO[[#This Row],[LIMP]:[SERV]])</f>
        <v>1.9999999999999998</v>
      </c>
      <c r="Z105" s="172" t="s">
        <v>12191</v>
      </c>
      <c r="AA105" s="172">
        <f>+IF(BD_MO[[#This Row],[N° VALE]]&lt;&gt;"",1,"")</f>
        <v>1</v>
      </c>
      <c r="AB105" s="169" t="s">
        <v>10710</v>
      </c>
      <c r="AC105" s="172">
        <v>5</v>
      </c>
      <c r="AD105" s="172">
        <f>+IF(BD_MO[[#This Row],[N° VALE]]&lt;&gt;"",BD_MO[[#This Row],[FULMINANTE N° 08]]+BD_MO[CARMEX 7''],"")</f>
        <v>22</v>
      </c>
      <c r="AE105" s="172">
        <v>3</v>
      </c>
      <c r="AF105" s="172">
        <f>+IF(BD_MO[[#This Row],[N° VALE]]&lt;&gt;"",BD_MO[[#This Row],[N° TALADROS]]+BD_MO[[#This Row],[N° TAL. VACIOS]],"")</f>
        <v>25</v>
      </c>
      <c r="AG105" s="178">
        <v>44</v>
      </c>
      <c r="AH105" s="178">
        <v>78</v>
      </c>
      <c r="AI105" s="178"/>
      <c r="AJ105" s="178"/>
      <c r="AK105" s="178">
        <v>22</v>
      </c>
      <c r="AL105" s="178">
        <v>4</v>
      </c>
      <c r="AM105" s="171"/>
      <c r="AN105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05" s="172">
        <f>+IF(BD_MO[[#This Row],[N° VALE]]&lt;&gt;"",IF(BD_MO[[#This Row],[FULMINANTE N° 08]]&lt;&gt;"",BD_MO[[#This Row],[FULMINANTE N° 08]],IF(BD_MO[[#This Row],[CARMEX 7'']]&lt;&gt;0,0,"")),"")</f>
        <v>0</v>
      </c>
      <c r="AP105" s="176">
        <f>+IF(BD_MO[[#This Row],[N° VALE]]&lt;&gt;"",BD_MO[[#This Row],[N°  TOTAL TALADROS]]*BD_MO[[#This Row],[BARRA]]*0.95,"")</f>
        <v>118.75</v>
      </c>
      <c r="AQ105" s="176">
        <f>+IF(BD_MO[[#This Row],[N° VALE]]&lt;&gt;"",BD_MO[[#This Row],[EMULNOR 1000 (N° CART.)]]*PE_EMUL_1000[PE],"")</f>
        <v>7.3866000000000005</v>
      </c>
      <c r="AR105" s="176">
        <f>+IF(BD_MO[[#This Row],[N° VALE]]&lt;&gt;"",BD_MO[[#This Row],[EMULNOR 3000 (N° CART.)]]*PE_EMUL_3000[PE],"")</f>
        <v>4.2307692307692326</v>
      </c>
      <c r="AS105" s="176">
        <f>+IF(BD_MO[[#This Row],[N° VALE]]&lt;&gt;"",BD_MO[[#This Row],[PULVERULENTA (N° CART.)]]*PE_PULV_65[PE],"")</f>
        <v>0</v>
      </c>
      <c r="AT105" s="176">
        <f>+IF(BD_MO[[#This Row],[N° DISP]]&lt;&gt;"",BD_MO[[#This Row],[SEMIGELATINA (N° CART.)]]*PE_SEMIGEL_65[PE],"")</f>
        <v>0</v>
      </c>
      <c r="AU105" s="176">
        <f>+IF(BD_MO[N° VALE]&lt;&gt;"",BD_MO[[#This Row],[KG EXPLO SEMIGEL]]+BD_MO[[#This Row],[KG EXPLO PULVE]]+BD_MO[[#This Row],[KG EXPLO EMULN 3000]]+BD_MO[[#This Row],[KG EXPLO EMULN 1000]],"")</f>
        <v>11.617369230769233</v>
      </c>
      <c r="AV105" s="172">
        <v>7</v>
      </c>
      <c r="AW105" s="172"/>
      <c r="AX105" s="172">
        <f>+IF(BD_MO[[#This Row],[MINERAL (U-35)]]&lt;&gt;"",BD_MO[[#This Row],[MINERAL (U-35)]]*1.45,"-")</f>
        <v>10.15</v>
      </c>
      <c r="AY105" s="172" t="str">
        <f>+IF(BD_MO[[#This Row],[DESMONTE (U-35)]]&lt;&gt;"",BD_MO[[#This Row],[DESMONTE (U-35)]]*1.23,"-")</f>
        <v>-</v>
      </c>
      <c r="AZ105" s="172"/>
      <c r="BA105" s="172"/>
      <c r="BB105" s="172"/>
      <c r="BC105" s="172"/>
      <c r="BD105" s="172"/>
      <c r="BE105" s="172"/>
      <c r="BF105" s="172"/>
      <c r="BG105" s="172"/>
      <c r="BH105" s="172"/>
      <c r="BI105" s="172"/>
      <c r="BJ105" s="172"/>
      <c r="BK105" s="172"/>
      <c r="BL105" s="172"/>
      <c r="BM105" s="172"/>
      <c r="BN105" s="171"/>
      <c r="BO105" s="172"/>
      <c r="BP105" s="172"/>
      <c r="BQ105" s="171"/>
      <c r="BR105" s="172"/>
      <c r="BS105" s="171"/>
      <c r="BT105" s="176"/>
      <c r="BU105" s="172"/>
      <c r="BV105" s="172"/>
      <c r="BW105" s="172"/>
      <c r="BX105" s="172"/>
      <c r="BY105" s="172"/>
      <c r="BZ105" s="172"/>
      <c r="CA105" s="172"/>
      <c r="CB105" s="172"/>
      <c r="CC105" s="172"/>
      <c r="CD105" s="172"/>
      <c r="CE105" s="172"/>
      <c r="CF105" s="172"/>
      <c r="CG105" s="172"/>
      <c r="CH105" s="172"/>
      <c r="CI105" s="172"/>
      <c r="CJ105" s="172"/>
      <c r="CK105" s="172"/>
      <c r="CL105" s="172"/>
      <c r="CM105" s="172"/>
      <c r="CN105" s="172"/>
      <c r="CO105" s="172"/>
      <c r="CP105" s="176">
        <f>+IF(BD_MO[[#This Row],[FECHA]]&lt;&gt;"",BD_MO[[#This Row],[PUNTAL 4"]]+BD_MO[[#This Row],[PUNTAL 5"]]+BD_MO[[#This Row],[PUNTAL 6"]]+BD_MO[[#This Row],[PUNTAL 7"]]+BD_MO[[#This Row],[PUNTAL 8"]],"")</f>
        <v>0</v>
      </c>
      <c r="CQ105" s="172"/>
      <c r="CR105" s="172"/>
      <c r="CS105" s="172"/>
      <c r="CT105" s="172"/>
      <c r="CU105" s="172"/>
      <c r="CV105" s="172"/>
      <c r="CW105" s="172"/>
      <c r="CX105" s="172"/>
      <c r="CY105" s="176"/>
      <c r="CZ105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05" s="176">
        <f>+IF(BD_MO[[#This Row],[FECHA]]&lt;&gt;"",BD_MO[[#This Row],[DURMIENTE2]]*6.561+BD_MO[[#This Row],[LISTONES]]*4.921+BD_MO[[#This Row],[TABLA 1"x8"x3m]]*6.561+BD_MO[[#This Row],[TABLA 2"x8"x3m]]*13.122,"")</f>
        <v>0</v>
      </c>
      <c r="DB105" s="176">
        <f>+IF(BD_MO[[#This Row],[FECHA]]&lt;&gt;"",BD_MO[[#This Row],[PIE2 MADERA ASERRADA]]*1.95,"")</f>
        <v>0</v>
      </c>
      <c r="DC105" s="176">
        <f>+IF(BD_MO[[#This Row],[FECHA]]&lt;&gt;"",BD_MO[[#This Row],[KG. MADERA REDONDA]]+BD_MO[[#This Row],[KG MADERA ASERRADA]],"")</f>
        <v>0</v>
      </c>
      <c r="DD105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05" s="172"/>
      <c r="DF105" s="172"/>
      <c r="DG105" s="172"/>
      <c r="DH105" s="172"/>
      <c r="DI105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105" s="180"/>
      <c r="DK105" s="180"/>
      <c r="DL105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05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105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05" s="181">
        <v>11.08</v>
      </c>
      <c r="DP105" s="180">
        <v>4.57</v>
      </c>
      <c r="DQ105" s="180">
        <v>0.6</v>
      </c>
      <c r="DR105" s="116">
        <f>IF(BD_MO[[#This Row],[TIPO AVANCE]]="Avance",((BD_MO[[#This Row],[AVANCE (m)]]/BD_MO[[#This Row],[AVANCE TEÓRICO]]))," ")</f>
        <v>0.44444444444444442</v>
      </c>
      <c r="DS105" s="134"/>
      <c r="DT105" s="134"/>
      <c r="DU105" s="134"/>
      <c r="DV105" s="134"/>
      <c r="DW105" s="134"/>
      <c r="DX105" s="135"/>
      <c r="DY105" s="135"/>
      <c r="DZ105" s="135"/>
    </row>
    <row r="106" spans="1:130" s="136" customFormat="1" ht="18" customHeight="1" x14ac:dyDescent="0.25">
      <c r="A106" s="168">
        <v>44657</v>
      </c>
      <c r="B106" s="169" t="s">
        <v>10655</v>
      </c>
      <c r="C106" s="169" t="s">
        <v>10668</v>
      </c>
      <c r="D106" s="170" t="s">
        <v>10952</v>
      </c>
      <c r="E106" s="171" t="str">
        <f>LEFT(BD_MO[[#This Row],[LABOR]],2)</f>
        <v>In</v>
      </c>
      <c r="F106" s="172"/>
      <c r="G106" s="172" t="s">
        <v>10669</v>
      </c>
      <c r="H10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06" s="171" t="str">
        <f>IF(BD_MO[FECHA]&lt;&gt;"",VLOOKUP(BD_MO[LABOR],TB_CECO[[LABOR]:[CECO_T]],3,FALSE),"")</f>
        <v>VANESSA</v>
      </c>
      <c r="J106" s="171" t="str">
        <f>IF(BD_MO[FECHA]&lt;&gt;"",VLOOKUP(BD_MO[LABOR],D_CECO!B:H,7,FALSE),"")</f>
        <v>LINEAL</v>
      </c>
      <c r="K106" s="171" t="str">
        <f>IF(BD_MO[FECHA]&lt;&gt;"",VLOOKUP(BD_MO[LABOR],D_CECO!B:H,4,FALSE),"")</f>
        <v>EXPLORACION</v>
      </c>
      <c r="L106" s="171"/>
      <c r="M106" s="169"/>
      <c r="N106" s="172"/>
      <c r="O106" s="173" t="s">
        <v>12095</v>
      </c>
      <c r="P106" s="173" t="s">
        <v>12088</v>
      </c>
      <c r="Q106" s="173"/>
      <c r="R106" s="174"/>
      <c r="S106" s="175" t="str">
        <f>IFERROR(VLOOKUP(BD_MO[DNI 4],#REF!,2,FALSE)," ")</f>
        <v xml:space="preserve"> </v>
      </c>
      <c r="T106" s="176">
        <f>+IF(BD_MO[[#This Row],[FECHA]]&lt;&gt;"",COUNTA(BD_MO[[#This Row],[DNI]],BD_MO[[#This Row],[DNI 2]],BD_MO[[#This Row],[DNI 3]],BD_MO[[#This Row],[DNI 4]]),"")</f>
        <v>2</v>
      </c>
      <c r="U106" s="176"/>
      <c r="V106" s="176"/>
      <c r="W106" s="176"/>
      <c r="X106" s="176">
        <v>2</v>
      </c>
      <c r="Y106" s="177">
        <f>SUM(BD_MO[[#This Row],[LIMP]:[SERV]])</f>
        <v>2</v>
      </c>
      <c r="Z106" s="172"/>
      <c r="AA106" s="172" t="str">
        <f>+IF(BD_MO[[#This Row],[N° VALE]]&lt;&gt;"",1,"")</f>
        <v/>
      </c>
      <c r="AB106" s="169"/>
      <c r="AC106" s="172"/>
      <c r="AD106" s="172" t="str">
        <f>+IF(BD_MO[[#This Row],[N° VALE]]&lt;&gt;"",BD_MO[[#This Row],[FULMINANTE N° 08]]+BD_MO[CARMEX 7''],"")</f>
        <v/>
      </c>
      <c r="AE106" s="172"/>
      <c r="AF106" s="172" t="str">
        <f>+IF(BD_MO[[#This Row],[N° VALE]]&lt;&gt;"",BD_MO[[#This Row],[N° TALADROS]]+BD_MO[[#This Row],[N° TAL. VACIOS]],"")</f>
        <v/>
      </c>
      <c r="AG106" s="178"/>
      <c r="AH106" s="178"/>
      <c r="AI106" s="178"/>
      <c r="AJ106" s="178"/>
      <c r="AK106" s="178"/>
      <c r="AL106" s="178"/>
      <c r="AM106" s="171"/>
      <c r="AN106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06" s="172" t="str">
        <f>+IF(BD_MO[[#This Row],[N° VALE]]&lt;&gt;"",IF(BD_MO[[#This Row],[FULMINANTE N° 08]]&lt;&gt;"",BD_MO[[#This Row],[FULMINANTE N° 08]],IF(BD_MO[[#This Row],[CARMEX 7'']]&lt;&gt;0,0,"")),"")</f>
        <v/>
      </c>
      <c r="AP106" s="176" t="str">
        <f>+IF(BD_MO[[#This Row],[N° VALE]]&lt;&gt;"",BD_MO[[#This Row],[N°  TOTAL TALADROS]]*BD_MO[[#This Row],[BARRA]]*0.95,"")</f>
        <v/>
      </c>
      <c r="AQ106" s="176" t="str">
        <f>+IF(BD_MO[[#This Row],[N° VALE]]&lt;&gt;"",BD_MO[[#This Row],[EMULNOR 1000 (N° CART.)]]*PE_EMUL_1000[PE],"")</f>
        <v/>
      </c>
      <c r="AR106" s="176" t="str">
        <f>+IF(BD_MO[[#This Row],[N° VALE]]&lt;&gt;"",BD_MO[[#This Row],[EMULNOR 3000 (N° CART.)]]*PE_EMUL_3000[PE],"")</f>
        <v/>
      </c>
      <c r="AS106" s="176" t="str">
        <f>+IF(BD_MO[[#This Row],[N° VALE]]&lt;&gt;"",BD_MO[[#This Row],[PULVERULENTA (N° CART.)]]*PE_PULV_65[PE],"")</f>
        <v/>
      </c>
      <c r="AT106" s="176" t="str">
        <f>+IF(BD_MO[[#This Row],[N° DISP]]&lt;&gt;"",BD_MO[[#This Row],[SEMIGELATINA (N° CART.)]]*PE_SEMIGEL_65[PE],"")</f>
        <v/>
      </c>
      <c r="AU106" s="176" t="str">
        <f>+IF(BD_MO[N° VALE]&lt;&gt;"",BD_MO[[#This Row],[KG EXPLO SEMIGEL]]+BD_MO[[#This Row],[KG EXPLO PULVE]]+BD_MO[[#This Row],[KG EXPLO EMULN 3000]]+BD_MO[[#This Row],[KG EXPLO EMULN 1000]],"")</f>
        <v/>
      </c>
      <c r="AV106" s="172"/>
      <c r="AW106" s="172"/>
      <c r="AX106" s="172" t="str">
        <f>+IF(BD_MO[[#This Row],[MINERAL (U-35)]]&lt;&gt;"",BD_MO[[#This Row],[MINERAL (U-35)]]*1.45,"-")</f>
        <v>-</v>
      </c>
      <c r="AY106" s="172" t="str">
        <f>+IF(BD_MO[[#This Row],[DESMONTE (U-35)]]&lt;&gt;"",BD_MO[[#This Row],[DESMONTE (U-35)]]*1.23,"-")</f>
        <v>-</v>
      </c>
      <c r="AZ106" s="172"/>
      <c r="BA106" s="172"/>
      <c r="BB106" s="172"/>
      <c r="BC106" s="172"/>
      <c r="BD106" s="172"/>
      <c r="BE106" s="172"/>
      <c r="BF106" s="172"/>
      <c r="BG106" s="172"/>
      <c r="BH106" s="172"/>
      <c r="BI106" s="172"/>
      <c r="BJ106" s="172"/>
      <c r="BK106" s="172"/>
      <c r="BL106" s="172"/>
      <c r="BM106" s="172"/>
      <c r="BN106" s="171"/>
      <c r="BO106" s="172"/>
      <c r="BP106" s="172"/>
      <c r="BQ106" s="171"/>
      <c r="BR106" s="172"/>
      <c r="BS106" s="171"/>
      <c r="BT106" s="176"/>
      <c r="BU106" s="172"/>
      <c r="BV106" s="172"/>
      <c r="BW106" s="172"/>
      <c r="BX106" s="172"/>
      <c r="BY106" s="172"/>
      <c r="BZ106" s="172"/>
      <c r="CA106" s="172"/>
      <c r="CB106" s="172"/>
      <c r="CC106" s="172"/>
      <c r="CD106" s="172"/>
      <c r="CE106" s="172"/>
      <c r="CF106" s="172"/>
      <c r="CG106" s="172"/>
      <c r="CH106" s="172"/>
      <c r="CI106" s="172"/>
      <c r="CJ106" s="172"/>
      <c r="CK106" s="172"/>
      <c r="CL106" s="172"/>
      <c r="CM106" s="172"/>
      <c r="CN106" s="172"/>
      <c r="CO106" s="172"/>
      <c r="CP106" s="176">
        <f>+IF(BD_MO[[#This Row],[FECHA]]&lt;&gt;"",BD_MO[[#This Row],[PUNTAL 4"]]+BD_MO[[#This Row],[PUNTAL 5"]]+BD_MO[[#This Row],[PUNTAL 6"]]+BD_MO[[#This Row],[PUNTAL 7"]]+BD_MO[[#This Row],[PUNTAL 8"]],"")</f>
        <v>0</v>
      </c>
      <c r="CQ106" s="172"/>
      <c r="CR106" s="172"/>
      <c r="CS106" s="172"/>
      <c r="CT106" s="172"/>
      <c r="CU106" s="172"/>
      <c r="CV106" s="172"/>
      <c r="CW106" s="172"/>
      <c r="CX106" s="172"/>
      <c r="CY106" s="176"/>
      <c r="CZ10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06" s="176">
        <f>+IF(BD_MO[[#This Row],[FECHA]]&lt;&gt;"",BD_MO[[#This Row],[DURMIENTE2]]*6.561+BD_MO[[#This Row],[LISTONES]]*4.921+BD_MO[[#This Row],[TABLA 1"x8"x3m]]*6.561+BD_MO[[#This Row],[TABLA 2"x8"x3m]]*13.122,"")</f>
        <v>0</v>
      </c>
      <c r="DB106" s="176">
        <f>+IF(BD_MO[[#This Row],[FECHA]]&lt;&gt;"",BD_MO[[#This Row],[PIE2 MADERA ASERRADA]]*1.95,"")</f>
        <v>0</v>
      </c>
      <c r="DC106" s="176">
        <f>+IF(BD_MO[[#This Row],[FECHA]]&lt;&gt;"",BD_MO[[#This Row],[KG. MADERA REDONDA]]+BD_MO[[#This Row],[KG MADERA ASERRADA]],"")</f>
        <v>0</v>
      </c>
      <c r="DD10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06" s="172"/>
      <c r="DF106" s="172"/>
      <c r="DG106" s="172" t="s">
        <v>12183</v>
      </c>
      <c r="DH106" s="172">
        <v>6</v>
      </c>
      <c r="DI106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06" s="180"/>
      <c r="DK106" s="180"/>
      <c r="DL10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06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06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06" s="181"/>
      <c r="DP106" s="180" t="str">
        <f>+IF(BD_MO[[#This Row],[M o D]]&lt;&gt;"",IF(BD_MO[[#This Row],[M o D]]="M",BD_MO[[#This Row],[ROTURA TMH]]/2.65,BD_MO[[#This Row],[ROTURA TMH]]/2.4),"")</f>
        <v/>
      </c>
      <c r="DQ106" s="180"/>
      <c r="DR106" s="116" t="str">
        <f>IF(BD_MO[[#This Row],[TIPO AVANCE]]="Avance",((BD_MO[[#This Row],[AVANCE (m)]]/BD_MO[[#This Row],[AVANCE TEÓRICO]]))," ")</f>
        <v xml:space="preserve"> </v>
      </c>
      <c r="DS106" s="134"/>
      <c r="DT106" s="134"/>
      <c r="DU106" s="134"/>
      <c r="DV106" s="134"/>
      <c r="DW106" s="134"/>
      <c r="DX106" s="135"/>
      <c r="DY106" s="135"/>
      <c r="DZ106" s="135"/>
    </row>
    <row r="107" spans="1:130" s="136" customFormat="1" ht="18" customHeight="1" x14ac:dyDescent="0.25">
      <c r="A107" s="168">
        <v>44657</v>
      </c>
      <c r="B107" s="169" t="s">
        <v>10655</v>
      </c>
      <c r="C107" s="169" t="s">
        <v>10668</v>
      </c>
      <c r="D107" s="170" t="s">
        <v>11872</v>
      </c>
      <c r="E107" s="171" t="str">
        <f>LEFT(BD_MO[[#This Row],[LABOR]],2)</f>
        <v>PQ</v>
      </c>
      <c r="F107" s="172"/>
      <c r="G107" s="172" t="s">
        <v>10669</v>
      </c>
      <c r="H10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07" s="171" t="str">
        <f>IF(BD_MO[FECHA]&lt;&gt;"",VLOOKUP(BD_MO[LABOR],TB_CECO[[LABOR]:[CECO_T]],3,FALSE),"")</f>
        <v>ANDREA</v>
      </c>
      <c r="J107" s="171" t="str">
        <f>IF(BD_MO[FECHA]&lt;&gt;"",VLOOKUP(BD_MO[LABOR],D_CECO!B:H,7,FALSE),"")</f>
        <v>LINEAL</v>
      </c>
      <c r="K107" s="171" t="str">
        <f>IF(BD_MO[FECHA]&lt;&gt;"",VLOOKUP(BD_MO[LABOR],D_CECO!B:H,4,FALSE),"")</f>
        <v>EXPLOTACION</v>
      </c>
      <c r="L107" s="171"/>
      <c r="M107" s="169"/>
      <c r="N107" s="172"/>
      <c r="O107" s="173" t="s">
        <v>12097</v>
      </c>
      <c r="P107" s="173" t="s">
        <v>12089</v>
      </c>
      <c r="Q107" s="173" t="s">
        <v>12090</v>
      </c>
      <c r="R107" s="174"/>
      <c r="S107" s="175" t="str">
        <f>IFERROR(VLOOKUP(BD_MO[DNI 4],#REF!,2,FALSE)," ")</f>
        <v xml:space="preserve"> </v>
      </c>
      <c r="T107" s="176">
        <f>+IF(BD_MO[[#This Row],[FECHA]]&lt;&gt;"",COUNTA(BD_MO[[#This Row],[DNI]],BD_MO[[#This Row],[DNI 2]],BD_MO[[#This Row],[DNI 3]],BD_MO[[#This Row],[DNI 4]]),"")</f>
        <v>3</v>
      </c>
      <c r="U107" s="176"/>
      <c r="V107" s="176"/>
      <c r="W107" s="176"/>
      <c r="X107" s="176">
        <v>3</v>
      </c>
      <c r="Y107" s="177">
        <f>SUM(BD_MO[[#This Row],[LIMP]:[SERV]])</f>
        <v>3</v>
      </c>
      <c r="Z107" s="172"/>
      <c r="AA107" s="172" t="str">
        <f>+IF(BD_MO[[#This Row],[N° VALE]]&lt;&gt;"",1,"")</f>
        <v/>
      </c>
      <c r="AB107" s="169"/>
      <c r="AC107" s="172"/>
      <c r="AD107" s="172" t="str">
        <f>+IF(BD_MO[[#This Row],[N° VALE]]&lt;&gt;"",BD_MO[[#This Row],[FULMINANTE N° 08]]+BD_MO[CARMEX 7''],"")</f>
        <v/>
      </c>
      <c r="AE107" s="172"/>
      <c r="AF107" s="172" t="str">
        <f>+IF(BD_MO[[#This Row],[N° VALE]]&lt;&gt;"",BD_MO[[#This Row],[N° TALADROS]]+BD_MO[[#This Row],[N° TAL. VACIOS]],"")</f>
        <v/>
      </c>
      <c r="AG107" s="178"/>
      <c r="AH107" s="178"/>
      <c r="AI107" s="178"/>
      <c r="AJ107" s="178"/>
      <c r="AK107" s="178"/>
      <c r="AL107" s="178"/>
      <c r="AM107" s="171"/>
      <c r="AN107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07" s="172" t="str">
        <f>+IF(BD_MO[[#This Row],[N° VALE]]&lt;&gt;"",IF(BD_MO[[#This Row],[FULMINANTE N° 08]]&lt;&gt;"",BD_MO[[#This Row],[FULMINANTE N° 08]],IF(BD_MO[[#This Row],[CARMEX 7'']]&lt;&gt;0,0,"")),"")</f>
        <v/>
      </c>
      <c r="AP107" s="176" t="str">
        <f>+IF(BD_MO[[#This Row],[N° VALE]]&lt;&gt;"",BD_MO[[#This Row],[N°  TOTAL TALADROS]]*BD_MO[[#This Row],[BARRA]]*0.95,"")</f>
        <v/>
      </c>
      <c r="AQ107" s="176" t="str">
        <f>+IF(BD_MO[[#This Row],[N° VALE]]&lt;&gt;"",BD_MO[[#This Row],[EMULNOR 1000 (N° CART.)]]*PE_EMUL_1000[PE],"")</f>
        <v/>
      </c>
      <c r="AR107" s="176" t="str">
        <f>+IF(BD_MO[[#This Row],[N° VALE]]&lt;&gt;"",BD_MO[[#This Row],[EMULNOR 3000 (N° CART.)]]*PE_EMUL_3000[PE],"")</f>
        <v/>
      </c>
      <c r="AS107" s="176" t="str">
        <f>+IF(BD_MO[[#This Row],[N° VALE]]&lt;&gt;"",BD_MO[[#This Row],[PULVERULENTA (N° CART.)]]*PE_PULV_65[PE],"")</f>
        <v/>
      </c>
      <c r="AT107" s="176" t="str">
        <f>+IF(BD_MO[[#This Row],[N° DISP]]&lt;&gt;"",BD_MO[[#This Row],[SEMIGELATINA (N° CART.)]]*PE_SEMIGEL_65[PE],"")</f>
        <v/>
      </c>
      <c r="AU107" s="176" t="str">
        <f>+IF(BD_MO[N° VALE]&lt;&gt;"",BD_MO[[#This Row],[KG EXPLO SEMIGEL]]+BD_MO[[#This Row],[KG EXPLO PULVE]]+BD_MO[[#This Row],[KG EXPLO EMULN 3000]]+BD_MO[[#This Row],[KG EXPLO EMULN 1000]],"")</f>
        <v/>
      </c>
      <c r="AV107" s="172"/>
      <c r="AW107" s="172"/>
      <c r="AX107" s="172" t="str">
        <f>+IF(BD_MO[[#This Row],[MINERAL (U-35)]]&lt;&gt;"",BD_MO[[#This Row],[MINERAL (U-35)]]*1.45,"-")</f>
        <v>-</v>
      </c>
      <c r="AY107" s="172" t="str">
        <f>+IF(BD_MO[[#This Row],[DESMONTE (U-35)]]&lt;&gt;"",BD_MO[[#This Row],[DESMONTE (U-35)]]*1.23,"-")</f>
        <v>-</v>
      </c>
      <c r="AZ107" s="172"/>
      <c r="BA107" s="172"/>
      <c r="BB107" s="172"/>
      <c r="BC107" s="172"/>
      <c r="BD107" s="172"/>
      <c r="BE107" s="172"/>
      <c r="BF107" s="172"/>
      <c r="BG107" s="172"/>
      <c r="BH107" s="172"/>
      <c r="BI107" s="172"/>
      <c r="BJ107" s="172"/>
      <c r="BK107" s="172"/>
      <c r="BL107" s="172"/>
      <c r="BM107" s="172"/>
      <c r="BN107" s="171"/>
      <c r="BO107" s="172"/>
      <c r="BP107" s="172"/>
      <c r="BQ107" s="171"/>
      <c r="BR107" s="172"/>
      <c r="BS107" s="171"/>
      <c r="BT107" s="176"/>
      <c r="BU107" s="172"/>
      <c r="BV107" s="172"/>
      <c r="BW107" s="172"/>
      <c r="BX107" s="172"/>
      <c r="BY107" s="172"/>
      <c r="BZ107" s="172"/>
      <c r="CA107" s="172"/>
      <c r="CB107" s="172"/>
      <c r="CC107" s="172"/>
      <c r="CD107" s="172"/>
      <c r="CE107" s="172"/>
      <c r="CF107" s="172"/>
      <c r="CG107" s="172"/>
      <c r="CH107" s="172"/>
      <c r="CI107" s="172"/>
      <c r="CJ107" s="172"/>
      <c r="CK107" s="172"/>
      <c r="CL107" s="172"/>
      <c r="CM107" s="172"/>
      <c r="CN107" s="172"/>
      <c r="CO107" s="172"/>
      <c r="CP107" s="176">
        <f>+IF(BD_MO[[#This Row],[FECHA]]&lt;&gt;"",BD_MO[[#This Row],[PUNTAL 4"]]+BD_MO[[#This Row],[PUNTAL 5"]]+BD_MO[[#This Row],[PUNTAL 6"]]+BD_MO[[#This Row],[PUNTAL 7"]]+BD_MO[[#This Row],[PUNTAL 8"]],"")</f>
        <v>0</v>
      </c>
      <c r="CQ107" s="172"/>
      <c r="CR107" s="172"/>
      <c r="CS107" s="172"/>
      <c r="CT107" s="172"/>
      <c r="CU107" s="172"/>
      <c r="CV107" s="172"/>
      <c r="CW107" s="172"/>
      <c r="CX107" s="172"/>
      <c r="CY107" s="176"/>
      <c r="CZ10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07" s="176">
        <f>+IF(BD_MO[[#This Row],[FECHA]]&lt;&gt;"",BD_MO[[#This Row],[DURMIENTE2]]*6.561+BD_MO[[#This Row],[LISTONES]]*4.921+BD_MO[[#This Row],[TABLA 1"x8"x3m]]*6.561+BD_MO[[#This Row],[TABLA 2"x8"x3m]]*13.122,"")</f>
        <v>0</v>
      </c>
      <c r="DB107" s="176">
        <f>+IF(BD_MO[[#This Row],[FECHA]]&lt;&gt;"",BD_MO[[#This Row],[PIE2 MADERA ASERRADA]]*1.95,"")</f>
        <v>0</v>
      </c>
      <c r="DC107" s="176">
        <f>+IF(BD_MO[[#This Row],[FECHA]]&lt;&gt;"",BD_MO[[#This Row],[KG. MADERA REDONDA]]+BD_MO[[#This Row],[KG MADERA ASERRADA]],"")</f>
        <v>0</v>
      </c>
      <c r="DD10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07" s="172"/>
      <c r="DF107" s="172"/>
      <c r="DG107" s="172" t="s">
        <v>12184</v>
      </c>
      <c r="DH107" s="172">
        <v>5</v>
      </c>
      <c r="DI107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07" s="180"/>
      <c r="DK107" s="180"/>
      <c r="DL10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07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07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07" s="181"/>
      <c r="DP107" s="180" t="str">
        <f>+IF(BD_MO[[#This Row],[M o D]]&lt;&gt;"",IF(BD_MO[[#This Row],[M o D]]="M",BD_MO[[#This Row],[ROTURA TMH]]/2.65,BD_MO[[#This Row],[ROTURA TMH]]/2.4),"")</f>
        <v/>
      </c>
      <c r="DQ107" s="180"/>
      <c r="DR107" s="116" t="str">
        <f>IF(BD_MO[[#This Row],[TIPO AVANCE]]="Avance",((BD_MO[[#This Row],[AVANCE (m)]]/BD_MO[[#This Row],[AVANCE TEÓRICO]]))," ")</f>
        <v xml:space="preserve"> </v>
      </c>
      <c r="DS107" s="134"/>
      <c r="DT107" s="134"/>
      <c r="DU107" s="134"/>
      <c r="DV107" s="134"/>
      <c r="DW107" s="134"/>
      <c r="DX107" s="135"/>
      <c r="DY107" s="135"/>
      <c r="DZ107" s="135"/>
    </row>
    <row r="108" spans="1:130" s="136" customFormat="1" ht="18" customHeight="1" x14ac:dyDescent="0.25">
      <c r="A108" s="168">
        <v>44657</v>
      </c>
      <c r="B108" s="169" t="s">
        <v>10655</v>
      </c>
      <c r="C108" s="169" t="s">
        <v>10668</v>
      </c>
      <c r="D108" s="170" t="s">
        <v>10951</v>
      </c>
      <c r="E108" s="171" t="str">
        <f>LEFT(BD_MO[[#This Row],[LABOR]],2)</f>
        <v>In</v>
      </c>
      <c r="F108" s="172"/>
      <c r="G108" s="172" t="s">
        <v>10669</v>
      </c>
      <c r="H108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08" s="171" t="str">
        <f>IF(BD_MO[FECHA]&lt;&gt;"",VLOOKUP(BD_MO[LABOR],TB_CECO[[LABOR]:[CECO_T]],3,FALSE),"")</f>
        <v>CACHORRO</v>
      </c>
      <c r="J108" s="171" t="str">
        <f>IF(BD_MO[FECHA]&lt;&gt;"",VLOOKUP(BD_MO[LABOR],D_CECO!B:H,7,FALSE),"")</f>
        <v>LINEAL</v>
      </c>
      <c r="K108" s="171" t="str">
        <f>IF(BD_MO[FECHA]&lt;&gt;"",VLOOKUP(BD_MO[LABOR],D_CECO!B:H,4,FALSE),"")</f>
        <v>EXPLORACION</v>
      </c>
      <c r="L108" s="171"/>
      <c r="M108" s="169"/>
      <c r="N108" s="172"/>
      <c r="O108" s="173" t="s">
        <v>12099</v>
      </c>
      <c r="P108" s="173" t="s">
        <v>12162</v>
      </c>
      <c r="Q108" s="173"/>
      <c r="R108" s="174"/>
      <c r="S108" s="175" t="str">
        <f>IFERROR(VLOOKUP(BD_MO[DNI 4],#REF!,2,FALSE)," ")</f>
        <v xml:space="preserve"> </v>
      </c>
      <c r="T108" s="176">
        <f>+IF(BD_MO[[#This Row],[FECHA]]&lt;&gt;"",COUNTA(BD_MO[[#This Row],[DNI]],BD_MO[[#This Row],[DNI 2]],BD_MO[[#This Row],[DNI 3]],BD_MO[[#This Row],[DNI 4]]),"")</f>
        <v>2</v>
      </c>
      <c r="U108" s="176"/>
      <c r="V108" s="176"/>
      <c r="W108" s="176"/>
      <c r="X108" s="176">
        <v>2</v>
      </c>
      <c r="Y108" s="177">
        <f>SUM(BD_MO[[#This Row],[LIMP]:[SERV]])</f>
        <v>2</v>
      </c>
      <c r="Z108" s="172"/>
      <c r="AA108" s="172" t="str">
        <f>+IF(BD_MO[[#This Row],[N° VALE]]&lt;&gt;"",1,"")</f>
        <v/>
      </c>
      <c r="AB108" s="169"/>
      <c r="AC108" s="172"/>
      <c r="AD108" s="172" t="str">
        <f>+IF(BD_MO[[#This Row],[N° VALE]]&lt;&gt;"",BD_MO[[#This Row],[FULMINANTE N° 08]]+BD_MO[CARMEX 7''],"")</f>
        <v/>
      </c>
      <c r="AE108" s="172"/>
      <c r="AF108" s="172" t="str">
        <f>+IF(BD_MO[[#This Row],[N° VALE]]&lt;&gt;"",BD_MO[[#This Row],[N° TALADROS]]+BD_MO[[#This Row],[N° TAL. VACIOS]],"")</f>
        <v/>
      </c>
      <c r="AG108" s="178"/>
      <c r="AH108" s="178"/>
      <c r="AI108" s="178"/>
      <c r="AJ108" s="178"/>
      <c r="AK108" s="178"/>
      <c r="AL108" s="178"/>
      <c r="AM108" s="171"/>
      <c r="AN108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08" s="172" t="str">
        <f>+IF(BD_MO[[#This Row],[N° VALE]]&lt;&gt;"",IF(BD_MO[[#This Row],[FULMINANTE N° 08]]&lt;&gt;"",BD_MO[[#This Row],[FULMINANTE N° 08]],IF(BD_MO[[#This Row],[CARMEX 7'']]&lt;&gt;0,0,"")),"")</f>
        <v/>
      </c>
      <c r="AP108" s="176" t="str">
        <f>+IF(BD_MO[[#This Row],[N° VALE]]&lt;&gt;"",BD_MO[[#This Row],[N°  TOTAL TALADROS]]*BD_MO[[#This Row],[BARRA]]*0.95,"")</f>
        <v/>
      </c>
      <c r="AQ108" s="176" t="str">
        <f>+IF(BD_MO[[#This Row],[N° VALE]]&lt;&gt;"",BD_MO[[#This Row],[EMULNOR 1000 (N° CART.)]]*PE_EMUL_1000[PE],"")</f>
        <v/>
      </c>
      <c r="AR108" s="176" t="str">
        <f>+IF(BD_MO[[#This Row],[N° VALE]]&lt;&gt;"",BD_MO[[#This Row],[EMULNOR 3000 (N° CART.)]]*PE_EMUL_3000[PE],"")</f>
        <v/>
      </c>
      <c r="AS108" s="176" t="str">
        <f>+IF(BD_MO[[#This Row],[N° VALE]]&lt;&gt;"",BD_MO[[#This Row],[PULVERULENTA (N° CART.)]]*PE_PULV_65[PE],"")</f>
        <v/>
      </c>
      <c r="AT108" s="176" t="str">
        <f>+IF(BD_MO[[#This Row],[N° DISP]]&lt;&gt;"",BD_MO[[#This Row],[SEMIGELATINA (N° CART.)]]*PE_SEMIGEL_65[PE],"")</f>
        <v/>
      </c>
      <c r="AU108" s="176" t="str">
        <f>+IF(BD_MO[N° VALE]&lt;&gt;"",BD_MO[[#This Row],[KG EXPLO SEMIGEL]]+BD_MO[[#This Row],[KG EXPLO PULVE]]+BD_MO[[#This Row],[KG EXPLO EMULN 3000]]+BD_MO[[#This Row],[KG EXPLO EMULN 1000]],"")</f>
        <v/>
      </c>
      <c r="AV108" s="172"/>
      <c r="AW108" s="172"/>
      <c r="AX108" s="172" t="str">
        <f>+IF(BD_MO[[#This Row],[MINERAL (U-35)]]&lt;&gt;"",BD_MO[[#This Row],[MINERAL (U-35)]]*1.45,"-")</f>
        <v>-</v>
      </c>
      <c r="AY108" s="172" t="str">
        <f>+IF(BD_MO[[#This Row],[DESMONTE (U-35)]]&lt;&gt;"",BD_MO[[#This Row],[DESMONTE (U-35)]]*1.23,"-")</f>
        <v>-</v>
      </c>
      <c r="AZ108" s="172"/>
      <c r="BA108" s="172"/>
      <c r="BB108" s="172"/>
      <c r="BC108" s="172"/>
      <c r="BD108" s="172"/>
      <c r="BE108" s="172"/>
      <c r="BF108" s="172"/>
      <c r="BG108" s="172"/>
      <c r="BH108" s="172"/>
      <c r="BI108" s="172"/>
      <c r="BJ108" s="172"/>
      <c r="BK108" s="172"/>
      <c r="BL108" s="172"/>
      <c r="BM108" s="172"/>
      <c r="BN108" s="171"/>
      <c r="BO108" s="172"/>
      <c r="BP108" s="172"/>
      <c r="BQ108" s="171"/>
      <c r="BR108" s="172"/>
      <c r="BS108" s="171"/>
      <c r="BT108" s="176"/>
      <c r="BU108" s="172"/>
      <c r="BV108" s="172"/>
      <c r="BW108" s="172"/>
      <c r="BX108" s="172"/>
      <c r="BY108" s="172"/>
      <c r="BZ108" s="172"/>
      <c r="CA108" s="172"/>
      <c r="CB108" s="172"/>
      <c r="CC108" s="172"/>
      <c r="CD108" s="172"/>
      <c r="CE108" s="172"/>
      <c r="CF108" s="172"/>
      <c r="CG108" s="172"/>
      <c r="CH108" s="172"/>
      <c r="CI108" s="172"/>
      <c r="CJ108" s="172"/>
      <c r="CK108" s="172"/>
      <c r="CL108" s="172"/>
      <c r="CM108" s="172"/>
      <c r="CN108" s="172"/>
      <c r="CO108" s="172"/>
      <c r="CP108" s="176">
        <f>+IF(BD_MO[[#This Row],[FECHA]]&lt;&gt;"",BD_MO[[#This Row],[PUNTAL 4"]]+BD_MO[[#This Row],[PUNTAL 5"]]+BD_MO[[#This Row],[PUNTAL 6"]]+BD_MO[[#This Row],[PUNTAL 7"]]+BD_MO[[#This Row],[PUNTAL 8"]],"")</f>
        <v>0</v>
      </c>
      <c r="CQ108" s="172"/>
      <c r="CR108" s="172"/>
      <c r="CS108" s="172"/>
      <c r="CT108" s="172"/>
      <c r="CU108" s="172"/>
      <c r="CV108" s="172"/>
      <c r="CW108" s="172"/>
      <c r="CX108" s="172"/>
      <c r="CY108" s="176"/>
      <c r="CZ108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08" s="176">
        <f>+IF(BD_MO[[#This Row],[FECHA]]&lt;&gt;"",BD_MO[[#This Row],[DURMIENTE2]]*6.561+BD_MO[[#This Row],[LISTONES]]*4.921+BD_MO[[#This Row],[TABLA 1"x8"x3m]]*6.561+BD_MO[[#This Row],[TABLA 2"x8"x3m]]*13.122,"")</f>
        <v>0</v>
      </c>
      <c r="DB108" s="176">
        <f>+IF(BD_MO[[#This Row],[FECHA]]&lt;&gt;"",BD_MO[[#This Row],[PIE2 MADERA ASERRADA]]*1.95,"")</f>
        <v>0</v>
      </c>
      <c r="DC108" s="176">
        <f>+IF(BD_MO[[#This Row],[FECHA]]&lt;&gt;"",BD_MO[[#This Row],[KG. MADERA REDONDA]]+BD_MO[[#This Row],[KG MADERA ASERRADA]],"")</f>
        <v>0</v>
      </c>
      <c r="DD108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08" s="172"/>
      <c r="DF108" s="172"/>
      <c r="DG108" s="172" t="s">
        <v>12185</v>
      </c>
      <c r="DH108" s="172">
        <v>4</v>
      </c>
      <c r="DI108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08" s="180"/>
      <c r="DK108" s="180"/>
      <c r="DL108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08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08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08" s="181"/>
      <c r="DP108" s="180" t="str">
        <f>+IF(BD_MO[[#This Row],[M o D]]&lt;&gt;"",IF(BD_MO[[#This Row],[M o D]]="M",BD_MO[[#This Row],[ROTURA TMH]]/2.65,BD_MO[[#This Row],[ROTURA TMH]]/2.4),"")</f>
        <v/>
      </c>
      <c r="DQ108" s="180"/>
      <c r="DR108" s="116" t="str">
        <f>IF(BD_MO[[#This Row],[TIPO AVANCE]]="Avance",((BD_MO[[#This Row],[AVANCE (m)]]/BD_MO[[#This Row],[AVANCE TEÓRICO]]))," ")</f>
        <v xml:space="preserve"> </v>
      </c>
      <c r="DS108" s="134"/>
      <c r="DT108" s="134"/>
      <c r="DU108" s="134"/>
      <c r="DV108" s="134"/>
      <c r="DW108" s="134"/>
      <c r="DX108" s="135"/>
      <c r="DY108" s="135"/>
      <c r="DZ108" s="135"/>
    </row>
    <row r="109" spans="1:130" s="136" customFormat="1" ht="18" customHeight="1" x14ac:dyDescent="0.25">
      <c r="A109" s="168">
        <v>44657</v>
      </c>
      <c r="B109" s="169" t="s">
        <v>10655</v>
      </c>
      <c r="C109" s="169" t="s">
        <v>10668</v>
      </c>
      <c r="D109" s="170" t="s">
        <v>10954</v>
      </c>
      <c r="E109" s="171" t="str">
        <f>LEFT(BD_MO[[#This Row],[LABOR]],2)</f>
        <v>MO</v>
      </c>
      <c r="F109" s="172"/>
      <c r="G109" s="172" t="s">
        <v>10669</v>
      </c>
      <c r="H10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09" s="171" t="str">
        <f>IF(BD_MO[FECHA]&lt;&gt;"",VLOOKUP(BD_MO[LABOR],TB_CECO[[LABOR]:[CECO_T]],3,FALSE),"")</f>
        <v>INCA</v>
      </c>
      <c r="J109" s="171" t="str">
        <f>IF(BD_MO[FECHA]&lt;&gt;"",VLOOKUP(BD_MO[LABOR],D_CECO!B:H,7,FALSE),"")</f>
        <v>SERVICIOS</v>
      </c>
      <c r="K109" s="171" t="str">
        <f>IF(BD_MO[FECHA]&lt;&gt;"",VLOOKUP(BD_MO[LABOR],D_CECO!B:H,4,FALSE),"")</f>
        <v>SERVICIOS</v>
      </c>
      <c r="L109" s="171"/>
      <c r="M109" s="169"/>
      <c r="N109" s="172"/>
      <c r="O109" s="173" t="s">
        <v>12118</v>
      </c>
      <c r="P109" s="173" t="s">
        <v>12162</v>
      </c>
      <c r="Q109" s="173"/>
      <c r="R109" s="174"/>
      <c r="S109" s="175" t="str">
        <f>IFERROR(VLOOKUP(BD_MO[DNI 4],#REF!,2,FALSE)," ")</f>
        <v xml:space="preserve"> </v>
      </c>
      <c r="T109" s="176">
        <f>+IF(BD_MO[[#This Row],[FECHA]]&lt;&gt;"",COUNTA(BD_MO[[#This Row],[DNI]],BD_MO[[#This Row],[DNI 2]],BD_MO[[#This Row],[DNI 3]],BD_MO[[#This Row],[DNI 4]]),"")</f>
        <v>2</v>
      </c>
      <c r="U109" s="176"/>
      <c r="V109" s="176"/>
      <c r="W109" s="176"/>
      <c r="X109" s="176">
        <v>2</v>
      </c>
      <c r="Y109" s="177">
        <f>SUM(BD_MO[[#This Row],[LIMP]:[SERV]])</f>
        <v>2</v>
      </c>
      <c r="Z109" s="172"/>
      <c r="AA109" s="172" t="str">
        <f>+IF(BD_MO[[#This Row],[N° VALE]]&lt;&gt;"",1,"")</f>
        <v/>
      </c>
      <c r="AB109" s="169"/>
      <c r="AC109" s="172"/>
      <c r="AD109" s="172" t="str">
        <f>+IF(BD_MO[[#This Row],[N° VALE]]&lt;&gt;"",BD_MO[[#This Row],[FULMINANTE N° 08]]+BD_MO[CARMEX 7''],"")</f>
        <v/>
      </c>
      <c r="AE109" s="172"/>
      <c r="AF109" s="172" t="str">
        <f>+IF(BD_MO[[#This Row],[N° VALE]]&lt;&gt;"",BD_MO[[#This Row],[N° TALADROS]]+BD_MO[[#This Row],[N° TAL. VACIOS]],"")</f>
        <v/>
      </c>
      <c r="AG109" s="178"/>
      <c r="AH109" s="178"/>
      <c r="AI109" s="178"/>
      <c r="AJ109" s="178"/>
      <c r="AK109" s="178"/>
      <c r="AL109" s="178"/>
      <c r="AM109" s="171"/>
      <c r="AN109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09" s="172" t="str">
        <f>+IF(BD_MO[[#This Row],[N° VALE]]&lt;&gt;"",IF(BD_MO[[#This Row],[FULMINANTE N° 08]]&lt;&gt;"",BD_MO[[#This Row],[FULMINANTE N° 08]],IF(BD_MO[[#This Row],[CARMEX 7'']]&lt;&gt;0,0,"")),"")</f>
        <v/>
      </c>
      <c r="AP109" s="176" t="str">
        <f>+IF(BD_MO[[#This Row],[N° VALE]]&lt;&gt;"",BD_MO[[#This Row],[N°  TOTAL TALADROS]]*BD_MO[[#This Row],[BARRA]]*0.95,"")</f>
        <v/>
      </c>
      <c r="AQ109" s="176" t="str">
        <f>+IF(BD_MO[[#This Row],[N° VALE]]&lt;&gt;"",BD_MO[[#This Row],[EMULNOR 1000 (N° CART.)]]*PE_EMUL_1000[PE],"")</f>
        <v/>
      </c>
      <c r="AR109" s="176" t="str">
        <f>+IF(BD_MO[[#This Row],[N° VALE]]&lt;&gt;"",BD_MO[[#This Row],[EMULNOR 3000 (N° CART.)]]*PE_EMUL_3000[PE],"")</f>
        <v/>
      </c>
      <c r="AS109" s="176" t="str">
        <f>+IF(BD_MO[[#This Row],[N° VALE]]&lt;&gt;"",BD_MO[[#This Row],[PULVERULENTA (N° CART.)]]*PE_PULV_65[PE],"")</f>
        <v/>
      </c>
      <c r="AT109" s="176" t="str">
        <f>+IF(BD_MO[[#This Row],[N° DISP]]&lt;&gt;"",BD_MO[[#This Row],[SEMIGELATINA (N° CART.)]]*PE_SEMIGEL_65[PE],"")</f>
        <v/>
      </c>
      <c r="AU109" s="176" t="str">
        <f>+IF(BD_MO[N° VALE]&lt;&gt;"",BD_MO[[#This Row],[KG EXPLO SEMIGEL]]+BD_MO[[#This Row],[KG EXPLO PULVE]]+BD_MO[[#This Row],[KG EXPLO EMULN 3000]]+BD_MO[[#This Row],[KG EXPLO EMULN 1000]],"")</f>
        <v/>
      </c>
      <c r="AV109" s="172"/>
      <c r="AW109" s="172"/>
      <c r="AX109" s="172" t="str">
        <f>+IF(BD_MO[[#This Row],[MINERAL (U-35)]]&lt;&gt;"",BD_MO[[#This Row],[MINERAL (U-35)]]*1.45,"-")</f>
        <v>-</v>
      </c>
      <c r="AY109" s="172" t="str">
        <f>+IF(BD_MO[[#This Row],[DESMONTE (U-35)]]&lt;&gt;"",BD_MO[[#This Row],[DESMONTE (U-35)]]*1.23,"-")</f>
        <v>-</v>
      </c>
      <c r="AZ109" s="172"/>
      <c r="BA109" s="172"/>
      <c r="BB109" s="172"/>
      <c r="BC109" s="172"/>
      <c r="BD109" s="172"/>
      <c r="BE109" s="172"/>
      <c r="BF109" s="172"/>
      <c r="BG109" s="172"/>
      <c r="BH109" s="172"/>
      <c r="BI109" s="172"/>
      <c r="BJ109" s="172"/>
      <c r="BK109" s="172"/>
      <c r="BL109" s="172"/>
      <c r="BM109" s="172"/>
      <c r="BN109" s="171"/>
      <c r="BO109" s="172"/>
      <c r="BP109" s="172"/>
      <c r="BQ109" s="171"/>
      <c r="BR109" s="172"/>
      <c r="BS109" s="171"/>
      <c r="BT109" s="176"/>
      <c r="BU109" s="172"/>
      <c r="BV109" s="172"/>
      <c r="BW109" s="172"/>
      <c r="BX109" s="172"/>
      <c r="BY109" s="172"/>
      <c r="BZ109" s="172"/>
      <c r="CA109" s="172"/>
      <c r="CB109" s="172"/>
      <c r="CC109" s="172"/>
      <c r="CD109" s="172"/>
      <c r="CE109" s="172"/>
      <c r="CF109" s="172"/>
      <c r="CG109" s="172"/>
      <c r="CH109" s="172"/>
      <c r="CI109" s="172"/>
      <c r="CJ109" s="172"/>
      <c r="CK109" s="172"/>
      <c r="CL109" s="172"/>
      <c r="CM109" s="172"/>
      <c r="CN109" s="172"/>
      <c r="CO109" s="172"/>
      <c r="CP109" s="176">
        <f>+IF(BD_MO[[#This Row],[FECHA]]&lt;&gt;"",BD_MO[[#This Row],[PUNTAL 4"]]+BD_MO[[#This Row],[PUNTAL 5"]]+BD_MO[[#This Row],[PUNTAL 6"]]+BD_MO[[#This Row],[PUNTAL 7"]]+BD_MO[[#This Row],[PUNTAL 8"]],"")</f>
        <v>0</v>
      </c>
      <c r="CQ109" s="172"/>
      <c r="CR109" s="172"/>
      <c r="CS109" s="172"/>
      <c r="CT109" s="172"/>
      <c r="CU109" s="172"/>
      <c r="CV109" s="172"/>
      <c r="CW109" s="172"/>
      <c r="CX109" s="172"/>
      <c r="CY109" s="176"/>
      <c r="CZ10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09" s="176">
        <f>+IF(BD_MO[[#This Row],[FECHA]]&lt;&gt;"",BD_MO[[#This Row],[DURMIENTE2]]*6.561+BD_MO[[#This Row],[LISTONES]]*4.921+BD_MO[[#This Row],[TABLA 1"x8"x3m]]*6.561+BD_MO[[#This Row],[TABLA 2"x8"x3m]]*13.122,"")</f>
        <v>0</v>
      </c>
      <c r="DB109" s="176">
        <f>+IF(BD_MO[[#This Row],[FECHA]]&lt;&gt;"",BD_MO[[#This Row],[PIE2 MADERA ASERRADA]]*1.95,"")</f>
        <v>0</v>
      </c>
      <c r="DC109" s="176">
        <f>+IF(BD_MO[[#This Row],[FECHA]]&lt;&gt;"",BD_MO[[#This Row],[KG. MADERA REDONDA]]+BD_MO[[#This Row],[KG MADERA ASERRADA]],"")</f>
        <v>0</v>
      </c>
      <c r="DD10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09" s="172"/>
      <c r="DF109" s="172"/>
      <c r="DG109" s="172"/>
      <c r="DH109" s="172"/>
      <c r="DI109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09" s="180"/>
      <c r="DK109" s="180"/>
      <c r="DL109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09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09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09" s="181"/>
      <c r="DP109" s="180" t="str">
        <f>+IF(BD_MO[[#This Row],[M o D]]&lt;&gt;"",IF(BD_MO[[#This Row],[M o D]]="M",BD_MO[[#This Row],[ROTURA TMH]]/2.65,BD_MO[[#This Row],[ROTURA TMH]]/2.4),"")</f>
        <v/>
      </c>
      <c r="DQ109" s="180"/>
      <c r="DR109" s="116" t="str">
        <f>IF(BD_MO[[#This Row],[TIPO AVANCE]]="Avance",((BD_MO[[#This Row],[AVANCE (m)]]/BD_MO[[#This Row],[AVANCE TEÓRICO]]))," ")</f>
        <v xml:space="preserve"> </v>
      </c>
      <c r="DS109" s="134"/>
      <c r="DT109" s="134"/>
      <c r="DU109" s="134"/>
      <c r="DV109" s="134"/>
      <c r="DW109" s="134"/>
      <c r="DX109" s="135"/>
      <c r="DY109" s="135"/>
      <c r="DZ109" s="135"/>
    </row>
    <row r="110" spans="1:130" s="136" customFormat="1" ht="18" customHeight="1" x14ac:dyDescent="0.25">
      <c r="A110" s="168">
        <v>44657</v>
      </c>
      <c r="B110" s="169" t="s">
        <v>10655</v>
      </c>
      <c r="C110" s="169" t="s">
        <v>10668</v>
      </c>
      <c r="D110" s="170" t="s">
        <v>11492</v>
      </c>
      <c r="E110" s="171" t="str">
        <f>LEFT(BD_MO[[#This Row],[LABOR]],2)</f>
        <v>Pq</v>
      </c>
      <c r="F110" s="172"/>
      <c r="G110" s="172" t="s">
        <v>10669</v>
      </c>
      <c r="H11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10" s="171" t="str">
        <f>IF(BD_MO[FECHA]&lt;&gt;"",VLOOKUP(BD_MO[LABOR],TB_CECO[[LABOR]:[CECO_T]],3,FALSE),"")</f>
        <v>ESCONDIDA</v>
      </c>
      <c r="J110" s="171" t="str">
        <f>IF(BD_MO[FECHA]&lt;&gt;"",VLOOKUP(BD_MO[LABOR],D_CECO!B:H,7,FALSE),"")</f>
        <v>LINEAL</v>
      </c>
      <c r="K110" s="171" t="str">
        <f>IF(BD_MO[FECHA]&lt;&gt;"",VLOOKUP(BD_MO[LABOR],D_CECO!B:H,4,FALSE),"")</f>
        <v>EXPLOTACION</v>
      </c>
      <c r="L110" s="171"/>
      <c r="M110" s="169"/>
      <c r="N110" s="172"/>
      <c r="O110" s="173" t="s">
        <v>12094</v>
      </c>
      <c r="P110" s="173" t="s">
        <v>12099</v>
      </c>
      <c r="Q110" s="173"/>
      <c r="R110" s="174"/>
      <c r="S110" s="175" t="str">
        <f>IFERROR(VLOOKUP(BD_MO[DNI 4],#REF!,2,FALSE)," ")</f>
        <v xml:space="preserve"> </v>
      </c>
      <c r="T110" s="176">
        <f>+IF(BD_MO[[#This Row],[FECHA]]&lt;&gt;"",COUNTA(BD_MO[[#This Row],[DNI]],BD_MO[[#This Row],[DNI 2]],BD_MO[[#This Row],[DNI 3]],BD_MO[[#This Row],[DNI 4]]),"")</f>
        <v>2</v>
      </c>
      <c r="U110" s="176"/>
      <c r="V110" s="176"/>
      <c r="W110" s="176"/>
      <c r="X110" s="176">
        <v>2</v>
      </c>
      <c r="Y110" s="177">
        <f>SUM(BD_MO[[#This Row],[LIMP]:[SERV]])</f>
        <v>2</v>
      </c>
      <c r="Z110" s="172"/>
      <c r="AA110" s="172" t="str">
        <f>+IF(BD_MO[[#This Row],[N° VALE]]&lt;&gt;"",1,"")</f>
        <v/>
      </c>
      <c r="AB110" s="169"/>
      <c r="AC110" s="172"/>
      <c r="AD110" s="172" t="str">
        <f>+IF(BD_MO[[#This Row],[N° VALE]]&lt;&gt;"",BD_MO[[#This Row],[FULMINANTE N° 08]]+BD_MO[CARMEX 7''],"")</f>
        <v/>
      </c>
      <c r="AE110" s="172"/>
      <c r="AF110" s="172" t="str">
        <f>+IF(BD_MO[[#This Row],[N° VALE]]&lt;&gt;"",BD_MO[[#This Row],[N° TALADROS]]+BD_MO[[#This Row],[N° TAL. VACIOS]],"")</f>
        <v/>
      </c>
      <c r="AG110" s="178"/>
      <c r="AH110" s="178"/>
      <c r="AI110" s="178"/>
      <c r="AJ110" s="178"/>
      <c r="AK110" s="178"/>
      <c r="AL110" s="178"/>
      <c r="AM110" s="171"/>
      <c r="AN110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10" s="172" t="str">
        <f>+IF(BD_MO[[#This Row],[N° VALE]]&lt;&gt;"",IF(BD_MO[[#This Row],[FULMINANTE N° 08]]&lt;&gt;"",BD_MO[[#This Row],[FULMINANTE N° 08]],IF(BD_MO[[#This Row],[CARMEX 7'']]&lt;&gt;0,0,"")),"")</f>
        <v/>
      </c>
      <c r="AP110" s="176" t="str">
        <f>+IF(BD_MO[[#This Row],[N° VALE]]&lt;&gt;"",BD_MO[[#This Row],[N°  TOTAL TALADROS]]*BD_MO[[#This Row],[BARRA]]*0.95,"")</f>
        <v/>
      </c>
      <c r="AQ110" s="176" t="str">
        <f>+IF(BD_MO[[#This Row],[N° VALE]]&lt;&gt;"",BD_MO[[#This Row],[EMULNOR 1000 (N° CART.)]]*PE_EMUL_1000[PE],"")</f>
        <v/>
      </c>
      <c r="AR110" s="176" t="str">
        <f>+IF(BD_MO[[#This Row],[N° VALE]]&lt;&gt;"",BD_MO[[#This Row],[EMULNOR 3000 (N° CART.)]]*PE_EMUL_3000[PE],"")</f>
        <v/>
      </c>
      <c r="AS110" s="176" t="str">
        <f>+IF(BD_MO[[#This Row],[N° VALE]]&lt;&gt;"",BD_MO[[#This Row],[PULVERULENTA (N° CART.)]]*PE_PULV_65[PE],"")</f>
        <v/>
      </c>
      <c r="AT110" s="176" t="str">
        <f>+IF(BD_MO[[#This Row],[N° DISP]]&lt;&gt;"",BD_MO[[#This Row],[SEMIGELATINA (N° CART.)]]*PE_SEMIGEL_65[PE],"")</f>
        <v/>
      </c>
      <c r="AU110" s="176" t="str">
        <f>+IF(BD_MO[N° VALE]&lt;&gt;"",BD_MO[[#This Row],[KG EXPLO SEMIGEL]]+BD_MO[[#This Row],[KG EXPLO PULVE]]+BD_MO[[#This Row],[KG EXPLO EMULN 3000]]+BD_MO[[#This Row],[KG EXPLO EMULN 1000]],"")</f>
        <v/>
      </c>
      <c r="AV110" s="172"/>
      <c r="AW110" s="172"/>
      <c r="AX110" s="172" t="str">
        <f>+IF(BD_MO[[#This Row],[MINERAL (U-35)]]&lt;&gt;"",BD_MO[[#This Row],[MINERAL (U-35)]]*1.45,"-")</f>
        <v>-</v>
      </c>
      <c r="AY110" s="172" t="str">
        <f>+IF(BD_MO[[#This Row],[DESMONTE (U-35)]]&lt;&gt;"",BD_MO[[#This Row],[DESMONTE (U-35)]]*1.23,"-")</f>
        <v>-</v>
      </c>
      <c r="AZ110" s="172"/>
      <c r="BA110" s="172"/>
      <c r="BB110" s="172"/>
      <c r="BC110" s="172"/>
      <c r="BD110" s="172"/>
      <c r="BE110" s="172"/>
      <c r="BF110" s="172"/>
      <c r="BG110" s="172"/>
      <c r="BH110" s="172"/>
      <c r="BI110" s="172"/>
      <c r="BJ110" s="172"/>
      <c r="BK110" s="172"/>
      <c r="BL110" s="172"/>
      <c r="BM110" s="172"/>
      <c r="BN110" s="171"/>
      <c r="BO110" s="172"/>
      <c r="BP110" s="172"/>
      <c r="BQ110" s="171"/>
      <c r="BR110" s="172"/>
      <c r="BS110" s="171"/>
      <c r="BT110" s="176"/>
      <c r="BU110" s="172"/>
      <c r="BV110" s="172"/>
      <c r="BW110" s="172"/>
      <c r="BX110" s="172"/>
      <c r="BY110" s="172"/>
      <c r="BZ110" s="172"/>
      <c r="CA110" s="172"/>
      <c r="CB110" s="172"/>
      <c r="CC110" s="172"/>
      <c r="CD110" s="172"/>
      <c r="CE110" s="172"/>
      <c r="CF110" s="172"/>
      <c r="CG110" s="172"/>
      <c r="CH110" s="172"/>
      <c r="CI110" s="172"/>
      <c r="CJ110" s="172"/>
      <c r="CK110" s="172"/>
      <c r="CL110" s="172"/>
      <c r="CM110" s="172"/>
      <c r="CN110" s="172"/>
      <c r="CO110" s="172"/>
      <c r="CP110" s="176">
        <f>+IF(BD_MO[[#This Row],[FECHA]]&lt;&gt;"",BD_MO[[#This Row],[PUNTAL 4"]]+BD_MO[[#This Row],[PUNTAL 5"]]+BD_MO[[#This Row],[PUNTAL 6"]]+BD_MO[[#This Row],[PUNTAL 7"]]+BD_MO[[#This Row],[PUNTAL 8"]],"")</f>
        <v>0</v>
      </c>
      <c r="CQ110" s="172"/>
      <c r="CR110" s="172"/>
      <c r="CS110" s="172"/>
      <c r="CT110" s="172"/>
      <c r="CU110" s="172"/>
      <c r="CV110" s="172"/>
      <c r="CW110" s="172"/>
      <c r="CX110" s="172"/>
      <c r="CY110" s="176"/>
      <c r="CZ11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10" s="176">
        <f>+IF(BD_MO[[#This Row],[FECHA]]&lt;&gt;"",BD_MO[[#This Row],[DURMIENTE2]]*6.561+BD_MO[[#This Row],[LISTONES]]*4.921+BD_MO[[#This Row],[TABLA 1"x8"x3m]]*6.561+BD_MO[[#This Row],[TABLA 2"x8"x3m]]*13.122,"")</f>
        <v>0</v>
      </c>
      <c r="DB110" s="176">
        <f>+IF(BD_MO[[#This Row],[FECHA]]&lt;&gt;"",BD_MO[[#This Row],[PIE2 MADERA ASERRADA]]*1.95,"")</f>
        <v>0</v>
      </c>
      <c r="DC110" s="176">
        <f>+IF(BD_MO[[#This Row],[FECHA]]&lt;&gt;"",BD_MO[[#This Row],[KG. MADERA REDONDA]]+BD_MO[[#This Row],[KG MADERA ASERRADA]],"")</f>
        <v>0</v>
      </c>
      <c r="DD11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10" s="172"/>
      <c r="DF110" s="172"/>
      <c r="DG110" s="172" t="s">
        <v>12186</v>
      </c>
      <c r="DH110" s="172">
        <v>3</v>
      </c>
      <c r="DI110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10" s="180"/>
      <c r="DK110" s="180"/>
      <c r="DL110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10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10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10" s="181"/>
      <c r="DP110" s="180" t="str">
        <f>+IF(BD_MO[[#This Row],[M o D]]&lt;&gt;"",IF(BD_MO[[#This Row],[M o D]]="M",BD_MO[[#This Row],[ROTURA TMH]]/2.65,BD_MO[[#This Row],[ROTURA TMH]]/2.4),"")</f>
        <v/>
      </c>
      <c r="DQ110" s="180"/>
      <c r="DR110" s="116" t="str">
        <f>IF(BD_MO[[#This Row],[TIPO AVANCE]]="Avance",((BD_MO[[#This Row],[AVANCE (m)]]/BD_MO[[#This Row],[AVANCE TEÓRICO]]))," ")</f>
        <v xml:space="preserve"> </v>
      </c>
      <c r="DS110" s="134"/>
      <c r="DT110" s="134"/>
      <c r="DU110" s="134"/>
      <c r="DV110" s="134"/>
      <c r="DW110" s="134"/>
      <c r="DX110" s="135"/>
      <c r="DY110" s="135"/>
      <c r="DZ110" s="135"/>
    </row>
    <row r="111" spans="1:130" s="112" customFormat="1" ht="18" customHeight="1" thickBot="1" x14ac:dyDescent="0.3">
      <c r="A111" s="183">
        <v>44657</v>
      </c>
      <c r="B111" s="184" t="s">
        <v>10655</v>
      </c>
      <c r="C111" s="184" t="s">
        <v>10668</v>
      </c>
      <c r="D111" s="185" t="s">
        <v>10717</v>
      </c>
      <c r="E111" s="186" t="str">
        <f>LEFT(BD_MO[[#This Row],[LABOR]],2)</f>
        <v>BO</v>
      </c>
      <c r="F111" s="187"/>
      <c r="G111" s="187" t="s">
        <v>10669</v>
      </c>
      <c r="H111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11" s="186" t="str">
        <f>IF(BD_MO[FECHA]&lt;&gt;"",VLOOKUP(BD_MO[LABOR],TB_CECO[[LABOR]:[CECO_T]],3,FALSE),"")</f>
        <v>CACHORRO</v>
      </c>
      <c r="J111" s="186" t="str">
        <f>IF(BD_MO[FECHA]&lt;&gt;"",VLOOKUP(BD_MO[LABOR],D_CECO!B:H,7,FALSE),"")</f>
        <v>SERVICIOS</v>
      </c>
      <c r="K111" s="186" t="str">
        <f>IF(BD_MO[FECHA]&lt;&gt;"",VLOOKUP(BD_MO[LABOR],D_CECO!B:H,4,FALSE),"")</f>
        <v>SERVICIOS</v>
      </c>
      <c r="L111" s="186"/>
      <c r="M111" s="184"/>
      <c r="N111" s="187"/>
      <c r="O111" s="188" t="s">
        <v>12118</v>
      </c>
      <c r="P111" s="188"/>
      <c r="Q111" s="188"/>
      <c r="R111" s="189"/>
      <c r="S111" s="190" t="str">
        <f>IFERROR(VLOOKUP(BD_MO[DNI 4],#REF!,2,FALSE)," ")</f>
        <v xml:space="preserve"> </v>
      </c>
      <c r="T111" s="191">
        <f>+IF(BD_MO[[#This Row],[FECHA]]&lt;&gt;"",COUNTA(BD_MO[[#This Row],[DNI]],BD_MO[[#This Row],[DNI 2]],BD_MO[[#This Row],[DNI 3]],BD_MO[[#This Row],[DNI 4]]),"")</f>
        <v>1</v>
      </c>
      <c r="U111" s="191"/>
      <c r="V111" s="191"/>
      <c r="W111" s="191"/>
      <c r="X111" s="191">
        <v>1</v>
      </c>
      <c r="Y111" s="192">
        <f>SUM(BD_MO[[#This Row],[LIMP]:[SERV]])</f>
        <v>1</v>
      </c>
      <c r="Z111" s="187"/>
      <c r="AA111" s="187" t="str">
        <f>+IF(BD_MO[[#This Row],[N° VALE]]&lt;&gt;"",1,"")</f>
        <v/>
      </c>
      <c r="AB111" s="184"/>
      <c r="AC111" s="187"/>
      <c r="AD111" s="187" t="str">
        <f>+IF(BD_MO[[#This Row],[N° VALE]]&lt;&gt;"",BD_MO[[#This Row],[FULMINANTE N° 08]]+BD_MO[CARMEX 7''],"")</f>
        <v/>
      </c>
      <c r="AE111" s="187"/>
      <c r="AF111" s="187" t="str">
        <f>+IF(BD_MO[[#This Row],[N° VALE]]&lt;&gt;"",BD_MO[[#This Row],[N° TALADROS]]+BD_MO[[#This Row],[N° TAL. VACIOS]],"")</f>
        <v/>
      </c>
      <c r="AG111" s="193"/>
      <c r="AH111" s="193"/>
      <c r="AI111" s="193"/>
      <c r="AJ111" s="193"/>
      <c r="AK111" s="193"/>
      <c r="AL111" s="193"/>
      <c r="AM111" s="186"/>
      <c r="AN111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11" s="187" t="str">
        <f>+IF(BD_MO[[#This Row],[N° VALE]]&lt;&gt;"",IF(BD_MO[[#This Row],[FULMINANTE N° 08]]&lt;&gt;"",BD_MO[[#This Row],[FULMINANTE N° 08]],IF(BD_MO[[#This Row],[CARMEX 7'']]&lt;&gt;0,0,"")),"")</f>
        <v/>
      </c>
      <c r="AP111" s="191" t="str">
        <f>+IF(BD_MO[[#This Row],[N° VALE]]&lt;&gt;"",BD_MO[[#This Row],[N°  TOTAL TALADROS]]*BD_MO[[#This Row],[BARRA]]*0.95,"")</f>
        <v/>
      </c>
      <c r="AQ111" s="191" t="str">
        <f>+IF(BD_MO[[#This Row],[N° VALE]]&lt;&gt;"",BD_MO[[#This Row],[EMULNOR 1000 (N° CART.)]]*PE_EMUL_1000[PE],"")</f>
        <v/>
      </c>
      <c r="AR111" s="191" t="str">
        <f>+IF(BD_MO[[#This Row],[N° VALE]]&lt;&gt;"",BD_MO[[#This Row],[EMULNOR 3000 (N° CART.)]]*PE_EMUL_3000[PE],"")</f>
        <v/>
      </c>
      <c r="AS111" s="191" t="str">
        <f>+IF(BD_MO[[#This Row],[N° VALE]]&lt;&gt;"",BD_MO[[#This Row],[PULVERULENTA (N° CART.)]]*PE_PULV_65[PE],"")</f>
        <v/>
      </c>
      <c r="AT111" s="191" t="str">
        <f>+IF(BD_MO[[#This Row],[N° DISP]]&lt;&gt;"",BD_MO[[#This Row],[SEMIGELATINA (N° CART.)]]*PE_SEMIGEL_65[PE],"")</f>
        <v/>
      </c>
      <c r="AU111" s="191" t="str">
        <f>+IF(BD_MO[N° VALE]&lt;&gt;"",BD_MO[[#This Row],[KG EXPLO SEMIGEL]]+BD_MO[[#This Row],[KG EXPLO PULVE]]+BD_MO[[#This Row],[KG EXPLO EMULN 3000]]+BD_MO[[#This Row],[KG EXPLO EMULN 1000]],"")</f>
        <v/>
      </c>
      <c r="AV111" s="187"/>
      <c r="AW111" s="187"/>
      <c r="AX111" s="187" t="str">
        <f>+IF(BD_MO[[#This Row],[MINERAL (U-35)]]&lt;&gt;"",BD_MO[[#This Row],[MINERAL (U-35)]]*1.45,"-")</f>
        <v>-</v>
      </c>
      <c r="AY111" s="187" t="str">
        <f>+IF(BD_MO[[#This Row],[DESMONTE (U-35)]]&lt;&gt;"",BD_MO[[#This Row],[DESMONTE (U-35)]]*1.23,"-")</f>
        <v>-</v>
      </c>
      <c r="AZ111" s="187"/>
      <c r="BA111" s="187"/>
      <c r="BB111" s="187"/>
      <c r="BC111" s="187"/>
      <c r="BD111" s="187"/>
      <c r="BE111" s="187"/>
      <c r="BF111" s="187"/>
      <c r="BG111" s="187"/>
      <c r="BH111" s="187"/>
      <c r="BI111" s="187"/>
      <c r="BJ111" s="187"/>
      <c r="BK111" s="187"/>
      <c r="BL111" s="187"/>
      <c r="BM111" s="187"/>
      <c r="BN111" s="186"/>
      <c r="BO111" s="187"/>
      <c r="BP111" s="187"/>
      <c r="BQ111" s="186"/>
      <c r="BR111" s="187"/>
      <c r="BS111" s="186"/>
      <c r="BT111" s="191"/>
      <c r="BU111" s="187"/>
      <c r="BV111" s="187"/>
      <c r="BW111" s="187"/>
      <c r="BX111" s="187"/>
      <c r="BY111" s="187"/>
      <c r="BZ111" s="187"/>
      <c r="CA111" s="187"/>
      <c r="CB111" s="187"/>
      <c r="CC111" s="187"/>
      <c r="CD111" s="187"/>
      <c r="CE111" s="187"/>
      <c r="CF111" s="187"/>
      <c r="CG111" s="187"/>
      <c r="CH111" s="187"/>
      <c r="CI111" s="187"/>
      <c r="CJ111" s="187"/>
      <c r="CK111" s="187"/>
      <c r="CL111" s="187"/>
      <c r="CM111" s="187"/>
      <c r="CN111" s="187"/>
      <c r="CO111" s="187"/>
      <c r="CP111" s="191">
        <f>+IF(BD_MO[[#This Row],[FECHA]]&lt;&gt;"",BD_MO[[#This Row],[PUNTAL 4"]]+BD_MO[[#This Row],[PUNTAL 5"]]+BD_MO[[#This Row],[PUNTAL 6"]]+BD_MO[[#This Row],[PUNTAL 7"]]+BD_MO[[#This Row],[PUNTAL 8"]],"")</f>
        <v>0</v>
      </c>
      <c r="CQ111" s="187"/>
      <c r="CR111" s="187"/>
      <c r="CS111" s="187"/>
      <c r="CT111" s="187"/>
      <c r="CU111" s="187"/>
      <c r="CV111" s="187"/>
      <c r="CW111" s="187"/>
      <c r="CX111" s="187"/>
      <c r="CY111" s="191"/>
      <c r="CZ111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11" s="191">
        <f>+IF(BD_MO[[#This Row],[FECHA]]&lt;&gt;"",BD_MO[[#This Row],[DURMIENTE2]]*6.561+BD_MO[[#This Row],[LISTONES]]*4.921+BD_MO[[#This Row],[TABLA 1"x8"x3m]]*6.561+BD_MO[[#This Row],[TABLA 2"x8"x3m]]*13.122,"")</f>
        <v>0</v>
      </c>
      <c r="DB111" s="191">
        <f>+IF(BD_MO[[#This Row],[FECHA]]&lt;&gt;"",BD_MO[[#This Row],[PIE2 MADERA ASERRADA]]*1.95,"")</f>
        <v>0</v>
      </c>
      <c r="DC111" s="191">
        <f>+IF(BD_MO[[#This Row],[FECHA]]&lt;&gt;"",BD_MO[[#This Row],[KG. MADERA REDONDA]]+BD_MO[[#This Row],[KG MADERA ASERRADA]],"")</f>
        <v>0</v>
      </c>
      <c r="DD111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11" s="187"/>
      <c r="DF111" s="187"/>
      <c r="DG111" s="187"/>
      <c r="DH111" s="187"/>
      <c r="DI111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11" s="195"/>
      <c r="DK111" s="195"/>
      <c r="DL111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11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11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11" s="196"/>
      <c r="DP111" s="195" t="str">
        <f>+IF(BD_MO[[#This Row],[M o D]]&lt;&gt;"",IF(BD_MO[[#This Row],[M o D]]="M",BD_MO[[#This Row],[ROTURA TMH]]/2.65,BD_MO[[#This Row],[ROTURA TMH]]/2.4),"")</f>
        <v/>
      </c>
      <c r="DQ111" s="195"/>
      <c r="DR111" s="116" t="str">
        <f>IF(BD_MO[[#This Row],[TIPO AVANCE]]="Avance",((BD_MO[[#This Row],[AVANCE (m)]]/BD_MO[[#This Row],[AVANCE TEÓRICO]]))," ")</f>
        <v xml:space="preserve"> </v>
      </c>
      <c r="DS111" s="110"/>
      <c r="DT111" s="110"/>
      <c r="DU111" s="110"/>
      <c r="DV111" s="110"/>
      <c r="DW111" s="110"/>
      <c r="DX111" s="111"/>
      <c r="DY111" s="111"/>
      <c r="DZ111" s="111"/>
    </row>
    <row r="112" spans="1:130" s="136" customFormat="1" ht="18" customHeight="1" x14ac:dyDescent="0.25">
      <c r="A112" s="168">
        <v>44658</v>
      </c>
      <c r="B112" s="169" t="s">
        <v>10647</v>
      </c>
      <c r="C112" s="169" t="s">
        <v>10672</v>
      </c>
      <c r="D112" s="170" t="s">
        <v>10952</v>
      </c>
      <c r="E112" s="171" t="str">
        <f>LEFT(BD_MO[[#This Row],[LABOR]],2)</f>
        <v>In</v>
      </c>
      <c r="F112" s="172"/>
      <c r="G112" s="172" t="s">
        <v>10656</v>
      </c>
      <c r="H11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112" s="171" t="str">
        <f>IF(BD_MO[FECHA]&lt;&gt;"",VLOOKUP(BD_MO[LABOR],TB_CECO[[LABOR]:[CECO_T]],3,FALSE),"")</f>
        <v>VANESSA</v>
      </c>
      <c r="J112" s="171" t="str">
        <f>IF(BD_MO[FECHA]&lt;&gt;"",VLOOKUP(BD_MO[LABOR],D_CECO!B:H,7,FALSE),"")</f>
        <v>LINEAL</v>
      </c>
      <c r="K112" s="171" t="str">
        <f>IF(BD_MO[FECHA]&lt;&gt;"",VLOOKUP(BD_MO[LABOR],D_CECO!B:H,4,FALSE),"")</f>
        <v>EXPLORACION</v>
      </c>
      <c r="L112" s="171"/>
      <c r="M112" s="169"/>
      <c r="N112" s="172"/>
      <c r="O112" s="173" t="s">
        <v>12192</v>
      </c>
      <c r="P112" s="173" t="s">
        <v>12193</v>
      </c>
      <c r="Q112" s="173"/>
      <c r="R112" s="174"/>
      <c r="S112" s="175" t="str">
        <f>IFERROR(VLOOKUP(BD_MO[DNI 4],#REF!,2,FALSE)," ")</f>
        <v xml:space="preserve"> </v>
      </c>
      <c r="T112" s="176">
        <f>+IF(BD_MO[[#This Row],[FECHA]]&lt;&gt;"",COUNTA(BD_MO[[#This Row],[DNI]],BD_MO[[#This Row],[DNI 2]],BD_MO[[#This Row],[DNI 3]],BD_MO[[#This Row],[DNI 4]]),"")</f>
        <v>2</v>
      </c>
      <c r="U112" s="176">
        <v>1.8</v>
      </c>
      <c r="V112" s="176"/>
      <c r="W112" s="176"/>
      <c r="X112" s="176">
        <v>0.2</v>
      </c>
      <c r="Y112" s="177">
        <f>SUM(BD_MO[[#This Row],[LIMP]:[SERV]])</f>
        <v>2</v>
      </c>
      <c r="Z112" s="172"/>
      <c r="AA112" s="172" t="str">
        <f>+IF(BD_MO[[#This Row],[N° VALE]]&lt;&gt;"",1,"")</f>
        <v/>
      </c>
      <c r="AB112" s="169"/>
      <c r="AC112" s="172"/>
      <c r="AD112" s="172" t="str">
        <f>+IF(BD_MO[[#This Row],[N° VALE]]&lt;&gt;"",BD_MO[[#This Row],[FULMINANTE N° 08]]+BD_MO[CARMEX 7''],"")</f>
        <v/>
      </c>
      <c r="AE112" s="172"/>
      <c r="AF112" s="172" t="str">
        <f>+IF(BD_MO[[#This Row],[N° VALE]]&lt;&gt;"",BD_MO[[#This Row],[N° TALADROS]]+BD_MO[[#This Row],[N° TAL. VACIOS]],"")</f>
        <v/>
      </c>
      <c r="AG112" s="178"/>
      <c r="AH112" s="178"/>
      <c r="AI112" s="178"/>
      <c r="AJ112" s="178"/>
      <c r="AK112" s="178"/>
      <c r="AL112" s="178"/>
      <c r="AM112" s="171"/>
      <c r="AN112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12" s="172" t="str">
        <f>+IF(BD_MO[[#This Row],[N° VALE]]&lt;&gt;"",IF(BD_MO[[#This Row],[FULMINANTE N° 08]]&lt;&gt;"",BD_MO[[#This Row],[FULMINANTE N° 08]],IF(BD_MO[[#This Row],[CARMEX 7'']]&lt;&gt;0,0,"")),"")</f>
        <v/>
      </c>
      <c r="AP112" s="176" t="str">
        <f>+IF(BD_MO[[#This Row],[N° VALE]]&lt;&gt;"",BD_MO[[#This Row],[N°  TOTAL TALADROS]]*BD_MO[[#This Row],[BARRA]]*0.95,"")</f>
        <v/>
      </c>
      <c r="AQ112" s="176" t="str">
        <f>+IF(BD_MO[[#This Row],[N° VALE]]&lt;&gt;"",BD_MO[[#This Row],[EMULNOR 1000 (N° CART.)]]*PE_EMUL_1000[PE],"")</f>
        <v/>
      </c>
      <c r="AR112" s="176" t="str">
        <f>+IF(BD_MO[[#This Row],[N° VALE]]&lt;&gt;"",BD_MO[[#This Row],[EMULNOR 3000 (N° CART.)]]*PE_EMUL_3000[PE],"")</f>
        <v/>
      </c>
      <c r="AS112" s="176" t="str">
        <f>+IF(BD_MO[[#This Row],[N° VALE]]&lt;&gt;"",BD_MO[[#This Row],[PULVERULENTA (N° CART.)]]*PE_PULV_65[PE],"")</f>
        <v/>
      </c>
      <c r="AT112" s="176" t="str">
        <f>+IF(BD_MO[[#This Row],[N° DISP]]&lt;&gt;"",BD_MO[[#This Row],[SEMIGELATINA (N° CART.)]]*PE_SEMIGEL_65[PE],"")</f>
        <v/>
      </c>
      <c r="AU112" s="176" t="str">
        <f>+IF(BD_MO[N° VALE]&lt;&gt;"",BD_MO[[#This Row],[KG EXPLO SEMIGEL]]+BD_MO[[#This Row],[KG EXPLO PULVE]]+BD_MO[[#This Row],[KG EXPLO EMULN 3000]]+BD_MO[[#This Row],[KG EXPLO EMULN 1000]],"")</f>
        <v/>
      </c>
      <c r="AV112" s="172"/>
      <c r="AW112" s="172"/>
      <c r="AX112" s="172" t="str">
        <f>+IF(BD_MO[[#This Row],[MINERAL (U-35)]]&lt;&gt;"",BD_MO[[#This Row],[MINERAL (U-35)]]*1.45,"-")</f>
        <v>-</v>
      </c>
      <c r="AY112" s="172" t="str">
        <f>+IF(BD_MO[[#This Row],[DESMONTE (U-35)]]&lt;&gt;"",BD_MO[[#This Row],[DESMONTE (U-35)]]*1.23,"-")</f>
        <v>-</v>
      </c>
      <c r="AZ112" s="172"/>
      <c r="BA112" s="172"/>
      <c r="BB112" s="172"/>
      <c r="BC112" s="172"/>
      <c r="BD112" s="172"/>
      <c r="BE112" s="172"/>
      <c r="BF112" s="172"/>
      <c r="BG112" s="172"/>
      <c r="BH112" s="172"/>
      <c r="BI112" s="172"/>
      <c r="BJ112" s="172"/>
      <c r="BK112" s="172"/>
      <c r="BL112" s="172"/>
      <c r="BM112" s="172"/>
      <c r="BN112" s="171"/>
      <c r="BO112" s="172"/>
      <c r="BP112" s="172"/>
      <c r="BQ112" s="171"/>
      <c r="BR112" s="172"/>
      <c r="BS112" s="171"/>
      <c r="BT112" s="176"/>
      <c r="BU112" s="172"/>
      <c r="BV112" s="172"/>
      <c r="BW112" s="172"/>
      <c r="BX112" s="172"/>
      <c r="BY112" s="172"/>
      <c r="BZ112" s="172"/>
      <c r="CA112" s="172"/>
      <c r="CB112" s="172"/>
      <c r="CC112" s="172"/>
      <c r="CD112" s="172"/>
      <c r="CE112" s="172"/>
      <c r="CF112" s="172"/>
      <c r="CG112" s="172"/>
      <c r="CH112" s="172"/>
      <c r="CI112" s="172"/>
      <c r="CJ112" s="172"/>
      <c r="CK112" s="172"/>
      <c r="CL112" s="172"/>
      <c r="CM112" s="172"/>
      <c r="CN112" s="172"/>
      <c r="CO112" s="172"/>
      <c r="CP112" s="176">
        <f>+IF(BD_MO[[#This Row],[FECHA]]&lt;&gt;"",BD_MO[[#This Row],[PUNTAL 4"]]+BD_MO[[#This Row],[PUNTAL 5"]]+BD_MO[[#This Row],[PUNTAL 6"]]+BD_MO[[#This Row],[PUNTAL 7"]]+BD_MO[[#This Row],[PUNTAL 8"]],"")</f>
        <v>0</v>
      </c>
      <c r="CQ112" s="172"/>
      <c r="CR112" s="172"/>
      <c r="CS112" s="172"/>
      <c r="CT112" s="172"/>
      <c r="CU112" s="172"/>
      <c r="CV112" s="172"/>
      <c r="CW112" s="172"/>
      <c r="CX112" s="172"/>
      <c r="CY112" s="176"/>
      <c r="CZ11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12" s="176">
        <f>+IF(BD_MO[[#This Row],[FECHA]]&lt;&gt;"",BD_MO[[#This Row],[DURMIENTE2]]*6.561+BD_MO[[#This Row],[LISTONES]]*4.921+BD_MO[[#This Row],[TABLA 1"x8"x3m]]*6.561+BD_MO[[#This Row],[TABLA 2"x8"x3m]]*13.122,"")</f>
        <v>0</v>
      </c>
      <c r="DB112" s="176">
        <f>+IF(BD_MO[[#This Row],[FECHA]]&lt;&gt;"",BD_MO[[#This Row],[PIE2 MADERA ASERRADA]]*1.95,"")</f>
        <v>0</v>
      </c>
      <c r="DC112" s="176">
        <f>+IF(BD_MO[[#This Row],[FECHA]]&lt;&gt;"",BD_MO[[#This Row],[KG. MADERA REDONDA]]+BD_MO[[#This Row],[KG MADERA ASERRADA]],"")</f>
        <v>0</v>
      </c>
      <c r="DD11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12" s="172"/>
      <c r="DF112" s="172"/>
      <c r="DG112" s="172"/>
      <c r="DH112" s="172"/>
      <c r="DI112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12" s="180"/>
      <c r="DK112" s="180"/>
      <c r="DL112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12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12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12" s="181"/>
      <c r="DP112" s="180" t="str">
        <f>+IF(BD_MO[[#This Row],[M o D]]&lt;&gt;"",IF(BD_MO[[#This Row],[M o D]]="M",BD_MO[[#This Row],[ROTURA TMH]]/2.65,BD_MO[[#This Row],[ROTURA TMH]]/2.4),"")</f>
        <v/>
      </c>
      <c r="DQ112" s="180"/>
      <c r="DR112" s="116" t="str">
        <f>IF(BD_MO[[#This Row],[TIPO AVANCE]]="Avance",((BD_MO[[#This Row],[AVANCE (m)]]/BD_MO[[#This Row],[AVANCE TEÓRICO]]))," ")</f>
        <v xml:space="preserve"> </v>
      </c>
      <c r="DS112" s="134"/>
      <c r="DT112" s="134"/>
      <c r="DU112" s="134"/>
      <c r="DV112" s="134"/>
      <c r="DW112" s="134"/>
      <c r="DX112" s="135"/>
      <c r="DY112" s="135"/>
      <c r="DZ112" s="135"/>
    </row>
    <row r="113" spans="1:130" s="136" customFormat="1" ht="18" customHeight="1" x14ac:dyDescent="0.25">
      <c r="A113" s="168">
        <v>44658</v>
      </c>
      <c r="B113" s="169" t="s">
        <v>10647</v>
      </c>
      <c r="C113" s="169" t="s">
        <v>10672</v>
      </c>
      <c r="D113" s="170" t="s">
        <v>12164</v>
      </c>
      <c r="E113" s="171" t="str">
        <f>LEFT(BD_MO[[#This Row],[LABOR]],2)</f>
        <v>Tj</v>
      </c>
      <c r="F113" s="172" t="s">
        <v>10950</v>
      </c>
      <c r="G113" s="172" t="s">
        <v>10648</v>
      </c>
      <c r="H11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13" s="171" t="str">
        <f>IF(BD_MO[FECHA]&lt;&gt;"",VLOOKUP(BD_MO[LABOR],TB_CECO[[LABOR]:[CECO_T]],3,FALSE),"")</f>
        <v>VANESSA</v>
      </c>
      <c r="J113" s="171" t="str">
        <f>IF(BD_MO[FECHA]&lt;&gt;"",VLOOKUP(BD_MO[LABOR],D_CECO!B:H,7,FALSE),"")</f>
        <v>TAJO</v>
      </c>
      <c r="K113" s="171" t="str">
        <f>IF(BD_MO[FECHA]&lt;&gt;"",VLOOKUP(BD_MO[LABOR],D_CECO!B:H,4,FALSE),"")</f>
        <v>EXPLOTACION</v>
      </c>
      <c r="L113" s="171"/>
      <c r="M113" s="169" t="s">
        <v>10661</v>
      </c>
      <c r="N113" s="172"/>
      <c r="O113" s="173" t="s">
        <v>12194</v>
      </c>
      <c r="P113" s="173" t="s">
        <v>12195</v>
      </c>
      <c r="Q113" s="173"/>
      <c r="R113" s="174"/>
      <c r="S113" s="175" t="str">
        <f>IFERROR(VLOOKUP(BD_MO[DNI 4],#REF!,2,FALSE)," ")</f>
        <v xml:space="preserve"> </v>
      </c>
      <c r="T113" s="176">
        <v>1</v>
      </c>
      <c r="U113" s="176">
        <v>0.3</v>
      </c>
      <c r="V113" s="176">
        <v>0.2</v>
      </c>
      <c r="W113" s="176">
        <v>0.4</v>
      </c>
      <c r="X113" s="176">
        <v>0.1</v>
      </c>
      <c r="Y113" s="177">
        <f>SUM(BD_MO[[#This Row],[LIMP]:[SERV]])</f>
        <v>1</v>
      </c>
      <c r="Z113" s="172" t="s">
        <v>12212</v>
      </c>
      <c r="AA113" s="172">
        <f>+IF(BD_MO[[#This Row],[N° VALE]]&lt;&gt;"",1,"")</f>
        <v>1</v>
      </c>
      <c r="AB113" s="169" t="s">
        <v>10644</v>
      </c>
      <c r="AC113" s="172">
        <v>4</v>
      </c>
      <c r="AD113" s="172">
        <f>+IF(BD_MO[[#This Row],[N° VALE]]&lt;&gt;"",BD_MO[[#This Row],[FULMINANTE N° 08]]+BD_MO[CARMEX 7''],"")</f>
        <v>10</v>
      </c>
      <c r="AE113" s="172"/>
      <c r="AF113" s="172">
        <f>+IF(BD_MO[[#This Row],[N° VALE]]&lt;&gt;"",BD_MO[[#This Row],[N° TALADROS]]+BD_MO[[#This Row],[N° TAL. VACIOS]],"")</f>
        <v>10</v>
      </c>
      <c r="AG113" s="178">
        <v>42</v>
      </c>
      <c r="AH113" s="178"/>
      <c r="AI113" s="178"/>
      <c r="AJ113" s="178"/>
      <c r="AK113" s="178">
        <v>10</v>
      </c>
      <c r="AL113" s="178">
        <v>2</v>
      </c>
      <c r="AM113" s="171"/>
      <c r="AN113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13" s="172">
        <f>+IF(BD_MO[[#This Row],[N° VALE]]&lt;&gt;"",IF(BD_MO[[#This Row],[FULMINANTE N° 08]]&lt;&gt;"",BD_MO[[#This Row],[FULMINANTE N° 08]],IF(BD_MO[[#This Row],[CARMEX 7'']]&lt;&gt;0,0,"")),"")</f>
        <v>0</v>
      </c>
      <c r="AP113" s="176">
        <f>+IF(BD_MO[[#This Row],[N° VALE]]&lt;&gt;"",BD_MO[[#This Row],[N°  TOTAL TALADROS]]*BD_MO[[#This Row],[BARRA]]*0.95,"")</f>
        <v>38</v>
      </c>
      <c r="AQ113" s="176">
        <f>+IF(BD_MO[[#This Row],[N° VALE]]&lt;&gt;"",BD_MO[[#This Row],[EMULNOR 1000 (N° CART.)]]*PE_EMUL_1000[PE],"")</f>
        <v>0</v>
      </c>
      <c r="AR113" s="176">
        <f>+IF(BD_MO[[#This Row],[N° VALE]]&lt;&gt;"",BD_MO[[#This Row],[EMULNOR 3000 (N° CART.)]]*PE_EMUL_3000[PE],"")</f>
        <v>4.0384615384615401</v>
      </c>
      <c r="AS113" s="176">
        <f>+IF(BD_MO[[#This Row],[N° VALE]]&lt;&gt;"",BD_MO[[#This Row],[PULVERULENTA (N° CART.)]]*PE_PULV_65[PE],"")</f>
        <v>0</v>
      </c>
      <c r="AT113" s="176">
        <f>+IF(BD_MO[[#This Row],[N° DISP]]&lt;&gt;"",BD_MO[[#This Row],[SEMIGELATINA (N° CART.)]]*PE_SEMIGEL_65[PE],"")</f>
        <v>0</v>
      </c>
      <c r="AU113" s="176">
        <f>+IF(BD_MO[N° VALE]&lt;&gt;"",BD_MO[[#This Row],[KG EXPLO SEMIGEL]]+BD_MO[[#This Row],[KG EXPLO PULVE]]+BD_MO[[#This Row],[KG EXPLO EMULN 3000]]+BD_MO[[#This Row],[KG EXPLO EMULN 1000]],"")</f>
        <v>4.0384615384615401</v>
      </c>
      <c r="AV113" s="172"/>
      <c r="AW113" s="172"/>
      <c r="AX113" s="172" t="str">
        <f>+IF(BD_MO[[#This Row],[MINERAL (U-35)]]&lt;&gt;"",BD_MO[[#This Row],[MINERAL (U-35)]]*1.45,"-")</f>
        <v>-</v>
      </c>
      <c r="AY113" s="172" t="str">
        <f>+IF(BD_MO[[#This Row],[DESMONTE (U-35)]]&lt;&gt;"",BD_MO[[#This Row],[DESMONTE (U-35)]]*1.23,"-")</f>
        <v>-</v>
      </c>
      <c r="AZ113" s="172"/>
      <c r="BA113" s="172"/>
      <c r="BB113" s="172"/>
      <c r="BC113" s="172"/>
      <c r="BD113" s="172"/>
      <c r="BE113" s="172"/>
      <c r="BF113" s="172"/>
      <c r="BG113" s="172">
        <v>2</v>
      </c>
      <c r="BH113" s="172"/>
      <c r="BI113" s="172"/>
      <c r="BJ113" s="172"/>
      <c r="BK113" s="172"/>
      <c r="BL113" s="172"/>
      <c r="BM113" s="172"/>
      <c r="BN113" s="171"/>
      <c r="BO113" s="172">
        <v>1</v>
      </c>
      <c r="BP113" s="172"/>
      <c r="BQ113" s="171"/>
      <c r="BR113" s="172"/>
      <c r="BS113" s="171"/>
      <c r="BT113" s="176">
        <v>3.55</v>
      </c>
      <c r="BU113" s="172"/>
      <c r="BV113" s="172"/>
      <c r="BW113" s="172"/>
      <c r="BX113" s="172"/>
      <c r="BY113" s="172"/>
      <c r="BZ113" s="172"/>
      <c r="CA113" s="172"/>
      <c r="CB113" s="172"/>
      <c r="CC113" s="172"/>
      <c r="CD113" s="172"/>
      <c r="CE113" s="172"/>
      <c r="CF113" s="172"/>
      <c r="CG113" s="172"/>
      <c r="CH113" s="172"/>
      <c r="CI113" s="172"/>
      <c r="CJ113" s="172"/>
      <c r="CK113" s="172"/>
      <c r="CL113" s="172"/>
      <c r="CM113" s="172"/>
      <c r="CN113" s="172"/>
      <c r="CO113" s="172"/>
      <c r="CP113" s="176">
        <f>+IF(BD_MO[[#This Row],[FECHA]]&lt;&gt;"",BD_MO[[#This Row],[PUNTAL 4"]]+BD_MO[[#This Row],[PUNTAL 5"]]+BD_MO[[#This Row],[PUNTAL 6"]]+BD_MO[[#This Row],[PUNTAL 7"]]+BD_MO[[#This Row],[PUNTAL 8"]],"")</f>
        <v>0</v>
      </c>
      <c r="CQ113" s="172"/>
      <c r="CR113" s="172"/>
      <c r="CS113" s="172"/>
      <c r="CT113" s="172"/>
      <c r="CU113" s="172"/>
      <c r="CV113" s="172"/>
      <c r="CW113" s="172"/>
      <c r="CX113" s="172"/>
      <c r="CY113" s="176"/>
      <c r="CZ11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13" s="176">
        <f>+IF(BD_MO[[#This Row],[FECHA]]&lt;&gt;"",BD_MO[[#This Row],[DURMIENTE2]]*6.561+BD_MO[[#This Row],[LISTONES]]*4.921+BD_MO[[#This Row],[TABLA 1"x8"x3m]]*6.561+BD_MO[[#This Row],[TABLA 2"x8"x3m]]*13.122,"")</f>
        <v>0</v>
      </c>
      <c r="DB113" s="176">
        <f>+IF(BD_MO[[#This Row],[FECHA]]&lt;&gt;"",BD_MO[[#This Row],[PIE2 MADERA ASERRADA]]*1.95,"")</f>
        <v>0</v>
      </c>
      <c r="DC113" s="176">
        <f>+IF(BD_MO[[#This Row],[FECHA]]&lt;&gt;"",BD_MO[[#This Row],[KG. MADERA REDONDA]]+BD_MO[[#This Row],[KG MADERA ASERRADA]],"")</f>
        <v>0</v>
      </c>
      <c r="DD11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13" s="172"/>
      <c r="DF113" s="172"/>
      <c r="DG113" s="172"/>
      <c r="DH113" s="172"/>
      <c r="DI113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13" s="180"/>
      <c r="DK113" s="180"/>
      <c r="DL113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113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113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13" s="181">
        <v>10.62</v>
      </c>
      <c r="DP113" s="180">
        <f>+IF(BD_MO[[#This Row],[M o D]]&lt;&gt;"",IF(BD_MO[[#This Row],[M o D]]="M",BD_MO[[#This Row],[ROTURA TMH]]/2.65,BD_MO[[#This Row],[ROTURA TMH]]/2.4),"")</f>
        <v>4.0075471698113203</v>
      </c>
      <c r="DQ113" s="180"/>
      <c r="DR113" s="116" t="str">
        <f>IF(BD_MO[[#This Row],[TIPO AVANCE]]="Avance",((BD_MO[[#This Row],[AVANCE (m)]]/BD_MO[[#This Row],[AVANCE TEÓRICO]]))," ")</f>
        <v xml:space="preserve"> </v>
      </c>
      <c r="DS113" s="134"/>
      <c r="DT113" s="134"/>
      <c r="DU113" s="134"/>
      <c r="DV113" s="134"/>
      <c r="DW113" s="134"/>
      <c r="DX113" s="135"/>
      <c r="DY113" s="135"/>
      <c r="DZ113" s="135"/>
    </row>
    <row r="114" spans="1:130" s="136" customFormat="1" ht="18" customHeight="1" x14ac:dyDescent="0.25">
      <c r="A114" s="168">
        <v>44658</v>
      </c>
      <c r="B114" s="169" t="s">
        <v>10647</v>
      </c>
      <c r="C114" s="169" t="s">
        <v>10672</v>
      </c>
      <c r="D114" s="170" t="s">
        <v>12164</v>
      </c>
      <c r="E114" s="171" t="str">
        <f>LEFT(BD_MO[[#This Row],[LABOR]],2)</f>
        <v>Tj</v>
      </c>
      <c r="F114" s="172" t="s">
        <v>10950</v>
      </c>
      <c r="G114" s="172" t="s">
        <v>10648</v>
      </c>
      <c r="H11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14" s="171" t="str">
        <f>IF(BD_MO[FECHA]&lt;&gt;"",VLOOKUP(BD_MO[LABOR],TB_CECO[[LABOR]:[CECO_T]],3,FALSE),"")</f>
        <v>VANESSA</v>
      </c>
      <c r="J114" s="171" t="str">
        <f>IF(BD_MO[FECHA]&lt;&gt;"",VLOOKUP(BD_MO[LABOR],D_CECO!B:H,7,FALSE),"")</f>
        <v>TAJO</v>
      </c>
      <c r="K114" s="171" t="str">
        <f>IF(BD_MO[FECHA]&lt;&gt;"",VLOOKUP(BD_MO[LABOR],D_CECO!B:H,4,FALSE),"")</f>
        <v>EXPLOTACION</v>
      </c>
      <c r="L114" s="171"/>
      <c r="M114" s="169" t="s">
        <v>10679</v>
      </c>
      <c r="N114" s="172"/>
      <c r="O114" s="173" t="s">
        <v>12194</v>
      </c>
      <c r="P114" s="173" t="s">
        <v>12195</v>
      </c>
      <c r="Q114" s="173"/>
      <c r="R114" s="174"/>
      <c r="S114" s="175" t="str">
        <f>IFERROR(VLOOKUP(BD_MO[DNI 4],#REF!,2,FALSE)," ")</f>
        <v xml:space="preserve"> </v>
      </c>
      <c r="T114" s="176">
        <v>1</v>
      </c>
      <c r="U114" s="176">
        <v>0.3</v>
      </c>
      <c r="V114" s="176">
        <v>0.2</v>
      </c>
      <c r="W114" s="176">
        <v>0.4</v>
      </c>
      <c r="X114" s="176">
        <v>0.1</v>
      </c>
      <c r="Y114" s="177">
        <f>SUM(BD_MO[[#This Row],[LIMP]:[SERV]])</f>
        <v>1</v>
      </c>
      <c r="Z114" s="172" t="s">
        <v>12213</v>
      </c>
      <c r="AA114" s="172">
        <f>+IF(BD_MO[[#This Row],[N° VALE]]&lt;&gt;"",1,"")</f>
        <v>1</v>
      </c>
      <c r="AB114" s="169" t="s">
        <v>10644</v>
      </c>
      <c r="AC114" s="172">
        <v>2</v>
      </c>
      <c r="AD114" s="172">
        <f>+IF(BD_MO[[#This Row],[N° VALE]]&lt;&gt;"",BD_MO[[#This Row],[FULMINANTE N° 08]]+BD_MO[CARMEX 7''],"")</f>
        <v>3</v>
      </c>
      <c r="AE114" s="172"/>
      <c r="AF114" s="172">
        <f>+IF(BD_MO[[#This Row],[N° VALE]]&lt;&gt;"",BD_MO[[#This Row],[N° TALADROS]]+BD_MO[[#This Row],[N° TAL. VACIOS]],"")</f>
        <v>3</v>
      </c>
      <c r="AG114" s="178"/>
      <c r="AH114" s="178">
        <v>9</v>
      </c>
      <c r="AI114" s="178"/>
      <c r="AJ114" s="178"/>
      <c r="AK114" s="178">
        <v>3</v>
      </c>
      <c r="AL114" s="178">
        <v>1</v>
      </c>
      <c r="AM114" s="171"/>
      <c r="AN114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14" s="172">
        <f>+IF(BD_MO[[#This Row],[N° VALE]]&lt;&gt;"",IF(BD_MO[[#This Row],[FULMINANTE N° 08]]&lt;&gt;"",BD_MO[[#This Row],[FULMINANTE N° 08]],IF(BD_MO[[#This Row],[CARMEX 7'']]&lt;&gt;0,0,"")),"")</f>
        <v>0</v>
      </c>
      <c r="AP114" s="176">
        <f>+IF(BD_MO[[#This Row],[N° VALE]]&lt;&gt;"",BD_MO[[#This Row],[N°  TOTAL TALADROS]]*BD_MO[[#This Row],[BARRA]]*0.95,"")</f>
        <v>5.6999999999999993</v>
      </c>
      <c r="AQ114" s="176">
        <f>+IF(BD_MO[[#This Row],[N° VALE]]&lt;&gt;"",BD_MO[[#This Row],[EMULNOR 1000 (N° CART.)]]*PE_EMUL_1000[PE],"")</f>
        <v>0.85230000000000006</v>
      </c>
      <c r="AR114" s="176">
        <f>+IF(BD_MO[[#This Row],[N° VALE]]&lt;&gt;"",BD_MO[[#This Row],[EMULNOR 3000 (N° CART.)]]*PE_EMUL_3000[PE],"")</f>
        <v>0</v>
      </c>
      <c r="AS114" s="176">
        <f>+IF(BD_MO[[#This Row],[N° VALE]]&lt;&gt;"",BD_MO[[#This Row],[PULVERULENTA (N° CART.)]]*PE_PULV_65[PE],"")</f>
        <v>0</v>
      </c>
      <c r="AT114" s="176">
        <f>+IF(BD_MO[[#This Row],[N° DISP]]&lt;&gt;"",BD_MO[[#This Row],[SEMIGELATINA (N° CART.)]]*PE_SEMIGEL_65[PE],"")</f>
        <v>0</v>
      </c>
      <c r="AU114" s="176">
        <f>+IF(BD_MO[N° VALE]&lt;&gt;"",BD_MO[[#This Row],[KG EXPLO SEMIGEL]]+BD_MO[[#This Row],[KG EXPLO PULVE]]+BD_MO[[#This Row],[KG EXPLO EMULN 3000]]+BD_MO[[#This Row],[KG EXPLO EMULN 1000]],"")</f>
        <v>0.85230000000000006</v>
      </c>
      <c r="AV114" s="172"/>
      <c r="AW114" s="172"/>
      <c r="AX114" s="172" t="str">
        <f>+IF(BD_MO[[#This Row],[MINERAL (U-35)]]&lt;&gt;"",BD_MO[[#This Row],[MINERAL (U-35)]]*1.45,"-")</f>
        <v>-</v>
      </c>
      <c r="AY114" s="172" t="str">
        <f>+IF(BD_MO[[#This Row],[DESMONTE (U-35)]]&lt;&gt;"",BD_MO[[#This Row],[DESMONTE (U-35)]]*1.23,"-")</f>
        <v>-</v>
      </c>
      <c r="AZ114" s="172"/>
      <c r="BA114" s="172"/>
      <c r="BB114" s="172"/>
      <c r="BC114" s="172"/>
      <c r="BD114" s="172"/>
      <c r="BE114" s="172"/>
      <c r="BF114" s="172"/>
      <c r="BG114" s="172"/>
      <c r="BH114" s="172"/>
      <c r="BI114" s="172"/>
      <c r="BJ114" s="172"/>
      <c r="BK114" s="172"/>
      <c r="BL114" s="172"/>
      <c r="BM114" s="172"/>
      <c r="BN114" s="171"/>
      <c r="BO114" s="172"/>
      <c r="BP114" s="172"/>
      <c r="BQ114" s="171"/>
      <c r="BR114" s="172"/>
      <c r="BS114" s="171"/>
      <c r="BT114" s="176"/>
      <c r="BU114" s="172"/>
      <c r="BV114" s="172"/>
      <c r="BW114" s="172"/>
      <c r="BX114" s="172"/>
      <c r="BY114" s="172"/>
      <c r="BZ114" s="172"/>
      <c r="CA114" s="172"/>
      <c r="CB114" s="172"/>
      <c r="CC114" s="172"/>
      <c r="CD114" s="172"/>
      <c r="CE114" s="172"/>
      <c r="CF114" s="172"/>
      <c r="CG114" s="172"/>
      <c r="CH114" s="172"/>
      <c r="CI114" s="172"/>
      <c r="CJ114" s="172"/>
      <c r="CK114" s="172"/>
      <c r="CL114" s="172"/>
      <c r="CM114" s="172"/>
      <c r="CN114" s="172"/>
      <c r="CO114" s="172"/>
      <c r="CP114" s="176">
        <f>+IF(BD_MO[[#This Row],[FECHA]]&lt;&gt;"",BD_MO[[#This Row],[PUNTAL 4"]]+BD_MO[[#This Row],[PUNTAL 5"]]+BD_MO[[#This Row],[PUNTAL 6"]]+BD_MO[[#This Row],[PUNTAL 7"]]+BD_MO[[#This Row],[PUNTAL 8"]],"")</f>
        <v>0</v>
      </c>
      <c r="CQ114" s="172"/>
      <c r="CR114" s="172"/>
      <c r="CS114" s="172"/>
      <c r="CT114" s="172"/>
      <c r="CU114" s="172"/>
      <c r="CV114" s="172"/>
      <c r="CW114" s="172"/>
      <c r="CX114" s="172"/>
      <c r="CY114" s="176"/>
      <c r="CZ11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14" s="176">
        <f>+IF(BD_MO[[#This Row],[FECHA]]&lt;&gt;"",BD_MO[[#This Row],[DURMIENTE2]]*6.561+BD_MO[[#This Row],[LISTONES]]*4.921+BD_MO[[#This Row],[TABLA 1"x8"x3m]]*6.561+BD_MO[[#This Row],[TABLA 2"x8"x3m]]*13.122,"")</f>
        <v>0</v>
      </c>
      <c r="DB114" s="176">
        <f>+IF(BD_MO[[#This Row],[FECHA]]&lt;&gt;"",BD_MO[[#This Row],[PIE2 MADERA ASERRADA]]*1.95,"")</f>
        <v>0</v>
      </c>
      <c r="DC114" s="176">
        <f>+IF(BD_MO[[#This Row],[FECHA]]&lt;&gt;"",BD_MO[[#This Row],[KG. MADERA REDONDA]]+BD_MO[[#This Row],[KG MADERA ASERRADA]],"")</f>
        <v>0</v>
      </c>
      <c r="DD11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14" s="172"/>
      <c r="DF114" s="172"/>
      <c r="DG114" s="172"/>
      <c r="DH114" s="172"/>
      <c r="DI114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0.52</v>
      </c>
      <c r="DJ114" s="180"/>
      <c r="DK114" s="180"/>
      <c r="DL114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0.7</v>
      </c>
      <c r="DM114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0.36399999999999999</v>
      </c>
      <c r="DN114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14" s="181">
        <v>3.1859999999999999</v>
      </c>
      <c r="DP114" s="180">
        <f>+IF(BD_MO[[#This Row],[M o D]]&lt;&gt;"",IF(BD_MO[[#This Row],[M o D]]="M",BD_MO[[#This Row],[ROTURA TMH]]/2.65,BD_MO[[#This Row],[ROTURA TMH]]/2.4),"")</f>
        <v>1.2022641509433962</v>
      </c>
      <c r="DQ114" s="180"/>
      <c r="DR114" s="116" t="str">
        <f>IF(BD_MO[[#This Row],[TIPO AVANCE]]="Avance",((BD_MO[[#This Row],[AVANCE (m)]]/BD_MO[[#This Row],[AVANCE TEÓRICO]]))," ")</f>
        <v xml:space="preserve"> </v>
      </c>
      <c r="DS114" s="134"/>
      <c r="DT114" s="134"/>
      <c r="DU114" s="134"/>
      <c r="DV114" s="134"/>
      <c r="DW114" s="134"/>
      <c r="DX114" s="135"/>
      <c r="DY114" s="135"/>
      <c r="DZ114" s="135"/>
    </row>
    <row r="115" spans="1:130" s="136" customFormat="1" ht="18" customHeight="1" x14ac:dyDescent="0.25">
      <c r="A115" s="168">
        <v>44658</v>
      </c>
      <c r="B115" s="169" t="s">
        <v>10647</v>
      </c>
      <c r="C115" s="169" t="s">
        <v>10672</v>
      </c>
      <c r="D115" s="170" t="s">
        <v>12128</v>
      </c>
      <c r="E115" s="171" t="str">
        <f>LEFT(BD_MO[[#This Row],[LABOR]],2)</f>
        <v>Tj</v>
      </c>
      <c r="F115" s="172"/>
      <c r="G115" s="172" t="s">
        <v>10662</v>
      </c>
      <c r="H115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115" s="171" t="str">
        <f>IF(BD_MO[FECHA]&lt;&gt;"",VLOOKUP(BD_MO[LABOR],TB_CECO[[LABOR]:[CECO_T]],3,FALSE),"")</f>
        <v>VANESSA</v>
      </c>
      <c r="J115" s="171" t="str">
        <f>IF(BD_MO[FECHA]&lt;&gt;"",VLOOKUP(BD_MO[LABOR],D_CECO!B:H,7,FALSE),"")</f>
        <v>TAJO</v>
      </c>
      <c r="K115" s="171" t="str">
        <f>IF(BD_MO[FECHA]&lt;&gt;"",VLOOKUP(BD_MO[LABOR],D_CECO!B:H,4,FALSE),"")</f>
        <v>EXPLOTACION</v>
      </c>
      <c r="L115" s="171"/>
      <c r="M115" s="169"/>
      <c r="N115" s="172"/>
      <c r="O115" s="173" t="s">
        <v>12196</v>
      </c>
      <c r="P115" s="173" t="s">
        <v>12197</v>
      </c>
      <c r="Q115" s="173"/>
      <c r="R115" s="174"/>
      <c r="S115" s="175" t="str">
        <f>IFERROR(VLOOKUP(BD_MO[DNI 4],#REF!,2,FALSE)," ")</f>
        <v xml:space="preserve"> </v>
      </c>
      <c r="T115" s="176">
        <f>+IF(BD_MO[[#This Row],[FECHA]]&lt;&gt;"",COUNTA(BD_MO[[#This Row],[DNI]],BD_MO[[#This Row],[DNI 2]],BD_MO[[#This Row],[DNI 3]],BD_MO[[#This Row],[DNI 4]]),"")</f>
        <v>2</v>
      </c>
      <c r="U115" s="176">
        <v>0.2</v>
      </c>
      <c r="V115" s="176"/>
      <c r="W115" s="176">
        <v>1.4</v>
      </c>
      <c r="X115" s="176">
        <v>0.4</v>
      </c>
      <c r="Y115" s="177">
        <f>SUM(BD_MO[[#This Row],[LIMP]:[SERV]])</f>
        <v>2</v>
      </c>
      <c r="Z115" s="172"/>
      <c r="AA115" s="172" t="str">
        <f>+IF(BD_MO[[#This Row],[N° VALE]]&lt;&gt;"",1,"")</f>
        <v/>
      </c>
      <c r="AB115" s="169"/>
      <c r="AC115" s="172"/>
      <c r="AD115" s="172" t="str">
        <f>+IF(BD_MO[[#This Row],[N° VALE]]&lt;&gt;"",BD_MO[[#This Row],[FULMINANTE N° 08]]+BD_MO[CARMEX 7''],"")</f>
        <v/>
      </c>
      <c r="AE115" s="172"/>
      <c r="AF115" s="172" t="str">
        <f>+IF(BD_MO[[#This Row],[N° VALE]]&lt;&gt;"",BD_MO[[#This Row],[N° TALADROS]]+BD_MO[[#This Row],[N° TAL. VACIOS]],"")</f>
        <v/>
      </c>
      <c r="AG115" s="178"/>
      <c r="AH115" s="178"/>
      <c r="AI115" s="178"/>
      <c r="AJ115" s="178"/>
      <c r="AK115" s="178"/>
      <c r="AL115" s="178"/>
      <c r="AM115" s="171"/>
      <c r="AN115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15" s="172" t="str">
        <f>+IF(BD_MO[[#This Row],[N° VALE]]&lt;&gt;"",IF(BD_MO[[#This Row],[FULMINANTE N° 08]]&lt;&gt;"",BD_MO[[#This Row],[FULMINANTE N° 08]],IF(BD_MO[[#This Row],[CARMEX 7'']]&lt;&gt;0,0,"")),"")</f>
        <v/>
      </c>
      <c r="AP115" s="176" t="str">
        <f>+IF(BD_MO[[#This Row],[N° VALE]]&lt;&gt;"",BD_MO[[#This Row],[N°  TOTAL TALADROS]]*BD_MO[[#This Row],[BARRA]]*0.95,"")</f>
        <v/>
      </c>
      <c r="AQ115" s="176" t="str">
        <f>+IF(BD_MO[[#This Row],[N° VALE]]&lt;&gt;"",BD_MO[[#This Row],[EMULNOR 1000 (N° CART.)]]*PE_EMUL_1000[PE],"")</f>
        <v/>
      </c>
      <c r="AR115" s="176" t="str">
        <f>+IF(BD_MO[[#This Row],[N° VALE]]&lt;&gt;"",BD_MO[[#This Row],[EMULNOR 3000 (N° CART.)]]*PE_EMUL_3000[PE],"")</f>
        <v/>
      </c>
      <c r="AS115" s="176" t="str">
        <f>+IF(BD_MO[[#This Row],[N° VALE]]&lt;&gt;"",BD_MO[[#This Row],[PULVERULENTA (N° CART.)]]*PE_PULV_65[PE],"")</f>
        <v/>
      </c>
      <c r="AT115" s="176" t="str">
        <f>+IF(BD_MO[[#This Row],[N° DISP]]&lt;&gt;"",BD_MO[[#This Row],[SEMIGELATINA (N° CART.)]]*PE_SEMIGEL_65[PE],"")</f>
        <v/>
      </c>
      <c r="AU115" s="176" t="str">
        <f>+IF(BD_MO[N° VALE]&lt;&gt;"",BD_MO[[#This Row],[KG EXPLO SEMIGEL]]+BD_MO[[#This Row],[KG EXPLO PULVE]]+BD_MO[[#This Row],[KG EXPLO EMULN 3000]]+BD_MO[[#This Row],[KG EXPLO EMULN 1000]],"")</f>
        <v/>
      </c>
      <c r="AV115" s="172"/>
      <c r="AW115" s="172"/>
      <c r="AX115" s="172" t="str">
        <f>+IF(BD_MO[[#This Row],[MINERAL (U-35)]]&lt;&gt;"",BD_MO[[#This Row],[MINERAL (U-35)]]*1.45,"-")</f>
        <v>-</v>
      </c>
      <c r="AY115" s="172" t="str">
        <f>+IF(BD_MO[[#This Row],[DESMONTE (U-35)]]&lt;&gt;"",BD_MO[[#This Row],[DESMONTE (U-35)]]*1.23,"-")</f>
        <v>-</v>
      </c>
      <c r="AZ115" s="172"/>
      <c r="BA115" s="172"/>
      <c r="BB115" s="172"/>
      <c r="BC115" s="172"/>
      <c r="BD115" s="172"/>
      <c r="BE115" s="172"/>
      <c r="BF115" s="172"/>
      <c r="BG115" s="172"/>
      <c r="BH115" s="172"/>
      <c r="BI115" s="172"/>
      <c r="BJ115" s="172"/>
      <c r="BK115" s="172"/>
      <c r="BL115" s="172"/>
      <c r="BM115" s="172"/>
      <c r="BN115" s="171"/>
      <c r="BO115" s="172">
        <v>10</v>
      </c>
      <c r="BP115" s="172"/>
      <c r="BQ115" s="171"/>
      <c r="BR115" s="172"/>
      <c r="BS115" s="171"/>
      <c r="BT115" s="176"/>
      <c r="BU115" s="172"/>
      <c r="BV115" s="172"/>
      <c r="BW115" s="172"/>
      <c r="BX115" s="172"/>
      <c r="BY115" s="172"/>
      <c r="BZ115" s="172"/>
      <c r="CA115" s="172"/>
      <c r="CB115" s="172"/>
      <c r="CC115" s="172"/>
      <c r="CD115" s="172"/>
      <c r="CE115" s="172"/>
      <c r="CF115" s="172"/>
      <c r="CG115" s="172"/>
      <c r="CH115" s="172"/>
      <c r="CI115" s="172"/>
      <c r="CJ115" s="172"/>
      <c r="CK115" s="172"/>
      <c r="CL115" s="172"/>
      <c r="CM115" s="172"/>
      <c r="CN115" s="172"/>
      <c r="CO115" s="172"/>
      <c r="CP115" s="176">
        <f>+IF(BD_MO[[#This Row],[FECHA]]&lt;&gt;"",BD_MO[[#This Row],[PUNTAL 4"]]+BD_MO[[#This Row],[PUNTAL 5"]]+BD_MO[[#This Row],[PUNTAL 6"]]+BD_MO[[#This Row],[PUNTAL 7"]]+BD_MO[[#This Row],[PUNTAL 8"]],"")</f>
        <v>0</v>
      </c>
      <c r="CQ115" s="172"/>
      <c r="CR115" s="172"/>
      <c r="CS115" s="172"/>
      <c r="CT115" s="172"/>
      <c r="CU115" s="172"/>
      <c r="CV115" s="172"/>
      <c r="CW115" s="172"/>
      <c r="CX115" s="172"/>
      <c r="CY115" s="176"/>
      <c r="CZ115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15" s="176">
        <f>+IF(BD_MO[[#This Row],[FECHA]]&lt;&gt;"",BD_MO[[#This Row],[DURMIENTE2]]*6.561+BD_MO[[#This Row],[LISTONES]]*4.921+BD_MO[[#This Row],[TABLA 1"x8"x3m]]*6.561+BD_MO[[#This Row],[TABLA 2"x8"x3m]]*13.122,"")</f>
        <v>0</v>
      </c>
      <c r="DB115" s="176">
        <f>+IF(BD_MO[[#This Row],[FECHA]]&lt;&gt;"",BD_MO[[#This Row],[PIE2 MADERA ASERRADA]]*1.95,"")</f>
        <v>0</v>
      </c>
      <c r="DC115" s="176">
        <f>+IF(BD_MO[[#This Row],[FECHA]]&lt;&gt;"",BD_MO[[#This Row],[KG. MADERA REDONDA]]+BD_MO[[#This Row],[KG MADERA ASERRADA]],"")</f>
        <v>0</v>
      </c>
      <c r="DD115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15" s="172"/>
      <c r="DF115" s="172"/>
      <c r="DG115" s="172"/>
      <c r="DH115" s="172"/>
      <c r="DI115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15" s="180"/>
      <c r="DK115" s="180"/>
      <c r="DL115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15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15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15" s="181"/>
      <c r="DP115" s="180" t="str">
        <f>+IF(BD_MO[[#This Row],[M o D]]&lt;&gt;"",IF(BD_MO[[#This Row],[M o D]]="M",BD_MO[[#This Row],[ROTURA TMH]]/2.65,BD_MO[[#This Row],[ROTURA TMH]]/2.4),"")</f>
        <v/>
      </c>
      <c r="DQ115" s="180"/>
      <c r="DR115" s="116" t="str">
        <f>IF(BD_MO[[#This Row],[TIPO AVANCE]]="Avance",((BD_MO[[#This Row],[AVANCE (m)]]/BD_MO[[#This Row],[AVANCE TEÓRICO]]))," ")</f>
        <v xml:space="preserve"> </v>
      </c>
      <c r="DS115" s="134"/>
      <c r="DT115" s="134"/>
      <c r="DU115" s="134"/>
      <c r="DV115" s="134"/>
      <c r="DW115" s="134"/>
      <c r="DX115" s="135"/>
      <c r="DY115" s="135"/>
      <c r="DZ115" s="135"/>
    </row>
    <row r="116" spans="1:130" s="136" customFormat="1" ht="18" customHeight="1" x14ac:dyDescent="0.25">
      <c r="A116" s="168">
        <v>44658</v>
      </c>
      <c r="B116" s="169" t="s">
        <v>10647</v>
      </c>
      <c r="C116" s="169" t="s">
        <v>10672</v>
      </c>
      <c r="D116" s="170" t="s">
        <v>11872</v>
      </c>
      <c r="E116" s="171" t="str">
        <f>LEFT(BD_MO[[#This Row],[LABOR]],2)</f>
        <v>PQ</v>
      </c>
      <c r="F116" s="172"/>
      <c r="G116" s="172" t="s">
        <v>10669</v>
      </c>
      <c r="H11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16" s="171" t="str">
        <f>IF(BD_MO[FECHA]&lt;&gt;"",VLOOKUP(BD_MO[LABOR],TB_CECO[[LABOR]:[CECO_T]],3,FALSE),"")</f>
        <v>ANDREA</v>
      </c>
      <c r="J116" s="171" t="str">
        <f>IF(BD_MO[FECHA]&lt;&gt;"",VLOOKUP(BD_MO[LABOR],D_CECO!B:H,7,FALSE),"")</f>
        <v>LINEAL</v>
      </c>
      <c r="K116" s="171" t="str">
        <f>IF(BD_MO[FECHA]&lt;&gt;"",VLOOKUP(BD_MO[LABOR],D_CECO!B:H,4,FALSE),"")</f>
        <v>EXPLOTACION</v>
      </c>
      <c r="L116" s="171"/>
      <c r="M116" s="169"/>
      <c r="N116" s="172"/>
      <c r="O116" s="173" t="s">
        <v>12198</v>
      </c>
      <c r="P116" s="173" t="s">
        <v>12199</v>
      </c>
      <c r="Q116" s="173" t="s">
        <v>12203</v>
      </c>
      <c r="R116" s="174"/>
      <c r="S116" s="175" t="str">
        <f>IFERROR(VLOOKUP(BD_MO[DNI 4],#REF!,2,FALSE)," ")</f>
        <v xml:space="preserve"> </v>
      </c>
      <c r="T116" s="176">
        <f>+IF(BD_MO[[#This Row],[FECHA]]&lt;&gt;"",COUNTA(BD_MO[[#This Row],[DNI]],BD_MO[[#This Row],[DNI 2]],BD_MO[[#This Row],[DNI 3]],BD_MO[[#This Row],[DNI 4]]),"")</f>
        <v>3</v>
      </c>
      <c r="U116" s="176"/>
      <c r="V116" s="176"/>
      <c r="W116" s="176"/>
      <c r="X116" s="176">
        <v>3</v>
      </c>
      <c r="Y116" s="177">
        <f>SUM(BD_MO[[#This Row],[LIMP]:[SERV]])</f>
        <v>3</v>
      </c>
      <c r="Z116" s="172"/>
      <c r="AA116" s="172" t="str">
        <f>+IF(BD_MO[[#This Row],[N° VALE]]&lt;&gt;"",1,"")</f>
        <v/>
      </c>
      <c r="AB116" s="169"/>
      <c r="AC116" s="172"/>
      <c r="AD116" s="172" t="str">
        <f>+IF(BD_MO[[#This Row],[N° VALE]]&lt;&gt;"",BD_MO[[#This Row],[FULMINANTE N° 08]]+BD_MO[CARMEX 7''],"")</f>
        <v/>
      </c>
      <c r="AE116" s="172"/>
      <c r="AF116" s="172" t="str">
        <f>+IF(BD_MO[[#This Row],[N° VALE]]&lt;&gt;"",BD_MO[[#This Row],[N° TALADROS]]+BD_MO[[#This Row],[N° TAL. VACIOS]],"")</f>
        <v/>
      </c>
      <c r="AG116" s="178"/>
      <c r="AH116" s="178"/>
      <c r="AI116" s="178"/>
      <c r="AJ116" s="178"/>
      <c r="AK116" s="178"/>
      <c r="AL116" s="178"/>
      <c r="AM116" s="171"/>
      <c r="AN116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16" s="172" t="str">
        <f>+IF(BD_MO[[#This Row],[N° VALE]]&lt;&gt;"",IF(BD_MO[[#This Row],[FULMINANTE N° 08]]&lt;&gt;"",BD_MO[[#This Row],[FULMINANTE N° 08]],IF(BD_MO[[#This Row],[CARMEX 7'']]&lt;&gt;0,0,"")),"")</f>
        <v/>
      </c>
      <c r="AP116" s="176" t="str">
        <f>+IF(BD_MO[[#This Row],[N° VALE]]&lt;&gt;"",BD_MO[[#This Row],[N°  TOTAL TALADROS]]*BD_MO[[#This Row],[BARRA]]*0.95,"")</f>
        <v/>
      </c>
      <c r="AQ116" s="176" t="str">
        <f>+IF(BD_MO[[#This Row],[N° VALE]]&lt;&gt;"",BD_MO[[#This Row],[EMULNOR 1000 (N° CART.)]]*PE_EMUL_1000[PE],"")</f>
        <v/>
      </c>
      <c r="AR116" s="176" t="str">
        <f>+IF(BD_MO[[#This Row],[N° VALE]]&lt;&gt;"",BD_MO[[#This Row],[EMULNOR 3000 (N° CART.)]]*PE_EMUL_3000[PE],"")</f>
        <v/>
      </c>
      <c r="AS116" s="176" t="str">
        <f>+IF(BD_MO[[#This Row],[N° VALE]]&lt;&gt;"",BD_MO[[#This Row],[PULVERULENTA (N° CART.)]]*PE_PULV_65[PE],"")</f>
        <v/>
      </c>
      <c r="AT116" s="176" t="str">
        <f>+IF(BD_MO[[#This Row],[N° DISP]]&lt;&gt;"",BD_MO[[#This Row],[SEMIGELATINA (N° CART.)]]*PE_SEMIGEL_65[PE],"")</f>
        <v/>
      </c>
      <c r="AU116" s="176" t="str">
        <f>+IF(BD_MO[N° VALE]&lt;&gt;"",BD_MO[[#This Row],[KG EXPLO SEMIGEL]]+BD_MO[[#This Row],[KG EXPLO PULVE]]+BD_MO[[#This Row],[KG EXPLO EMULN 3000]]+BD_MO[[#This Row],[KG EXPLO EMULN 1000]],"")</f>
        <v/>
      </c>
      <c r="AV116" s="172"/>
      <c r="AW116" s="172"/>
      <c r="AX116" s="172" t="str">
        <f>+IF(BD_MO[[#This Row],[MINERAL (U-35)]]&lt;&gt;"",BD_MO[[#This Row],[MINERAL (U-35)]]*1.45,"-")</f>
        <v>-</v>
      </c>
      <c r="AY116" s="172" t="str">
        <f>+IF(BD_MO[[#This Row],[DESMONTE (U-35)]]&lt;&gt;"",BD_MO[[#This Row],[DESMONTE (U-35)]]*1.23,"-")</f>
        <v>-</v>
      </c>
      <c r="AZ116" s="172"/>
      <c r="BA116" s="172"/>
      <c r="BB116" s="172"/>
      <c r="BC116" s="172"/>
      <c r="BD116" s="172"/>
      <c r="BE116" s="172"/>
      <c r="BF116" s="172"/>
      <c r="BG116" s="172"/>
      <c r="BH116" s="172"/>
      <c r="BI116" s="172"/>
      <c r="BJ116" s="172"/>
      <c r="BK116" s="172"/>
      <c r="BL116" s="172"/>
      <c r="BM116" s="172"/>
      <c r="BN116" s="171"/>
      <c r="BO116" s="172"/>
      <c r="BP116" s="172"/>
      <c r="BQ116" s="171"/>
      <c r="BR116" s="172"/>
      <c r="BS116" s="171"/>
      <c r="BT116" s="176"/>
      <c r="BU116" s="172"/>
      <c r="BV116" s="172"/>
      <c r="BW116" s="172"/>
      <c r="BX116" s="172"/>
      <c r="BY116" s="172"/>
      <c r="BZ116" s="172"/>
      <c r="CA116" s="172"/>
      <c r="CB116" s="172"/>
      <c r="CC116" s="172"/>
      <c r="CD116" s="172"/>
      <c r="CE116" s="172"/>
      <c r="CF116" s="172"/>
      <c r="CG116" s="172"/>
      <c r="CH116" s="172"/>
      <c r="CI116" s="172"/>
      <c r="CJ116" s="172"/>
      <c r="CK116" s="172"/>
      <c r="CL116" s="172"/>
      <c r="CM116" s="172"/>
      <c r="CN116" s="172"/>
      <c r="CO116" s="172"/>
      <c r="CP116" s="176">
        <f>+IF(BD_MO[[#This Row],[FECHA]]&lt;&gt;"",BD_MO[[#This Row],[PUNTAL 4"]]+BD_MO[[#This Row],[PUNTAL 5"]]+BD_MO[[#This Row],[PUNTAL 6"]]+BD_MO[[#This Row],[PUNTAL 7"]]+BD_MO[[#This Row],[PUNTAL 8"]],"")</f>
        <v>0</v>
      </c>
      <c r="CQ116" s="172"/>
      <c r="CR116" s="172"/>
      <c r="CS116" s="172"/>
      <c r="CT116" s="172"/>
      <c r="CU116" s="172"/>
      <c r="CV116" s="172"/>
      <c r="CW116" s="172"/>
      <c r="CX116" s="172"/>
      <c r="CY116" s="176"/>
      <c r="CZ11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16" s="176">
        <f>+IF(BD_MO[[#This Row],[FECHA]]&lt;&gt;"",BD_MO[[#This Row],[DURMIENTE2]]*6.561+BD_MO[[#This Row],[LISTONES]]*4.921+BD_MO[[#This Row],[TABLA 1"x8"x3m]]*6.561+BD_MO[[#This Row],[TABLA 2"x8"x3m]]*13.122,"")</f>
        <v>0</v>
      </c>
      <c r="DB116" s="176">
        <f>+IF(BD_MO[[#This Row],[FECHA]]&lt;&gt;"",BD_MO[[#This Row],[PIE2 MADERA ASERRADA]]*1.95,"")</f>
        <v>0</v>
      </c>
      <c r="DC116" s="176">
        <f>+IF(BD_MO[[#This Row],[FECHA]]&lt;&gt;"",BD_MO[[#This Row],[KG. MADERA REDONDA]]+BD_MO[[#This Row],[KG MADERA ASERRADA]],"")</f>
        <v>0</v>
      </c>
      <c r="DD11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16" s="172"/>
      <c r="DF116" s="172"/>
      <c r="DG116" s="172"/>
      <c r="DH116" s="172"/>
      <c r="DI116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16" s="180"/>
      <c r="DK116" s="180"/>
      <c r="DL11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16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16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16" s="181"/>
      <c r="DP116" s="180" t="str">
        <f>+IF(BD_MO[[#This Row],[M o D]]&lt;&gt;"",IF(BD_MO[[#This Row],[M o D]]="M",BD_MO[[#This Row],[ROTURA TMH]]/2.65,BD_MO[[#This Row],[ROTURA TMH]]/2.4),"")</f>
        <v/>
      </c>
      <c r="DQ116" s="180"/>
      <c r="DR116" s="116" t="str">
        <f>IF(BD_MO[[#This Row],[TIPO AVANCE]]="Avance",((BD_MO[[#This Row],[AVANCE (m)]]/BD_MO[[#This Row],[AVANCE TEÓRICO]]))," ")</f>
        <v xml:space="preserve"> </v>
      </c>
      <c r="DS116" s="134"/>
      <c r="DT116" s="134"/>
      <c r="DU116" s="134"/>
      <c r="DV116" s="134"/>
      <c r="DW116" s="134"/>
      <c r="DX116" s="135"/>
      <c r="DY116" s="135"/>
      <c r="DZ116" s="135"/>
    </row>
    <row r="117" spans="1:130" s="136" customFormat="1" ht="18" customHeight="1" x14ac:dyDescent="0.25">
      <c r="A117" s="168">
        <v>44658</v>
      </c>
      <c r="B117" s="169" t="s">
        <v>10647</v>
      </c>
      <c r="C117" s="169" t="s">
        <v>10672</v>
      </c>
      <c r="D117" s="170" t="s">
        <v>10952</v>
      </c>
      <c r="E117" s="171" t="str">
        <f>LEFT(BD_MO[[#This Row],[LABOR]],2)</f>
        <v>In</v>
      </c>
      <c r="F117" s="172"/>
      <c r="G117" s="172" t="s">
        <v>10669</v>
      </c>
      <c r="H11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17" s="171" t="str">
        <f>IF(BD_MO[FECHA]&lt;&gt;"",VLOOKUP(BD_MO[LABOR],TB_CECO[[LABOR]:[CECO_T]],3,FALSE),"")</f>
        <v>VANESSA</v>
      </c>
      <c r="J117" s="171" t="str">
        <f>IF(BD_MO[FECHA]&lt;&gt;"",VLOOKUP(BD_MO[LABOR],D_CECO!B:H,7,FALSE),"")</f>
        <v>LINEAL</v>
      </c>
      <c r="K117" s="171" t="str">
        <f>IF(BD_MO[FECHA]&lt;&gt;"",VLOOKUP(BD_MO[LABOR],D_CECO!B:H,4,FALSE),"")</f>
        <v>EXPLORACION</v>
      </c>
      <c r="L117" s="171"/>
      <c r="M117" s="169"/>
      <c r="N117" s="172"/>
      <c r="O117" s="173" t="s">
        <v>12200</v>
      </c>
      <c r="P117" s="173" t="s">
        <v>12201</v>
      </c>
      <c r="Q117" s="173"/>
      <c r="R117" s="174"/>
      <c r="S117" s="175" t="str">
        <f>IFERROR(VLOOKUP(BD_MO[DNI 4],#REF!,2,FALSE)," ")</f>
        <v xml:space="preserve"> </v>
      </c>
      <c r="T117" s="176">
        <f>+IF(BD_MO[[#This Row],[FECHA]]&lt;&gt;"",COUNTA(BD_MO[[#This Row],[DNI]],BD_MO[[#This Row],[DNI 2]],BD_MO[[#This Row],[DNI 3]],BD_MO[[#This Row],[DNI 4]]),"")</f>
        <v>2</v>
      </c>
      <c r="U117" s="176"/>
      <c r="V117" s="176"/>
      <c r="W117" s="176"/>
      <c r="X117" s="176">
        <v>2</v>
      </c>
      <c r="Y117" s="177">
        <f>SUM(BD_MO[[#This Row],[LIMP]:[SERV]])</f>
        <v>2</v>
      </c>
      <c r="Z117" s="172"/>
      <c r="AA117" s="172" t="str">
        <f>+IF(BD_MO[[#This Row],[N° VALE]]&lt;&gt;"",1,"")</f>
        <v/>
      </c>
      <c r="AB117" s="169"/>
      <c r="AC117" s="172"/>
      <c r="AD117" s="172" t="str">
        <f>+IF(BD_MO[[#This Row],[N° VALE]]&lt;&gt;"",BD_MO[[#This Row],[FULMINANTE N° 08]]+BD_MO[CARMEX 7''],"")</f>
        <v/>
      </c>
      <c r="AE117" s="172"/>
      <c r="AF117" s="172" t="str">
        <f>+IF(BD_MO[[#This Row],[N° VALE]]&lt;&gt;"",BD_MO[[#This Row],[N° TALADROS]]+BD_MO[[#This Row],[N° TAL. VACIOS]],"")</f>
        <v/>
      </c>
      <c r="AG117" s="178"/>
      <c r="AH117" s="178"/>
      <c r="AI117" s="178"/>
      <c r="AJ117" s="178"/>
      <c r="AK117" s="178"/>
      <c r="AL117" s="178"/>
      <c r="AM117" s="171"/>
      <c r="AN117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17" s="172" t="str">
        <f>+IF(BD_MO[[#This Row],[N° VALE]]&lt;&gt;"",IF(BD_MO[[#This Row],[FULMINANTE N° 08]]&lt;&gt;"",BD_MO[[#This Row],[FULMINANTE N° 08]],IF(BD_MO[[#This Row],[CARMEX 7'']]&lt;&gt;0,0,"")),"")</f>
        <v/>
      </c>
      <c r="AP117" s="176" t="str">
        <f>+IF(BD_MO[[#This Row],[N° VALE]]&lt;&gt;"",BD_MO[[#This Row],[N°  TOTAL TALADROS]]*BD_MO[[#This Row],[BARRA]]*0.95,"")</f>
        <v/>
      </c>
      <c r="AQ117" s="176" t="str">
        <f>+IF(BD_MO[[#This Row],[N° VALE]]&lt;&gt;"",BD_MO[[#This Row],[EMULNOR 1000 (N° CART.)]]*PE_EMUL_1000[PE],"")</f>
        <v/>
      </c>
      <c r="AR117" s="176" t="str">
        <f>+IF(BD_MO[[#This Row],[N° VALE]]&lt;&gt;"",BD_MO[[#This Row],[EMULNOR 3000 (N° CART.)]]*PE_EMUL_3000[PE],"")</f>
        <v/>
      </c>
      <c r="AS117" s="176" t="str">
        <f>+IF(BD_MO[[#This Row],[N° VALE]]&lt;&gt;"",BD_MO[[#This Row],[PULVERULENTA (N° CART.)]]*PE_PULV_65[PE],"")</f>
        <v/>
      </c>
      <c r="AT117" s="176" t="str">
        <f>+IF(BD_MO[[#This Row],[N° DISP]]&lt;&gt;"",BD_MO[[#This Row],[SEMIGELATINA (N° CART.)]]*PE_SEMIGEL_65[PE],"")</f>
        <v/>
      </c>
      <c r="AU117" s="176" t="str">
        <f>+IF(BD_MO[N° VALE]&lt;&gt;"",BD_MO[[#This Row],[KG EXPLO SEMIGEL]]+BD_MO[[#This Row],[KG EXPLO PULVE]]+BD_MO[[#This Row],[KG EXPLO EMULN 3000]]+BD_MO[[#This Row],[KG EXPLO EMULN 1000]],"")</f>
        <v/>
      </c>
      <c r="AV117" s="172"/>
      <c r="AW117" s="172"/>
      <c r="AX117" s="172" t="str">
        <f>+IF(BD_MO[[#This Row],[MINERAL (U-35)]]&lt;&gt;"",BD_MO[[#This Row],[MINERAL (U-35)]]*1.45,"-")</f>
        <v>-</v>
      </c>
      <c r="AY117" s="172" t="str">
        <f>+IF(BD_MO[[#This Row],[DESMONTE (U-35)]]&lt;&gt;"",BD_MO[[#This Row],[DESMONTE (U-35)]]*1.23,"-")</f>
        <v>-</v>
      </c>
      <c r="AZ117" s="172"/>
      <c r="BA117" s="172"/>
      <c r="BB117" s="172"/>
      <c r="BC117" s="172"/>
      <c r="BD117" s="172"/>
      <c r="BE117" s="172"/>
      <c r="BF117" s="172"/>
      <c r="BG117" s="172"/>
      <c r="BH117" s="172"/>
      <c r="BI117" s="172"/>
      <c r="BJ117" s="172"/>
      <c r="BK117" s="172"/>
      <c r="BL117" s="172"/>
      <c r="BM117" s="172"/>
      <c r="BN117" s="171"/>
      <c r="BO117" s="172"/>
      <c r="BP117" s="172"/>
      <c r="BQ117" s="171"/>
      <c r="BR117" s="172"/>
      <c r="BS117" s="171"/>
      <c r="BT117" s="176"/>
      <c r="BU117" s="172"/>
      <c r="BV117" s="172"/>
      <c r="BW117" s="172"/>
      <c r="BX117" s="172"/>
      <c r="BY117" s="172"/>
      <c r="BZ117" s="172"/>
      <c r="CA117" s="172"/>
      <c r="CB117" s="172"/>
      <c r="CC117" s="172"/>
      <c r="CD117" s="172"/>
      <c r="CE117" s="172"/>
      <c r="CF117" s="172"/>
      <c r="CG117" s="172"/>
      <c r="CH117" s="172"/>
      <c r="CI117" s="172"/>
      <c r="CJ117" s="172"/>
      <c r="CK117" s="172"/>
      <c r="CL117" s="172"/>
      <c r="CM117" s="172"/>
      <c r="CN117" s="172"/>
      <c r="CO117" s="172"/>
      <c r="CP117" s="176">
        <f>+IF(BD_MO[[#This Row],[FECHA]]&lt;&gt;"",BD_MO[[#This Row],[PUNTAL 4"]]+BD_MO[[#This Row],[PUNTAL 5"]]+BD_MO[[#This Row],[PUNTAL 6"]]+BD_MO[[#This Row],[PUNTAL 7"]]+BD_MO[[#This Row],[PUNTAL 8"]],"")</f>
        <v>0</v>
      </c>
      <c r="CQ117" s="172"/>
      <c r="CR117" s="172"/>
      <c r="CS117" s="172"/>
      <c r="CT117" s="172"/>
      <c r="CU117" s="172"/>
      <c r="CV117" s="172"/>
      <c r="CW117" s="172"/>
      <c r="CX117" s="172"/>
      <c r="CY117" s="176"/>
      <c r="CZ11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17" s="176">
        <f>+IF(BD_MO[[#This Row],[FECHA]]&lt;&gt;"",BD_MO[[#This Row],[DURMIENTE2]]*6.561+BD_MO[[#This Row],[LISTONES]]*4.921+BD_MO[[#This Row],[TABLA 1"x8"x3m]]*6.561+BD_MO[[#This Row],[TABLA 2"x8"x3m]]*13.122,"")</f>
        <v>0</v>
      </c>
      <c r="DB117" s="176">
        <f>+IF(BD_MO[[#This Row],[FECHA]]&lt;&gt;"",BD_MO[[#This Row],[PIE2 MADERA ASERRADA]]*1.95,"")</f>
        <v>0</v>
      </c>
      <c r="DC117" s="176">
        <f>+IF(BD_MO[[#This Row],[FECHA]]&lt;&gt;"",BD_MO[[#This Row],[KG. MADERA REDONDA]]+BD_MO[[#This Row],[KG MADERA ASERRADA]],"")</f>
        <v>0</v>
      </c>
      <c r="DD11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17" s="172"/>
      <c r="DF117" s="172"/>
      <c r="DG117" s="172"/>
      <c r="DH117" s="172"/>
      <c r="DI117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17" s="180"/>
      <c r="DK117" s="180"/>
      <c r="DL11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17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17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17" s="181"/>
      <c r="DP117" s="180" t="str">
        <f>+IF(BD_MO[[#This Row],[M o D]]&lt;&gt;"",IF(BD_MO[[#This Row],[M o D]]="M",BD_MO[[#This Row],[ROTURA TMH]]/2.65,BD_MO[[#This Row],[ROTURA TMH]]/2.4),"")</f>
        <v/>
      </c>
      <c r="DQ117" s="180"/>
      <c r="DR117" s="116" t="str">
        <f>IF(BD_MO[[#This Row],[TIPO AVANCE]]="Avance",((BD_MO[[#This Row],[AVANCE (m)]]/BD_MO[[#This Row],[AVANCE TEÓRICO]]))," ")</f>
        <v xml:space="preserve"> </v>
      </c>
      <c r="DS117" s="134"/>
      <c r="DT117" s="134"/>
      <c r="DU117" s="134"/>
      <c r="DV117" s="134"/>
      <c r="DW117" s="134"/>
      <c r="DX117" s="135"/>
      <c r="DY117" s="135"/>
      <c r="DZ117" s="135"/>
    </row>
    <row r="118" spans="1:130" s="112" customFormat="1" ht="18" customHeight="1" thickBot="1" x14ac:dyDescent="0.3">
      <c r="A118" s="183">
        <v>44658</v>
      </c>
      <c r="B118" s="184" t="s">
        <v>10647</v>
      </c>
      <c r="C118" s="184" t="s">
        <v>10672</v>
      </c>
      <c r="D118" s="185" t="s">
        <v>10717</v>
      </c>
      <c r="E118" s="186" t="str">
        <f>LEFT(BD_MO[[#This Row],[LABOR]],2)</f>
        <v>BO</v>
      </c>
      <c r="F118" s="187"/>
      <c r="G118" s="187" t="s">
        <v>10669</v>
      </c>
      <c r="H118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18" s="186" t="str">
        <f>IF(BD_MO[FECHA]&lt;&gt;"",VLOOKUP(BD_MO[LABOR],TB_CECO[[LABOR]:[CECO_T]],3,FALSE),"")</f>
        <v>CACHORRO</v>
      </c>
      <c r="J118" s="186" t="str">
        <f>IF(BD_MO[FECHA]&lt;&gt;"",VLOOKUP(BD_MO[LABOR],D_CECO!B:H,7,FALSE),"")</f>
        <v>SERVICIOS</v>
      </c>
      <c r="K118" s="186" t="str">
        <f>IF(BD_MO[FECHA]&lt;&gt;"",VLOOKUP(BD_MO[LABOR],D_CECO!B:H,4,FALSE),"")</f>
        <v>SERVICIOS</v>
      </c>
      <c r="L118" s="186"/>
      <c r="M118" s="184"/>
      <c r="N118" s="187"/>
      <c r="O118" s="188" t="s">
        <v>12202</v>
      </c>
      <c r="P118" s="188"/>
      <c r="Q118" s="188"/>
      <c r="R118" s="189"/>
      <c r="S118" s="190" t="str">
        <f>IFERROR(VLOOKUP(BD_MO[DNI 4],#REF!,2,FALSE)," ")</f>
        <v xml:space="preserve"> </v>
      </c>
      <c r="T118" s="191">
        <f>+IF(BD_MO[[#This Row],[FECHA]]&lt;&gt;"",COUNTA(BD_MO[[#This Row],[DNI]],BD_MO[[#This Row],[DNI 2]],BD_MO[[#This Row],[DNI 3]],BD_MO[[#This Row],[DNI 4]]),"")</f>
        <v>1</v>
      </c>
      <c r="U118" s="191"/>
      <c r="V118" s="191"/>
      <c r="W118" s="191"/>
      <c r="X118" s="191">
        <v>1</v>
      </c>
      <c r="Y118" s="192">
        <f>SUM(BD_MO[[#This Row],[LIMP]:[SERV]])</f>
        <v>1</v>
      </c>
      <c r="Z118" s="187"/>
      <c r="AA118" s="187" t="str">
        <f>+IF(BD_MO[[#This Row],[N° VALE]]&lt;&gt;"",1,"")</f>
        <v/>
      </c>
      <c r="AB118" s="184"/>
      <c r="AC118" s="187"/>
      <c r="AD118" s="187" t="str">
        <f>+IF(BD_MO[[#This Row],[N° VALE]]&lt;&gt;"",BD_MO[[#This Row],[FULMINANTE N° 08]]+BD_MO[CARMEX 7''],"")</f>
        <v/>
      </c>
      <c r="AE118" s="187"/>
      <c r="AF118" s="187" t="str">
        <f>+IF(BD_MO[[#This Row],[N° VALE]]&lt;&gt;"",BD_MO[[#This Row],[N° TALADROS]]+BD_MO[[#This Row],[N° TAL. VACIOS]],"")</f>
        <v/>
      </c>
      <c r="AG118" s="193"/>
      <c r="AH118" s="193"/>
      <c r="AI118" s="193"/>
      <c r="AJ118" s="193"/>
      <c r="AK118" s="193"/>
      <c r="AL118" s="193"/>
      <c r="AM118" s="186"/>
      <c r="AN118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18" s="187" t="str">
        <f>+IF(BD_MO[[#This Row],[N° VALE]]&lt;&gt;"",IF(BD_MO[[#This Row],[FULMINANTE N° 08]]&lt;&gt;"",BD_MO[[#This Row],[FULMINANTE N° 08]],IF(BD_MO[[#This Row],[CARMEX 7'']]&lt;&gt;0,0,"")),"")</f>
        <v/>
      </c>
      <c r="AP118" s="191" t="str">
        <f>+IF(BD_MO[[#This Row],[N° VALE]]&lt;&gt;"",BD_MO[[#This Row],[N°  TOTAL TALADROS]]*BD_MO[[#This Row],[BARRA]]*0.95,"")</f>
        <v/>
      </c>
      <c r="AQ118" s="191" t="str">
        <f>+IF(BD_MO[[#This Row],[N° VALE]]&lt;&gt;"",BD_MO[[#This Row],[EMULNOR 1000 (N° CART.)]]*PE_EMUL_1000[PE],"")</f>
        <v/>
      </c>
      <c r="AR118" s="191" t="str">
        <f>+IF(BD_MO[[#This Row],[N° VALE]]&lt;&gt;"",BD_MO[[#This Row],[EMULNOR 3000 (N° CART.)]]*PE_EMUL_3000[PE],"")</f>
        <v/>
      </c>
      <c r="AS118" s="191" t="str">
        <f>+IF(BD_MO[[#This Row],[N° VALE]]&lt;&gt;"",BD_MO[[#This Row],[PULVERULENTA (N° CART.)]]*PE_PULV_65[PE],"")</f>
        <v/>
      </c>
      <c r="AT118" s="191" t="str">
        <f>+IF(BD_MO[[#This Row],[N° DISP]]&lt;&gt;"",BD_MO[[#This Row],[SEMIGELATINA (N° CART.)]]*PE_SEMIGEL_65[PE],"")</f>
        <v/>
      </c>
      <c r="AU118" s="191" t="str">
        <f>+IF(BD_MO[N° VALE]&lt;&gt;"",BD_MO[[#This Row],[KG EXPLO SEMIGEL]]+BD_MO[[#This Row],[KG EXPLO PULVE]]+BD_MO[[#This Row],[KG EXPLO EMULN 3000]]+BD_MO[[#This Row],[KG EXPLO EMULN 1000]],"")</f>
        <v/>
      </c>
      <c r="AV118" s="187"/>
      <c r="AW118" s="187"/>
      <c r="AX118" s="187" t="str">
        <f>+IF(BD_MO[[#This Row],[MINERAL (U-35)]]&lt;&gt;"",BD_MO[[#This Row],[MINERAL (U-35)]]*1.45,"-")</f>
        <v>-</v>
      </c>
      <c r="AY118" s="187" t="str">
        <f>+IF(BD_MO[[#This Row],[DESMONTE (U-35)]]&lt;&gt;"",BD_MO[[#This Row],[DESMONTE (U-35)]]*1.23,"-")</f>
        <v>-</v>
      </c>
      <c r="AZ118" s="187"/>
      <c r="BA118" s="187"/>
      <c r="BB118" s="187"/>
      <c r="BC118" s="187"/>
      <c r="BD118" s="187"/>
      <c r="BE118" s="187"/>
      <c r="BF118" s="187"/>
      <c r="BG118" s="187"/>
      <c r="BH118" s="187"/>
      <c r="BI118" s="187"/>
      <c r="BJ118" s="187"/>
      <c r="BK118" s="187"/>
      <c r="BL118" s="187"/>
      <c r="BM118" s="187"/>
      <c r="BN118" s="186"/>
      <c r="BO118" s="187"/>
      <c r="BP118" s="187"/>
      <c r="BQ118" s="186"/>
      <c r="BR118" s="187"/>
      <c r="BS118" s="186"/>
      <c r="BT118" s="191"/>
      <c r="BU118" s="187"/>
      <c r="BV118" s="187"/>
      <c r="BW118" s="187"/>
      <c r="BX118" s="187"/>
      <c r="BY118" s="187"/>
      <c r="BZ118" s="187"/>
      <c r="CA118" s="187"/>
      <c r="CB118" s="187"/>
      <c r="CC118" s="187"/>
      <c r="CD118" s="187"/>
      <c r="CE118" s="187"/>
      <c r="CF118" s="187"/>
      <c r="CG118" s="187"/>
      <c r="CH118" s="187"/>
      <c r="CI118" s="187"/>
      <c r="CJ118" s="187"/>
      <c r="CK118" s="187"/>
      <c r="CL118" s="187"/>
      <c r="CM118" s="187"/>
      <c r="CN118" s="187"/>
      <c r="CO118" s="187"/>
      <c r="CP118" s="191">
        <f>+IF(BD_MO[[#This Row],[FECHA]]&lt;&gt;"",BD_MO[[#This Row],[PUNTAL 4"]]+BD_MO[[#This Row],[PUNTAL 5"]]+BD_MO[[#This Row],[PUNTAL 6"]]+BD_MO[[#This Row],[PUNTAL 7"]]+BD_MO[[#This Row],[PUNTAL 8"]],"")</f>
        <v>0</v>
      </c>
      <c r="CQ118" s="187"/>
      <c r="CR118" s="187"/>
      <c r="CS118" s="187"/>
      <c r="CT118" s="187"/>
      <c r="CU118" s="187"/>
      <c r="CV118" s="187"/>
      <c r="CW118" s="187"/>
      <c r="CX118" s="187"/>
      <c r="CY118" s="191"/>
      <c r="CZ118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18" s="191">
        <f>+IF(BD_MO[[#This Row],[FECHA]]&lt;&gt;"",BD_MO[[#This Row],[DURMIENTE2]]*6.561+BD_MO[[#This Row],[LISTONES]]*4.921+BD_MO[[#This Row],[TABLA 1"x8"x3m]]*6.561+BD_MO[[#This Row],[TABLA 2"x8"x3m]]*13.122,"")</f>
        <v>0</v>
      </c>
      <c r="DB118" s="191">
        <f>+IF(BD_MO[[#This Row],[FECHA]]&lt;&gt;"",BD_MO[[#This Row],[PIE2 MADERA ASERRADA]]*1.95,"")</f>
        <v>0</v>
      </c>
      <c r="DC118" s="191">
        <f>+IF(BD_MO[[#This Row],[FECHA]]&lt;&gt;"",BD_MO[[#This Row],[KG. MADERA REDONDA]]+BD_MO[[#This Row],[KG MADERA ASERRADA]],"")</f>
        <v>0</v>
      </c>
      <c r="DD118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18" s="187"/>
      <c r="DF118" s="187"/>
      <c r="DG118" s="187"/>
      <c r="DH118" s="187"/>
      <c r="DI118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18" s="195"/>
      <c r="DK118" s="195"/>
      <c r="DL118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18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18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18" s="196"/>
      <c r="DP118" s="195" t="str">
        <f>+IF(BD_MO[[#This Row],[M o D]]&lt;&gt;"",IF(BD_MO[[#This Row],[M o D]]="M",BD_MO[[#This Row],[ROTURA TMH]]/2.65,BD_MO[[#This Row],[ROTURA TMH]]/2.4),"")</f>
        <v/>
      </c>
      <c r="DQ118" s="195"/>
      <c r="DR118" s="116" t="str">
        <f>IF(BD_MO[[#This Row],[TIPO AVANCE]]="Avance",((BD_MO[[#This Row],[AVANCE (m)]]/BD_MO[[#This Row],[AVANCE TEÓRICO]]))," ")</f>
        <v xml:space="preserve"> </v>
      </c>
      <c r="DS118" s="110"/>
      <c r="DT118" s="110"/>
      <c r="DU118" s="110"/>
      <c r="DV118" s="110"/>
      <c r="DW118" s="110"/>
      <c r="DX118" s="111"/>
      <c r="DY118" s="111"/>
      <c r="DZ118" s="111"/>
    </row>
    <row r="119" spans="1:130" s="136" customFormat="1" ht="18" customHeight="1" x14ac:dyDescent="0.25">
      <c r="A119" s="168">
        <v>44658</v>
      </c>
      <c r="B119" s="169" t="s">
        <v>10655</v>
      </c>
      <c r="C119" s="169" t="s">
        <v>10680</v>
      </c>
      <c r="D119" s="170" t="s">
        <v>11746</v>
      </c>
      <c r="E119" s="171" t="str">
        <f>LEFT(BD_MO[[#This Row],[LABOR]],2)</f>
        <v>Tj</v>
      </c>
      <c r="F119" s="172" t="s">
        <v>10950</v>
      </c>
      <c r="G119" s="172" t="s">
        <v>10648</v>
      </c>
      <c r="H11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19" s="171" t="str">
        <f>IF(BD_MO[FECHA]&lt;&gt;"",VLOOKUP(BD_MO[LABOR],TB_CECO[[LABOR]:[CECO_T]],3,FALSE),"")</f>
        <v>CACHORRO</v>
      </c>
      <c r="J119" s="171" t="str">
        <f>IF(BD_MO[FECHA]&lt;&gt;"",VLOOKUP(BD_MO[LABOR],D_CECO!B:H,7,FALSE),"")</f>
        <v>TAJO</v>
      </c>
      <c r="K119" s="171" t="str">
        <f>IF(BD_MO[FECHA]&lt;&gt;"",VLOOKUP(BD_MO[LABOR],D_CECO!B:H,4,FALSE),"")</f>
        <v>EXPLOTACION</v>
      </c>
      <c r="L119" s="171"/>
      <c r="M119" s="169" t="s">
        <v>10661</v>
      </c>
      <c r="N119" s="172"/>
      <c r="O119" s="173" t="s">
        <v>11976</v>
      </c>
      <c r="P119" s="173" t="s">
        <v>11924</v>
      </c>
      <c r="Q119" s="173"/>
      <c r="R119" s="174"/>
      <c r="S119" s="175" t="str">
        <f>IFERROR(VLOOKUP(BD_MO[DNI 4],#REF!,2,FALSE)," ")</f>
        <v xml:space="preserve"> </v>
      </c>
      <c r="T119" s="176">
        <f>+IF(BD_MO[[#This Row],[FECHA]]&lt;&gt;"",COUNTA(BD_MO[[#This Row],[DNI]],BD_MO[[#This Row],[DNI 2]],BD_MO[[#This Row],[DNI 3]],BD_MO[[#This Row],[DNI 4]]),"")</f>
        <v>2</v>
      </c>
      <c r="U119" s="176">
        <v>1</v>
      </c>
      <c r="V119" s="176">
        <v>0.3</v>
      </c>
      <c r="W119" s="176">
        <v>0.3</v>
      </c>
      <c r="X119" s="176">
        <v>0.4</v>
      </c>
      <c r="Y119" s="177">
        <f>SUM(BD_MO[[#This Row],[LIMP]:[SERV]])</f>
        <v>2</v>
      </c>
      <c r="Z119" s="172" t="s">
        <v>12214</v>
      </c>
      <c r="AA119" s="172">
        <f>+IF(BD_MO[[#This Row],[N° VALE]]&lt;&gt;"",1,"")</f>
        <v>1</v>
      </c>
      <c r="AB119" s="169" t="s">
        <v>10644</v>
      </c>
      <c r="AC119" s="172">
        <v>4</v>
      </c>
      <c r="AD119" s="172">
        <f>+IF(BD_MO[[#This Row],[N° VALE]]&lt;&gt;"",BD_MO[[#This Row],[FULMINANTE N° 08]]+BD_MO[CARMEX 7''],"")</f>
        <v>12</v>
      </c>
      <c r="AE119" s="172">
        <v>3</v>
      </c>
      <c r="AF119" s="172">
        <f>+IF(BD_MO[[#This Row],[N° VALE]]&lt;&gt;"",BD_MO[[#This Row],[N° TALADROS]]+BD_MO[[#This Row],[N° TAL. VACIOS]],"")</f>
        <v>15</v>
      </c>
      <c r="AG119" s="178"/>
      <c r="AH119" s="178">
        <v>38</v>
      </c>
      <c r="AI119" s="178"/>
      <c r="AJ119" s="178"/>
      <c r="AK119" s="178">
        <v>12</v>
      </c>
      <c r="AL119" s="178">
        <v>3</v>
      </c>
      <c r="AM119" s="171"/>
      <c r="AN119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19" s="172">
        <f>+IF(BD_MO[[#This Row],[N° VALE]]&lt;&gt;"",IF(BD_MO[[#This Row],[FULMINANTE N° 08]]&lt;&gt;"",BD_MO[[#This Row],[FULMINANTE N° 08]],IF(BD_MO[[#This Row],[CARMEX 7'']]&lt;&gt;0,0,"")),"")</f>
        <v>0</v>
      </c>
      <c r="AP119" s="176">
        <f>+IF(BD_MO[[#This Row],[N° VALE]]&lt;&gt;"",BD_MO[[#This Row],[N°  TOTAL TALADROS]]*BD_MO[[#This Row],[BARRA]]*0.95,"")</f>
        <v>57</v>
      </c>
      <c r="AQ119" s="176">
        <f>+IF(BD_MO[[#This Row],[N° VALE]]&lt;&gt;"",BD_MO[[#This Row],[EMULNOR 1000 (N° CART.)]]*PE_EMUL_1000[PE],"")</f>
        <v>3.5986000000000002</v>
      </c>
      <c r="AR119" s="176">
        <f>+IF(BD_MO[[#This Row],[N° VALE]]&lt;&gt;"",BD_MO[[#This Row],[EMULNOR 3000 (N° CART.)]]*PE_EMUL_3000[PE],"")</f>
        <v>0</v>
      </c>
      <c r="AS119" s="176">
        <f>+IF(BD_MO[[#This Row],[N° VALE]]&lt;&gt;"",BD_MO[[#This Row],[PULVERULENTA (N° CART.)]]*PE_PULV_65[PE],"")</f>
        <v>0</v>
      </c>
      <c r="AT119" s="176">
        <f>+IF(BD_MO[[#This Row],[N° DISP]]&lt;&gt;"",BD_MO[[#This Row],[SEMIGELATINA (N° CART.)]]*PE_SEMIGEL_65[PE],"")</f>
        <v>0</v>
      </c>
      <c r="AU119" s="176">
        <f>+IF(BD_MO[N° VALE]&lt;&gt;"",BD_MO[[#This Row],[KG EXPLO SEMIGEL]]+BD_MO[[#This Row],[KG EXPLO PULVE]]+BD_MO[[#This Row],[KG EXPLO EMULN 3000]]+BD_MO[[#This Row],[KG EXPLO EMULN 1000]],"")</f>
        <v>3.5986000000000002</v>
      </c>
      <c r="AV119" s="172">
        <v>2</v>
      </c>
      <c r="AW119" s="172"/>
      <c r="AX119" s="172">
        <f>+IF(BD_MO[[#This Row],[MINERAL (U-35)]]&lt;&gt;"",BD_MO[[#This Row],[MINERAL (U-35)]]*1.45,"-")</f>
        <v>2.9</v>
      </c>
      <c r="AY119" s="172" t="str">
        <f>+IF(BD_MO[[#This Row],[DESMONTE (U-35)]]&lt;&gt;"",BD_MO[[#This Row],[DESMONTE (U-35)]]*1.23,"-")</f>
        <v>-</v>
      </c>
      <c r="AZ119" s="172"/>
      <c r="BA119" s="172"/>
      <c r="BB119" s="172"/>
      <c r="BC119" s="172"/>
      <c r="BD119" s="172"/>
      <c r="BE119" s="172"/>
      <c r="BF119" s="172"/>
      <c r="BG119" s="172"/>
      <c r="BH119" s="172"/>
      <c r="BI119" s="172"/>
      <c r="BJ119" s="172"/>
      <c r="BK119" s="172"/>
      <c r="BL119" s="172"/>
      <c r="BM119" s="172"/>
      <c r="BN119" s="171"/>
      <c r="BO119" s="172"/>
      <c r="BP119" s="172"/>
      <c r="BQ119" s="171"/>
      <c r="BR119" s="172"/>
      <c r="BS119" s="171"/>
      <c r="BT119" s="176">
        <v>3</v>
      </c>
      <c r="BU119" s="172"/>
      <c r="BV119" s="172">
        <v>2</v>
      </c>
      <c r="BW119" s="172"/>
      <c r="BX119" s="172"/>
      <c r="BY119" s="172"/>
      <c r="BZ119" s="172"/>
      <c r="CA119" s="172"/>
      <c r="CB119" s="172"/>
      <c r="CC119" s="172"/>
      <c r="CD119" s="172"/>
      <c r="CE119" s="172"/>
      <c r="CF119" s="172"/>
      <c r="CG119" s="172"/>
      <c r="CH119" s="172"/>
      <c r="CI119" s="172"/>
      <c r="CJ119" s="172"/>
      <c r="CK119" s="172"/>
      <c r="CL119" s="172"/>
      <c r="CM119" s="172"/>
      <c r="CN119" s="172"/>
      <c r="CO119" s="172"/>
      <c r="CP119" s="176">
        <f>+IF(BD_MO[[#This Row],[FECHA]]&lt;&gt;"",BD_MO[[#This Row],[PUNTAL 4"]]+BD_MO[[#This Row],[PUNTAL 5"]]+BD_MO[[#This Row],[PUNTAL 6"]]+BD_MO[[#This Row],[PUNTAL 7"]]+BD_MO[[#This Row],[PUNTAL 8"]],"")</f>
        <v>0</v>
      </c>
      <c r="CQ119" s="172"/>
      <c r="CR119" s="172"/>
      <c r="CS119" s="172">
        <v>7</v>
      </c>
      <c r="CT119" s="172"/>
      <c r="CU119" s="172"/>
      <c r="CV119" s="172"/>
      <c r="CW119" s="172"/>
      <c r="CX119" s="172"/>
      <c r="CY119" s="176"/>
      <c r="CZ11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172.20000000000002</v>
      </c>
      <c r="DA119" s="176">
        <f>+IF(BD_MO[[#This Row],[FECHA]]&lt;&gt;"",BD_MO[[#This Row],[DURMIENTE2]]*6.561+BD_MO[[#This Row],[LISTONES]]*4.921+BD_MO[[#This Row],[TABLA 1"x8"x3m]]*6.561+BD_MO[[#This Row],[TABLA 2"x8"x3m]]*13.122,"")</f>
        <v>0</v>
      </c>
      <c r="DB119" s="176">
        <f>+IF(BD_MO[[#This Row],[FECHA]]&lt;&gt;"",BD_MO[[#This Row],[PIE2 MADERA ASERRADA]]*1.95,"")</f>
        <v>0</v>
      </c>
      <c r="DC119" s="176">
        <f>+IF(BD_MO[[#This Row],[FECHA]]&lt;&gt;"",BD_MO[[#This Row],[KG. MADERA REDONDA]]+BD_MO[[#This Row],[KG MADERA ASERRADA]],"")</f>
        <v>172.20000000000002</v>
      </c>
      <c r="DD11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86.03</v>
      </c>
      <c r="DE119" s="172"/>
      <c r="DF119" s="172"/>
      <c r="DG119" s="172"/>
      <c r="DH119" s="172"/>
      <c r="DI119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19" s="180"/>
      <c r="DK119" s="180"/>
      <c r="DL119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3.5</v>
      </c>
      <c r="DM119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3.64</v>
      </c>
      <c r="DN119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19" s="181">
        <v>7.56</v>
      </c>
      <c r="DP119" s="180">
        <f>+IF(BD_MO[[#This Row],[M o D]]&lt;&gt;"",IF(BD_MO[[#This Row],[M o D]]="M",BD_MO[[#This Row],[ROTURA TMH]]/2.65,BD_MO[[#This Row],[ROTURA TMH]]/2.4),"")</f>
        <v>2.8528301886792451</v>
      </c>
      <c r="DQ119" s="180"/>
      <c r="DR119" s="116" t="str">
        <f>IF(BD_MO[[#This Row],[TIPO AVANCE]]="Avance",((BD_MO[[#This Row],[AVANCE (m)]]/BD_MO[[#This Row],[AVANCE TEÓRICO]]))," ")</f>
        <v xml:space="preserve"> </v>
      </c>
      <c r="DS119" s="134"/>
      <c r="DT119" s="134"/>
      <c r="DU119" s="134"/>
      <c r="DV119" s="134"/>
      <c r="DW119" s="134"/>
      <c r="DX119" s="135"/>
      <c r="DY119" s="135"/>
      <c r="DZ119" s="135"/>
    </row>
    <row r="120" spans="1:130" s="136" customFormat="1" ht="18" customHeight="1" x14ac:dyDescent="0.25">
      <c r="A120" s="168">
        <v>44658</v>
      </c>
      <c r="B120" s="169" t="s">
        <v>10655</v>
      </c>
      <c r="C120" s="169" t="s">
        <v>10680</v>
      </c>
      <c r="D120" s="170" t="s">
        <v>12164</v>
      </c>
      <c r="E120" s="171" t="str">
        <f>LEFT(BD_MO[[#This Row],[LABOR]],2)</f>
        <v>Tj</v>
      </c>
      <c r="F120" s="172" t="s">
        <v>10950</v>
      </c>
      <c r="G120" s="172" t="s">
        <v>10648</v>
      </c>
      <c r="H12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20" s="171" t="str">
        <f>IF(BD_MO[FECHA]&lt;&gt;"",VLOOKUP(BD_MO[LABOR],TB_CECO[[LABOR]:[CECO_T]],3,FALSE),"")</f>
        <v>VANESSA</v>
      </c>
      <c r="J120" s="171" t="str">
        <f>IF(BD_MO[FECHA]&lt;&gt;"",VLOOKUP(BD_MO[LABOR],D_CECO!B:H,7,FALSE),"")</f>
        <v>TAJO</v>
      </c>
      <c r="K120" s="171" t="str">
        <f>IF(BD_MO[FECHA]&lt;&gt;"",VLOOKUP(BD_MO[LABOR],D_CECO!B:H,4,FALSE),"")</f>
        <v>EXPLOTACION</v>
      </c>
      <c r="L120" s="171"/>
      <c r="M120" s="169" t="s">
        <v>10661</v>
      </c>
      <c r="N120" s="172"/>
      <c r="O120" s="173" t="s">
        <v>11910</v>
      </c>
      <c r="P120" s="173" t="s">
        <v>11912</v>
      </c>
      <c r="Q120" s="173"/>
      <c r="R120" s="174"/>
      <c r="S120" s="175" t="str">
        <f>IFERROR(VLOOKUP(BD_MO[DNI 4],#REF!,2,FALSE)," ")</f>
        <v xml:space="preserve"> </v>
      </c>
      <c r="T120" s="176">
        <f>+IF(BD_MO[[#This Row],[FECHA]]&lt;&gt;"",COUNTA(BD_MO[[#This Row],[DNI]],BD_MO[[#This Row],[DNI 2]],BD_MO[[#This Row],[DNI 3]],BD_MO[[#This Row],[DNI 4]]),"")</f>
        <v>2</v>
      </c>
      <c r="U120" s="176">
        <v>1</v>
      </c>
      <c r="V120" s="176">
        <v>0.3</v>
      </c>
      <c r="W120" s="176">
        <v>0.3</v>
      </c>
      <c r="X120" s="176">
        <v>0.4</v>
      </c>
      <c r="Y120" s="177">
        <f>SUM(BD_MO[[#This Row],[LIMP]:[SERV]])</f>
        <v>2</v>
      </c>
      <c r="Z120" s="172" t="s">
        <v>12215</v>
      </c>
      <c r="AA120" s="172">
        <f>+IF(BD_MO[[#This Row],[N° VALE]]&lt;&gt;"",1,"")</f>
        <v>1</v>
      </c>
      <c r="AB120" s="169" t="s">
        <v>10708</v>
      </c>
      <c r="AC120" s="172">
        <v>4</v>
      </c>
      <c r="AD120" s="172">
        <f>+IF(BD_MO[[#This Row],[N° VALE]]&lt;&gt;"",BD_MO[[#This Row],[FULMINANTE N° 08]]+BD_MO[CARMEX 7''],"")</f>
        <v>8</v>
      </c>
      <c r="AE120" s="172"/>
      <c r="AF120" s="172">
        <f>+IF(BD_MO[[#This Row],[N° VALE]]&lt;&gt;"",BD_MO[[#This Row],[N° TALADROS]]+BD_MO[[#This Row],[N° TAL. VACIOS]],"")</f>
        <v>8</v>
      </c>
      <c r="AG120" s="178"/>
      <c r="AH120" s="178">
        <v>34</v>
      </c>
      <c r="AI120" s="178"/>
      <c r="AJ120" s="178"/>
      <c r="AK120" s="178">
        <v>8</v>
      </c>
      <c r="AL120" s="178">
        <v>2</v>
      </c>
      <c r="AM120" s="171"/>
      <c r="AN120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20" s="172">
        <f>+IF(BD_MO[[#This Row],[N° VALE]]&lt;&gt;"",IF(BD_MO[[#This Row],[FULMINANTE N° 08]]&lt;&gt;"",BD_MO[[#This Row],[FULMINANTE N° 08]],IF(BD_MO[[#This Row],[CARMEX 7'']]&lt;&gt;0,0,"")),"")</f>
        <v>0</v>
      </c>
      <c r="AP120" s="176">
        <f>+IF(BD_MO[[#This Row],[N° VALE]]&lt;&gt;"",BD_MO[[#This Row],[N°  TOTAL TALADROS]]*BD_MO[[#This Row],[BARRA]]*0.95,"")</f>
        <v>30.4</v>
      </c>
      <c r="AQ120" s="176">
        <f>+IF(BD_MO[[#This Row],[N° VALE]]&lt;&gt;"",BD_MO[[#This Row],[EMULNOR 1000 (N° CART.)]]*PE_EMUL_1000[PE],"")</f>
        <v>3.2198000000000002</v>
      </c>
      <c r="AR120" s="176">
        <f>+IF(BD_MO[[#This Row],[N° VALE]]&lt;&gt;"",BD_MO[[#This Row],[EMULNOR 3000 (N° CART.)]]*PE_EMUL_3000[PE],"")</f>
        <v>0</v>
      </c>
      <c r="AS120" s="176">
        <f>+IF(BD_MO[[#This Row],[N° VALE]]&lt;&gt;"",BD_MO[[#This Row],[PULVERULENTA (N° CART.)]]*PE_PULV_65[PE],"")</f>
        <v>0</v>
      </c>
      <c r="AT120" s="176">
        <f>+IF(BD_MO[[#This Row],[N° DISP]]&lt;&gt;"",BD_MO[[#This Row],[SEMIGELATINA (N° CART.)]]*PE_SEMIGEL_65[PE],"")</f>
        <v>0</v>
      </c>
      <c r="AU120" s="176">
        <f>+IF(BD_MO[N° VALE]&lt;&gt;"",BD_MO[[#This Row],[KG EXPLO SEMIGEL]]+BD_MO[[#This Row],[KG EXPLO PULVE]]+BD_MO[[#This Row],[KG EXPLO EMULN 3000]]+BD_MO[[#This Row],[KG EXPLO EMULN 1000]],"")</f>
        <v>3.2198000000000002</v>
      </c>
      <c r="AV120" s="172">
        <v>16</v>
      </c>
      <c r="AW120" s="172"/>
      <c r="AX120" s="172">
        <f>+IF(BD_MO[[#This Row],[MINERAL (U-35)]]&lt;&gt;"",BD_MO[[#This Row],[MINERAL (U-35)]]*1.45,"-")</f>
        <v>23.2</v>
      </c>
      <c r="AY120" s="172" t="str">
        <f>+IF(BD_MO[[#This Row],[DESMONTE (U-35)]]&lt;&gt;"",BD_MO[[#This Row],[DESMONTE (U-35)]]*1.23,"-")</f>
        <v>-</v>
      </c>
      <c r="AZ120" s="172"/>
      <c r="BA120" s="172"/>
      <c r="BB120" s="172"/>
      <c r="BC120" s="172"/>
      <c r="BD120" s="172"/>
      <c r="BE120" s="172"/>
      <c r="BF120" s="172"/>
      <c r="BG120" s="172"/>
      <c r="BH120" s="172"/>
      <c r="BI120" s="172"/>
      <c r="BJ120" s="172"/>
      <c r="BK120" s="172">
        <v>1</v>
      </c>
      <c r="BL120" s="172"/>
      <c r="BM120" s="172"/>
      <c r="BN120" s="171"/>
      <c r="BO120" s="172"/>
      <c r="BP120" s="172"/>
      <c r="BQ120" s="171">
        <v>3</v>
      </c>
      <c r="BR120" s="172"/>
      <c r="BS120" s="171"/>
      <c r="BT120" s="176"/>
      <c r="BU120" s="172"/>
      <c r="BV120" s="172"/>
      <c r="BW120" s="172"/>
      <c r="BX120" s="172"/>
      <c r="BY120" s="172"/>
      <c r="BZ120" s="172"/>
      <c r="CA120" s="172"/>
      <c r="CB120" s="172"/>
      <c r="CC120" s="172"/>
      <c r="CD120" s="172"/>
      <c r="CE120" s="172"/>
      <c r="CF120" s="172"/>
      <c r="CG120" s="172"/>
      <c r="CH120" s="172"/>
      <c r="CI120" s="172"/>
      <c r="CJ120" s="172"/>
      <c r="CK120" s="172"/>
      <c r="CL120" s="172"/>
      <c r="CM120" s="172">
        <v>1</v>
      </c>
      <c r="CN120" s="172"/>
      <c r="CO120" s="172"/>
      <c r="CP120" s="176">
        <f>+IF(BD_MO[[#This Row],[FECHA]]&lt;&gt;"",BD_MO[[#This Row],[PUNTAL 4"]]+BD_MO[[#This Row],[PUNTAL 5"]]+BD_MO[[#This Row],[PUNTAL 6"]]+BD_MO[[#This Row],[PUNTAL 7"]]+BD_MO[[#This Row],[PUNTAL 8"]],"")</f>
        <v>1</v>
      </c>
      <c r="CQ120" s="172"/>
      <c r="CR120" s="172"/>
      <c r="CS120" s="172">
        <v>5</v>
      </c>
      <c r="CT120" s="172"/>
      <c r="CU120" s="172"/>
      <c r="CV120" s="172"/>
      <c r="CW120" s="172"/>
      <c r="CX120" s="172"/>
      <c r="CY120" s="176"/>
      <c r="CZ12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167.874</v>
      </c>
      <c r="DA120" s="176">
        <f>+IF(BD_MO[[#This Row],[FECHA]]&lt;&gt;"",BD_MO[[#This Row],[DURMIENTE2]]*6.561+BD_MO[[#This Row],[LISTONES]]*4.921+BD_MO[[#This Row],[TABLA 1"x8"x3m]]*6.561+BD_MO[[#This Row],[TABLA 2"x8"x3m]]*13.122,"")</f>
        <v>0</v>
      </c>
      <c r="DB120" s="176">
        <f>+IF(BD_MO[[#This Row],[FECHA]]&lt;&gt;"",BD_MO[[#This Row],[PIE2 MADERA ASERRADA]]*1.95,"")</f>
        <v>0</v>
      </c>
      <c r="DC120" s="176">
        <f>+IF(BD_MO[[#This Row],[FECHA]]&lt;&gt;"",BD_MO[[#This Row],[KG. MADERA REDONDA]]+BD_MO[[#This Row],[KG MADERA ASERRADA]],"")</f>
        <v>167.874</v>
      </c>
      <c r="DD12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79.25</v>
      </c>
      <c r="DE120" s="172"/>
      <c r="DF120" s="172"/>
      <c r="DG120" s="172"/>
      <c r="DH120" s="172"/>
      <c r="DI120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20" s="180"/>
      <c r="DK120" s="180"/>
      <c r="DL120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1.87</v>
      </c>
      <c r="DM120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1.9448000000000001</v>
      </c>
      <c r="DN120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20" s="181">
        <v>8.4960000000000004</v>
      </c>
      <c r="DP120" s="180">
        <f>+IF(BD_MO[[#This Row],[M o D]]&lt;&gt;"",IF(BD_MO[[#This Row],[M o D]]="M",BD_MO[[#This Row],[ROTURA TMH]]/2.65,BD_MO[[#This Row],[ROTURA TMH]]/2.4),"")</f>
        <v>3.206037735849057</v>
      </c>
      <c r="DQ120" s="180"/>
      <c r="DR120" s="116" t="str">
        <f>IF(BD_MO[[#This Row],[TIPO AVANCE]]="Avance",((BD_MO[[#This Row],[AVANCE (m)]]/BD_MO[[#This Row],[AVANCE TEÓRICO]]))," ")</f>
        <v xml:space="preserve"> </v>
      </c>
      <c r="DS120" s="134"/>
      <c r="DT120" s="134"/>
      <c r="DU120" s="134"/>
      <c r="DV120" s="134"/>
      <c r="DW120" s="134"/>
      <c r="DX120" s="135"/>
      <c r="DY120" s="135"/>
      <c r="DZ120" s="135"/>
    </row>
    <row r="121" spans="1:130" s="136" customFormat="1" ht="18" customHeight="1" x14ac:dyDescent="0.25">
      <c r="A121" s="168">
        <v>44658</v>
      </c>
      <c r="B121" s="169" t="s">
        <v>10655</v>
      </c>
      <c r="C121" s="169" t="s">
        <v>10680</v>
      </c>
      <c r="D121" s="170" t="s">
        <v>10952</v>
      </c>
      <c r="E121" s="171" t="str">
        <f>LEFT(BD_MO[[#This Row],[LABOR]],2)</f>
        <v>In</v>
      </c>
      <c r="F121" s="172"/>
      <c r="G121" s="172" t="s">
        <v>10662</v>
      </c>
      <c r="H121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121" s="171" t="str">
        <f>IF(BD_MO[FECHA]&lt;&gt;"",VLOOKUP(BD_MO[LABOR],TB_CECO[[LABOR]:[CECO_T]],3,FALSE),"")</f>
        <v>VANESSA</v>
      </c>
      <c r="J121" s="171" t="str">
        <f>IF(BD_MO[FECHA]&lt;&gt;"",VLOOKUP(BD_MO[LABOR],D_CECO!B:H,7,FALSE),"")</f>
        <v>LINEAL</v>
      </c>
      <c r="K121" s="171" t="str">
        <f>IF(BD_MO[FECHA]&lt;&gt;"",VLOOKUP(BD_MO[LABOR],D_CECO!B:H,4,FALSE),"")</f>
        <v>EXPLORACION</v>
      </c>
      <c r="L121" s="171"/>
      <c r="M121" s="169"/>
      <c r="N121" s="172"/>
      <c r="O121" s="173" t="s">
        <v>11904</v>
      </c>
      <c r="P121" s="173" t="s">
        <v>11926</v>
      </c>
      <c r="Q121" s="173"/>
      <c r="R121" s="174"/>
      <c r="S121" s="175" t="str">
        <f>IFERROR(VLOOKUP(BD_MO[DNI 4],#REF!,2,FALSE)," ")</f>
        <v xml:space="preserve"> </v>
      </c>
      <c r="T121" s="176">
        <f>+IF(BD_MO[[#This Row],[FECHA]]&lt;&gt;"",COUNTA(BD_MO[[#This Row],[DNI]],BD_MO[[#This Row],[DNI 2]],BD_MO[[#This Row],[DNI 3]],BD_MO[[#This Row],[DNI 4]]),"")</f>
        <v>2</v>
      </c>
      <c r="U121" s="176">
        <v>0.6</v>
      </c>
      <c r="V121" s="176"/>
      <c r="W121" s="176">
        <v>1</v>
      </c>
      <c r="X121" s="176">
        <v>0.4</v>
      </c>
      <c r="Y121" s="177">
        <f>SUM(BD_MO[[#This Row],[LIMP]:[SERV]])</f>
        <v>2</v>
      </c>
      <c r="Z121" s="172"/>
      <c r="AA121" s="172" t="str">
        <f>+IF(BD_MO[[#This Row],[N° VALE]]&lt;&gt;"",1,"")</f>
        <v/>
      </c>
      <c r="AB121" s="169"/>
      <c r="AC121" s="172"/>
      <c r="AD121" s="172" t="str">
        <f>+IF(BD_MO[[#This Row],[N° VALE]]&lt;&gt;"",BD_MO[[#This Row],[FULMINANTE N° 08]]+BD_MO[CARMEX 7''],"")</f>
        <v/>
      </c>
      <c r="AE121" s="172"/>
      <c r="AF121" s="172" t="str">
        <f>+IF(BD_MO[[#This Row],[N° VALE]]&lt;&gt;"",BD_MO[[#This Row],[N° TALADROS]]+BD_MO[[#This Row],[N° TAL. VACIOS]],"")</f>
        <v/>
      </c>
      <c r="AG121" s="178"/>
      <c r="AH121" s="178"/>
      <c r="AI121" s="178"/>
      <c r="AJ121" s="178"/>
      <c r="AK121" s="178"/>
      <c r="AL121" s="178"/>
      <c r="AM121" s="171"/>
      <c r="AN121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21" s="172" t="str">
        <f>+IF(BD_MO[[#This Row],[N° VALE]]&lt;&gt;"",IF(BD_MO[[#This Row],[FULMINANTE N° 08]]&lt;&gt;"",BD_MO[[#This Row],[FULMINANTE N° 08]],IF(BD_MO[[#This Row],[CARMEX 7'']]&lt;&gt;0,0,"")),"")</f>
        <v/>
      </c>
      <c r="AP121" s="176" t="str">
        <f>+IF(BD_MO[[#This Row],[N° VALE]]&lt;&gt;"",BD_MO[[#This Row],[N°  TOTAL TALADROS]]*BD_MO[[#This Row],[BARRA]]*0.95,"")</f>
        <v/>
      </c>
      <c r="AQ121" s="176" t="str">
        <f>+IF(BD_MO[[#This Row],[N° VALE]]&lt;&gt;"",BD_MO[[#This Row],[EMULNOR 1000 (N° CART.)]]*PE_EMUL_1000[PE],"")</f>
        <v/>
      </c>
      <c r="AR121" s="176" t="str">
        <f>+IF(BD_MO[[#This Row],[N° VALE]]&lt;&gt;"",BD_MO[[#This Row],[EMULNOR 3000 (N° CART.)]]*PE_EMUL_3000[PE],"")</f>
        <v/>
      </c>
      <c r="AS121" s="176" t="str">
        <f>+IF(BD_MO[[#This Row],[N° VALE]]&lt;&gt;"",BD_MO[[#This Row],[PULVERULENTA (N° CART.)]]*PE_PULV_65[PE],"")</f>
        <v/>
      </c>
      <c r="AT121" s="176" t="str">
        <f>+IF(BD_MO[[#This Row],[N° DISP]]&lt;&gt;"",BD_MO[[#This Row],[SEMIGELATINA (N° CART.)]]*PE_SEMIGEL_65[PE],"")</f>
        <v/>
      </c>
      <c r="AU121" s="176" t="str">
        <f>+IF(BD_MO[N° VALE]&lt;&gt;"",BD_MO[[#This Row],[KG EXPLO SEMIGEL]]+BD_MO[[#This Row],[KG EXPLO PULVE]]+BD_MO[[#This Row],[KG EXPLO EMULN 3000]]+BD_MO[[#This Row],[KG EXPLO EMULN 1000]],"")</f>
        <v/>
      </c>
      <c r="AV121" s="172"/>
      <c r="AW121" s="172">
        <v>4</v>
      </c>
      <c r="AX121" s="172" t="str">
        <f>+IF(BD_MO[[#This Row],[MINERAL (U-35)]]&lt;&gt;"",BD_MO[[#This Row],[MINERAL (U-35)]]*1.45,"-")</f>
        <v>-</v>
      </c>
      <c r="AY121" s="172">
        <f>+IF(BD_MO[[#This Row],[DESMONTE (U-35)]]&lt;&gt;"",BD_MO[[#This Row],[DESMONTE (U-35)]]*1.23,"-")</f>
        <v>4.92</v>
      </c>
      <c r="AZ121" s="172"/>
      <c r="BA121" s="172"/>
      <c r="BB121" s="172"/>
      <c r="BC121" s="172"/>
      <c r="BD121" s="172"/>
      <c r="BE121" s="172"/>
      <c r="BF121" s="172"/>
      <c r="BG121" s="172"/>
      <c r="BH121" s="172"/>
      <c r="BI121" s="172">
        <v>1</v>
      </c>
      <c r="BJ121" s="172"/>
      <c r="BK121" s="172"/>
      <c r="BL121" s="172"/>
      <c r="BM121" s="172"/>
      <c r="BN121" s="171"/>
      <c r="BO121" s="172"/>
      <c r="BP121" s="172"/>
      <c r="BQ121" s="171"/>
      <c r="BR121" s="172"/>
      <c r="BS121" s="171"/>
      <c r="BT121" s="176"/>
      <c r="BU121" s="172"/>
      <c r="BV121" s="172">
        <v>1</v>
      </c>
      <c r="BW121" s="172">
        <v>14</v>
      </c>
      <c r="BX121" s="172"/>
      <c r="BY121" s="172"/>
      <c r="BZ121" s="172"/>
      <c r="CA121" s="172"/>
      <c r="CB121" s="172"/>
      <c r="CC121" s="172">
        <v>12</v>
      </c>
      <c r="CD121" s="172"/>
      <c r="CE121" s="172"/>
      <c r="CF121" s="172"/>
      <c r="CG121" s="172"/>
      <c r="CH121" s="172"/>
      <c r="CI121" s="172"/>
      <c r="CJ121" s="172"/>
      <c r="CK121" s="172"/>
      <c r="CL121" s="172"/>
      <c r="CM121" s="172"/>
      <c r="CN121" s="172"/>
      <c r="CO121" s="172"/>
      <c r="CP121" s="176">
        <f>+IF(BD_MO[[#This Row],[FECHA]]&lt;&gt;"",BD_MO[[#This Row],[PUNTAL 4"]]+BD_MO[[#This Row],[PUNTAL 5"]]+BD_MO[[#This Row],[PUNTAL 6"]]+BD_MO[[#This Row],[PUNTAL 7"]]+BD_MO[[#This Row],[PUNTAL 8"]],"")</f>
        <v>0</v>
      </c>
      <c r="CQ121" s="172">
        <v>1</v>
      </c>
      <c r="CR121" s="172"/>
      <c r="CS121" s="172"/>
      <c r="CT121" s="172"/>
      <c r="CU121" s="172"/>
      <c r="CV121" s="172"/>
      <c r="CW121" s="172"/>
      <c r="CX121" s="172"/>
      <c r="CY121" s="176"/>
      <c r="CZ121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81.438000000000002</v>
      </c>
      <c r="DA121" s="176">
        <f>+IF(BD_MO[[#This Row],[FECHA]]&lt;&gt;"",BD_MO[[#This Row],[DURMIENTE2]]*6.561+BD_MO[[#This Row],[LISTONES]]*4.921+BD_MO[[#This Row],[TABLA 1"x8"x3m]]*6.561+BD_MO[[#This Row],[TABLA 2"x8"x3m]]*13.122,"")</f>
        <v>0</v>
      </c>
      <c r="DB121" s="176">
        <f>+IF(BD_MO[[#This Row],[FECHA]]&lt;&gt;"",BD_MO[[#This Row],[PIE2 MADERA ASERRADA]]*1.95,"")</f>
        <v>0</v>
      </c>
      <c r="DC121" s="176">
        <f>+IF(BD_MO[[#This Row],[FECHA]]&lt;&gt;"",BD_MO[[#This Row],[KG. MADERA REDONDA]]+BD_MO[[#This Row],[KG MADERA ASERRADA]],"")</f>
        <v>81.438000000000002</v>
      </c>
      <c r="DD121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46.3</v>
      </c>
      <c r="DE121" s="172"/>
      <c r="DF121" s="172"/>
      <c r="DG121" s="172"/>
      <c r="DH121" s="172"/>
      <c r="DI121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21" s="180"/>
      <c r="DK121" s="180"/>
      <c r="DL121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21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21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21" s="181"/>
      <c r="DP121" s="180" t="str">
        <f>+IF(BD_MO[[#This Row],[M o D]]&lt;&gt;"",IF(BD_MO[[#This Row],[M o D]]="M",BD_MO[[#This Row],[ROTURA TMH]]/2.65,BD_MO[[#This Row],[ROTURA TMH]]/2.4),"")</f>
        <v/>
      </c>
      <c r="DQ121" s="180"/>
      <c r="DR121" s="116" t="str">
        <f>IF(BD_MO[[#This Row],[TIPO AVANCE]]="Avance",((BD_MO[[#This Row],[AVANCE (m)]]/BD_MO[[#This Row],[AVANCE TEÓRICO]]))," ")</f>
        <v xml:space="preserve"> </v>
      </c>
      <c r="DS121" s="134"/>
      <c r="DT121" s="134"/>
      <c r="DU121" s="134"/>
      <c r="DV121" s="134"/>
      <c r="DW121" s="134"/>
      <c r="DX121" s="135"/>
      <c r="DY121" s="135"/>
      <c r="DZ121" s="135"/>
    </row>
    <row r="122" spans="1:130" s="136" customFormat="1" ht="18" customHeight="1" x14ac:dyDescent="0.25">
      <c r="A122" s="168">
        <v>44658</v>
      </c>
      <c r="B122" s="169" t="s">
        <v>10655</v>
      </c>
      <c r="C122" s="169" t="s">
        <v>10680</v>
      </c>
      <c r="D122" s="170" t="s">
        <v>12116</v>
      </c>
      <c r="E122" s="171" t="str">
        <f>LEFT(BD_MO[[#This Row],[LABOR]],2)</f>
        <v>Cx</v>
      </c>
      <c r="F122" s="172"/>
      <c r="G122" s="172" t="s">
        <v>10669</v>
      </c>
      <c r="H12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22" s="171" t="str">
        <f>IF(BD_MO[FECHA]&lt;&gt;"",VLOOKUP(BD_MO[LABOR],TB_CECO[[LABOR]:[CECO_T]],3,FALSE),"")</f>
        <v>ESCONDIDA</v>
      </c>
      <c r="J122" s="171" t="str">
        <f>IF(BD_MO[FECHA]&lt;&gt;"",VLOOKUP(BD_MO[LABOR],D_CECO!B:H,7,FALSE),"")</f>
        <v>LINEAL</v>
      </c>
      <c r="K122" s="171" t="str">
        <f>IF(BD_MO[FECHA]&lt;&gt;"",VLOOKUP(BD_MO[LABOR],D_CECO!B:H,4,FALSE),"")</f>
        <v>EXPLOTACION</v>
      </c>
      <c r="L122" s="171"/>
      <c r="M122" s="169"/>
      <c r="N122" s="172"/>
      <c r="O122" s="173" t="s">
        <v>11911</v>
      </c>
      <c r="P122" s="173" t="s">
        <v>11913</v>
      </c>
      <c r="Q122" s="173"/>
      <c r="R122" s="174"/>
      <c r="S122" s="175" t="str">
        <f>IFERROR(VLOOKUP(BD_MO[DNI 4],#REF!,2,FALSE)," ")</f>
        <v xml:space="preserve"> </v>
      </c>
      <c r="T122" s="176">
        <f>+IF(BD_MO[[#This Row],[FECHA]]&lt;&gt;"",COUNTA(BD_MO[[#This Row],[DNI]],BD_MO[[#This Row],[DNI 2]],BD_MO[[#This Row],[DNI 3]],BD_MO[[#This Row],[DNI 4]]),"")</f>
        <v>2</v>
      </c>
      <c r="U122" s="176">
        <v>0.6</v>
      </c>
      <c r="V122" s="176"/>
      <c r="W122" s="176">
        <v>1</v>
      </c>
      <c r="X122" s="176">
        <v>0.4</v>
      </c>
      <c r="Y122" s="177">
        <f>SUM(BD_MO[[#This Row],[LIMP]:[SERV]])</f>
        <v>2</v>
      </c>
      <c r="Z122" s="172"/>
      <c r="AA122" s="172" t="str">
        <f>+IF(BD_MO[[#This Row],[N° VALE]]&lt;&gt;"",1,"")</f>
        <v/>
      </c>
      <c r="AB122" s="169"/>
      <c r="AC122" s="172"/>
      <c r="AD122" s="172" t="str">
        <f>+IF(BD_MO[[#This Row],[N° VALE]]&lt;&gt;"",BD_MO[[#This Row],[FULMINANTE N° 08]]+BD_MO[CARMEX 7''],"")</f>
        <v/>
      </c>
      <c r="AE122" s="172"/>
      <c r="AF122" s="172" t="str">
        <f>+IF(BD_MO[[#This Row],[N° VALE]]&lt;&gt;"",BD_MO[[#This Row],[N° TALADROS]]+BD_MO[[#This Row],[N° TAL. VACIOS]],"")</f>
        <v/>
      </c>
      <c r="AG122" s="178"/>
      <c r="AH122" s="178"/>
      <c r="AI122" s="178"/>
      <c r="AJ122" s="178"/>
      <c r="AK122" s="178"/>
      <c r="AL122" s="178"/>
      <c r="AM122" s="171"/>
      <c r="AN122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22" s="172" t="str">
        <f>+IF(BD_MO[[#This Row],[N° VALE]]&lt;&gt;"",IF(BD_MO[[#This Row],[FULMINANTE N° 08]]&lt;&gt;"",BD_MO[[#This Row],[FULMINANTE N° 08]],IF(BD_MO[[#This Row],[CARMEX 7'']]&lt;&gt;0,0,"")),"")</f>
        <v/>
      </c>
      <c r="AP122" s="176" t="str">
        <f>+IF(BD_MO[[#This Row],[N° VALE]]&lt;&gt;"",BD_MO[[#This Row],[N°  TOTAL TALADROS]]*BD_MO[[#This Row],[BARRA]]*0.95,"")</f>
        <v/>
      </c>
      <c r="AQ122" s="176" t="str">
        <f>+IF(BD_MO[[#This Row],[N° VALE]]&lt;&gt;"",BD_MO[[#This Row],[EMULNOR 1000 (N° CART.)]]*PE_EMUL_1000[PE],"")</f>
        <v/>
      </c>
      <c r="AR122" s="176" t="str">
        <f>+IF(BD_MO[[#This Row],[N° VALE]]&lt;&gt;"",BD_MO[[#This Row],[EMULNOR 3000 (N° CART.)]]*PE_EMUL_3000[PE],"")</f>
        <v/>
      </c>
      <c r="AS122" s="176" t="str">
        <f>+IF(BD_MO[[#This Row],[N° VALE]]&lt;&gt;"",BD_MO[[#This Row],[PULVERULENTA (N° CART.)]]*PE_PULV_65[PE],"")</f>
        <v/>
      </c>
      <c r="AT122" s="176" t="str">
        <f>+IF(BD_MO[[#This Row],[N° DISP]]&lt;&gt;"",BD_MO[[#This Row],[SEMIGELATINA (N° CART.)]]*PE_SEMIGEL_65[PE],"")</f>
        <v/>
      </c>
      <c r="AU122" s="176" t="str">
        <f>+IF(BD_MO[N° VALE]&lt;&gt;"",BD_MO[[#This Row],[KG EXPLO SEMIGEL]]+BD_MO[[#This Row],[KG EXPLO PULVE]]+BD_MO[[#This Row],[KG EXPLO EMULN 3000]]+BD_MO[[#This Row],[KG EXPLO EMULN 1000]],"")</f>
        <v/>
      </c>
      <c r="AV122" s="172"/>
      <c r="AW122" s="172"/>
      <c r="AX122" s="172" t="str">
        <f>+IF(BD_MO[[#This Row],[MINERAL (U-35)]]&lt;&gt;"",BD_MO[[#This Row],[MINERAL (U-35)]]*1.45,"-")</f>
        <v>-</v>
      </c>
      <c r="AY122" s="172" t="str">
        <f>+IF(BD_MO[[#This Row],[DESMONTE (U-35)]]&lt;&gt;"",BD_MO[[#This Row],[DESMONTE (U-35)]]*1.23,"-")</f>
        <v>-</v>
      </c>
      <c r="AZ122" s="172">
        <v>1</v>
      </c>
      <c r="BA122" s="172"/>
      <c r="BB122" s="172"/>
      <c r="BC122" s="172"/>
      <c r="BD122" s="172"/>
      <c r="BE122" s="172"/>
      <c r="BF122" s="172"/>
      <c r="BG122" s="172"/>
      <c r="BH122" s="172"/>
      <c r="BI122" s="172"/>
      <c r="BJ122" s="172"/>
      <c r="BK122" s="172"/>
      <c r="BL122" s="172"/>
      <c r="BM122" s="172"/>
      <c r="BN122" s="171"/>
      <c r="BO122" s="172"/>
      <c r="BP122" s="172"/>
      <c r="BQ122" s="171"/>
      <c r="BR122" s="172"/>
      <c r="BS122" s="171"/>
      <c r="BT122" s="176"/>
      <c r="BU122" s="172"/>
      <c r="BV122" s="172"/>
      <c r="BW122" s="172"/>
      <c r="BX122" s="172"/>
      <c r="BY122" s="172"/>
      <c r="BZ122" s="172"/>
      <c r="CA122" s="172"/>
      <c r="CB122" s="172"/>
      <c r="CC122" s="172"/>
      <c r="CD122" s="172"/>
      <c r="CE122" s="172"/>
      <c r="CF122" s="172"/>
      <c r="CG122" s="172"/>
      <c r="CH122" s="172"/>
      <c r="CI122" s="172"/>
      <c r="CJ122" s="172"/>
      <c r="CK122" s="172"/>
      <c r="CL122" s="172">
        <v>2</v>
      </c>
      <c r="CM122" s="172"/>
      <c r="CN122" s="172"/>
      <c r="CO122" s="172">
        <v>3</v>
      </c>
      <c r="CP122" s="176">
        <f>+IF(BD_MO[[#This Row],[FECHA]]&lt;&gt;"",BD_MO[[#This Row],[PUNTAL 4"]]+BD_MO[[#This Row],[PUNTAL 5"]]+BD_MO[[#This Row],[PUNTAL 6"]]+BD_MO[[#This Row],[PUNTAL 7"]]+BD_MO[[#This Row],[PUNTAL 8"]],"")</f>
        <v>5</v>
      </c>
      <c r="CQ122" s="172"/>
      <c r="CR122" s="172"/>
      <c r="CS122" s="172"/>
      <c r="CT122" s="172"/>
      <c r="CU122" s="172"/>
      <c r="CV122" s="172"/>
      <c r="CW122" s="172"/>
      <c r="CX122" s="172"/>
      <c r="CY122" s="176"/>
      <c r="CZ12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301.654</v>
      </c>
      <c r="DA122" s="176">
        <f>+IF(BD_MO[[#This Row],[FECHA]]&lt;&gt;"",BD_MO[[#This Row],[DURMIENTE2]]*6.561+BD_MO[[#This Row],[LISTONES]]*4.921+BD_MO[[#This Row],[TABLA 1"x8"x3m]]*6.561+BD_MO[[#This Row],[TABLA 2"x8"x3m]]*13.122,"")</f>
        <v>0</v>
      </c>
      <c r="DB122" s="176">
        <f>+IF(BD_MO[[#This Row],[FECHA]]&lt;&gt;"",BD_MO[[#This Row],[PIE2 MADERA ASERRADA]]*1.95,"")</f>
        <v>0</v>
      </c>
      <c r="DC122" s="176">
        <f>+IF(BD_MO[[#This Row],[FECHA]]&lt;&gt;"",BD_MO[[#This Row],[KG. MADERA REDONDA]]+BD_MO[[#This Row],[KG MADERA ASERRADA]],"")</f>
        <v>301.654</v>
      </c>
      <c r="DD12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89</v>
      </c>
      <c r="DE122" s="172"/>
      <c r="DF122" s="172"/>
      <c r="DG122" s="172"/>
      <c r="DH122" s="172"/>
      <c r="DI122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22" s="180"/>
      <c r="DK122" s="180"/>
      <c r="DL122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22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22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22" s="181"/>
      <c r="DP122" s="180" t="str">
        <f>+IF(BD_MO[[#This Row],[M o D]]&lt;&gt;"",IF(BD_MO[[#This Row],[M o D]]="M",BD_MO[[#This Row],[ROTURA TMH]]/2.65,BD_MO[[#This Row],[ROTURA TMH]]/2.4),"")</f>
        <v/>
      </c>
      <c r="DQ122" s="180"/>
      <c r="DR122" s="116" t="str">
        <f>IF(BD_MO[[#This Row],[TIPO AVANCE]]="Avance",((BD_MO[[#This Row],[AVANCE (m)]]/BD_MO[[#This Row],[AVANCE TEÓRICO]]))," ")</f>
        <v xml:space="preserve"> </v>
      </c>
      <c r="DS122" s="134"/>
      <c r="DT122" s="134"/>
      <c r="DU122" s="134"/>
      <c r="DV122" s="134"/>
      <c r="DW122" s="134"/>
      <c r="DX122" s="135"/>
      <c r="DY122" s="135"/>
      <c r="DZ122" s="135"/>
    </row>
    <row r="123" spans="1:130" s="136" customFormat="1" ht="18" customHeight="1" x14ac:dyDescent="0.25">
      <c r="A123" s="168">
        <v>44658</v>
      </c>
      <c r="B123" s="169" t="s">
        <v>10655</v>
      </c>
      <c r="C123" s="169" t="s">
        <v>10680</v>
      </c>
      <c r="D123" s="170" t="s">
        <v>12164</v>
      </c>
      <c r="E123" s="171" t="str">
        <f>LEFT(BD_MO[[#This Row],[LABOR]],2)</f>
        <v>Tj</v>
      </c>
      <c r="F123" s="172"/>
      <c r="G123" s="172" t="s">
        <v>10669</v>
      </c>
      <c r="H12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23" s="171" t="str">
        <f>IF(BD_MO[FECHA]&lt;&gt;"",VLOOKUP(BD_MO[LABOR],TB_CECO[[LABOR]:[CECO_T]],3,FALSE),"")</f>
        <v>VANESSA</v>
      </c>
      <c r="J123" s="171" t="str">
        <f>IF(BD_MO[FECHA]&lt;&gt;"",VLOOKUP(BD_MO[LABOR],D_CECO!B:H,7,FALSE),"")</f>
        <v>TAJO</v>
      </c>
      <c r="K123" s="171" t="str">
        <f>IF(BD_MO[FECHA]&lt;&gt;"",VLOOKUP(BD_MO[LABOR],D_CECO!B:H,4,FALSE),"")</f>
        <v>EXPLOTACION</v>
      </c>
      <c r="L123" s="171"/>
      <c r="M123" s="169"/>
      <c r="N123" s="172"/>
      <c r="O123" s="173" t="s">
        <v>12151</v>
      </c>
      <c r="P123" s="173"/>
      <c r="Q123" s="173"/>
      <c r="R123" s="174"/>
      <c r="S123" s="175" t="str">
        <f>IFERROR(VLOOKUP(BD_MO[DNI 4],#REF!,2,FALSE)," ")</f>
        <v xml:space="preserve"> </v>
      </c>
      <c r="T123" s="176">
        <f>+IF(BD_MO[[#This Row],[FECHA]]&lt;&gt;"",COUNTA(BD_MO[[#This Row],[DNI]],BD_MO[[#This Row],[DNI 2]],BD_MO[[#This Row],[DNI 3]],BD_MO[[#This Row],[DNI 4]]),"")</f>
        <v>1</v>
      </c>
      <c r="U123" s="176"/>
      <c r="V123" s="176"/>
      <c r="W123" s="176"/>
      <c r="X123" s="176">
        <v>1</v>
      </c>
      <c r="Y123" s="177">
        <f>SUM(BD_MO[[#This Row],[LIMP]:[SERV]])</f>
        <v>1</v>
      </c>
      <c r="Z123" s="172"/>
      <c r="AA123" s="172" t="str">
        <f>+IF(BD_MO[[#This Row],[N° VALE]]&lt;&gt;"",1,"")</f>
        <v/>
      </c>
      <c r="AB123" s="169"/>
      <c r="AC123" s="172"/>
      <c r="AD123" s="172" t="str">
        <f>+IF(BD_MO[[#This Row],[N° VALE]]&lt;&gt;"",BD_MO[[#This Row],[FULMINANTE N° 08]]+BD_MO[CARMEX 7''],"")</f>
        <v/>
      </c>
      <c r="AE123" s="172"/>
      <c r="AF123" s="172" t="str">
        <f>+IF(BD_MO[[#This Row],[N° VALE]]&lt;&gt;"",BD_MO[[#This Row],[N° TALADROS]]+BD_MO[[#This Row],[N° TAL. VACIOS]],"")</f>
        <v/>
      </c>
      <c r="AG123" s="178"/>
      <c r="AH123" s="178"/>
      <c r="AI123" s="178"/>
      <c r="AJ123" s="178"/>
      <c r="AK123" s="178"/>
      <c r="AL123" s="178"/>
      <c r="AM123" s="171"/>
      <c r="AN123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23" s="172" t="str">
        <f>+IF(BD_MO[[#This Row],[N° VALE]]&lt;&gt;"",IF(BD_MO[[#This Row],[FULMINANTE N° 08]]&lt;&gt;"",BD_MO[[#This Row],[FULMINANTE N° 08]],IF(BD_MO[[#This Row],[CARMEX 7'']]&lt;&gt;0,0,"")),"")</f>
        <v/>
      </c>
      <c r="AP123" s="176" t="str">
        <f>+IF(BD_MO[[#This Row],[N° VALE]]&lt;&gt;"",BD_MO[[#This Row],[N°  TOTAL TALADROS]]*BD_MO[[#This Row],[BARRA]]*0.95,"")</f>
        <v/>
      </c>
      <c r="AQ123" s="176" t="str">
        <f>+IF(BD_MO[[#This Row],[N° VALE]]&lt;&gt;"",BD_MO[[#This Row],[EMULNOR 1000 (N° CART.)]]*PE_EMUL_1000[PE],"")</f>
        <v/>
      </c>
      <c r="AR123" s="176" t="str">
        <f>+IF(BD_MO[[#This Row],[N° VALE]]&lt;&gt;"",BD_MO[[#This Row],[EMULNOR 3000 (N° CART.)]]*PE_EMUL_3000[PE],"")</f>
        <v/>
      </c>
      <c r="AS123" s="176" t="str">
        <f>+IF(BD_MO[[#This Row],[N° VALE]]&lt;&gt;"",BD_MO[[#This Row],[PULVERULENTA (N° CART.)]]*PE_PULV_65[PE],"")</f>
        <v/>
      </c>
      <c r="AT123" s="176" t="str">
        <f>+IF(BD_MO[[#This Row],[N° DISP]]&lt;&gt;"",BD_MO[[#This Row],[SEMIGELATINA (N° CART.)]]*PE_SEMIGEL_65[PE],"")</f>
        <v/>
      </c>
      <c r="AU123" s="176" t="str">
        <f>+IF(BD_MO[N° VALE]&lt;&gt;"",BD_MO[[#This Row],[KG EXPLO SEMIGEL]]+BD_MO[[#This Row],[KG EXPLO PULVE]]+BD_MO[[#This Row],[KG EXPLO EMULN 3000]]+BD_MO[[#This Row],[KG EXPLO EMULN 1000]],"")</f>
        <v/>
      </c>
      <c r="AV123" s="172"/>
      <c r="AW123" s="172"/>
      <c r="AX123" s="172" t="str">
        <f>+IF(BD_MO[[#This Row],[MINERAL (U-35)]]&lt;&gt;"",BD_MO[[#This Row],[MINERAL (U-35)]]*1.45,"-")</f>
        <v>-</v>
      </c>
      <c r="AY123" s="172" t="str">
        <f>+IF(BD_MO[[#This Row],[DESMONTE (U-35)]]&lt;&gt;"",BD_MO[[#This Row],[DESMONTE (U-35)]]*1.23,"-")</f>
        <v>-</v>
      </c>
      <c r="AZ123" s="172"/>
      <c r="BA123" s="172"/>
      <c r="BB123" s="172"/>
      <c r="BC123" s="172"/>
      <c r="BD123" s="172"/>
      <c r="BE123" s="172"/>
      <c r="BF123" s="172"/>
      <c r="BG123" s="172"/>
      <c r="BH123" s="172"/>
      <c r="BI123" s="172"/>
      <c r="BJ123" s="172"/>
      <c r="BK123" s="172"/>
      <c r="BL123" s="172"/>
      <c r="BM123" s="172"/>
      <c r="BN123" s="171"/>
      <c r="BO123" s="172"/>
      <c r="BP123" s="172"/>
      <c r="BQ123" s="171"/>
      <c r="BR123" s="172"/>
      <c r="BS123" s="171"/>
      <c r="BT123" s="176"/>
      <c r="BU123" s="172"/>
      <c r="BV123" s="172"/>
      <c r="BW123" s="172"/>
      <c r="BX123" s="172"/>
      <c r="BY123" s="172"/>
      <c r="BZ123" s="172"/>
      <c r="CA123" s="172"/>
      <c r="CB123" s="172"/>
      <c r="CC123" s="172"/>
      <c r="CD123" s="172"/>
      <c r="CE123" s="172"/>
      <c r="CF123" s="172"/>
      <c r="CG123" s="172"/>
      <c r="CH123" s="172"/>
      <c r="CI123" s="172"/>
      <c r="CJ123" s="172"/>
      <c r="CK123" s="172"/>
      <c r="CL123" s="172"/>
      <c r="CM123" s="172"/>
      <c r="CN123" s="172"/>
      <c r="CO123" s="172"/>
      <c r="CP123" s="176">
        <f>+IF(BD_MO[[#This Row],[FECHA]]&lt;&gt;"",BD_MO[[#This Row],[PUNTAL 4"]]+BD_MO[[#This Row],[PUNTAL 5"]]+BD_MO[[#This Row],[PUNTAL 6"]]+BD_MO[[#This Row],[PUNTAL 7"]]+BD_MO[[#This Row],[PUNTAL 8"]],"")</f>
        <v>0</v>
      </c>
      <c r="CQ123" s="172"/>
      <c r="CR123" s="172"/>
      <c r="CS123" s="172"/>
      <c r="CT123" s="172"/>
      <c r="CU123" s="172"/>
      <c r="CV123" s="172"/>
      <c r="CW123" s="172"/>
      <c r="CX123" s="172"/>
      <c r="CY123" s="176"/>
      <c r="CZ12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23" s="176">
        <f>+IF(BD_MO[[#This Row],[FECHA]]&lt;&gt;"",BD_MO[[#This Row],[DURMIENTE2]]*6.561+BD_MO[[#This Row],[LISTONES]]*4.921+BD_MO[[#This Row],[TABLA 1"x8"x3m]]*6.561+BD_MO[[#This Row],[TABLA 2"x8"x3m]]*13.122,"")</f>
        <v>0</v>
      </c>
      <c r="DB123" s="176">
        <f>+IF(BD_MO[[#This Row],[FECHA]]&lt;&gt;"",BD_MO[[#This Row],[PIE2 MADERA ASERRADA]]*1.95,"")</f>
        <v>0</v>
      </c>
      <c r="DC123" s="176">
        <f>+IF(BD_MO[[#This Row],[FECHA]]&lt;&gt;"",BD_MO[[#This Row],[KG. MADERA REDONDA]]+BD_MO[[#This Row],[KG MADERA ASERRADA]],"")</f>
        <v>0</v>
      </c>
      <c r="DD12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23" s="172"/>
      <c r="DF123" s="172"/>
      <c r="DG123" s="172"/>
      <c r="DH123" s="172"/>
      <c r="DI123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23" s="180"/>
      <c r="DK123" s="180"/>
      <c r="DL123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23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23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23" s="181"/>
      <c r="DP123" s="180" t="str">
        <f>+IF(BD_MO[[#This Row],[M o D]]&lt;&gt;"",IF(BD_MO[[#This Row],[M o D]]="M",BD_MO[[#This Row],[ROTURA TMH]]/2.65,BD_MO[[#This Row],[ROTURA TMH]]/2.4),"")</f>
        <v/>
      </c>
      <c r="DQ123" s="180"/>
      <c r="DR123" s="116" t="str">
        <f>IF(BD_MO[[#This Row],[TIPO AVANCE]]="Avance",((BD_MO[[#This Row],[AVANCE (m)]]/BD_MO[[#This Row],[AVANCE TEÓRICO]]))," ")</f>
        <v xml:space="preserve"> </v>
      </c>
      <c r="DS123" s="134"/>
      <c r="DT123" s="134"/>
      <c r="DU123" s="134"/>
      <c r="DV123" s="134"/>
      <c r="DW123" s="134"/>
      <c r="DX123" s="135"/>
      <c r="DY123" s="135"/>
      <c r="DZ123" s="135"/>
    </row>
    <row r="124" spans="1:130" s="136" customFormat="1" ht="18" customHeight="1" x14ac:dyDescent="0.25">
      <c r="A124" s="168">
        <v>44658</v>
      </c>
      <c r="B124" s="169" t="s">
        <v>10655</v>
      </c>
      <c r="C124" s="169" t="s">
        <v>10680</v>
      </c>
      <c r="D124" s="170" t="s">
        <v>11872</v>
      </c>
      <c r="E124" s="171" t="str">
        <f>LEFT(BD_MO[[#This Row],[LABOR]],2)</f>
        <v>PQ</v>
      </c>
      <c r="F124" s="172"/>
      <c r="G124" s="172" t="s">
        <v>10669</v>
      </c>
      <c r="H12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24" s="171" t="str">
        <f>IF(BD_MO[FECHA]&lt;&gt;"",VLOOKUP(BD_MO[LABOR],TB_CECO[[LABOR]:[CECO_T]],3,FALSE),"")</f>
        <v>ANDREA</v>
      </c>
      <c r="J124" s="171" t="str">
        <f>IF(BD_MO[FECHA]&lt;&gt;"",VLOOKUP(BD_MO[LABOR],D_CECO!B:H,7,FALSE),"")</f>
        <v>LINEAL</v>
      </c>
      <c r="K124" s="171" t="str">
        <f>IF(BD_MO[FECHA]&lt;&gt;"",VLOOKUP(BD_MO[LABOR],D_CECO!B:H,4,FALSE),"")</f>
        <v>EXPLOTACION</v>
      </c>
      <c r="L124" s="171"/>
      <c r="M124" s="169"/>
      <c r="N124" s="172"/>
      <c r="O124" s="173" t="s">
        <v>11908</v>
      </c>
      <c r="P124" s="173" t="s">
        <v>11905</v>
      </c>
      <c r="Q124" s="173" t="s">
        <v>12204</v>
      </c>
      <c r="R124" s="174"/>
      <c r="S124" s="175" t="str">
        <f>IFERROR(VLOOKUP(BD_MO[DNI 4],#REF!,2,FALSE)," ")</f>
        <v xml:space="preserve"> </v>
      </c>
      <c r="T124" s="176">
        <f>+IF(BD_MO[[#This Row],[FECHA]]&lt;&gt;"",COUNTA(BD_MO[[#This Row],[DNI]],BD_MO[[#This Row],[DNI 2]],BD_MO[[#This Row],[DNI 3]],BD_MO[[#This Row],[DNI 4]]),"")</f>
        <v>3</v>
      </c>
      <c r="U124" s="176"/>
      <c r="V124" s="176"/>
      <c r="W124" s="176"/>
      <c r="X124" s="176">
        <v>3</v>
      </c>
      <c r="Y124" s="177">
        <f>SUM(BD_MO[[#This Row],[LIMP]:[SERV]])</f>
        <v>3</v>
      </c>
      <c r="Z124" s="172"/>
      <c r="AA124" s="172" t="str">
        <f>+IF(BD_MO[[#This Row],[N° VALE]]&lt;&gt;"",1,"")</f>
        <v/>
      </c>
      <c r="AB124" s="169"/>
      <c r="AC124" s="172"/>
      <c r="AD124" s="172" t="str">
        <f>+IF(BD_MO[[#This Row],[N° VALE]]&lt;&gt;"",BD_MO[[#This Row],[FULMINANTE N° 08]]+BD_MO[CARMEX 7''],"")</f>
        <v/>
      </c>
      <c r="AE124" s="172"/>
      <c r="AF124" s="172" t="str">
        <f>+IF(BD_MO[[#This Row],[N° VALE]]&lt;&gt;"",BD_MO[[#This Row],[N° TALADROS]]+BD_MO[[#This Row],[N° TAL. VACIOS]],"")</f>
        <v/>
      </c>
      <c r="AG124" s="178"/>
      <c r="AH124" s="178"/>
      <c r="AI124" s="178"/>
      <c r="AJ124" s="178"/>
      <c r="AK124" s="178"/>
      <c r="AL124" s="178"/>
      <c r="AM124" s="171"/>
      <c r="AN12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24" s="172" t="str">
        <f>+IF(BD_MO[[#This Row],[N° VALE]]&lt;&gt;"",IF(BD_MO[[#This Row],[FULMINANTE N° 08]]&lt;&gt;"",BD_MO[[#This Row],[FULMINANTE N° 08]],IF(BD_MO[[#This Row],[CARMEX 7'']]&lt;&gt;0,0,"")),"")</f>
        <v/>
      </c>
      <c r="AP124" s="176" t="str">
        <f>+IF(BD_MO[[#This Row],[N° VALE]]&lt;&gt;"",BD_MO[[#This Row],[N°  TOTAL TALADROS]]*BD_MO[[#This Row],[BARRA]]*0.95,"")</f>
        <v/>
      </c>
      <c r="AQ124" s="176" t="str">
        <f>+IF(BD_MO[[#This Row],[N° VALE]]&lt;&gt;"",BD_MO[[#This Row],[EMULNOR 1000 (N° CART.)]]*PE_EMUL_1000[PE],"")</f>
        <v/>
      </c>
      <c r="AR124" s="176" t="str">
        <f>+IF(BD_MO[[#This Row],[N° VALE]]&lt;&gt;"",BD_MO[[#This Row],[EMULNOR 3000 (N° CART.)]]*PE_EMUL_3000[PE],"")</f>
        <v/>
      </c>
      <c r="AS124" s="176" t="str">
        <f>+IF(BD_MO[[#This Row],[N° VALE]]&lt;&gt;"",BD_MO[[#This Row],[PULVERULENTA (N° CART.)]]*PE_PULV_65[PE],"")</f>
        <v/>
      </c>
      <c r="AT124" s="176" t="str">
        <f>+IF(BD_MO[[#This Row],[N° DISP]]&lt;&gt;"",BD_MO[[#This Row],[SEMIGELATINA (N° CART.)]]*PE_SEMIGEL_65[PE],"")</f>
        <v/>
      </c>
      <c r="AU124" s="176" t="str">
        <f>+IF(BD_MO[N° VALE]&lt;&gt;"",BD_MO[[#This Row],[KG EXPLO SEMIGEL]]+BD_MO[[#This Row],[KG EXPLO PULVE]]+BD_MO[[#This Row],[KG EXPLO EMULN 3000]]+BD_MO[[#This Row],[KG EXPLO EMULN 1000]],"")</f>
        <v/>
      </c>
      <c r="AV124" s="172"/>
      <c r="AW124" s="172"/>
      <c r="AX124" s="172" t="str">
        <f>+IF(BD_MO[[#This Row],[MINERAL (U-35)]]&lt;&gt;"",BD_MO[[#This Row],[MINERAL (U-35)]]*1.45,"-")</f>
        <v>-</v>
      </c>
      <c r="AY124" s="172" t="str">
        <f>+IF(BD_MO[[#This Row],[DESMONTE (U-35)]]&lt;&gt;"",BD_MO[[#This Row],[DESMONTE (U-35)]]*1.23,"-")</f>
        <v>-</v>
      </c>
      <c r="AZ124" s="172"/>
      <c r="BA124" s="172"/>
      <c r="BB124" s="172"/>
      <c r="BC124" s="172"/>
      <c r="BD124" s="172"/>
      <c r="BE124" s="172"/>
      <c r="BF124" s="172"/>
      <c r="BG124" s="172"/>
      <c r="BH124" s="172"/>
      <c r="BI124" s="172"/>
      <c r="BJ124" s="172"/>
      <c r="BK124" s="172"/>
      <c r="BL124" s="172"/>
      <c r="BM124" s="172"/>
      <c r="BN124" s="171"/>
      <c r="BO124" s="172"/>
      <c r="BP124" s="172"/>
      <c r="BQ124" s="171"/>
      <c r="BR124" s="172"/>
      <c r="BS124" s="171"/>
      <c r="BT124" s="176"/>
      <c r="BU124" s="172"/>
      <c r="BV124" s="172"/>
      <c r="BW124" s="172"/>
      <c r="BX124" s="172"/>
      <c r="BY124" s="172"/>
      <c r="BZ124" s="172"/>
      <c r="CA124" s="172"/>
      <c r="CB124" s="172"/>
      <c r="CC124" s="172"/>
      <c r="CD124" s="172"/>
      <c r="CE124" s="172"/>
      <c r="CF124" s="172"/>
      <c r="CG124" s="172"/>
      <c r="CH124" s="172"/>
      <c r="CI124" s="172"/>
      <c r="CJ124" s="172"/>
      <c r="CK124" s="172"/>
      <c r="CL124" s="172"/>
      <c r="CM124" s="172"/>
      <c r="CN124" s="172"/>
      <c r="CO124" s="172"/>
      <c r="CP124" s="176">
        <f>+IF(BD_MO[[#This Row],[FECHA]]&lt;&gt;"",BD_MO[[#This Row],[PUNTAL 4"]]+BD_MO[[#This Row],[PUNTAL 5"]]+BD_MO[[#This Row],[PUNTAL 6"]]+BD_MO[[#This Row],[PUNTAL 7"]]+BD_MO[[#This Row],[PUNTAL 8"]],"")</f>
        <v>0</v>
      </c>
      <c r="CQ124" s="172"/>
      <c r="CR124" s="172"/>
      <c r="CS124" s="172"/>
      <c r="CT124" s="172"/>
      <c r="CU124" s="172"/>
      <c r="CV124" s="172"/>
      <c r="CW124" s="172"/>
      <c r="CX124" s="172"/>
      <c r="CY124" s="176"/>
      <c r="CZ12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24" s="176">
        <f>+IF(BD_MO[[#This Row],[FECHA]]&lt;&gt;"",BD_MO[[#This Row],[DURMIENTE2]]*6.561+BD_MO[[#This Row],[LISTONES]]*4.921+BD_MO[[#This Row],[TABLA 1"x8"x3m]]*6.561+BD_MO[[#This Row],[TABLA 2"x8"x3m]]*13.122,"")</f>
        <v>0</v>
      </c>
      <c r="DB124" s="176">
        <f>+IF(BD_MO[[#This Row],[FECHA]]&lt;&gt;"",BD_MO[[#This Row],[PIE2 MADERA ASERRADA]]*1.95,"")</f>
        <v>0</v>
      </c>
      <c r="DC124" s="176">
        <f>+IF(BD_MO[[#This Row],[FECHA]]&lt;&gt;"",BD_MO[[#This Row],[KG. MADERA REDONDA]]+BD_MO[[#This Row],[KG MADERA ASERRADA]],"")</f>
        <v>0</v>
      </c>
      <c r="DD12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24" s="172"/>
      <c r="DF124" s="172"/>
      <c r="DG124" s="172" t="s">
        <v>12184</v>
      </c>
      <c r="DH124" s="172">
        <v>6</v>
      </c>
      <c r="DI12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24" s="180"/>
      <c r="DK124" s="180"/>
      <c r="DL12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2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2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24" s="181"/>
      <c r="DP124" s="180" t="str">
        <f>+IF(BD_MO[[#This Row],[M o D]]&lt;&gt;"",IF(BD_MO[[#This Row],[M o D]]="M",BD_MO[[#This Row],[ROTURA TMH]]/2.65,BD_MO[[#This Row],[ROTURA TMH]]/2.4),"")</f>
        <v/>
      </c>
      <c r="DQ124" s="180"/>
      <c r="DR124" s="116" t="str">
        <f>IF(BD_MO[[#This Row],[TIPO AVANCE]]="Avance",((BD_MO[[#This Row],[AVANCE (m)]]/BD_MO[[#This Row],[AVANCE TEÓRICO]]))," ")</f>
        <v xml:space="preserve"> </v>
      </c>
      <c r="DS124" s="134"/>
      <c r="DT124" s="134"/>
      <c r="DU124" s="134"/>
      <c r="DV124" s="134"/>
      <c r="DW124" s="134"/>
      <c r="DX124" s="135"/>
      <c r="DY124" s="135"/>
      <c r="DZ124" s="135"/>
    </row>
    <row r="125" spans="1:130" s="136" customFormat="1" ht="18" customHeight="1" x14ac:dyDescent="0.25">
      <c r="A125" s="168">
        <v>44658</v>
      </c>
      <c r="B125" s="169" t="s">
        <v>10655</v>
      </c>
      <c r="C125" s="169" t="s">
        <v>10680</v>
      </c>
      <c r="D125" s="170" t="s">
        <v>10952</v>
      </c>
      <c r="E125" s="171" t="str">
        <f>LEFT(BD_MO[[#This Row],[LABOR]],2)</f>
        <v>In</v>
      </c>
      <c r="F125" s="172"/>
      <c r="G125" s="172" t="s">
        <v>10669</v>
      </c>
      <c r="H125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25" s="171" t="str">
        <f>IF(BD_MO[FECHA]&lt;&gt;"",VLOOKUP(BD_MO[LABOR],TB_CECO[[LABOR]:[CECO_T]],3,FALSE),"")</f>
        <v>VANESSA</v>
      </c>
      <c r="J125" s="171" t="str">
        <f>IF(BD_MO[FECHA]&lt;&gt;"",VLOOKUP(BD_MO[LABOR],D_CECO!B:H,7,FALSE),"")</f>
        <v>LINEAL</v>
      </c>
      <c r="K125" s="171" t="str">
        <f>IF(BD_MO[FECHA]&lt;&gt;"",VLOOKUP(BD_MO[LABOR],D_CECO!B:H,4,FALSE),"")</f>
        <v>EXPLORACION</v>
      </c>
      <c r="L125" s="171"/>
      <c r="M125" s="169"/>
      <c r="N125" s="172"/>
      <c r="O125" s="173" t="s">
        <v>11925</v>
      </c>
      <c r="P125" s="173" t="s">
        <v>11906</v>
      </c>
      <c r="Q125" s="173"/>
      <c r="R125" s="174"/>
      <c r="S125" s="175" t="str">
        <f>IFERROR(VLOOKUP(BD_MO[DNI 4],#REF!,2,FALSE)," ")</f>
        <v xml:space="preserve"> </v>
      </c>
      <c r="T125" s="176">
        <f>+IF(BD_MO[[#This Row],[FECHA]]&lt;&gt;"",COUNTA(BD_MO[[#This Row],[DNI]],BD_MO[[#This Row],[DNI 2]],BD_MO[[#This Row],[DNI 3]],BD_MO[[#This Row],[DNI 4]]),"")</f>
        <v>2</v>
      </c>
      <c r="U125" s="176"/>
      <c r="V125" s="176"/>
      <c r="W125" s="176"/>
      <c r="X125" s="176">
        <v>2</v>
      </c>
      <c r="Y125" s="177">
        <f>SUM(BD_MO[[#This Row],[LIMP]:[SERV]])</f>
        <v>2</v>
      </c>
      <c r="Z125" s="172"/>
      <c r="AA125" s="172" t="str">
        <f>+IF(BD_MO[[#This Row],[N° VALE]]&lt;&gt;"",1,"")</f>
        <v/>
      </c>
      <c r="AB125" s="169"/>
      <c r="AC125" s="172"/>
      <c r="AD125" s="172" t="str">
        <f>+IF(BD_MO[[#This Row],[N° VALE]]&lt;&gt;"",BD_MO[[#This Row],[FULMINANTE N° 08]]+BD_MO[CARMEX 7''],"")</f>
        <v/>
      </c>
      <c r="AE125" s="172"/>
      <c r="AF125" s="172" t="str">
        <f>+IF(BD_MO[[#This Row],[N° VALE]]&lt;&gt;"",BD_MO[[#This Row],[N° TALADROS]]+BD_MO[[#This Row],[N° TAL. VACIOS]],"")</f>
        <v/>
      </c>
      <c r="AG125" s="178"/>
      <c r="AH125" s="178"/>
      <c r="AI125" s="178"/>
      <c r="AJ125" s="178"/>
      <c r="AK125" s="178"/>
      <c r="AL125" s="178"/>
      <c r="AM125" s="171"/>
      <c r="AN125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25" s="172" t="str">
        <f>+IF(BD_MO[[#This Row],[N° VALE]]&lt;&gt;"",IF(BD_MO[[#This Row],[FULMINANTE N° 08]]&lt;&gt;"",BD_MO[[#This Row],[FULMINANTE N° 08]],IF(BD_MO[[#This Row],[CARMEX 7'']]&lt;&gt;0,0,"")),"")</f>
        <v/>
      </c>
      <c r="AP125" s="176" t="str">
        <f>+IF(BD_MO[[#This Row],[N° VALE]]&lt;&gt;"",BD_MO[[#This Row],[N°  TOTAL TALADROS]]*BD_MO[[#This Row],[BARRA]]*0.95,"")</f>
        <v/>
      </c>
      <c r="AQ125" s="176" t="str">
        <f>+IF(BD_MO[[#This Row],[N° VALE]]&lt;&gt;"",BD_MO[[#This Row],[EMULNOR 1000 (N° CART.)]]*PE_EMUL_1000[PE],"")</f>
        <v/>
      </c>
      <c r="AR125" s="176" t="str">
        <f>+IF(BD_MO[[#This Row],[N° VALE]]&lt;&gt;"",BD_MO[[#This Row],[EMULNOR 3000 (N° CART.)]]*PE_EMUL_3000[PE],"")</f>
        <v/>
      </c>
      <c r="AS125" s="176" t="str">
        <f>+IF(BD_MO[[#This Row],[N° VALE]]&lt;&gt;"",BD_MO[[#This Row],[PULVERULENTA (N° CART.)]]*PE_PULV_65[PE],"")</f>
        <v/>
      </c>
      <c r="AT125" s="176" t="str">
        <f>+IF(BD_MO[[#This Row],[N° DISP]]&lt;&gt;"",BD_MO[[#This Row],[SEMIGELATINA (N° CART.)]]*PE_SEMIGEL_65[PE],"")</f>
        <v/>
      </c>
      <c r="AU125" s="176" t="str">
        <f>+IF(BD_MO[N° VALE]&lt;&gt;"",BD_MO[[#This Row],[KG EXPLO SEMIGEL]]+BD_MO[[#This Row],[KG EXPLO PULVE]]+BD_MO[[#This Row],[KG EXPLO EMULN 3000]]+BD_MO[[#This Row],[KG EXPLO EMULN 1000]],"")</f>
        <v/>
      </c>
      <c r="AV125" s="172"/>
      <c r="AW125" s="172"/>
      <c r="AX125" s="172" t="str">
        <f>+IF(BD_MO[[#This Row],[MINERAL (U-35)]]&lt;&gt;"",BD_MO[[#This Row],[MINERAL (U-35)]]*1.45,"-")</f>
        <v>-</v>
      </c>
      <c r="AY125" s="172" t="str">
        <f>+IF(BD_MO[[#This Row],[DESMONTE (U-35)]]&lt;&gt;"",BD_MO[[#This Row],[DESMONTE (U-35)]]*1.23,"-")</f>
        <v>-</v>
      </c>
      <c r="AZ125" s="172"/>
      <c r="BA125" s="172"/>
      <c r="BB125" s="172"/>
      <c r="BC125" s="172"/>
      <c r="BD125" s="172"/>
      <c r="BE125" s="172"/>
      <c r="BF125" s="172"/>
      <c r="BG125" s="172"/>
      <c r="BH125" s="172"/>
      <c r="BI125" s="172"/>
      <c r="BJ125" s="172"/>
      <c r="BK125" s="172"/>
      <c r="BL125" s="172"/>
      <c r="BM125" s="172"/>
      <c r="BN125" s="171"/>
      <c r="BO125" s="172"/>
      <c r="BP125" s="172"/>
      <c r="BQ125" s="171"/>
      <c r="BR125" s="172"/>
      <c r="BS125" s="171"/>
      <c r="BT125" s="176"/>
      <c r="BU125" s="172"/>
      <c r="BV125" s="172"/>
      <c r="BW125" s="172"/>
      <c r="BX125" s="172"/>
      <c r="BY125" s="172"/>
      <c r="BZ125" s="172"/>
      <c r="CA125" s="172"/>
      <c r="CB125" s="172"/>
      <c r="CC125" s="172"/>
      <c r="CD125" s="172"/>
      <c r="CE125" s="172"/>
      <c r="CF125" s="172"/>
      <c r="CG125" s="172"/>
      <c r="CH125" s="172"/>
      <c r="CI125" s="172"/>
      <c r="CJ125" s="172"/>
      <c r="CK125" s="172"/>
      <c r="CL125" s="172"/>
      <c r="CM125" s="172"/>
      <c r="CN125" s="172"/>
      <c r="CO125" s="172"/>
      <c r="CP125" s="176">
        <f>+IF(BD_MO[[#This Row],[FECHA]]&lt;&gt;"",BD_MO[[#This Row],[PUNTAL 4"]]+BD_MO[[#This Row],[PUNTAL 5"]]+BD_MO[[#This Row],[PUNTAL 6"]]+BD_MO[[#This Row],[PUNTAL 7"]]+BD_MO[[#This Row],[PUNTAL 8"]],"")</f>
        <v>0</v>
      </c>
      <c r="CQ125" s="172"/>
      <c r="CR125" s="172"/>
      <c r="CS125" s="172"/>
      <c r="CT125" s="172"/>
      <c r="CU125" s="172"/>
      <c r="CV125" s="172"/>
      <c r="CW125" s="172"/>
      <c r="CX125" s="172"/>
      <c r="CY125" s="176"/>
      <c r="CZ125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25" s="176">
        <f>+IF(BD_MO[[#This Row],[FECHA]]&lt;&gt;"",BD_MO[[#This Row],[DURMIENTE2]]*6.561+BD_MO[[#This Row],[LISTONES]]*4.921+BD_MO[[#This Row],[TABLA 1"x8"x3m]]*6.561+BD_MO[[#This Row],[TABLA 2"x8"x3m]]*13.122,"")</f>
        <v>0</v>
      </c>
      <c r="DB125" s="176">
        <f>+IF(BD_MO[[#This Row],[FECHA]]&lt;&gt;"",BD_MO[[#This Row],[PIE2 MADERA ASERRADA]]*1.95,"")</f>
        <v>0</v>
      </c>
      <c r="DC125" s="176">
        <f>+IF(BD_MO[[#This Row],[FECHA]]&lt;&gt;"",BD_MO[[#This Row],[KG. MADERA REDONDA]]+BD_MO[[#This Row],[KG MADERA ASERRADA]],"")</f>
        <v>0</v>
      </c>
      <c r="DD125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25" s="172"/>
      <c r="DF125" s="172"/>
      <c r="DG125" s="172" t="s">
        <v>12183</v>
      </c>
      <c r="DH125" s="172">
        <v>7</v>
      </c>
      <c r="DI125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25" s="180"/>
      <c r="DK125" s="180"/>
      <c r="DL125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25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25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25" s="181"/>
      <c r="DP125" s="180" t="str">
        <f>+IF(BD_MO[[#This Row],[M o D]]&lt;&gt;"",IF(BD_MO[[#This Row],[M o D]]="M",BD_MO[[#This Row],[ROTURA TMH]]/2.65,BD_MO[[#This Row],[ROTURA TMH]]/2.4),"")</f>
        <v/>
      </c>
      <c r="DQ125" s="180"/>
      <c r="DR125" s="116" t="str">
        <f>IF(BD_MO[[#This Row],[TIPO AVANCE]]="Avance",((BD_MO[[#This Row],[AVANCE (m)]]/BD_MO[[#This Row],[AVANCE TEÓRICO]]))," ")</f>
        <v xml:space="preserve"> </v>
      </c>
      <c r="DS125" s="134"/>
      <c r="DT125" s="134"/>
      <c r="DU125" s="134"/>
      <c r="DV125" s="134"/>
      <c r="DW125" s="134"/>
      <c r="DX125" s="135"/>
      <c r="DY125" s="135"/>
      <c r="DZ125" s="135"/>
    </row>
    <row r="126" spans="1:130" s="136" customFormat="1" ht="18" customHeight="1" x14ac:dyDescent="0.25">
      <c r="A126" s="168">
        <v>44658</v>
      </c>
      <c r="B126" s="169" t="s">
        <v>10655</v>
      </c>
      <c r="C126" s="169" t="s">
        <v>10680</v>
      </c>
      <c r="D126" s="170" t="s">
        <v>10954</v>
      </c>
      <c r="E126" s="171" t="str">
        <f>LEFT(BD_MO[[#This Row],[LABOR]],2)</f>
        <v>MO</v>
      </c>
      <c r="F126" s="172"/>
      <c r="G126" s="172" t="s">
        <v>10669</v>
      </c>
      <c r="H12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26" s="171" t="str">
        <f>IF(BD_MO[FECHA]&lt;&gt;"",VLOOKUP(BD_MO[LABOR],TB_CECO[[LABOR]:[CECO_T]],3,FALSE),"")</f>
        <v>INCA</v>
      </c>
      <c r="J126" s="171" t="str">
        <f>IF(BD_MO[FECHA]&lt;&gt;"",VLOOKUP(BD_MO[LABOR],D_CECO!B:H,7,FALSE),"")</f>
        <v>SERVICIOS</v>
      </c>
      <c r="K126" s="171" t="str">
        <f>IF(BD_MO[FECHA]&lt;&gt;"",VLOOKUP(BD_MO[LABOR],D_CECO!B:H,4,FALSE),"")</f>
        <v>SERVICIOS</v>
      </c>
      <c r="L126" s="171"/>
      <c r="M126" s="169"/>
      <c r="N126" s="172"/>
      <c r="O126" s="173" t="s">
        <v>12117</v>
      </c>
      <c r="P126" s="173" t="s">
        <v>11907</v>
      </c>
      <c r="Q126" s="173"/>
      <c r="R126" s="174"/>
      <c r="S126" s="175" t="str">
        <f>IFERROR(VLOOKUP(BD_MO[DNI 4],#REF!,2,FALSE)," ")</f>
        <v xml:space="preserve"> </v>
      </c>
      <c r="T126" s="176">
        <f>+IF(BD_MO[[#This Row],[FECHA]]&lt;&gt;"",COUNTA(BD_MO[[#This Row],[DNI]],BD_MO[[#This Row],[DNI 2]],BD_MO[[#This Row],[DNI 3]],BD_MO[[#This Row],[DNI 4]]),"")</f>
        <v>2</v>
      </c>
      <c r="U126" s="176"/>
      <c r="V126" s="176"/>
      <c r="W126" s="176"/>
      <c r="X126" s="176">
        <v>2</v>
      </c>
      <c r="Y126" s="177">
        <f>SUM(BD_MO[[#This Row],[LIMP]:[SERV]])</f>
        <v>2</v>
      </c>
      <c r="Z126" s="172"/>
      <c r="AA126" s="172" t="str">
        <f>+IF(BD_MO[[#This Row],[N° VALE]]&lt;&gt;"",1,"")</f>
        <v/>
      </c>
      <c r="AB126" s="169"/>
      <c r="AC126" s="172"/>
      <c r="AD126" s="172" t="str">
        <f>+IF(BD_MO[[#This Row],[N° VALE]]&lt;&gt;"",BD_MO[[#This Row],[FULMINANTE N° 08]]+BD_MO[CARMEX 7''],"")</f>
        <v/>
      </c>
      <c r="AE126" s="172"/>
      <c r="AF126" s="172" t="str">
        <f>+IF(BD_MO[[#This Row],[N° VALE]]&lt;&gt;"",BD_MO[[#This Row],[N° TALADROS]]+BD_MO[[#This Row],[N° TAL. VACIOS]],"")</f>
        <v/>
      </c>
      <c r="AG126" s="178"/>
      <c r="AH126" s="178"/>
      <c r="AI126" s="178"/>
      <c r="AJ126" s="178"/>
      <c r="AK126" s="178"/>
      <c r="AL126" s="178"/>
      <c r="AM126" s="171"/>
      <c r="AN126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26" s="172" t="str">
        <f>+IF(BD_MO[[#This Row],[N° VALE]]&lt;&gt;"",IF(BD_MO[[#This Row],[FULMINANTE N° 08]]&lt;&gt;"",BD_MO[[#This Row],[FULMINANTE N° 08]],IF(BD_MO[[#This Row],[CARMEX 7'']]&lt;&gt;0,0,"")),"")</f>
        <v/>
      </c>
      <c r="AP126" s="176" t="str">
        <f>+IF(BD_MO[[#This Row],[N° VALE]]&lt;&gt;"",BD_MO[[#This Row],[N°  TOTAL TALADROS]]*BD_MO[[#This Row],[BARRA]]*0.95,"")</f>
        <v/>
      </c>
      <c r="AQ126" s="176" t="str">
        <f>+IF(BD_MO[[#This Row],[N° VALE]]&lt;&gt;"",BD_MO[[#This Row],[EMULNOR 1000 (N° CART.)]]*PE_EMUL_1000[PE],"")</f>
        <v/>
      </c>
      <c r="AR126" s="176" t="str">
        <f>+IF(BD_MO[[#This Row],[N° VALE]]&lt;&gt;"",BD_MO[[#This Row],[EMULNOR 3000 (N° CART.)]]*PE_EMUL_3000[PE],"")</f>
        <v/>
      </c>
      <c r="AS126" s="176" t="str">
        <f>+IF(BD_MO[[#This Row],[N° VALE]]&lt;&gt;"",BD_MO[[#This Row],[PULVERULENTA (N° CART.)]]*PE_PULV_65[PE],"")</f>
        <v/>
      </c>
      <c r="AT126" s="176" t="str">
        <f>+IF(BD_MO[[#This Row],[N° DISP]]&lt;&gt;"",BD_MO[[#This Row],[SEMIGELATINA (N° CART.)]]*PE_SEMIGEL_65[PE],"")</f>
        <v/>
      </c>
      <c r="AU126" s="176" t="str">
        <f>+IF(BD_MO[N° VALE]&lt;&gt;"",BD_MO[[#This Row],[KG EXPLO SEMIGEL]]+BD_MO[[#This Row],[KG EXPLO PULVE]]+BD_MO[[#This Row],[KG EXPLO EMULN 3000]]+BD_MO[[#This Row],[KG EXPLO EMULN 1000]],"")</f>
        <v/>
      </c>
      <c r="AV126" s="172"/>
      <c r="AW126" s="172"/>
      <c r="AX126" s="172" t="str">
        <f>+IF(BD_MO[[#This Row],[MINERAL (U-35)]]&lt;&gt;"",BD_MO[[#This Row],[MINERAL (U-35)]]*1.45,"-")</f>
        <v>-</v>
      </c>
      <c r="AY126" s="172" t="str">
        <f>+IF(BD_MO[[#This Row],[DESMONTE (U-35)]]&lt;&gt;"",BD_MO[[#This Row],[DESMONTE (U-35)]]*1.23,"-")</f>
        <v>-</v>
      </c>
      <c r="AZ126" s="172"/>
      <c r="BA126" s="172"/>
      <c r="BB126" s="172"/>
      <c r="BC126" s="172"/>
      <c r="BD126" s="172"/>
      <c r="BE126" s="172"/>
      <c r="BF126" s="172"/>
      <c r="BG126" s="172"/>
      <c r="BH126" s="172"/>
      <c r="BI126" s="172"/>
      <c r="BJ126" s="172"/>
      <c r="BK126" s="172"/>
      <c r="BL126" s="172"/>
      <c r="BM126" s="172"/>
      <c r="BN126" s="171"/>
      <c r="BO126" s="172"/>
      <c r="BP126" s="172"/>
      <c r="BQ126" s="171"/>
      <c r="BR126" s="172"/>
      <c r="BS126" s="171"/>
      <c r="BT126" s="176"/>
      <c r="BU126" s="172"/>
      <c r="BV126" s="172"/>
      <c r="BW126" s="172"/>
      <c r="BX126" s="172"/>
      <c r="BY126" s="172"/>
      <c r="BZ126" s="172"/>
      <c r="CA126" s="172"/>
      <c r="CB126" s="172"/>
      <c r="CC126" s="172"/>
      <c r="CD126" s="172"/>
      <c r="CE126" s="172"/>
      <c r="CF126" s="172"/>
      <c r="CG126" s="172"/>
      <c r="CH126" s="172"/>
      <c r="CI126" s="172"/>
      <c r="CJ126" s="172"/>
      <c r="CK126" s="172"/>
      <c r="CL126" s="172"/>
      <c r="CM126" s="172"/>
      <c r="CN126" s="172"/>
      <c r="CO126" s="172"/>
      <c r="CP126" s="176">
        <f>+IF(BD_MO[[#This Row],[FECHA]]&lt;&gt;"",BD_MO[[#This Row],[PUNTAL 4"]]+BD_MO[[#This Row],[PUNTAL 5"]]+BD_MO[[#This Row],[PUNTAL 6"]]+BD_MO[[#This Row],[PUNTAL 7"]]+BD_MO[[#This Row],[PUNTAL 8"]],"")</f>
        <v>0</v>
      </c>
      <c r="CQ126" s="172"/>
      <c r="CR126" s="172"/>
      <c r="CS126" s="172"/>
      <c r="CT126" s="172"/>
      <c r="CU126" s="172"/>
      <c r="CV126" s="172"/>
      <c r="CW126" s="172"/>
      <c r="CX126" s="172"/>
      <c r="CY126" s="176"/>
      <c r="CZ12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26" s="176">
        <f>+IF(BD_MO[[#This Row],[FECHA]]&lt;&gt;"",BD_MO[[#This Row],[DURMIENTE2]]*6.561+BD_MO[[#This Row],[LISTONES]]*4.921+BD_MO[[#This Row],[TABLA 1"x8"x3m]]*6.561+BD_MO[[#This Row],[TABLA 2"x8"x3m]]*13.122,"")</f>
        <v>0</v>
      </c>
      <c r="DB126" s="176">
        <f>+IF(BD_MO[[#This Row],[FECHA]]&lt;&gt;"",BD_MO[[#This Row],[PIE2 MADERA ASERRADA]]*1.95,"")</f>
        <v>0</v>
      </c>
      <c r="DC126" s="176">
        <f>+IF(BD_MO[[#This Row],[FECHA]]&lt;&gt;"",BD_MO[[#This Row],[KG. MADERA REDONDA]]+BD_MO[[#This Row],[KG MADERA ASERRADA]],"")</f>
        <v>0</v>
      </c>
      <c r="DD12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26" s="172"/>
      <c r="DF126" s="172"/>
      <c r="DG126" s="172"/>
      <c r="DH126" s="172"/>
      <c r="DI126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26" s="180"/>
      <c r="DK126" s="180"/>
      <c r="DL12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26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26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26" s="181"/>
      <c r="DP126" s="180" t="str">
        <f>+IF(BD_MO[[#This Row],[M o D]]&lt;&gt;"",IF(BD_MO[[#This Row],[M o D]]="M",BD_MO[[#This Row],[ROTURA TMH]]/2.65,BD_MO[[#This Row],[ROTURA TMH]]/2.4),"")</f>
        <v/>
      </c>
      <c r="DQ126" s="180"/>
      <c r="DR126" s="116" t="str">
        <f>IF(BD_MO[[#This Row],[TIPO AVANCE]]="Avance",((BD_MO[[#This Row],[AVANCE (m)]]/BD_MO[[#This Row],[AVANCE TEÓRICO]]))," ")</f>
        <v xml:space="preserve"> </v>
      </c>
      <c r="DS126" s="134"/>
      <c r="DT126" s="134"/>
      <c r="DU126" s="134"/>
      <c r="DV126" s="134"/>
      <c r="DW126" s="134"/>
      <c r="DX126" s="135"/>
      <c r="DY126" s="135"/>
      <c r="DZ126" s="135"/>
    </row>
    <row r="127" spans="1:130" s="115" customFormat="1" ht="18" customHeight="1" thickBot="1" x14ac:dyDescent="0.3">
      <c r="A127" s="198">
        <v>44658</v>
      </c>
      <c r="B127" s="199" t="s">
        <v>10655</v>
      </c>
      <c r="C127" s="199" t="s">
        <v>10680</v>
      </c>
      <c r="D127" s="200" t="s">
        <v>10717</v>
      </c>
      <c r="E127" s="201" t="str">
        <f>LEFT(BD_MO[[#This Row],[LABOR]],2)</f>
        <v>BO</v>
      </c>
      <c r="F127" s="202"/>
      <c r="G127" s="202" t="s">
        <v>10669</v>
      </c>
      <c r="H127" s="20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27" s="201" t="str">
        <f>IF(BD_MO[FECHA]&lt;&gt;"",VLOOKUP(BD_MO[LABOR],TB_CECO[[LABOR]:[CECO_T]],3,FALSE),"")</f>
        <v>CACHORRO</v>
      </c>
      <c r="J127" s="201" t="str">
        <f>IF(BD_MO[FECHA]&lt;&gt;"",VLOOKUP(BD_MO[LABOR],D_CECO!B:H,7,FALSE),"")</f>
        <v>SERVICIOS</v>
      </c>
      <c r="K127" s="201" t="str">
        <f>IF(BD_MO[FECHA]&lt;&gt;"",VLOOKUP(BD_MO[LABOR],D_CECO!B:H,4,FALSE),"")</f>
        <v>SERVICIOS</v>
      </c>
      <c r="L127" s="201"/>
      <c r="M127" s="199"/>
      <c r="N127" s="202"/>
      <c r="O127" s="203" t="s">
        <v>11909</v>
      </c>
      <c r="P127" s="203"/>
      <c r="Q127" s="203"/>
      <c r="R127" s="204"/>
      <c r="S127" s="205" t="str">
        <f>IFERROR(VLOOKUP(BD_MO[DNI 4],#REF!,2,FALSE)," ")</f>
        <v xml:space="preserve"> </v>
      </c>
      <c r="T127" s="206">
        <f>+IF(BD_MO[[#This Row],[FECHA]]&lt;&gt;"",COUNTA(BD_MO[[#This Row],[DNI]],BD_MO[[#This Row],[DNI 2]],BD_MO[[#This Row],[DNI 3]],BD_MO[[#This Row],[DNI 4]]),"")</f>
        <v>1</v>
      </c>
      <c r="U127" s="206"/>
      <c r="V127" s="206"/>
      <c r="W127" s="206"/>
      <c r="X127" s="206">
        <v>1</v>
      </c>
      <c r="Y127" s="207">
        <f>SUM(BD_MO[[#This Row],[LIMP]:[SERV]])</f>
        <v>1</v>
      </c>
      <c r="Z127" s="202"/>
      <c r="AA127" s="202" t="str">
        <f>+IF(BD_MO[[#This Row],[N° VALE]]&lt;&gt;"",1,"")</f>
        <v/>
      </c>
      <c r="AB127" s="199"/>
      <c r="AC127" s="202"/>
      <c r="AD127" s="202" t="str">
        <f>+IF(BD_MO[[#This Row],[N° VALE]]&lt;&gt;"",BD_MO[[#This Row],[FULMINANTE N° 08]]+BD_MO[CARMEX 7''],"")</f>
        <v/>
      </c>
      <c r="AE127" s="202"/>
      <c r="AF127" s="202" t="str">
        <f>+IF(BD_MO[[#This Row],[N° VALE]]&lt;&gt;"",BD_MO[[#This Row],[N° TALADROS]]+BD_MO[[#This Row],[N° TAL. VACIOS]],"")</f>
        <v/>
      </c>
      <c r="AG127" s="208"/>
      <c r="AH127" s="208"/>
      <c r="AI127" s="208"/>
      <c r="AJ127" s="208"/>
      <c r="AK127" s="208"/>
      <c r="AL127" s="208"/>
      <c r="AM127" s="201"/>
      <c r="AN127" s="20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27" s="202" t="str">
        <f>+IF(BD_MO[[#This Row],[N° VALE]]&lt;&gt;"",IF(BD_MO[[#This Row],[FULMINANTE N° 08]]&lt;&gt;"",BD_MO[[#This Row],[FULMINANTE N° 08]],IF(BD_MO[[#This Row],[CARMEX 7'']]&lt;&gt;0,0,"")),"")</f>
        <v/>
      </c>
      <c r="AP127" s="206" t="str">
        <f>+IF(BD_MO[[#This Row],[N° VALE]]&lt;&gt;"",BD_MO[[#This Row],[N°  TOTAL TALADROS]]*BD_MO[[#This Row],[BARRA]]*0.95,"")</f>
        <v/>
      </c>
      <c r="AQ127" s="206" t="str">
        <f>+IF(BD_MO[[#This Row],[N° VALE]]&lt;&gt;"",BD_MO[[#This Row],[EMULNOR 1000 (N° CART.)]]*PE_EMUL_1000[PE],"")</f>
        <v/>
      </c>
      <c r="AR127" s="206" t="str">
        <f>+IF(BD_MO[[#This Row],[N° VALE]]&lt;&gt;"",BD_MO[[#This Row],[EMULNOR 3000 (N° CART.)]]*PE_EMUL_3000[PE],"")</f>
        <v/>
      </c>
      <c r="AS127" s="206" t="str">
        <f>+IF(BD_MO[[#This Row],[N° VALE]]&lt;&gt;"",BD_MO[[#This Row],[PULVERULENTA (N° CART.)]]*PE_PULV_65[PE],"")</f>
        <v/>
      </c>
      <c r="AT127" s="206" t="str">
        <f>+IF(BD_MO[[#This Row],[N° DISP]]&lt;&gt;"",BD_MO[[#This Row],[SEMIGELATINA (N° CART.)]]*PE_SEMIGEL_65[PE],"")</f>
        <v/>
      </c>
      <c r="AU127" s="206" t="str">
        <f>+IF(BD_MO[N° VALE]&lt;&gt;"",BD_MO[[#This Row],[KG EXPLO SEMIGEL]]+BD_MO[[#This Row],[KG EXPLO PULVE]]+BD_MO[[#This Row],[KG EXPLO EMULN 3000]]+BD_MO[[#This Row],[KG EXPLO EMULN 1000]],"")</f>
        <v/>
      </c>
      <c r="AV127" s="202"/>
      <c r="AW127" s="202"/>
      <c r="AX127" s="202" t="str">
        <f>+IF(BD_MO[[#This Row],[MINERAL (U-35)]]&lt;&gt;"",BD_MO[[#This Row],[MINERAL (U-35)]]*1.45,"-")</f>
        <v>-</v>
      </c>
      <c r="AY127" s="202" t="str">
        <f>+IF(BD_MO[[#This Row],[DESMONTE (U-35)]]&lt;&gt;"",BD_MO[[#This Row],[DESMONTE (U-35)]]*1.23,"-")</f>
        <v>-</v>
      </c>
      <c r="AZ127" s="202"/>
      <c r="BA127" s="202"/>
      <c r="BB127" s="202"/>
      <c r="BC127" s="202"/>
      <c r="BD127" s="202"/>
      <c r="BE127" s="202"/>
      <c r="BF127" s="202"/>
      <c r="BG127" s="202"/>
      <c r="BH127" s="202"/>
      <c r="BI127" s="202"/>
      <c r="BJ127" s="202"/>
      <c r="BK127" s="202"/>
      <c r="BL127" s="202"/>
      <c r="BM127" s="202"/>
      <c r="BN127" s="201"/>
      <c r="BO127" s="202"/>
      <c r="BP127" s="202"/>
      <c r="BQ127" s="201"/>
      <c r="BR127" s="202"/>
      <c r="BS127" s="201"/>
      <c r="BT127" s="206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2"/>
      <c r="CG127" s="202"/>
      <c r="CH127" s="202"/>
      <c r="CI127" s="202"/>
      <c r="CJ127" s="202"/>
      <c r="CK127" s="202"/>
      <c r="CL127" s="202"/>
      <c r="CM127" s="202"/>
      <c r="CN127" s="202"/>
      <c r="CO127" s="202"/>
      <c r="CP127" s="206">
        <f>+IF(BD_MO[[#This Row],[FECHA]]&lt;&gt;"",BD_MO[[#This Row],[PUNTAL 4"]]+BD_MO[[#This Row],[PUNTAL 5"]]+BD_MO[[#This Row],[PUNTAL 6"]]+BD_MO[[#This Row],[PUNTAL 7"]]+BD_MO[[#This Row],[PUNTAL 8"]],"")</f>
        <v>0</v>
      </c>
      <c r="CQ127" s="202"/>
      <c r="CR127" s="202"/>
      <c r="CS127" s="202"/>
      <c r="CT127" s="202"/>
      <c r="CU127" s="202"/>
      <c r="CV127" s="202"/>
      <c r="CW127" s="202"/>
      <c r="CX127" s="202"/>
      <c r="CY127" s="206"/>
      <c r="CZ127" s="20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27" s="206">
        <f>+IF(BD_MO[[#This Row],[FECHA]]&lt;&gt;"",BD_MO[[#This Row],[DURMIENTE2]]*6.561+BD_MO[[#This Row],[LISTONES]]*4.921+BD_MO[[#This Row],[TABLA 1"x8"x3m]]*6.561+BD_MO[[#This Row],[TABLA 2"x8"x3m]]*13.122,"")</f>
        <v>0</v>
      </c>
      <c r="DB127" s="206">
        <f>+IF(BD_MO[[#This Row],[FECHA]]&lt;&gt;"",BD_MO[[#This Row],[PIE2 MADERA ASERRADA]]*1.95,"")</f>
        <v>0</v>
      </c>
      <c r="DC127" s="206">
        <f>+IF(BD_MO[[#This Row],[FECHA]]&lt;&gt;"",BD_MO[[#This Row],[KG. MADERA REDONDA]]+BD_MO[[#This Row],[KG MADERA ASERRADA]],"")</f>
        <v>0</v>
      </c>
      <c r="DD127" s="20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27" s="202"/>
      <c r="DF127" s="202"/>
      <c r="DG127" s="202"/>
      <c r="DH127" s="202"/>
      <c r="DI127" s="21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27" s="210"/>
      <c r="DK127" s="210"/>
      <c r="DL127" s="21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27" s="21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27" s="21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27" s="211"/>
      <c r="DP127" s="210" t="str">
        <f>+IF(BD_MO[[#This Row],[M o D]]&lt;&gt;"",IF(BD_MO[[#This Row],[M o D]]="M",BD_MO[[#This Row],[ROTURA TMH]]/2.65,BD_MO[[#This Row],[ROTURA TMH]]/2.4),"")</f>
        <v/>
      </c>
      <c r="DQ127" s="210"/>
      <c r="DR127" s="116" t="str">
        <f>IF(BD_MO[[#This Row],[TIPO AVANCE]]="Avance",((BD_MO[[#This Row],[AVANCE (m)]]/BD_MO[[#This Row],[AVANCE TEÓRICO]]))," ")</f>
        <v xml:space="preserve"> </v>
      </c>
      <c r="DS127" s="113"/>
      <c r="DT127" s="113"/>
      <c r="DU127" s="113"/>
      <c r="DV127" s="113"/>
      <c r="DW127" s="113"/>
      <c r="DX127" s="114"/>
      <c r="DY127" s="114"/>
      <c r="DZ127" s="114"/>
    </row>
    <row r="128" spans="1:130" s="136" customFormat="1" ht="18" customHeight="1" x14ac:dyDescent="0.25">
      <c r="A128" s="168">
        <v>44659</v>
      </c>
      <c r="B128" s="169" t="s">
        <v>10647</v>
      </c>
      <c r="C128" s="169" t="s">
        <v>10672</v>
      </c>
      <c r="D128" s="170" t="s">
        <v>10952</v>
      </c>
      <c r="E128" s="171" t="str">
        <f>LEFT(BD_MO[[#This Row],[LABOR]],2)</f>
        <v>In</v>
      </c>
      <c r="F128" s="172" t="s">
        <v>10687</v>
      </c>
      <c r="G128" s="172" t="s">
        <v>10648</v>
      </c>
      <c r="H128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28" s="171" t="str">
        <f>IF(BD_MO[FECHA]&lt;&gt;"",VLOOKUP(BD_MO[LABOR],TB_CECO[[LABOR]:[CECO_T]],3,FALSE),"")</f>
        <v>VANESSA</v>
      </c>
      <c r="J128" s="171" t="str">
        <f>IF(BD_MO[FECHA]&lt;&gt;"",VLOOKUP(BD_MO[LABOR],D_CECO!B:H,7,FALSE),"")</f>
        <v>LINEAL</v>
      </c>
      <c r="K128" s="171" t="str">
        <f>IF(BD_MO[FECHA]&lt;&gt;"",VLOOKUP(BD_MO[LABOR],D_CECO!B:H,4,FALSE),"")</f>
        <v>EXPLORACION</v>
      </c>
      <c r="L128" s="171"/>
      <c r="M128" s="169" t="s">
        <v>10646</v>
      </c>
      <c r="N128" s="172"/>
      <c r="O128" s="173" t="s">
        <v>12192</v>
      </c>
      <c r="P128" s="173" t="s">
        <v>12205</v>
      </c>
      <c r="Q128" s="173"/>
      <c r="R128" s="174"/>
      <c r="S128" s="175" t="str">
        <f>IFERROR(VLOOKUP(BD_MO[DNI 4],#REF!,2,FALSE)," ")</f>
        <v xml:space="preserve"> </v>
      </c>
      <c r="T128" s="176">
        <f>+IF(BD_MO[[#This Row],[FECHA]]&lt;&gt;"",COUNTA(BD_MO[[#This Row],[DNI]],BD_MO[[#This Row],[DNI 2]],BD_MO[[#This Row],[DNI 3]],BD_MO[[#This Row],[DNI 4]]),"")</f>
        <v>2</v>
      </c>
      <c r="U128" s="176">
        <v>1.04</v>
      </c>
      <c r="V128" s="176">
        <v>0.57999999999999996</v>
      </c>
      <c r="W128" s="176"/>
      <c r="X128" s="176">
        <v>0.38</v>
      </c>
      <c r="Y128" s="177">
        <f>SUM(BD_MO[[#This Row],[LIMP]:[SERV]])</f>
        <v>2</v>
      </c>
      <c r="Z128" s="172" t="s">
        <v>12216</v>
      </c>
      <c r="AA128" s="172">
        <f>+IF(BD_MO[[#This Row],[N° VALE]]&lt;&gt;"",1,"")</f>
        <v>1</v>
      </c>
      <c r="AB128" s="169" t="s">
        <v>10710</v>
      </c>
      <c r="AC128" s="172">
        <v>4</v>
      </c>
      <c r="AD128" s="172">
        <f>+IF(BD_MO[[#This Row],[N° VALE]]&lt;&gt;"",BD_MO[[#This Row],[FULMINANTE N° 08]]+BD_MO[CARMEX 7''],"")</f>
        <v>20</v>
      </c>
      <c r="AE128" s="172"/>
      <c r="AF128" s="172">
        <f>+IF(BD_MO[[#This Row],[N° VALE]]&lt;&gt;"",BD_MO[[#This Row],[N° TALADROS]]+BD_MO[[#This Row],[N° TAL. VACIOS]],"")</f>
        <v>20</v>
      </c>
      <c r="AG128" s="178">
        <v>45</v>
      </c>
      <c r="AH128" s="178">
        <v>35</v>
      </c>
      <c r="AI128" s="178"/>
      <c r="AJ128" s="178"/>
      <c r="AK128" s="178">
        <v>20</v>
      </c>
      <c r="AL128" s="178">
        <v>6</v>
      </c>
      <c r="AM128" s="171"/>
      <c r="AN128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28" s="172">
        <f>+IF(BD_MO[[#This Row],[N° VALE]]&lt;&gt;"",IF(BD_MO[[#This Row],[FULMINANTE N° 08]]&lt;&gt;"",BD_MO[[#This Row],[FULMINANTE N° 08]],IF(BD_MO[[#This Row],[CARMEX 7'']]&lt;&gt;0,0,"")),"")</f>
        <v>0</v>
      </c>
      <c r="AP128" s="176">
        <f>+IF(BD_MO[[#This Row],[N° VALE]]&lt;&gt;"",BD_MO[[#This Row],[N°  TOTAL TALADROS]]*BD_MO[[#This Row],[BARRA]]*0.95,"")</f>
        <v>76</v>
      </c>
      <c r="AQ128" s="176">
        <f>+IF(BD_MO[[#This Row],[N° VALE]]&lt;&gt;"",BD_MO[[#This Row],[EMULNOR 1000 (N° CART.)]]*PE_EMUL_1000[PE],"")</f>
        <v>3.3145000000000002</v>
      </c>
      <c r="AR128" s="176">
        <f>+IF(BD_MO[[#This Row],[N° VALE]]&lt;&gt;"",BD_MO[[#This Row],[EMULNOR 3000 (N° CART.)]]*PE_EMUL_3000[PE],"")</f>
        <v>4.3269230769230793</v>
      </c>
      <c r="AS128" s="176">
        <f>+IF(BD_MO[[#This Row],[N° VALE]]&lt;&gt;"",BD_MO[[#This Row],[PULVERULENTA (N° CART.)]]*PE_PULV_65[PE],"")</f>
        <v>0</v>
      </c>
      <c r="AT128" s="176">
        <f>+IF(BD_MO[[#This Row],[N° DISP]]&lt;&gt;"",BD_MO[[#This Row],[SEMIGELATINA (N° CART.)]]*PE_SEMIGEL_65[PE],"")</f>
        <v>0</v>
      </c>
      <c r="AU128" s="176">
        <f>+IF(BD_MO[N° VALE]&lt;&gt;"",BD_MO[[#This Row],[KG EXPLO SEMIGEL]]+BD_MO[[#This Row],[KG EXPLO PULVE]]+BD_MO[[#This Row],[KG EXPLO EMULN 3000]]+BD_MO[[#This Row],[KG EXPLO EMULN 1000]],"")</f>
        <v>7.6414230769230791</v>
      </c>
      <c r="AV128" s="172"/>
      <c r="AW128" s="172"/>
      <c r="AX128" s="172" t="str">
        <f>+IF(BD_MO[[#This Row],[MINERAL (U-35)]]&lt;&gt;"",BD_MO[[#This Row],[MINERAL (U-35)]]*1.45,"-")</f>
        <v>-</v>
      </c>
      <c r="AY128" s="172" t="str">
        <f>+IF(BD_MO[[#This Row],[DESMONTE (U-35)]]&lt;&gt;"",BD_MO[[#This Row],[DESMONTE (U-35)]]*1.23,"-")</f>
        <v>-</v>
      </c>
      <c r="AZ128" s="172"/>
      <c r="BA128" s="172"/>
      <c r="BB128" s="172"/>
      <c r="BC128" s="172"/>
      <c r="BD128" s="172"/>
      <c r="BE128" s="172"/>
      <c r="BF128" s="172"/>
      <c r="BG128" s="172"/>
      <c r="BH128" s="172"/>
      <c r="BI128" s="172"/>
      <c r="BJ128" s="172"/>
      <c r="BK128" s="172"/>
      <c r="BL128" s="172"/>
      <c r="BM128" s="172"/>
      <c r="BN128" s="171"/>
      <c r="BO128" s="172"/>
      <c r="BP128" s="172"/>
      <c r="BQ128" s="171"/>
      <c r="BR128" s="172"/>
      <c r="BS128" s="171"/>
      <c r="BT128" s="176"/>
      <c r="BU128" s="172"/>
      <c r="BV128" s="172"/>
      <c r="BW128" s="172"/>
      <c r="BX128" s="172"/>
      <c r="BY128" s="172"/>
      <c r="BZ128" s="172"/>
      <c r="CA128" s="172"/>
      <c r="CB128" s="172"/>
      <c r="CC128" s="172"/>
      <c r="CD128" s="172"/>
      <c r="CE128" s="172"/>
      <c r="CF128" s="172"/>
      <c r="CG128" s="172"/>
      <c r="CH128" s="172"/>
      <c r="CI128" s="172"/>
      <c r="CJ128" s="172"/>
      <c r="CK128" s="172"/>
      <c r="CL128" s="172"/>
      <c r="CM128" s="172"/>
      <c r="CN128" s="172"/>
      <c r="CO128" s="172"/>
      <c r="CP128" s="176">
        <f>+IF(BD_MO[[#This Row],[FECHA]]&lt;&gt;"",BD_MO[[#This Row],[PUNTAL 4"]]+BD_MO[[#This Row],[PUNTAL 5"]]+BD_MO[[#This Row],[PUNTAL 6"]]+BD_MO[[#This Row],[PUNTAL 7"]]+BD_MO[[#This Row],[PUNTAL 8"]],"")</f>
        <v>0</v>
      </c>
      <c r="CQ128" s="172"/>
      <c r="CR128" s="172"/>
      <c r="CS128" s="172"/>
      <c r="CT128" s="172"/>
      <c r="CU128" s="172"/>
      <c r="CV128" s="172"/>
      <c r="CW128" s="172"/>
      <c r="CX128" s="172"/>
      <c r="CY128" s="176"/>
      <c r="CZ128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28" s="176">
        <f>+IF(BD_MO[[#This Row],[FECHA]]&lt;&gt;"",BD_MO[[#This Row],[DURMIENTE2]]*6.561+BD_MO[[#This Row],[LISTONES]]*4.921+BD_MO[[#This Row],[TABLA 1"x8"x3m]]*6.561+BD_MO[[#This Row],[TABLA 2"x8"x3m]]*13.122,"")</f>
        <v>0</v>
      </c>
      <c r="DB128" s="176">
        <f>+IF(BD_MO[[#This Row],[FECHA]]&lt;&gt;"",BD_MO[[#This Row],[PIE2 MADERA ASERRADA]]*1.95,"")</f>
        <v>0</v>
      </c>
      <c r="DC128" s="176">
        <f>+IF(BD_MO[[#This Row],[FECHA]]&lt;&gt;"",BD_MO[[#This Row],[KG. MADERA REDONDA]]+BD_MO[[#This Row],[KG MADERA ASERRADA]],"")</f>
        <v>0</v>
      </c>
      <c r="DD128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28" s="172"/>
      <c r="DF128" s="172"/>
      <c r="DG128" s="172"/>
      <c r="DH128" s="172"/>
      <c r="DI128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128" s="180"/>
      <c r="DK128" s="180"/>
      <c r="DL128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28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128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28" s="181">
        <v>13</v>
      </c>
      <c r="DP128" s="180">
        <f>+IF(BD_MO[[#This Row],[M o D]]&lt;&gt;"",IF(BD_MO[[#This Row],[M o D]]="M",BD_MO[[#This Row],[ROTURA TMH]]/2.65,BD_MO[[#This Row],[ROTURA TMH]]/2.4),"")</f>
        <v>5.416666666666667</v>
      </c>
      <c r="DQ128" s="180">
        <v>0.85</v>
      </c>
      <c r="DR128" s="116">
        <f>IF(BD_MO[[#This Row],[TIPO AVANCE]]="Avance",((BD_MO[[#This Row],[AVANCE (m)]]/BD_MO[[#This Row],[AVANCE TEÓRICO]]))," ")</f>
        <v>0.78703703703703698</v>
      </c>
      <c r="DS128" s="134"/>
      <c r="DT128" s="134"/>
      <c r="DU128" s="134"/>
      <c r="DV128" s="134"/>
      <c r="DW128" s="134"/>
      <c r="DX128" s="135"/>
      <c r="DY128" s="135"/>
      <c r="DZ128" s="135"/>
    </row>
    <row r="129" spans="1:130" s="136" customFormat="1" ht="18" customHeight="1" x14ac:dyDescent="0.25">
      <c r="A129" s="168">
        <v>44659</v>
      </c>
      <c r="B129" s="169" t="s">
        <v>10647</v>
      </c>
      <c r="C129" s="169" t="s">
        <v>10672</v>
      </c>
      <c r="D129" s="170" t="s">
        <v>12164</v>
      </c>
      <c r="E129" s="171" t="str">
        <f>LEFT(BD_MO[[#This Row],[LABOR]],2)</f>
        <v>Tj</v>
      </c>
      <c r="F129" s="172" t="s">
        <v>10950</v>
      </c>
      <c r="G129" s="172" t="s">
        <v>10648</v>
      </c>
      <c r="H12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29" s="171" t="str">
        <f>IF(BD_MO[FECHA]&lt;&gt;"",VLOOKUP(BD_MO[LABOR],TB_CECO[[LABOR]:[CECO_T]],3,FALSE),"")</f>
        <v>VANESSA</v>
      </c>
      <c r="J129" s="171" t="str">
        <f>IF(BD_MO[FECHA]&lt;&gt;"",VLOOKUP(BD_MO[LABOR],D_CECO!B:H,7,FALSE),"")</f>
        <v>TAJO</v>
      </c>
      <c r="K129" s="171" t="str">
        <f>IF(BD_MO[FECHA]&lt;&gt;"",VLOOKUP(BD_MO[LABOR],D_CECO!B:H,4,FALSE),"")</f>
        <v>EXPLOTACION</v>
      </c>
      <c r="L129" s="171"/>
      <c r="M129" s="169" t="s">
        <v>10679</v>
      </c>
      <c r="N129" s="172"/>
      <c r="O129" s="173" t="s">
        <v>12194</v>
      </c>
      <c r="P129" s="173" t="s">
        <v>12195</v>
      </c>
      <c r="Q129" s="173"/>
      <c r="R129" s="174"/>
      <c r="S129" s="175" t="str">
        <f>IFERROR(VLOOKUP(BD_MO[DNI 4],#REF!,2,FALSE)," ")</f>
        <v xml:space="preserve"> </v>
      </c>
      <c r="T129" s="176">
        <f>+IF(BD_MO[[#This Row],[FECHA]]&lt;&gt;"",COUNTA(BD_MO[[#This Row],[DNI]],BD_MO[[#This Row],[DNI 2]],BD_MO[[#This Row],[DNI 3]],BD_MO[[#This Row],[DNI 4]]),"")</f>
        <v>2</v>
      </c>
      <c r="U129" s="176">
        <v>0.76</v>
      </c>
      <c r="V129" s="176">
        <v>0.28000000000000003</v>
      </c>
      <c r="W129" s="176">
        <v>0.57999999999999996</v>
      </c>
      <c r="X129" s="176">
        <v>0.38</v>
      </c>
      <c r="Y129" s="177">
        <f>SUM(BD_MO[[#This Row],[LIMP]:[SERV]])</f>
        <v>2</v>
      </c>
      <c r="Z129" s="172" t="s">
        <v>12217</v>
      </c>
      <c r="AA129" s="172">
        <f>+IF(BD_MO[[#This Row],[N° VALE]]&lt;&gt;"",1,"")</f>
        <v>1</v>
      </c>
      <c r="AB129" s="169" t="s">
        <v>10644</v>
      </c>
      <c r="AC129" s="172">
        <v>4</v>
      </c>
      <c r="AD129" s="172">
        <f>+IF(BD_MO[[#This Row],[N° VALE]]&lt;&gt;"",BD_MO[[#This Row],[FULMINANTE N° 08]]+BD_MO[CARMEX 7''],"")</f>
        <v>3</v>
      </c>
      <c r="AE129" s="172"/>
      <c r="AF129" s="172">
        <f>+IF(BD_MO[[#This Row],[N° VALE]]&lt;&gt;"",BD_MO[[#This Row],[N° TALADROS]]+BD_MO[[#This Row],[N° TAL. VACIOS]],"")</f>
        <v>3</v>
      </c>
      <c r="AG129" s="178">
        <v>3</v>
      </c>
      <c r="AH129" s="178">
        <v>3</v>
      </c>
      <c r="AI129" s="178"/>
      <c r="AJ129" s="178"/>
      <c r="AK129" s="178">
        <v>3</v>
      </c>
      <c r="AL129" s="178">
        <v>2</v>
      </c>
      <c r="AM129" s="171"/>
      <c r="AN129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29" s="172">
        <f>+IF(BD_MO[[#This Row],[N° VALE]]&lt;&gt;"",IF(BD_MO[[#This Row],[FULMINANTE N° 08]]&lt;&gt;"",BD_MO[[#This Row],[FULMINANTE N° 08]],IF(BD_MO[[#This Row],[CARMEX 7'']]&lt;&gt;0,0,"")),"")</f>
        <v>0</v>
      </c>
      <c r="AP129" s="176">
        <f>+IF(BD_MO[[#This Row],[N° VALE]]&lt;&gt;"",BD_MO[[#This Row],[N°  TOTAL TALADROS]]*BD_MO[[#This Row],[BARRA]]*0.95,"")</f>
        <v>11.399999999999999</v>
      </c>
      <c r="AQ129" s="176">
        <f>+IF(BD_MO[[#This Row],[N° VALE]]&lt;&gt;"",BD_MO[[#This Row],[EMULNOR 1000 (N° CART.)]]*PE_EMUL_1000[PE],"")</f>
        <v>0.28410000000000002</v>
      </c>
      <c r="AR129" s="176">
        <f>+IF(BD_MO[[#This Row],[N° VALE]]&lt;&gt;"",BD_MO[[#This Row],[EMULNOR 3000 (N° CART.)]]*PE_EMUL_3000[PE],"")</f>
        <v>0.2884615384615386</v>
      </c>
      <c r="AS129" s="176">
        <f>+IF(BD_MO[[#This Row],[N° VALE]]&lt;&gt;"",BD_MO[[#This Row],[PULVERULENTA (N° CART.)]]*PE_PULV_65[PE],"")</f>
        <v>0</v>
      </c>
      <c r="AT129" s="176">
        <f>+IF(BD_MO[[#This Row],[N° DISP]]&lt;&gt;"",BD_MO[[#This Row],[SEMIGELATINA (N° CART.)]]*PE_SEMIGEL_65[PE],"")</f>
        <v>0</v>
      </c>
      <c r="AU129" s="176">
        <f>+IF(BD_MO[N° VALE]&lt;&gt;"",BD_MO[[#This Row],[KG EXPLO SEMIGEL]]+BD_MO[[#This Row],[KG EXPLO PULVE]]+BD_MO[[#This Row],[KG EXPLO EMULN 3000]]+BD_MO[[#This Row],[KG EXPLO EMULN 1000]],"")</f>
        <v>0.57256153846153857</v>
      </c>
      <c r="AV129" s="172"/>
      <c r="AW129" s="172"/>
      <c r="AX129" s="172" t="str">
        <f>+IF(BD_MO[[#This Row],[MINERAL (U-35)]]&lt;&gt;"",BD_MO[[#This Row],[MINERAL (U-35)]]*1.45,"-")</f>
        <v>-</v>
      </c>
      <c r="AY129" s="172" t="str">
        <f>+IF(BD_MO[[#This Row],[DESMONTE (U-35)]]&lt;&gt;"",BD_MO[[#This Row],[DESMONTE (U-35)]]*1.23,"-")</f>
        <v>-</v>
      </c>
      <c r="AZ129" s="172"/>
      <c r="BA129" s="172">
        <v>1</v>
      </c>
      <c r="BB129" s="172"/>
      <c r="BC129" s="172"/>
      <c r="BD129" s="172"/>
      <c r="BE129" s="172"/>
      <c r="BF129" s="172"/>
      <c r="BG129" s="172"/>
      <c r="BH129" s="172"/>
      <c r="BI129" s="172">
        <v>1</v>
      </c>
      <c r="BJ129" s="172"/>
      <c r="BK129" s="172"/>
      <c r="BL129" s="172"/>
      <c r="BM129" s="172"/>
      <c r="BN129" s="171"/>
      <c r="BO129" s="172"/>
      <c r="BP129" s="172"/>
      <c r="BQ129" s="171"/>
      <c r="BR129" s="172"/>
      <c r="BS129" s="171"/>
      <c r="BT129" s="176"/>
      <c r="BU129" s="172"/>
      <c r="BV129" s="172"/>
      <c r="BW129" s="172"/>
      <c r="BX129" s="172"/>
      <c r="BY129" s="172"/>
      <c r="BZ129" s="172"/>
      <c r="CA129" s="172"/>
      <c r="CB129" s="172"/>
      <c r="CC129" s="172"/>
      <c r="CD129" s="172"/>
      <c r="CE129" s="172"/>
      <c r="CF129" s="172"/>
      <c r="CG129" s="172"/>
      <c r="CH129" s="172"/>
      <c r="CI129" s="172"/>
      <c r="CJ129" s="172"/>
      <c r="CK129" s="172"/>
      <c r="CL129" s="172"/>
      <c r="CM129" s="172"/>
      <c r="CN129" s="172"/>
      <c r="CO129" s="172"/>
      <c r="CP129" s="176">
        <f>+IF(BD_MO[[#This Row],[FECHA]]&lt;&gt;"",BD_MO[[#This Row],[PUNTAL 4"]]+BD_MO[[#This Row],[PUNTAL 5"]]+BD_MO[[#This Row],[PUNTAL 6"]]+BD_MO[[#This Row],[PUNTAL 7"]]+BD_MO[[#This Row],[PUNTAL 8"]],"")</f>
        <v>0</v>
      </c>
      <c r="CQ129" s="172"/>
      <c r="CR129" s="172"/>
      <c r="CS129" s="172"/>
      <c r="CT129" s="172"/>
      <c r="CU129" s="172"/>
      <c r="CV129" s="172"/>
      <c r="CW129" s="172"/>
      <c r="CX129" s="172"/>
      <c r="CY129" s="176"/>
      <c r="CZ12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29" s="176">
        <f>+IF(BD_MO[[#This Row],[FECHA]]&lt;&gt;"",BD_MO[[#This Row],[DURMIENTE2]]*6.561+BD_MO[[#This Row],[LISTONES]]*4.921+BD_MO[[#This Row],[TABLA 1"x8"x3m]]*6.561+BD_MO[[#This Row],[TABLA 2"x8"x3m]]*13.122,"")</f>
        <v>0</v>
      </c>
      <c r="DB129" s="176">
        <f>+IF(BD_MO[[#This Row],[FECHA]]&lt;&gt;"",BD_MO[[#This Row],[PIE2 MADERA ASERRADA]]*1.95,"")</f>
        <v>0</v>
      </c>
      <c r="DC129" s="176">
        <f>+IF(BD_MO[[#This Row],[FECHA]]&lt;&gt;"",BD_MO[[#This Row],[KG. MADERA REDONDA]]+BD_MO[[#This Row],[KG MADERA ASERRADA]],"")</f>
        <v>0</v>
      </c>
      <c r="DD12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29" s="172"/>
      <c r="DF129" s="172"/>
      <c r="DG129" s="172"/>
      <c r="DH129" s="172"/>
      <c r="DI129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29" s="180"/>
      <c r="DK129" s="180"/>
      <c r="DL129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0.7</v>
      </c>
      <c r="DM129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0.72799999999999998</v>
      </c>
      <c r="DN129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29" s="181">
        <v>3.19</v>
      </c>
      <c r="DP129" s="180">
        <f>+IF(BD_MO[[#This Row],[M o D]]&lt;&gt;"",IF(BD_MO[[#This Row],[M o D]]="M",BD_MO[[#This Row],[ROTURA TMH]]/2.65,BD_MO[[#This Row],[ROTURA TMH]]/2.4),"")</f>
        <v>1.2037735849056603</v>
      </c>
      <c r="DQ129" s="180"/>
      <c r="DR129" s="116" t="str">
        <f>IF(BD_MO[[#This Row],[TIPO AVANCE]]="Avance",((BD_MO[[#This Row],[AVANCE (m)]]/BD_MO[[#This Row],[AVANCE TEÓRICO]]))," ")</f>
        <v xml:space="preserve"> </v>
      </c>
      <c r="DS129" s="134"/>
      <c r="DT129" s="134"/>
      <c r="DU129" s="134"/>
      <c r="DV129" s="134"/>
      <c r="DW129" s="134"/>
      <c r="DX129" s="135"/>
      <c r="DY129" s="135"/>
      <c r="DZ129" s="135"/>
    </row>
    <row r="130" spans="1:130" s="136" customFormat="1" ht="18" customHeight="1" x14ac:dyDescent="0.25">
      <c r="A130" s="168">
        <v>44659</v>
      </c>
      <c r="B130" s="169" t="s">
        <v>10647</v>
      </c>
      <c r="C130" s="169" t="s">
        <v>10672</v>
      </c>
      <c r="D130" s="170" t="s">
        <v>12116</v>
      </c>
      <c r="E130" s="171" t="str">
        <f>LEFT(BD_MO[[#This Row],[LABOR]],2)</f>
        <v>Cx</v>
      </c>
      <c r="F130" s="172"/>
      <c r="G130" s="172" t="s">
        <v>10673</v>
      </c>
      <c r="H13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REHABILITACION</v>
      </c>
      <c r="I130" s="171" t="str">
        <f>IF(BD_MO[FECHA]&lt;&gt;"",VLOOKUP(BD_MO[LABOR],TB_CECO[[LABOR]:[CECO_T]],3,FALSE),"")</f>
        <v>ESCONDIDA</v>
      </c>
      <c r="J130" s="171" t="str">
        <f>IF(BD_MO[FECHA]&lt;&gt;"",VLOOKUP(BD_MO[LABOR],D_CECO!B:H,7,FALSE),"")</f>
        <v>LINEAL</v>
      </c>
      <c r="K130" s="171" t="str">
        <f>IF(BD_MO[FECHA]&lt;&gt;"",VLOOKUP(BD_MO[LABOR],D_CECO!B:H,4,FALSE),"")</f>
        <v>EXPLOTACION</v>
      </c>
      <c r="L130" s="171"/>
      <c r="M130" s="169"/>
      <c r="N130" s="172"/>
      <c r="O130" s="173" t="s">
        <v>12196</v>
      </c>
      <c r="P130" s="173" t="s">
        <v>12197</v>
      </c>
      <c r="Q130" s="173"/>
      <c r="R130" s="174"/>
      <c r="S130" s="175" t="str">
        <f>IFERROR(VLOOKUP(BD_MO[DNI 4],#REF!,2,FALSE)," ")</f>
        <v xml:space="preserve"> </v>
      </c>
      <c r="T130" s="176">
        <f>+IF(BD_MO[[#This Row],[FECHA]]&lt;&gt;"",COUNTA(BD_MO[[#This Row],[DNI]],BD_MO[[#This Row],[DNI 2]],BD_MO[[#This Row],[DNI 3]],BD_MO[[#This Row],[DNI 4]]),"")</f>
        <v>2</v>
      </c>
      <c r="U130" s="176">
        <v>0.48</v>
      </c>
      <c r="V130" s="176"/>
      <c r="W130" s="176">
        <v>1.04</v>
      </c>
      <c r="X130" s="176">
        <v>0.48</v>
      </c>
      <c r="Y130" s="177">
        <f>SUM(BD_MO[[#This Row],[LIMP]:[SERV]])</f>
        <v>2</v>
      </c>
      <c r="Z130" s="172"/>
      <c r="AA130" s="172" t="str">
        <f>+IF(BD_MO[[#This Row],[N° VALE]]&lt;&gt;"",1,"")</f>
        <v/>
      </c>
      <c r="AB130" s="169"/>
      <c r="AC130" s="172"/>
      <c r="AD130" s="172" t="str">
        <f>+IF(BD_MO[[#This Row],[N° VALE]]&lt;&gt;"",BD_MO[[#This Row],[FULMINANTE N° 08]]+BD_MO[CARMEX 7''],"")</f>
        <v/>
      </c>
      <c r="AE130" s="172"/>
      <c r="AF130" s="172" t="str">
        <f>+IF(BD_MO[[#This Row],[N° VALE]]&lt;&gt;"",BD_MO[[#This Row],[N° TALADROS]]+BD_MO[[#This Row],[N° TAL. VACIOS]],"")</f>
        <v/>
      </c>
      <c r="AG130" s="178"/>
      <c r="AH130" s="178"/>
      <c r="AI130" s="178"/>
      <c r="AJ130" s="178"/>
      <c r="AK130" s="178"/>
      <c r="AL130" s="178"/>
      <c r="AM130" s="171"/>
      <c r="AN130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30" s="172" t="str">
        <f>+IF(BD_MO[[#This Row],[N° VALE]]&lt;&gt;"",IF(BD_MO[[#This Row],[FULMINANTE N° 08]]&lt;&gt;"",BD_MO[[#This Row],[FULMINANTE N° 08]],IF(BD_MO[[#This Row],[CARMEX 7'']]&lt;&gt;0,0,"")),"")</f>
        <v/>
      </c>
      <c r="AP130" s="176" t="str">
        <f>+IF(BD_MO[[#This Row],[N° VALE]]&lt;&gt;"",BD_MO[[#This Row],[N°  TOTAL TALADROS]]*BD_MO[[#This Row],[BARRA]]*0.95,"")</f>
        <v/>
      </c>
      <c r="AQ130" s="176" t="str">
        <f>+IF(BD_MO[[#This Row],[N° VALE]]&lt;&gt;"",BD_MO[[#This Row],[EMULNOR 1000 (N° CART.)]]*PE_EMUL_1000[PE],"")</f>
        <v/>
      </c>
      <c r="AR130" s="176" t="str">
        <f>+IF(BD_MO[[#This Row],[N° VALE]]&lt;&gt;"",BD_MO[[#This Row],[EMULNOR 3000 (N° CART.)]]*PE_EMUL_3000[PE],"")</f>
        <v/>
      </c>
      <c r="AS130" s="176" t="str">
        <f>+IF(BD_MO[[#This Row],[N° VALE]]&lt;&gt;"",BD_MO[[#This Row],[PULVERULENTA (N° CART.)]]*PE_PULV_65[PE],"")</f>
        <v/>
      </c>
      <c r="AT130" s="176" t="str">
        <f>+IF(BD_MO[[#This Row],[N° DISP]]&lt;&gt;"",BD_MO[[#This Row],[SEMIGELATINA (N° CART.)]]*PE_SEMIGEL_65[PE],"")</f>
        <v/>
      </c>
      <c r="AU130" s="176" t="str">
        <f>+IF(BD_MO[N° VALE]&lt;&gt;"",BD_MO[[#This Row],[KG EXPLO SEMIGEL]]+BD_MO[[#This Row],[KG EXPLO PULVE]]+BD_MO[[#This Row],[KG EXPLO EMULN 3000]]+BD_MO[[#This Row],[KG EXPLO EMULN 1000]],"")</f>
        <v/>
      </c>
      <c r="AV130" s="172"/>
      <c r="AW130" s="172">
        <v>3</v>
      </c>
      <c r="AX130" s="172" t="str">
        <f>+IF(BD_MO[[#This Row],[MINERAL (U-35)]]&lt;&gt;"",BD_MO[[#This Row],[MINERAL (U-35)]]*1.45,"-")</f>
        <v>-</v>
      </c>
      <c r="AY130" s="172">
        <f>+IF(BD_MO[[#This Row],[DESMONTE (U-35)]]&lt;&gt;"",BD_MO[[#This Row],[DESMONTE (U-35)]]*1.23,"-")</f>
        <v>3.69</v>
      </c>
      <c r="AZ130" s="172"/>
      <c r="BA130" s="172"/>
      <c r="BB130" s="172"/>
      <c r="BC130" s="172"/>
      <c r="BD130" s="172"/>
      <c r="BE130" s="172"/>
      <c r="BF130" s="172"/>
      <c r="BG130" s="172"/>
      <c r="BH130" s="172"/>
      <c r="BI130" s="172"/>
      <c r="BJ130" s="172"/>
      <c r="BK130" s="172"/>
      <c r="BL130" s="172"/>
      <c r="BM130" s="172"/>
      <c r="BN130" s="171"/>
      <c r="BO130" s="172">
        <v>2</v>
      </c>
      <c r="BP130" s="172"/>
      <c r="BQ130" s="171"/>
      <c r="BR130" s="172"/>
      <c r="BS130" s="171"/>
      <c r="BT130" s="176">
        <v>3.0459999999999998</v>
      </c>
      <c r="BU130" s="172"/>
      <c r="BV130" s="172"/>
      <c r="BW130" s="172"/>
      <c r="BX130" s="172"/>
      <c r="BY130" s="172"/>
      <c r="BZ130" s="172"/>
      <c r="CA130" s="172"/>
      <c r="CB130" s="172"/>
      <c r="CC130" s="172"/>
      <c r="CD130" s="172"/>
      <c r="CE130" s="172"/>
      <c r="CF130" s="172"/>
      <c r="CG130" s="172"/>
      <c r="CH130" s="172"/>
      <c r="CI130" s="172"/>
      <c r="CJ130" s="172"/>
      <c r="CK130" s="172"/>
      <c r="CL130" s="172"/>
      <c r="CM130" s="172"/>
      <c r="CN130" s="172"/>
      <c r="CO130" s="172"/>
      <c r="CP130" s="176">
        <f>+IF(BD_MO[[#This Row],[FECHA]]&lt;&gt;"",BD_MO[[#This Row],[PUNTAL 4"]]+BD_MO[[#This Row],[PUNTAL 5"]]+BD_MO[[#This Row],[PUNTAL 6"]]+BD_MO[[#This Row],[PUNTAL 7"]]+BD_MO[[#This Row],[PUNTAL 8"]],"")</f>
        <v>0</v>
      </c>
      <c r="CQ130" s="172"/>
      <c r="CR130" s="172"/>
      <c r="CS130" s="172"/>
      <c r="CT130" s="172"/>
      <c r="CU130" s="172"/>
      <c r="CV130" s="172"/>
      <c r="CW130" s="172"/>
      <c r="CX130" s="172"/>
      <c r="CY130" s="176"/>
      <c r="CZ13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30" s="176">
        <f>+IF(BD_MO[[#This Row],[FECHA]]&lt;&gt;"",BD_MO[[#This Row],[DURMIENTE2]]*6.561+BD_MO[[#This Row],[LISTONES]]*4.921+BD_MO[[#This Row],[TABLA 1"x8"x3m]]*6.561+BD_MO[[#This Row],[TABLA 2"x8"x3m]]*13.122,"")</f>
        <v>0</v>
      </c>
      <c r="DB130" s="176">
        <f>+IF(BD_MO[[#This Row],[FECHA]]&lt;&gt;"",BD_MO[[#This Row],[PIE2 MADERA ASERRADA]]*1.95,"")</f>
        <v>0</v>
      </c>
      <c r="DC130" s="176">
        <f>+IF(BD_MO[[#This Row],[FECHA]]&lt;&gt;"",BD_MO[[#This Row],[KG. MADERA REDONDA]]+BD_MO[[#This Row],[KG MADERA ASERRADA]],"")</f>
        <v>0</v>
      </c>
      <c r="DD13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30" s="172"/>
      <c r="DF130" s="172"/>
      <c r="DG130" s="172"/>
      <c r="DH130" s="172"/>
      <c r="DI130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30" s="180"/>
      <c r="DK130" s="180"/>
      <c r="DL130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30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30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30" s="181"/>
      <c r="DP130" s="180" t="str">
        <f>+IF(BD_MO[[#This Row],[M o D]]&lt;&gt;"",IF(BD_MO[[#This Row],[M o D]]="M",BD_MO[[#This Row],[ROTURA TMH]]/2.65,BD_MO[[#This Row],[ROTURA TMH]]/2.4),"")</f>
        <v/>
      </c>
      <c r="DQ130" s="180"/>
      <c r="DR130" s="116" t="str">
        <f>IF(BD_MO[[#This Row],[TIPO AVANCE]]="Avance",((BD_MO[[#This Row],[AVANCE (m)]]/BD_MO[[#This Row],[AVANCE TEÓRICO]]))," ")</f>
        <v xml:space="preserve"> </v>
      </c>
      <c r="DS130" s="134"/>
      <c r="DT130" s="134"/>
      <c r="DU130" s="134"/>
      <c r="DV130" s="134"/>
      <c r="DW130" s="134"/>
      <c r="DX130" s="135"/>
      <c r="DY130" s="135"/>
      <c r="DZ130" s="135"/>
    </row>
    <row r="131" spans="1:130" s="136" customFormat="1" ht="18" customHeight="1" x14ac:dyDescent="0.25">
      <c r="A131" s="168">
        <v>44659</v>
      </c>
      <c r="B131" s="169" t="s">
        <v>10647</v>
      </c>
      <c r="C131" s="169" t="s">
        <v>10672</v>
      </c>
      <c r="D131" s="170" t="s">
        <v>11872</v>
      </c>
      <c r="E131" s="171" t="str">
        <f>LEFT(BD_MO[[#This Row],[LABOR]],2)</f>
        <v>PQ</v>
      </c>
      <c r="F131" s="172"/>
      <c r="G131" s="172" t="s">
        <v>10669</v>
      </c>
      <c r="H131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31" s="171" t="str">
        <f>IF(BD_MO[FECHA]&lt;&gt;"",VLOOKUP(BD_MO[LABOR],TB_CECO[[LABOR]:[CECO_T]],3,FALSE),"")</f>
        <v>ANDREA</v>
      </c>
      <c r="J131" s="171" t="str">
        <f>IF(BD_MO[FECHA]&lt;&gt;"",VLOOKUP(BD_MO[LABOR],D_CECO!B:H,7,FALSE),"")</f>
        <v>LINEAL</v>
      </c>
      <c r="K131" s="171" t="str">
        <f>IF(BD_MO[FECHA]&lt;&gt;"",VLOOKUP(BD_MO[LABOR],D_CECO!B:H,4,FALSE),"")</f>
        <v>EXPLOTACION</v>
      </c>
      <c r="L131" s="171"/>
      <c r="M131" s="169"/>
      <c r="N131" s="172"/>
      <c r="O131" s="173" t="s">
        <v>12198</v>
      </c>
      <c r="P131" s="173" t="s">
        <v>12206</v>
      </c>
      <c r="Q131" s="173" t="s">
        <v>12199</v>
      </c>
      <c r="R131" s="174"/>
      <c r="S131" s="175" t="str">
        <f>IFERROR(VLOOKUP(BD_MO[DNI 4],#REF!,2,FALSE)," ")</f>
        <v xml:space="preserve"> </v>
      </c>
      <c r="T131" s="176">
        <f>+IF(BD_MO[[#This Row],[FECHA]]&lt;&gt;"",COUNTA(BD_MO[[#This Row],[DNI]],BD_MO[[#This Row],[DNI 2]],BD_MO[[#This Row],[DNI 3]],BD_MO[[#This Row],[DNI 4]]),"")</f>
        <v>3</v>
      </c>
      <c r="U131" s="176"/>
      <c r="V131" s="176"/>
      <c r="W131" s="176"/>
      <c r="X131" s="176">
        <v>3</v>
      </c>
      <c r="Y131" s="177">
        <f>SUM(BD_MO[[#This Row],[LIMP]:[SERV]])</f>
        <v>3</v>
      </c>
      <c r="Z131" s="172"/>
      <c r="AA131" s="172" t="str">
        <f>+IF(BD_MO[[#This Row],[N° VALE]]&lt;&gt;"",1,"")</f>
        <v/>
      </c>
      <c r="AB131" s="169"/>
      <c r="AC131" s="172"/>
      <c r="AD131" s="172" t="str">
        <f>+IF(BD_MO[[#This Row],[N° VALE]]&lt;&gt;"",BD_MO[[#This Row],[FULMINANTE N° 08]]+BD_MO[CARMEX 7''],"")</f>
        <v/>
      </c>
      <c r="AE131" s="172"/>
      <c r="AF131" s="172" t="str">
        <f>+IF(BD_MO[[#This Row],[N° VALE]]&lt;&gt;"",BD_MO[[#This Row],[N° TALADROS]]+BD_MO[[#This Row],[N° TAL. VACIOS]],"")</f>
        <v/>
      </c>
      <c r="AG131" s="178"/>
      <c r="AH131" s="178"/>
      <c r="AI131" s="178"/>
      <c r="AJ131" s="178"/>
      <c r="AK131" s="178"/>
      <c r="AL131" s="178"/>
      <c r="AM131" s="171"/>
      <c r="AN131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31" s="172" t="str">
        <f>+IF(BD_MO[[#This Row],[N° VALE]]&lt;&gt;"",IF(BD_MO[[#This Row],[FULMINANTE N° 08]]&lt;&gt;"",BD_MO[[#This Row],[FULMINANTE N° 08]],IF(BD_MO[[#This Row],[CARMEX 7'']]&lt;&gt;0,0,"")),"")</f>
        <v/>
      </c>
      <c r="AP131" s="176" t="str">
        <f>+IF(BD_MO[[#This Row],[N° VALE]]&lt;&gt;"",BD_MO[[#This Row],[N°  TOTAL TALADROS]]*BD_MO[[#This Row],[BARRA]]*0.95,"")</f>
        <v/>
      </c>
      <c r="AQ131" s="176" t="str">
        <f>+IF(BD_MO[[#This Row],[N° VALE]]&lt;&gt;"",BD_MO[[#This Row],[EMULNOR 1000 (N° CART.)]]*PE_EMUL_1000[PE],"")</f>
        <v/>
      </c>
      <c r="AR131" s="176" t="str">
        <f>+IF(BD_MO[[#This Row],[N° VALE]]&lt;&gt;"",BD_MO[[#This Row],[EMULNOR 3000 (N° CART.)]]*PE_EMUL_3000[PE],"")</f>
        <v/>
      </c>
      <c r="AS131" s="176" t="str">
        <f>+IF(BD_MO[[#This Row],[N° VALE]]&lt;&gt;"",BD_MO[[#This Row],[PULVERULENTA (N° CART.)]]*PE_PULV_65[PE],"")</f>
        <v/>
      </c>
      <c r="AT131" s="176" t="str">
        <f>+IF(BD_MO[[#This Row],[N° DISP]]&lt;&gt;"",BD_MO[[#This Row],[SEMIGELATINA (N° CART.)]]*PE_SEMIGEL_65[PE],"")</f>
        <v/>
      </c>
      <c r="AU131" s="176" t="str">
        <f>+IF(BD_MO[N° VALE]&lt;&gt;"",BD_MO[[#This Row],[KG EXPLO SEMIGEL]]+BD_MO[[#This Row],[KG EXPLO PULVE]]+BD_MO[[#This Row],[KG EXPLO EMULN 3000]]+BD_MO[[#This Row],[KG EXPLO EMULN 1000]],"")</f>
        <v/>
      </c>
      <c r="AV131" s="172"/>
      <c r="AW131" s="172"/>
      <c r="AX131" s="172" t="str">
        <f>+IF(BD_MO[[#This Row],[MINERAL (U-35)]]&lt;&gt;"",BD_MO[[#This Row],[MINERAL (U-35)]]*1.45,"-")</f>
        <v>-</v>
      </c>
      <c r="AY131" s="172" t="str">
        <f>+IF(BD_MO[[#This Row],[DESMONTE (U-35)]]&lt;&gt;"",BD_MO[[#This Row],[DESMONTE (U-35)]]*1.23,"-")</f>
        <v>-</v>
      </c>
      <c r="AZ131" s="172"/>
      <c r="BA131" s="172"/>
      <c r="BB131" s="172"/>
      <c r="BC131" s="172"/>
      <c r="BD131" s="172"/>
      <c r="BE131" s="172"/>
      <c r="BF131" s="172"/>
      <c r="BG131" s="172"/>
      <c r="BH131" s="172"/>
      <c r="BI131" s="172"/>
      <c r="BJ131" s="172"/>
      <c r="BK131" s="172"/>
      <c r="BL131" s="172"/>
      <c r="BM131" s="172"/>
      <c r="BN131" s="171"/>
      <c r="BO131" s="172"/>
      <c r="BP131" s="172"/>
      <c r="BQ131" s="171"/>
      <c r="BR131" s="172"/>
      <c r="BS131" s="171"/>
      <c r="BT131" s="176"/>
      <c r="BU131" s="172"/>
      <c r="BV131" s="172"/>
      <c r="BW131" s="172"/>
      <c r="BX131" s="172"/>
      <c r="BY131" s="172"/>
      <c r="BZ131" s="172"/>
      <c r="CA131" s="172"/>
      <c r="CB131" s="172"/>
      <c r="CC131" s="172"/>
      <c r="CD131" s="172"/>
      <c r="CE131" s="172"/>
      <c r="CF131" s="172"/>
      <c r="CG131" s="172"/>
      <c r="CH131" s="172"/>
      <c r="CI131" s="172"/>
      <c r="CJ131" s="172"/>
      <c r="CK131" s="172"/>
      <c r="CL131" s="172"/>
      <c r="CM131" s="172"/>
      <c r="CN131" s="172"/>
      <c r="CO131" s="172"/>
      <c r="CP131" s="176">
        <f>+IF(BD_MO[[#This Row],[FECHA]]&lt;&gt;"",BD_MO[[#This Row],[PUNTAL 4"]]+BD_MO[[#This Row],[PUNTAL 5"]]+BD_MO[[#This Row],[PUNTAL 6"]]+BD_MO[[#This Row],[PUNTAL 7"]]+BD_MO[[#This Row],[PUNTAL 8"]],"")</f>
        <v>0</v>
      </c>
      <c r="CQ131" s="172"/>
      <c r="CR131" s="172"/>
      <c r="CS131" s="172"/>
      <c r="CT131" s="172"/>
      <c r="CU131" s="172"/>
      <c r="CV131" s="172"/>
      <c r="CW131" s="172"/>
      <c r="CX131" s="172"/>
      <c r="CY131" s="176"/>
      <c r="CZ131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31" s="176">
        <f>+IF(BD_MO[[#This Row],[FECHA]]&lt;&gt;"",BD_MO[[#This Row],[DURMIENTE2]]*6.561+BD_MO[[#This Row],[LISTONES]]*4.921+BD_MO[[#This Row],[TABLA 1"x8"x3m]]*6.561+BD_MO[[#This Row],[TABLA 2"x8"x3m]]*13.122,"")</f>
        <v>0</v>
      </c>
      <c r="DB131" s="176">
        <f>+IF(BD_MO[[#This Row],[FECHA]]&lt;&gt;"",BD_MO[[#This Row],[PIE2 MADERA ASERRADA]]*1.95,"")</f>
        <v>0</v>
      </c>
      <c r="DC131" s="176">
        <f>+IF(BD_MO[[#This Row],[FECHA]]&lt;&gt;"",BD_MO[[#This Row],[KG. MADERA REDONDA]]+BD_MO[[#This Row],[KG MADERA ASERRADA]],"")</f>
        <v>0</v>
      </c>
      <c r="DD131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31" s="172"/>
      <c r="DF131" s="172"/>
      <c r="DG131" s="172"/>
      <c r="DH131" s="172"/>
      <c r="DI131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31" s="180"/>
      <c r="DK131" s="180"/>
      <c r="DL131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31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31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31" s="181"/>
      <c r="DP131" s="180" t="str">
        <f>+IF(BD_MO[[#This Row],[M o D]]&lt;&gt;"",IF(BD_MO[[#This Row],[M o D]]="M",BD_MO[[#This Row],[ROTURA TMH]]/2.65,BD_MO[[#This Row],[ROTURA TMH]]/2.4),"")</f>
        <v/>
      </c>
      <c r="DQ131" s="180"/>
      <c r="DR131" s="116" t="str">
        <f>IF(BD_MO[[#This Row],[TIPO AVANCE]]="Avance",((BD_MO[[#This Row],[AVANCE (m)]]/BD_MO[[#This Row],[AVANCE TEÓRICO]]))," ")</f>
        <v xml:space="preserve"> </v>
      </c>
      <c r="DS131" s="134"/>
      <c r="DT131" s="134"/>
      <c r="DU131" s="134"/>
      <c r="DV131" s="134"/>
      <c r="DW131" s="134"/>
      <c r="DX131" s="135"/>
      <c r="DY131" s="135"/>
      <c r="DZ131" s="135"/>
    </row>
    <row r="132" spans="1:130" s="136" customFormat="1" ht="18" customHeight="1" x14ac:dyDescent="0.25">
      <c r="A132" s="168">
        <v>44659</v>
      </c>
      <c r="B132" s="169" t="s">
        <v>10647</v>
      </c>
      <c r="C132" s="169" t="s">
        <v>10672</v>
      </c>
      <c r="D132" s="170" t="s">
        <v>10952</v>
      </c>
      <c r="E132" s="171" t="str">
        <f>LEFT(BD_MO[[#This Row],[LABOR]],2)</f>
        <v>In</v>
      </c>
      <c r="F132" s="172"/>
      <c r="G132" s="172" t="s">
        <v>10669</v>
      </c>
      <c r="H13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32" s="171" t="str">
        <f>IF(BD_MO[FECHA]&lt;&gt;"",VLOOKUP(BD_MO[LABOR],TB_CECO[[LABOR]:[CECO_T]],3,FALSE),"")</f>
        <v>VANESSA</v>
      </c>
      <c r="J132" s="171" t="str">
        <f>IF(BD_MO[FECHA]&lt;&gt;"",VLOOKUP(BD_MO[LABOR],D_CECO!B:H,7,FALSE),"")</f>
        <v>LINEAL</v>
      </c>
      <c r="K132" s="171" t="str">
        <f>IF(BD_MO[FECHA]&lt;&gt;"",VLOOKUP(BD_MO[LABOR],D_CECO!B:H,4,FALSE),"")</f>
        <v>EXPLORACION</v>
      </c>
      <c r="L132" s="171"/>
      <c r="M132" s="169"/>
      <c r="N132" s="172"/>
      <c r="O132" s="173" t="s">
        <v>12207</v>
      </c>
      <c r="P132" s="173" t="s">
        <v>12202</v>
      </c>
      <c r="Q132" s="173"/>
      <c r="R132" s="174"/>
      <c r="S132" s="175" t="str">
        <f>IFERROR(VLOOKUP(BD_MO[DNI 4],#REF!,2,FALSE)," ")</f>
        <v xml:space="preserve"> </v>
      </c>
      <c r="T132" s="176">
        <f>+IF(BD_MO[[#This Row],[FECHA]]&lt;&gt;"",COUNTA(BD_MO[[#This Row],[DNI]],BD_MO[[#This Row],[DNI 2]],BD_MO[[#This Row],[DNI 3]],BD_MO[[#This Row],[DNI 4]]),"")</f>
        <v>2</v>
      </c>
      <c r="U132" s="176"/>
      <c r="V132" s="176"/>
      <c r="W132" s="176"/>
      <c r="X132" s="176">
        <v>2</v>
      </c>
      <c r="Y132" s="177">
        <f>SUM(BD_MO[[#This Row],[LIMP]:[SERV]])</f>
        <v>2</v>
      </c>
      <c r="Z132" s="172"/>
      <c r="AA132" s="172" t="str">
        <f>+IF(BD_MO[[#This Row],[N° VALE]]&lt;&gt;"",1,"")</f>
        <v/>
      </c>
      <c r="AB132" s="169"/>
      <c r="AC132" s="172"/>
      <c r="AD132" s="172" t="str">
        <f>+IF(BD_MO[[#This Row],[N° VALE]]&lt;&gt;"",BD_MO[[#This Row],[FULMINANTE N° 08]]+BD_MO[CARMEX 7''],"")</f>
        <v/>
      </c>
      <c r="AE132" s="172"/>
      <c r="AF132" s="172" t="str">
        <f>+IF(BD_MO[[#This Row],[N° VALE]]&lt;&gt;"",BD_MO[[#This Row],[N° TALADROS]]+BD_MO[[#This Row],[N° TAL. VACIOS]],"")</f>
        <v/>
      </c>
      <c r="AG132" s="178"/>
      <c r="AH132" s="178"/>
      <c r="AI132" s="178"/>
      <c r="AJ132" s="178"/>
      <c r="AK132" s="178"/>
      <c r="AL132" s="178"/>
      <c r="AM132" s="171"/>
      <c r="AN132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32" s="172" t="str">
        <f>+IF(BD_MO[[#This Row],[N° VALE]]&lt;&gt;"",IF(BD_MO[[#This Row],[FULMINANTE N° 08]]&lt;&gt;"",BD_MO[[#This Row],[FULMINANTE N° 08]],IF(BD_MO[[#This Row],[CARMEX 7'']]&lt;&gt;0,0,"")),"")</f>
        <v/>
      </c>
      <c r="AP132" s="176" t="str">
        <f>+IF(BD_MO[[#This Row],[N° VALE]]&lt;&gt;"",BD_MO[[#This Row],[N°  TOTAL TALADROS]]*BD_MO[[#This Row],[BARRA]]*0.95,"")</f>
        <v/>
      </c>
      <c r="AQ132" s="176" t="str">
        <f>+IF(BD_MO[[#This Row],[N° VALE]]&lt;&gt;"",BD_MO[[#This Row],[EMULNOR 1000 (N° CART.)]]*PE_EMUL_1000[PE],"")</f>
        <v/>
      </c>
      <c r="AR132" s="176" t="str">
        <f>+IF(BD_MO[[#This Row],[N° VALE]]&lt;&gt;"",BD_MO[[#This Row],[EMULNOR 3000 (N° CART.)]]*PE_EMUL_3000[PE],"")</f>
        <v/>
      </c>
      <c r="AS132" s="176" t="str">
        <f>+IF(BD_MO[[#This Row],[N° VALE]]&lt;&gt;"",BD_MO[[#This Row],[PULVERULENTA (N° CART.)]]*PE_PULV_65[PE],"")</f>
        <v/>
      </c>
      <c r="AT132" s="176" t="str">
        <f>+IF(BD_MO[[#This Row],[N° DISP]]&lt;&gt;"",BD_MO[[#This Row],[SEMIGELATINA (N° CART.)]]*PE_SEMIGEL_65[PE],"")</f>
        <v/>
      </c>
      <c r="AU132" s="176" t="str">
        <f>+IF(BD_MO[N° VALE]&lt;&gt;"",BD_MO[[#This Row],[KG EXPLO SEMIGEL]]+BD_MO[[#This Row],[KG EXPLO PULVE]]+BD_MO[[#This Row],[KG EXPLO EMULN 3000]]+BD_MO[[#This Row],[KG EXPLO EMULN 1000]],"")</f>
        <v/>
      </c>
      <c r="AV132" s="172"/>
      <c r="AW132" s="172"/>
      <c r="AX132" s="172" t="str">
        <f>+IF(BD_MO[[#This Row],[MINERAL (U-35)]]&lt;&gt;"",BD_MO[[#This Row],[MINERAL (U-35)]]*1.45,"-")</f>
        <v>-</v>
      </c>
      <c r="AY132" s="172" t="str">
        <f>+IF(BD_MO[[#This Row],[DESMONTE (U-35)]]&lt;&gt;"",BD_MO[[#This Row],[DESMONTE (U-35)]]*1.23,"-")</f>
        <v>-</v>
      </c>
      <c r="AZ132" s="172"/>
      <c r="BA132" s="172"/>
      <c r="BB132" s="172"/>
      <c r="BC132" s="172"/>
      <c r="BD132" s="172"/>
      <c r="BE132" s="172"/>
      <c r="BF132" s="172"/>
      <c r="BG132" s="172"/>
      <c r="BH132" s="172"/>
      <c r="BI132" s="172"/>
      <c r="BJ132" s="172"/>
      <c r="BK132" s="172"/>
      <c r="BL132" s="172"/>
      <c r="BM132" s="172"/>
      <c r="BN132" s="171"/>
      <c r="BO132" s="172"/>
      <c r="BP132" s="172"/>
      <c r="BQ132" s="171"/>
      <c r="BR132" s="172"/>
      <c r="BS132" s="171"/>
      <c r="BT132" s="176"/>
      <c r="BU132" s="172"/>
      <c r="BV132" s="172"/>
      <c r="BW132" s="172"/>
      <c r="BX132" s="172"/>
      <c r="BY132" s="172"/>
      <c r="BZ132" s="172"/>
      <c r="CA132" s="172"/>
      <c r="CB132" s="172"/>
      <c r="CC132" s="172"/>
      <c r="CD132" s="172"/>
      <c r="CE132" s="172"/>
      <c r="CF132" s="172"/>
      <c r="CG132" s="172"/>
      <c r="CH132" s="172"/>
      <c r="CI132" s="172"/>
      <c r="CJ132" s="172"/>
      <c r="CK132" s="172"/>
      <c r="CL132" s="172"/>
      <c r="CM132" s="172"/>
      <c r="CN132" s="172"/>
      <c r="CO132" s="172"/>
      <c r="CP132" s="176">
        <f>+IF(BD_MO[[#This Row],[FECHA]]&lt;&gt;"",BD_MO[[#This Row],[PUNTAL 4"]]+BD_MO[[#This Row],[PUNTAL 5"]]+BD_MO[[#This Row],[PUNTAL 6"]]+BD_MO[[#This Row],[PUNTAL 7"]]+BD_MO[[#This Row],[PUNTAL 8"]],"")</f>
        <v>0</v>
      </c>
      <c r="CQ132" s="172"/>
      <c r="CR132" s="172"/>
      <c r="CS132" s="172"/>
      <c r="CT132" s="172"/>
      <c r="CU132" s="172"/>
      <c r="CV132" s="172"/>
      <c r="CW132" s="172"/>
      <c r="CX132" s="172"/>
      <c r="CY132" s="176"/>
      <c r="CZ13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32" s="176">
        <f>+IF(BD_MO[[#This Row],[FECHA]]&lt;&gt;"",BD_MO[[#This Row],[DURMIENTE2]]*6.561+BD_MO[[#This Row],[LISTONES]]*4.921+BD_MO[[#This Row],[TABLA 1"x8"x3m]]*6.561+BD_MO[[#This Row],[TABLA 2"x8"x3m]]*13.122,"")</f>
        <v>0</v>
      </c>
      <c r="DB132" s="176">
        <f>+IF(BD_MO[[#This Row],[FECHA]]&lt;&gt;"",BD_MO[[#This Row],[PIE2 MADERA ASERRADA]]*1.95,"")</f>
        <v>0</v>
      </c>
      <c r="DC132" s="176">
        <f>+IF(BD_MO[[#This Row],[FECHA]]&lt;&gt;"",BD_MO[[#This Row],[KG. MADERA REDONDA]]+BD_MO[[#This Row],[KG MADERA ASERRADA]],"")</f>
        <v>0</v>
      </c>
      <c r="DD13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32" s="172"/>
      <c r="DF132" s="172"/>
      <c r="DG132" s="172"/>
      <c r="DH132" s="172"/>
      <c r="DI132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32" s="180"/>
      <c r="DK132" s="180"/>
      <c r="DL132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32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32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32" s="181"/>
      <c r="DP132" s="180" t="str">
        <f>+IF(BD_MO[[#This Row],[M o D]]&lt;&gt;"",IF(BD_MO[[#This Row],[M o D]]="M",BD_MO[[#This Row],[ROTURA TMH]]/2.65,BD_MO[[#This Row],[ROTURA TMH]]/2.4),"")</f>
        <v/>
      </c>
      <c r="DQ132" s="180"/>
      <c r="DR132" s="116" t="str">
        <f>IF(BD_MO[[#This Row],[TIPO AVANCE]]="Avance",((BD_MO[[#This Row],[AVANCE (m)]]/BD_MO[[#This Row],[AVANCE TEÓRICO]]))," ")</f>
        <v xml:space="preserve"> </v>
      </c>
      <c r="DS132" s="134"/>
      <c r="DT132" s="134"/>
      <c r="DU132" s="134"/>
      <c r="DV132" s="134"/>
      <c r="DW132" s="134"/>
      <c r="DX132" s="135"/>
      <c r="DY132" s="135"/>
      <c r="DZ132" s="135"/>
    </row>
    <row r="133" spans="1:130" s="115" customFormat="1" ht="18" customHeight="1" thickBot="1" x14ac:dyDescent="0.3">
      <c r="A133" s="198">
        <v>44659</v>
      </c>
      <c r="B133" s="199" t="s">
        <v>10647</v>
      </c>
      <c r="C133" s="199" t="s">
        <v>10672</v>
      </c>
      <c r="D133" s="200" t="s">
        <v>10954</v>
      </c>
      <c r="E133" s="201" t="str">
        <f>LEFT(BD_MO[[#This Row],[LABOR]],2)</f>
        <v>MO</v>
      </c>
      <c r="F133" s="202"/>
      <c r="G133" s="202" t="s">
        <v>10669</v>
      </c>
      <c r="H133" s="20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33" s="201" t="str">
        <f>IF(BD_MO[FECHA]&lt;&gt;"",VLOOKUP(BD_MO[LABOR],TB_CECO[[LABOR]:[CECO_T]],3,FALSE),"")</f>
        <v>INCA</v>
      </c>
      <c r="J133" s="201" t="str">
        <f>IF(BD_MO[FECHA]&lt;&gt;"",VLOOKUP(BD_MO[LABOR],D_CECO!B:H,7,FALSE),"")</f>
        <v>SERVICIOS</v>
      </c>
      <c r="K133" s="201" t="str">
        <f>IF(BD_MO[FECHA]&lt;&gt;"",VLOOKUP(BD_MO[LABOR],D_CECO!B:H,4,FALSE),"")</f>
        <v>SERVICIOS</v>
      </c>
      <c r="L133" s="201"/>
      <c r="M133" s="199"/>
      <c r="N133" s="202"/>
      <c r="O133" s="203" t="s">
        <v>12208</v>
      </c>
      <c r="P133" s="203" t="s">
        <v>12209</v>
      </c>
      <c r="Q133" s="203"/>
      <c r="R133" s="204"/>
      <c r="S133" s="205" t="str">
        <f>IFERROR(VLOOKUP(BD_MO[DNI 4],#REF!,2,FALSE)," ")</f>
        <v xml:space="preserve"> </v>
      </c>
      <c r="T133" s="206">
        <f>+IF(BD_MO[[#This Row],[FECHA]]&lt;&gt;"",COUNTA(BD_MO[[#This Row],[DNI]],BD_MO[[#This Row],[DNI 2]],BD_MO[[#This Row],[DNI 3]],BD_MO[[#This Row],[DNI 4]]),"")</f>
        <v>2</v>
      </c>
      <c r="U133" s="206"/>
      <c r="V133" s="206"/>
      <c r="W133" s="206"/>
      <c r="X133" s="206">
        <v>2</v>
      </c>
      <c r="Y133" s="207">
        <f>SUM(BD_MO[[#This Row],[LIMP]:[SERV]])</f>
        <v>2</v>
      </c>
      <c r="Z133" s="202"/>
      <c r="AA133" s="202" t="str">
        <f>+IF(BD_MO[[#This Row],[N° VALE]]&lt;&gt;"",1,"")</f>
        <v/>
      </c>
      <c r="AB133" s="199"/>
      <c r="AC133" s="202"/>
      <c r="AD133" s="202" t="str">
        <f>+IF(BD_MO[[#This Row],[N° VALE]]&lt;&gt;"",BD_MO[[#This Row],[FULMINANTE N° 08]]+BD_MO[CARMEX 7''],"")</f>
        <v/>
      </c>
      <c r="AE133" s="202"/>
      <c r="AF133" s="202" t="str">
        <f>+IF(BD_MO[[#This Row],[N° VALE]]&lt;&gt;"",BD_MO[[#This Row],[N° TALADROS]]+BD_MO[[#This Row],[N° TAL. VACIOS]],"")</f>
        <v/>
      </c>
      <c r="AG133" s="208"/>
      <c r="AH133" s="208"/>
      <c r="AI133" s="208"/>
      <c r="AJ133" s="208"/>
      <c r="AK133" s="208"/>
      <c r="AL133" s="208"/>
      <c r="AM133" s="201"/>
      <c r="AN133" s="20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33" s="202" t="str">
        <f>+IF(BD_MO[[#This Row],[N° VALE]]&lt;&gt;"",IF(BD_MO[[#This Row],[FULMINANTE N° 08]]&lt;&gt;"",BD_MO[[#This Row],[FULMINANTE N° 08]],IF(BD_MO[[#This Row],[CARMEX 7'']]&lt;&gt;0,0,"")),"")</f>
        <v/>
      </c>
      <c r="AP133" s="206" t="str">
        <f>+IF(BD_MO[[#This Row],[N° VALE]]&lt;&gt;"",BD_MO[[#This Row],[N°  TOTAL TALADROS]]*BD_MO[[#This Row],[BARRA]]*0.95,"")</f>
        <v/>
      </c>
      <c r="AQ133" s="206" t="str">
        <f>+IF(BD_MO[[#This Row],[N° VALE]]&lt;&gt;"",BD_MO[[#This Row],[EMULNOR 1000 (N° CART.)]]*PE_EMUL_1000[PE],"")</f>
        <v/>
      </c>
      <c r="AR133" s="206" t="str">
        <f>+IF(BD_MO[[#This Row],[N° VALE]]&lt;&gt;"",BD_MO[[#This Row],[EMULNOR 3000 (N° CART.)]]*PE_EMUL_3000[PE],"")</f>
        <v/>
      </c>
      <c r="AS133" s="206" t="str">
        <f>+IF(BD_MO[[#This Row],[N° VALE]]&lt;&gt;"",BD_MO[[#This Row],[PULVERULENTA (N° CART.)]]*PE_PULV_65[PE],"")</f>
        <v/>
      </c>
      <c r="AT133" s="206" t="str">
        <f>+IF(BD_MO[[#This Row],[N° DISP]]&lt;&gt;"",BD_MO[[#This Row],[SEMIGELATINA (N° CART.)]]*PE_SEMIGEL_65[PE],"")</f>
        <v/>
      </c>
      <c r="AU133" s="206" t="str">
        <f>+IF(BD_MO[N° VALE]&lt;&gt;"",BD_MO[[#This Row],[KG EXPLO SEMIGEL]]+BD_MO[[#This Row],[KG EXPLO PULVE]]+BD_MO[[#This Row],[KG EXPLO EMULN 3000]]+BD_MO[[#This Row],[KG EXPLO EMULN 1000]],"")</f>
        <v/>
      </c>
      <c r="AV133" s="202"/>
      <c r="AW133" s="202"/>
      <c r="AX133" s="202" t="str">
        <f>+IF(BD_MO[[#This Row],[MINERAL (U-35)]]&lt;&gt;"",BD_MO[[#This Row],[MINERAL (U-35)]]*1.45,"-")</f>
        <v>-</v>
      </c>
      <c r="AY133" s="202" t="str">
        <f>+IF(BD_MO[[#This Row],[DESMONTE (U-35)]]&lt;&gt;"",BD_MO[[#This Row],[DESMONTE (U-35)]]*1.23,"-")</f>
        <v>-</v>
      </c>
      <c r="AZ133" s="202"/>
      <c r="BA133" s="202"/>
      <c r="BB133" s="202"/>
      <c r="BC133" s="202"/>
      <c r="BD133" s="202"/>
      <c r="BE133" s="202"/>
      <c r="BF133" s="202"/>
      <c r="BG133" s="202"/>
      <c r="BH133" s="202"/>
      <c r="BI133" s="202"/>
      <c r="BJ133" s="202"/>
      <c r="BK133" s="202"/>
      <c r="BL133" s="202"/>
      <c r="BM133" s="202"/>
      <c r="BN133" s="201"/>
      <c r="BO133" s="202"/>
      <c r="BP133" s="202"/>
      <c r="BQ133" s="201"/>
      <c r="BR133" s="202"/>
      <c r="BS133" s="201"/>
      <c r="BT133" s="206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6">
        <f>+IF(BD_MO[[#This Row],[FECHA]]&lt;&gt;"",BD_MO[[#This Row],[PUNTAL 4"]]+BD_MO[[#This Row],[PUNTAL 5"]]+BD_MO[[#This Row],[PUNTAL 6"]]+BD_MO[[#This Row],[PUNTAL 7"]]+BD_MO[[#This Row],[PUNTAL 8"]],"")</f>
        <v>0</v>
      </c>
      <c r="CQ133" s="202"/>
      <c r="CR133" s="202"/>
      <c r="CS133" s="202"/>
      <c r="CT133" s="202"/>
      <c r="CU133" s="202"/>
      <c r="CV133" s="202"/>
      <c r="CW133" s="202"/>
      <c r="CX133" s="202"/>
      <c r="CY133" s="206"/>
      <c r="CZ133" s="20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33" s="206">
        <f>+IF(BD_MO[[#This Row],[FECHA]]&lt;&gt;"",BD_MO[[#This Row],[DURMIENTE2]]*6.561+BD_MO[[#This Row],[LISTONES]]*4.921+BD_MO[[#This Row],[TABLA 1"x8"x3m]]*6.561+BD_MO[[#This Row],[TABLA 2"x8"x3m]]*13.122,"")</f>
        <v>0</v>
      </c>
      <c r="DB133" s="206">
        <f>+IF(BD_MO[[#This Row],[FECHA]]&lt;&gt;"",BD_MO[[#This Row],[PIE2 MADERA ASERRADA]]*1.95,"")</f>
        <v>0</v>
      </c>
      <c r="DC133" s="206">
        <f>+IF(BD_MO[[#This Row],[FECHA]]&lt;&gt;"",BD_MO[[#This Row],[KG. MADERA REDONDA]]+BD_MO[[#This Row],[KG MADERA ASERRADA]],"")</f>
        <v>0</v>
      </c>
      <c r="DD133" s="20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33" s="202"/>
      <c r="DF133" s="202"/>
      <c r="DG133" s="202"/>
      <c r="DH133" s="202"/>
      <c r="DI133" s="21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33" s="210"/>
      <c r="DK133" s="210"/>
      <c r="DL133" s="21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33" s="21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33" s="21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33" s="211"/>
      <c r="DP133" s="210" t="str">
        <f>+IF(BD_MO[[#This Row],[M o D]]&lt;&gt;"",IF(BD_MO[[#This Row],[M o D]]="M",BD_MO[[#This Row],[ROTURA TMH]]/2.65,BD_MO[[#This Row],[ROTURA TMH]]/2.4),"")</f>
        <v/>
      </c>
      <c r="DQ133" s="210"/>
      <c r="DR133" s="116" t="str">
        <f>IF(BD_MO[[#This Row],[TIPO AVANCE]]="Avance",((BD_MO[[#This Row],[AVANCE (m)]]/BD_MO[[#This Row],[AVANCE TEÓRICO]]))," ")</f>
        <v xml:space="preserve"> </v>
      </c>
      <c r="DS133" s="113"/>
      <c r="DT133" s="113"/>
      <c r="DU133" s="113"/>
      <c r="DV133" s="113"/>
      <c r="DW133" s="113"/>
      <c r="DX133" s="114"/>
      <c r="DY133" s="114"/>
      <c r="DZ133" s="114"/>
    </row>
    <row r="134" spans="1:130" s="136" customFormat="1" ht="18" customHeight="1" x14ac:dyDescent="0.25">
      <c r="A134" s="168">
        <v>44659</v>
      </c>
      <c r="B134" s="169" t="s">
        <v>10655</v>
      </c>
      <c r="C134" s="169" t="s">
        <v>10680</v>
      </c>
      <c r="D134" s="170" t="s">
        <v>11746</v>
      </c>
      <c r="E134" s="171" t="str">
        <f>LEFT(BD_MO[[#This Row],[LABOR]],2)</f>
        <v>Tj</v>
      </c>
      <c r="F134" s="172" t="s">
        <v>10950</v>
      </c>
      <c r="G134" s="172" t="s">
        <v>10648</v>
      </c>
      <c r="H13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34" s="171" t="str">
        <f>IF(BD_MO[FECHA]&lt;&gt;"",VLOOKUP(BD_MO[LABOR],TB_CECO[[LABOR]:[CECO_T]],3,FALSE),"")</f>
        <v>CACHORRO</v>
      </c>
      <c r="J134" s="171" t="str">
        <f>IF(BD_MO[FECHA]&lt;&gt;"",VLOOKUP(BD_MO[LABOR],D_CECO!B:H,7,FALSE),"")</f>
        <v>TAJO</v>
      </c>
      <c r="K134" s="171" t="str">
        <f>IF(BD_MO[FECHA]&lt;&gt;"",VLOOKUP(BD_MO[LABOR],D_CECO!B:H,4,FALSE),"")</f>
        <v>EXPLOTACION</v>
      </c>
      <c r="L134" s="171"/>
      <c r="M134" s="169" t="s">
        <v>10661</v>
      </c>
      <c r="N134" s="172"/>
      <c r="O134" s="173" t="s">
        <v>11976</v>
      </c>
      <c r="P134" s="173" t="s">
        <v>11924</v>
      </c>
      <c r="Q134" s="173"/>
      <c r="R134" s="174"/>
      <c r="S134" s="175" t="str">
        <f>IFERROR(VLOOKUP(BD_MO[DNI 4],#REF!,2,FALSE)," ")</f>
        <v xml:space="preserve"> </v>
      </c>
      <c r="T134" s="176">
        <f>+IF(BD_MO[[#This Row],[FECHA]]&lt;&gt;"",COUNTA(BD_MO[[#This Row],[DNI]],BD_MO[[#This Row],[DNI 2]],BD_MO[[#This Row],[DNI 3]],BD_MO[[#This Row],[DNI 4]]),"")</f>
        <v>2</v>
      </c>
      <c r="U134" s="176">
        <v>0.6</v>
      </c>
      <c r="V134" s="176">
        <v>0.4</v>
      </c>
      <c r="W134" s="176">
        <v>0.5</v>
      </c>
      <c r="X134" s="176">
        <v>0.5</v>
      </c>
      <c r="Y134" s="177">
        <f>SUM(BD_MO[[#This Row],[LIMP]:[SERV]])</f>
        <v>2</v>
      </c>
      <c r="Z134" s="172" t="s">
        <v>12218</v>
      </c>
      <c r="AA134" s="172">
        <f>+IF(BD_MO[[#This Row],[N° VALE]]&lt;&gt;"",1,"")</f>
        <v>1</v>
      </c>
      <c r="AB134" s="169" t="s">
        <v>10684</v>
      </c>
      <c r="AC134" s="172">
        <v>4</v>
      </c>
      <c r="AD134" s="172">
        <f>+IF(BD_MO[[#This Row],[N° VALE]]&lt;&gt;"",BD_MO[[#This Row],[FULMINANTE N° 08]]+BD_MO[CARMEX 7''],"")</f>
        <v>12</v>
      </c>
      <c r="AE134" s="172">
        <v>3</v>
      </c>
      <c r="AF134" s="172">
        <f>+IF(BD_MO[[#This Row],[N° VALE]]&lt;&gt;"",BD_MO[[#This Row],[N° TALADROS]]+BD_MO[[#This Row],[N° TAL. VACIOS]],"")</f>
        <v>15</v>
      </c>
      <c r="AG134" s="178"/>
      <c r="AH134" s="178">
        <v>60</v>
      </c>
      <c r="AI134" s="178"/>
      <c r="AJ134" s="178"/>
      <c r="AK134" s="178">
        <v>12</v>
      </c>
      <c r="AL134" s="178">
        <v>3</v>
      </c>
      <c r="AM134" s="171"/>
      <c r="AN134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34" s="172">
        <f>+IF(BD_MO[[#This Row],[N° VALE]]&lt;&gt;"",IF(BD_MO[[#This Row],[FULMINANTE N° 08]]&lt;&gt;"",BD_MO[[#This Row],[FULMINANTE N° 08]],IF(BD_MO[[#This Row],[CARMEX 7'']]&lt;&gt;0,0,"")),"")</f>
        <v>0</v>
      </c>
      <c r="AP134" s="176">
        <f>+IF(BD_MO[[#This Row],[N° VALE]]&lt;&gt;"",BD_MO[[#This Row],[N°  TOTAL TALADROS]]*BD_MO[[#This Row],[BARRA]]*0.95,"")</f>
        <v>57</v>
      </c>
      <c r="AQ134" s="176">
        <f>+IF(BD_MO[[#This Row],[N° VALE]]&lt;&gt;"",BD_MO[[#This Row],[EMULNOR 1000 (N° CART.)]]*PE_EMUL_1000[PE],"")</f>
        <v>5.6820000000000004</v>
      </c>
      <c r="AR134" s="176">
        <f>+IF(BD_MO[[#This Row],[N° VALE]]&lt;&gt;"",BD_MO[[#This Row],[EMULNOR 3000 (N° CART.)]]*PE_EMUL_3000[PE],"")</f>
        <v>0</v>
      </c>
      <c r="AS134" s="176">
        <f>+IF(BD_MO[[#This Row],[N° VALE]]&lt;&gt;"",BD_MO[[#This Row],[PULVERULENTA (N° CART.)]]*PE_PULV_65[PE],"")</f>
        <v>0</v>
      </c>
      <c r="AT134" s="176">
        <f>+IF(BD_MO[[#This Row],[N° DISP]]&lt;&gt;"",BD_MO[[#This Row],[SEMIGELATINA (N° CART.)]]*PE_SEMIGEL_65[PE],"")</f>
        <v>0</v>
      </c>
      <c r="AU134" s="176">
        <f>+IF(BD_MO[N° VALE]&lt;&gt;"",BD_MO[[#This Row],[KG EXPLO SEMIGEL]]+BD_MO[[#This Row],[KG EXPLO PULVE]]+BD_MO[[#This Row],[KG EXPLO EMULN 3000]]+BD_MO[[#This Row],[KG EXPLO EMULN 1000]],"")</f>
        <v>5.6820000000000004</v>
      </c>
      <c r="AV134" s="172"/>
      <c r="AW134" s="172"/>
      <c r="AX134" s="172" t="str">
        <f>+IF(BD_MO[[#This Row],[MINERAL (U-35)]]&lt;&gt;"",BD_MO[[#This Row],[MINERAL (U-35)]]*1.45,"-")</f>
        <v>-</v>
      </c>
      <c r="AY134" s="172" t="str">
        <f>+IF(BD_MO[[#This Row],[DESMONTE (U-35)]]&lt;&gt;"",BD_MO[[#This Row],[DESMONTE (U-35)]]*1.23,"-")</f>
        <v>-</v>
      </c>
      <c r="AZ134" s="172"/>
      <c r="BA134" s="172"/>
      <c r="BB134" s="172"/>
      <c r="BC134" s="172"/>
      <c r="BD134" s="172"/>
      <c r="BE134" s="172"/>
      <c r="BF134" s="172"/>
      <c r="BG134" s="172"/>
      <c r="BH134" s="172"/>
      <c r="BI134" s="172">
        <v>1</v>
      </c>
      <c r="BJ134" s="172"/>
      <c r="BK134" s="172"/>
      <c r="BL134" s="172"/>
      <c r="BM134" s="172"/>
      <c r="BN134" s="171"/>
      <c r="BO134" s="172"/>
      <c r="BP134" s="172"/>
      <c r="BQ134" s="171">
        <v>1</v>
      </c>
      <c r="BR134" s="172"/>
      <c r="BS134" s="171"/>
      <c r="BT134" s="176">
        <v>2</v>
      </c>
      <c r="BU134" s="172"/>
      <c r="BV134" s="172"/>
      <c r="BW134" s="172">
        <v>2</v>
      </c>
      <c r="BX134" s="172"/>
      <c r="BY134" s="172"/>
      <c r="BZ134" s="172"/>
      <c r="CA134" s="172"/>
      <c r="CB134" s="172"/>
      <c r="CC134" s="172"/>
      <c r="CD134" s="172"/>
      <c r="CE134" s="172"/>
      <c r="CF134" s="172"/>
      <c r="CG134" s="172"/>
      <c r="CH134" s="172"/>
      <c r="CI134" s="172"/>
      <c r="CJ134" s="172"/>
      <c r="CK134" s="172"/>
      <c r="CL134" s="172">
        <v>2</v>
      </c>
      <c r="CM134" s="172"/>
      <c r="CN134" s="172">
        <v>4</v>
      </c>
      <c r="CO134" s="172"/>
      <c r="CP134" s="176">
        <f>+IF(BD_MO[[#This Row],[FECHA]]&lt;&gt;"",BD_MO[[#This Row],[PUNTAL 4"]]+BD_MO[[#This Row],[PUNTAL 5"]]+BD_MO[[#This Row],[PUNTAL 6"]]+BD_MO[[#This Row],[PUNTAL 7"]]+BD_MO[[#This Row],[PUNTAL 8"]],"")</f>
        <v>6</v>
      </c>
      <c r="CQ134" s="172"/>
      <c r="CR134" s="172"/>
      <c r="CS134" s="172">
        <v>10</v>
      </c>
      <c r="CT134" s="172"/>
      <c r="CU134" s="172"/>
      <c r="CV134" s="172"/>
      <c r="CW134" s="172"/>
      <c r="CX134" s="172"/>
      <c r="CY134" s="176"/>
      <c r="CZ13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552.64200000000005</v>
      </c>
      <c r="DA134" s="176">
        <f>+IF(BD_MO[[#This Row],[FECHA]]&lt;&gt;"",BD_MO[[#This Row],[DURMIENTE2]]*6.561+BD_MO[[#This Row],[LISTONES]]*4.921+BD_MO[[#This Row],[TABLA 1"x8"x3m]]*6.561+BD_MO[[#This Row],[TABLA 2"x8"x3m]]*13.122,"")</f>
        <v>0</v>
      </c>
      <c r="DB134" s="176">
        <f>+IF(BD_MO[[#This Row],[FECHA]]&lt;&gt;"",BD_MO[[#This Row],[PIE2 MADERA ASERRADA]]*1.95,"")</f>
        <v>0</v>
      </c>
      <c r="DC134" s="176">
        <f>+IF(BD_MO[[#This Row],[FECHA]]&lt;&gt;"",BD_MO[[#This Row],[KG. MADERA REDONDA]]+BD_MO[[#This Row],[KG MADERA ASERRADA]],"")</f>
        <v>552.64200000000005</v>
      </c>
      <c r="DD13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229.7</v>
      </c>
      <c r="DE134" s="172"/>
      <c r="DF134" s="172"/>
      <c r="DG134" s="172"/>
      <c r="DH134" s="172"/>
      <c r="DI134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34" s="180"/>
      <c r="DK134" s="180"/>
      <c r="DL134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3.5</v>
      </c>
      <c r="DM134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3.64</v>
      </c>
      <c r="DN134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34" s="181">
        <v>7.56</v>
      </c>
      <c r="DP134" s="180">
        <f>+IF(BD_MO[[#This Row],[M o D]]&lt;&gt;"",IF(BD_MO[[#This Row],[M o D]]="M",BD_MO[[#This Row],[ROTURA TMH]]/2.65,BD_MO[[#This Row],[ROTURA TMH]]/2.4),"")</f>
        <v>2.8528301886792451</v>
      </c>
      <c r="DQ134" s="180"/>
      <c r="DR134" s="116" t="str">
        <f>IF(BD_MO[[#This Row],[TIPO AVANCE]]="Avance",((BD_MO[[#This Row],[AVANCE (m)]]/BD_MO[[#This Row],[AVANCE TEÓRICO]]))," ")</f>
        <v xml:space="preserve"> </v>
      </c>
      <c r="DS134" s="134"/>
      <c r="DT134" s="134"/>
      <c r="DU134" s="134"/>
      <c r="DV134" s="134"/>
      <c r="DW134" s="134"/>
      <c r="DX134" s="135"/>
      <c r="DY134" s="135"/>
      <c r="DZ134" s="135"/>
    </row>
    <row r="135" spans="1:130" s="136" customFormat="1" ht="18" customHeight="1" x14ac:dyDescent="0.25">
      <c r="A135" s="168">
        <v>44659</v>
      </c>
      <c r="B135" s="169" t="s">
        <v>10655</v>
      </c>
      <c r="C135" s="169" t="s">
        <v>10680</v>
      </c>
      <c r="D135" s="170" t="s">
        <v>12164</v>
      </c>
      <c r="E135" s="171" t="str">
        <f>LEFT(BD_MO[[#This Row],[LABOR]],2)</f>
        <v>Tj</v>
      </c>
      <c r="F135" s="172"/>
      <c r="G135" s="172" t="s">
        <v>10662</v>
      </c>
      <c r="H135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135" s="171" t="str">
        <f>IF(BD_MO[FECHA]&lt;&gt;"",VLOOKUP(BD_MO[LABOR],TB_CECO[[LABOR]:[CECO_T]],3,FALSE),"")</f>
        <v>VANESSA</v>
      </c>
      <c r="J135" s="171" t="str">
        <f>IF(BD_MO[FECHA]&lt;&gt;"",VLOOKUP(BD_MO[LABOR],D_CECO!B:H,7,FALSE),"")</f>
        <v>TAJO</v>
      </c>
      <c r="K135" s="171" t="str">
        <f>IF(BD_MO[FECHA]&lt;&gt;"",VLOOKUP(BD_MO[LABOR],D_CECO!B:H,4,FALSE),"")</f>
        <v>EXPLOTACION</v>
      </c>
      <c r="L135" s="171"/>
      <c r="M135" s="169"/>
      <c r="N135" s="172"/>
      <c r="O135" s="173" t="s">
        <v>11910</v>
      </c>
      <c r="P135" s="173" t="s">
        <v>11912</v>
      </c>
      <c r="Q135" s="173"/>
      <c r="R135" s="174"/>
      <c r="S135" s="175" t="str">
        <f>IFERROR(VLOOKUP(BD_MO[DNI 4],#REF!,2,FALSE)," ")</f>
        <v xml:space="preserve"> </v>
      </c>
      <c r="T135" s="176">
        <f>+IF(BD_MO[[#This Row],[FECHA]]&lt;&gt;"",COUNTA(BD_MO[[#This Row],[DNI]],BD_MO[[#This Row],[DNI 2]],BD_MO[[#This Row],[DNI 3]],BD_MO[[#This Row],[DNI 4]]),"")</f>
        <v>2</v>
      </c>
      <c r="U135" s="176">
        <v>0.4</v>
      </c>
      <c r="V135" s="176"/>
      <c r="W135" s="176">
        <v>1</v>
      </c>
      <c r="X135" s="176">
        <v>0.6</v>
      </c>
      <c r="Y135" s="177">
        <f>SUM(BD_MO[[#This Row],[LIMP]:[SERV]])</f>
        <v>2</v>
      </c>
      <c r="Z135" s="172"/>
      <c r="AA135" s="172" t="str">
        <f>+IF(BD_MO[[#This Row],[N° VALE]]&lt;&gt;"",1,"")</f>
        <v/>
      </c>
      <c r="AB135" s="169"/>
      <c r="AC135" s="172"/>
      <c r="AD135" s="172" t="str">
        <f>+IF(BD_MO[[#This Row],[N° VALE]]&lt;&gt;"",BD_MO[[#This Row],[FULMINANTE N° 08]]+BD_MO[CARMEX 7''],"")</f>
        <v/>
      </c>
      <c r="AE135" s="172"/>
      <c r="AF135" s="172" t="str">
        <f>+IF(BD_MO[[#This Row],[N° VALE]]&lt;&gt;"",BD_MO[[#This Row],[N° TALADROS]]+BD_MO[[#This Row],[N° TAL. VACIOS]],"")</f>
        <v/>
      </c>
      <c r="AG135" s="178"/>
      <c r="AH135" s="178"/>
      <c r="AI135" s="178"/>
      <c r="AJ135" s="178"/>
      <c r="AK135" s="178"/>
      <c r="AL135" s="178"/>
      <c r="AM135" s="171"/>
      <c r="AN135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35" s="172" t="str">
        <f>+IF(BD_MO[[#This Row],[N° VALE]]&lt;&gt;"",IF(BD_MO[[#This Row],[FULMINANTE N° 08]]&lt;&gt;"",BD_MO[[#This Row],[FULMINANTE N° 08]],IF(BD_MO[[#This Row],[CARMEX 7'']]&lt;&gt;0,0,"")),"")</f>
        <v/>
      </c>
      <c r="AP135" s="176" t="str">
        <f>+IF(BD_MO[[#This Row],[N° VALE]]&lt;&gt;"",BD_MO[[#This Row],[N°  TOTAL TALADROS]]*BD_MO[[#This Row],[BARRA]]*0.95,"")</f>
        <v/>
      </c>
      <c r="AQ135" s="176" t="str">
        <f>+IF(BD_MO[[#This Row],[N° VALE]]&lt;&gt;"",BD_MO[[#This Row],[EMULNOR 1000 (N° CART.)]]*PE_EMUL_1000[PE],"")</f>
        <v/>
      </c>
      <c r="AR135" s="176" t="str">
        <f>+IF(BD_MO[[#This Row],[N° VALE]]&lt;&gt;"",BD_MO[[#This Row],[EMULNOR 3000 (N° CART.)]]*PE_EMUL_3000[PE],"")</f>
        <v/>
      </c>
      <c r="AS135" s="176" t="str">
        <f>+IF(BD_MO[[#This Row],[N° VALE]]&lt;&gt;"",BD_MO[[#This Row],[PULVERULENTA (N° CART.)]]*PE_PULV_65[PE],"")</f>
        <v/>
      </c>
      <c r="AT135" s="176" t="str">
        <f>+IF(BD_MO[[#This Row],[N° DISP]]&lt;&gt;"",BD_MO[[#This Row],[SEMIGELATINA (N° CART.)]]*PE_SEMIGEL_65[PE],"")</f>
        <v/>
      </c>
      <c r="AU135" s="176" t="str">
        <f>+IF(BD_MO[N° VALE]&lt;&gt;"",BD_MO[[#This Row],[KG EXPLO SEMIGEL]]+BD_MO[[#This Row],[KG EXPLO PULVE]]+BD_MO[[#This Row],[KG EXPLO EMULN 3000]]+BD_MO[[#This Row],[KG EXPLO EMULN 1000]],"")</f>
        <v/>
      </c>
      <c r="AV135" s="172">
        <v>7</v>
      </c>
      <c r="AW135" s="172"/>
      <c r="AX135" s="172">
        <f>+IF(BD_MO[[#This Row],[MINERAL (U-35)]]&lt;&gt;"",BD_MO[[#This Row],[MINERAL (U-35)]]*1.45,"-")</f>
        <v>10.15</v>
      </c>
      <c r="AY135" s="172" t="str">
        <f>+IF(BD_MO[[#This Row],[DESMONTE (U-35)]]&lt;&gt;"",BD_MO[[#This Row],[DESMONTE (U-35)]]*1.23,"-")</f>
        <v>-</v>
      </c>
      <c r="AZ135" s="172"/>
      <c r="BA135" s="172">
        <v>1</v>
      </c>
      <c r="BB135" s="172"/>
      <c r="BC135" s="172"/>
      <c r="BD135" s="172"/>
      <c r="BE135" s="172"/>
      <c r="BF135" s="172"/>
      <c r="BG135" s="172"/>
      <c r="BH135" s="172"/>
      <c r="BI135" s="172">
        <v>1</v>
      </c>
      <c r="BJ135" s="172"/>
      <c r="BK135" s="172"/>
      <c r="BL135" s="172"/>
      <c r="BM135" s="172"/>
      <c r="BN135" s="171">
        <v>2</v>
      </c>
      <c r="BO135" s="172"/>
      <c r="BP135" s="172"/>
      <c r="BQ135" s="171"/>
      <c r="BR135" s="172"/>
      <c r="BS135" s="171"/>
      <c r="BT135" s="176">
        <v>6</v>
      </c>
      <c r="BU135" s="172"/>
      <c r="BV135" s="172"/>
      <c r="BW135" s="172"/>
      <c r="BX135" s="172"/>
      <c r="BY135" s="172"/>
      <c r="BZ135" s="172"/>
      <c r="CA135" s="172"/>
      <c r="CB135" s="172"/>
      <c r="CC135" s="172"/>
      <c r="CD135" s="172"/>
      <c r="CE135" s="172"/>
      <c r="CF135" s="172"/>
      <c r="CG135" s="172"/>
      <c r="CH135" s="172"/>
      <c r="CI135" s="172"/>
      <c r="CJ135" s="172"/>
      <c r="CK135" s="172"/>
      <c r="CL135" s="172">
        <v>2</v>
      </c>
      <c r="CM135" s="172">
        <v>2</v>
      </c>
      <c r="CN135" s="172"/>
      <c r="CO135" s="172"/>
      <c r="CP135" s="176">
        <f>+IF(BD_MO[[#This Row],[FECHA]]&lt;&gt;"",BD_MO[[#This Row],[PUNTAL 4"]]+BD_MO[[#This Row],[PUNTAL 5"]]+BD_MO[[#This Row],[PUNTAL 6"]]+BD_MO[[#This Row],[PUNTAL 7"]]+BD_MO[[#This Row],[PUNTAL 8"]],"")</f>
        <v>4</v>
      </c>
      <c r="CQ135" s="172"/>
      <c r="CR135" s="172"/>
      <c r="CS135" s="172">
        <v>12</v>
      </c>
      <c r="CT135" s="172"/>
      <c r="CU135" s="172"/>
      <c r="CV135" s="172"/>
      <c r="CW135" s="172"/>
      <c r="CX135" s="172">
        <v>2</v>
      </c>
      <c r="CY135" s="176"/>
      <c r="CZ135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447.27400000000006</v>
      </c>
      <c r="DA135" s="176">
        <f>+IF(BD_MO[[#This Row],[FECHA]]&lt;&gt;"",BD_MO[[#This Row],[DURMIENTE2]]*6.561+BD_MO[[#This Row],[LISTONES]]*4.921+BD_MO[[#This Row],[TABLA 1"x8"x3m]]*6.561+BD_MO[[#This Row],[TABLA 2"x8"x3m]]*13.122,"")</f>
        <v>26.244</v>
      </c>
      <c r="DB135" s="176">
        <f>+IF(BD_MO[[#This Row],[FECHA]]&lt;&gt;"",BD_MO[[#This Row],[PIE2 MADERA ASERRADA]]*1.95,"")</f>
        <v>51.175799999999995</v>
      </c>
      <c r="DC135" s="176">
        <f>+IF(BD_MO[[#This Row],[FECHA]]&lt;&gt;"",BD_MO[[#This Row],[KG. MADERA REDONDA]]+BD_MO[[#This Row],[KG MADERA ASERRADA]],"")</f>
        <v>498.44980000000004</v>
      </c>
      <c r="DD135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249.12</v>
      </c>
      <c r="DE135" s="172"/>
      <c r="DF135" s="172"/>
      <c r="DG135" s="172"/>
      <c r="DH135" s="172"/>
      <c r="DI135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35" s="180"/>
      <c r="DK135" s="180"/>
      <c r="DL135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35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35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35" s="181"/>
      <c r="DP135" s="180" t="str">
        <f>+IF(BD_MO[[#This Row],[M o D]]&lt;&gt;"",IF(BD_MO[[#This Row],[M o D]]="M",BD_MO[[#This Row],[ROTURA TMH]]/2.65,BD_MO[[#This Row],[ROTURA TMH]]/2.4),"")</f>
        <v/>
      </c>
      <c r="DQ135" s="180"/>
      <c r="DR135" s="116" t="str">
        <f>IF(BD_MO[[#This Row],[TIPO AVANCE]]="Avance",((BD_MO[[#This Row],[AVANCE (m)]]/BD_MO[[#This Row],[AVANCE TEÓRICO]]))," ")</f>
        <v xml:space="preserve"> </v>
      </c>
      <c r="DS135" s="134"/>
      <c r="DT135" s="134"/>
      <c r="DU135" s="134"/>
      <c r="DV135" s="134"/>
      <c r="DW135" s="134"/>
      <c r="DX135" s="135"/>
      <c r="DY135" s="135"/>
      <c r="DZ135" s="135"/>
    </row>
    <row r="136" spans="1:130" s="136" customFormat="1" ht="18" customHeight="1" x14ac:dyDescent="0.25">
      <c r="A136" s="168">
        <v>44659</v>
      </c>
      <c r="B136" s="169" t="s">
        <v>10655</v>
      </c>
      <c r="C136" s="169" t="s">
        <v>10680</v>
      </c>
      <c r="D136" s="170" t="s">
        <v>10952</v>
      </c>
      <c r="E136" s="171" t="str">
        <f>LEFT(BD_MO[[#This Row],[LABOR]],2)</f>
        <v>In</v>
      </c>
      <c r="F136" s="172"/>
      <c r="G136" s="172" t="s">
        <v>10656</v>
      </c>
      <c r="H13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136" s="171" t="str">
        <f>IF(BD_MO[FECHA]&lt;&gt;"",VLOOKUP(BD_MO[LABOR],TB_CECO[[LABOR]:[CECO_T]],3,FALSE),"")</f>
        <v>VANESSA</v>
      </c>
      <c r="J136" s="171" t="str">
        <f>IF(BD_MO[FECHA]&lt;&gt;"",VLOOKUP(BD_MO[LABOR],D_CECO!B:H,7,FALSE),"")</f>
        <v>LINEAL</v>
      </c>
      <c r="K136" s="171" t="str">
        <f>IF(BD_MO[FECHA]&lt;&gt;"",VLOOKUP(BD_MO[LABOR],D_CECO!B:H,4,FALSE),"")</f>
        <v>EXPLORACION</v>
      </c>
      <c r="L136" s="171"/>
      <c r="M136" s="169"/>
      <c r="N136" s="172"/>
      <c r="O136" s="173" t="s">
        <v>11904</v>
      </c>
      <c r="P136" s="173" t="s">
        <v>11926</v>
      </c>
      <c r="Q136" s="173"/>
      <c r="R136" s="174"/>
      <c r="S136" s="175" t="str">
        <f>IFERROR(VLOOKUP(BD_MO[DNI 4],#REF!,2,FALSE)," ")</f>
        <v xml:space="preserve"> </v>
      </c>
      <c r="T136" s="176">
        <f>+IF(BD_MO[[#This Row],[FECHA]]&lt;&gt;"",COUNTA(BD_MO[[#This Row],[DNI]],BD_MO[[#This Row],[DNI 2]],BD_MO[[#This Row],[DNI 3]],BD_MO[[#This Row],[DNI 4]]),"")</f>
        <v>2</v>
      </c>
      <c r="U136" s="176">
        <v>1</v>
      </c>
      <c r="V136" s="176"/>
      <c r="W136" s="176">
        <v>0.6</v>
      </c>
      <c r="X136" s="176">
        <v>0.4</v>
      </c>
      <c r="Y136" s="177">
        <f>SUM(BD_MO[[#This Row],[LIMP]:[SERV]])</f>
        <v>2</v>
      </c>
      <c r="Z136" s="172"/>
      <c r="AA136" s="172" t="str">
        <f>+IF(BD_MO[[#This Row],[N° VALE]]&lt;&gt;"",1,"")</f>
        <v/>
      </c>
      <c r="AB136" s="169"/>
      <c r="AC136" s="172"/>
      <c r="AD136" s="172" t="str">
        <f>+IF(BD_MO[[#This Row],[N° VALE]]&lt;&gt;"",BD_MO[[#This Row],[FULMINANTE N° 08]]+BD_MO[CARMEX 7''],"")</f>
        <v/>
      </c>
      <c r="AE136" s="172"/>
      <c r="AF136" s="172" t="str">
        <f>+IF(BD_MO[[#This Row],[N° VALE]]&lt;&gt;"",BD_MO[[#This Row],[N° TALADROS]]+BD_MO[[#This Row],[N° TAL. VACIOS]],"")</f>
        <v/>
      </c>
      <c r="AG136" s="178"/>
      <c r="AH136" s="178"/>
      <c r="AI136" s="178"/>
      <c r="AJ136" s="178"/>
      <c r="AK136" s="178"/>
      <c r="AL136" s="178"/>
      <c r="AM136" s="171"/>
      <c r="AN136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36" s="172" t="str">
        <f>+IF(BD_MO[[#This Row],[N° VALE]]&lt;&gt;"",IF(BD_MO[[#This Row],[FULMINANTE N° 08]]&lt;&gt;"",BD_MO[[#This Row],[FULMINANTE N° 08]],IF(BD_MO[[#This Row],[CARMEX 7'']]&lt;&gt;0,0,"")),"")</f>
        <v/>
      </c>
      <c r="AP136" s="176" t="str">
        <f>+IF(BD_MO[[#This Row],[N° VALE]]&lt;&gt;"",BD_MO[[#This Row],[N°  TOTAL TALADROS]]*BD_MO[[#This Row],[BARRA]]*0.95,"")</f>
        <v/>
      </c>
      <c r="AQ136" s="176" t="str">
        <f>+IF(BD_MO[[#This Row],[N° VALE]]&lt;&gt;"",BD_MO[[#This Row],[EMULNOR 1000 (N° CART.)]]*PE_EMUL_1000[PE],"")</f>
        <v/>
      </c>
      <c r="AR136" s="176" t="str">
        <f>+IF(BD_MO[[#This Row],[N° VALE]]&lt;&gt;"",BD_MO[[#This Row],[EMULNOR 3000 (N° CART.)]]*PE_EMUL_3000[PE],"")</f>
        <v/>
      </c>
      <c r="AS136" s="176" t="str">
        <f>+IF(BD_MO[[#This Row],[N° VALE]]&lt;&gt;"",BD_MO[[#This Row],[PULVERULENTA (N° CART.)]]*PE_PULV_65[PE],"")</f>
        <v/>
      </c>
      <c r="AT136" s="176" t="str">
        <f>+IF(BD_MO[[#This Row],[N° DISP]]&lt;&gt;"",BD_MO[[#This Row],[SEMIGELATINA (N° CART.)]]*PE_SEMIGEL_65[PE],"")</f>
        <v/>
      </c>
      <c r="AU136" s="176" t="str">
        <f>+IF(BD_MO[N° VALE]&lt;&gt;"",BD_MO[[#This Row],[KG EXPLO SEMIGEL]]+BD_MO[[#This Row],[KG EXPLO PULVE]]+BD_MO[[#This Row],[KG EXPLO EMULN 3000]]+BD_MO[[#This Row],[KG EXPLO EMULN 1000]],"")</f>
        <v/>
      </c>
      <c r="AV136" s="172"/>
      <c r="AW136" s="172">
        <v>7</v>
      </c>
      <c r="AX136" s="172" t="str">
        <f>+IF(BD_MO[[#This Row],[MINERAL (U-35)]]&lt;&gt;"",BD_MO[[#This Row],[MINERAL (U-35)]]*1.45,"-")</f>
        <v>-</v>
      </c>
      <c r="AY136" s="172">
        <f>+IF(BD_MO[[#This Row],[DESMONTE (U-35)]]&lt;&gt;"",BD_MO[[#This Row],[DESMONTE (U-35)]]*1.23,"-")</f>
        <v>8.61</v>
      </c>
      <c r="AZ136" s="172"/>
      <c r="BA136" s="172"/>
      <c r="BB136" s="172"/>
      <c r="BC136" s="172"/>
      <c r="BD136" s="172"/>
      <c r="BE136" s="172"/>
      <c r="BF136" s="172"/>
      <c r="BG136" s="172"/>
      <c r="BH136" s="172"/>
      <c r="BI136" s="172">
        <v>1</v>
      </c>
      <c r="BJ136" s="172"/>
      <c r="BK136" s="172"/>
      <c r="BL136" s="172"/>
      <c r="BM136" s="172"/>
      <c r="BN136" s="171">
        <v>4</v>
      </c>
      <c r="BO136" s="172"/>
      <c r="BP136" s="172"/>
      <c r="BQ136" s="171"/>
      <c r="BR136" s="172"/>
      <c r="BS136" s="171"/>
      <c r="BT136" s="176"/>
      <c r="BU136" s="172"/>
      <c r="BV136" s="172"/>
      <c r="BW136" s="172"/>
      <c r="BX136" s="172"/>
      <c r="BY136" s="172"/>
      <c r="BZ136" s="172"/>
      <c r="CA136" s="172"/>
      <c r="CB136" s="172"/>
      <c r="CC136" s="172"/>
      <c r="CD136" s="172"/>
      <c r="CE136" s="172"/>
      <c r="CF136" s="172"/>
      <c r="CG136" s="172"/>
      <c r="CH136" s="172"/>
      <c r="CI136" s="172"/>
      <c r="CJ136" s="172"/>
      <c r="CK136" s="172"/>
      <c r="CL136" s="172"/>
      <c r="CM136" s="172">
        <v>1</v>
      </c>
      <c r="CN136" s="172"/>
      <c r="CO136" s="172"/>
      <c r="CP136" s="176">
        <f>+IF(BD_MO[[#This Row],[FECHA]]&lt;&gt;"",BD_MO[[#This Row],[PUNTAL 4"]]+BD_MO[[#This Row],[PUNTAL 5"]]+BD_MO[[#This Row],[PUNTAL 6"]]+BD_MO[[#This Row],[PUNTAL 7"]]+BD_MO[[#This Row],[PUNTAL 8"]],"")</f>
        <v>1</v>
      </c>
      <c r="CQ136" s="172"/>
      <c r="CR136" s="172"/>
      <c r="CS136" s="172"/>
      <c r="CT136" s="172"/>
      <c r="CU136" s="172">
        <v>1</v>
      </c>
      <c r="CV136" s="172"/>
      <c r="CW136" s="172">
        <v>10</v>
      </c>
      <c r="CX136" s="172">
        <v>10</v>
      </c>
      <c r="CY136" s="176"/>
      <c r="CZ13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44.874000000000002</v>
      </c>
      <c r="DA136" s="176">
        <f>+IF(BD_MO[[#This Row],[FECHA]]&lt;&gt;"",BD_MO[[#This Row],[DURMIENTE2]]*6.561+BD_MO[[#This Row],[LISTONES]]*4.921+BD_MO[[#This Row],[TABLA 1"x8"x3m]]*6.561+BD_MO[[#This Row],[TABLA 2"x8"x3m]]*13.122,"")</f>
        <v>196.82999999999998</v>
      </c>
      <c r="DB136" s="176">
        <f>+IF(BD_MO[[#This Row],[FECHA]]&lt;&gt;"",BD_MO[[#This Row],[PIE2 MADERA ASERRADA]]*1.95,"")</f>
        <v>383.81849999999997</v>
      </c>
      <c r="DC136" s="176">
        <f>+IF(BD_MO[[#This Row],[FECHA]]&lt;&gt;"",BD_MO[[#This Row],[KG. MADERA REDONDA]]+BD_MO[[#This Row],[KG MADERA ASERRADA]],"")</f>
        <v>428.6925</v>
      </c>
      <c r="DD13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335.24</v>
      </c>
      <c r="DE136" s="172"/>
      <c r="DF136" s="172"/>
      <c r="DG136" s="172"/>
      <c r="DH136" s="172"/>
      <c r="DI136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36" s="180"/>
      <c r="DK136" s="180"/>
      <c r="DL13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36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36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36" s="181"/>
      <c r="DP136" s="180" t="str">
        <f>+IF(BD_MO[[#This Row],[M o D]]&lt;&gt;"",IF(BD_MO[[#This Row],[M o D]]="M",BD_MO[[#This Row],[ROTURA TMH]]/2.65,BD_MO[[#This Row],[ROTURA TMH]]/2.4),"")</f>
        <v/>
      </c>
      <c r="DQ136" s="180"/>
      <c r="DR136" s="116" t="str">
        <f>IF(BD_MO[[#This Row],[TIPO AVANCE]]="Avance",((BD_MO[[#This Row],[AVANCE (m)]]/BD_MO[[#This Row],[AVANCE TEÓRICO]]))," ")</f>
        <v xml:space="preserve"> </v>
      </c>
      <c r="DS136" s="134"/>
      <c r="DT136" s="134"/>
      <c r="DU136" s="134"/>
      <c r="DV136" s="134"/>
      <c r="DW136" s="134"/>
      <c r="DX136" s="135"/>
      <c r="DY136" s="135"/>
      <c r="DZ136" s="135"/>
    </row>
    <row r="137" spans="1:130" s="136" customFormat="1" ht="18" customHeight="1" x14ac:dyDescent="0.25">
      <c r="A137" s="168">
        <v>44659</v>
      </c>
      <c r="B137" s="169" t="s">
        <v>10655</v>
      </c>
      <c r="C137" s="169" t="s">
        <v>10680</v>
      </c>
      <c r="D137" s="170" t="s">
        <v>12116</v>
      </c>
      <c r="E137" s="171" t="str">
        <f>LEFT(BD_MO[[#This Row],[LABOR]],2)</f>
        <v>Cx</v>
      </c>
      <c r="F137" s="172"/>
      <c r="G137" s="172" t="s">
        <v>10662</v>
      </c>
      <c r="H13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137" s="171" t="str">
        <f>IF(BD_MO[FECHA]&lt;&gt;"",VLOOKUP(BD_MO[LABOR],TB_CECO[[LABOR]:[CECO_T]],3,FALSE),"")</f>
        <v>ESCONDIDA</v>
      </c>
      <c r="J137" s="171" t="str">
        <f>IF(BD_MO[FECHA]&lt;&gt;"",VLOOKUP(BD_MO[LABOR],D_CECO!B:H,7,FALSE),"")</f>
        <v>LINEAL</v>
      </c>
      <c r="K137" s="171" t="str">
        <f>IF(BD_MO[FECHA]&lt;&gt;"",VLOOKUP(BD_MO[LABOR],D_CECO!B:H,4,FALSE),"")</f>
        <v>EXPLOTACION</v>
      </c>
      <c r="L137" s="171"/>
      <c r="M137" s="169"/>
      <c r="N137" s="172"/>
      <c r="O137" s="173" t="s">
        <v>11911</v>
      </c>
      <c r="P137" s="173" t="s">
        <v>12210</v>
      </c>
      <c r="Q137" s="173"/>
      <c r="R137" s="174"/>
      <c r="S137" s="175" t="str">
        <f>IFERROR(VLOOKUP(BD_MO[DNI 4],#REF!,2,FALSE)," ")</f>
        <v xml:space="preserve"> </v>
      </c>
      <c r="T137" s="176">
        <f>+IF(BD_MO[[#This Row],[FECHA]]&lt;&gt;"",COUNTA(BD_MO[[#This Row],[DNI]],BD_MO[[#This Row],[DNI 2]],BD_MO[[#This Row],[DNI 3]],BD_MO[[#This Row],[DNI 4]]),"")</f>
        <v>2</v>
      </c>
      <c r="U137" s="176">
        <v>0.6</v>
      </c>
      <c r="V137" s="176"/>
      <c r="W137" s="176">
        <v>1</v>
      </c>
      <c r="X137" s="176">
        <v>0.4</v>
      </c>
      <c r="Y137" s="177">
        <f>SUM(BD_MO[[#This Row],[LIMP]:[SERV]])</f>
        <v>2</v>
      </c>
      <c r="Z137" s="172"/>
      <c r="AA137" s="172" t="str">
        <f>+IF(BD_MO[[#This Row],[N° VALE]]&lt;&gt;"",1,"")</f>
        <v/>
      </c>
      <c r="AB137" s="169"/>
      <c r="AC137" s="172"/>
      <c r="AD137" s="172" t="str">
        <f>+IF(BD_MO[[#This Row],[N° VALE]]&lt;&gt;"",BD_MO[[#This Row],[FULMINANTE N° 08]]+BD_MO[CARMEX 7''],"")</f>
        <v/>
      </c>
      <c r="AE137" s="172"/>
      <c r="AF137" s="172" t="str">
        <f>+IF(BD_MO[[#This Row],[N° VALE]]&lt;&gt;"",BD_MO[[#This Row],[N° TALADROS]]+BD_MO[[#This Row],[N° TAL. VACIOS]],"")</f>
        <v/>
      </c>
      <c r="AG137" s="178"/>
      <c r="AH137" s="178"/>
      <c r="AI137" s="178"/>
      <c r="AJ137" s="178"/>
      <c r="AK137" s="178"/>
      <c r="AL137" s="178"/>
      <c r="AM137" s="171"/>
      <c r="AN137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37" s="172" t="str">
        <f>+IF(BD_MO[[#This Row],[N° VALE]]&lt;&gt;"",IF(BD_MO[[#This Row],[FULMINANTE N° 08]]&lt;&gt;"",BD_MO[[#This Row],[FULMINANTE N° 08]],IF(BD_MO[[#This Row],[CARMEX 7'']]&lt;&gt;0,0,"")),"")</f>
        <v/>
      </c>
      <c r="AP137" s="176" t="str">
        <f>+IF(BD_MO[[#This Row],[N° VALE]]&lt;&gt;"",BD_MO[[#This Row],[N°  TOTAL TALADROS]]*BD_MO[[#This Row],[BARRA]]*0.95,"")</f>
        <v/>
      </c>
      <c r="AQ137" s="176" t="str">
        <f>+IF(BD_MO[[#This Row],[N° VALE]]&lt;&gt;"",BD_MO[[#This Row],[EMULNOR 1000 (N° CART.)]]*PE_EMUL_1000[PE],"")</f>
        <v/>
      </c>
      <c r="AR137" s="176" t="str">
        <f>+IF(BD_MO[[#This Row],[N° VALE]]&lt;&gt;"",BD_MO[[#This Row],[EMULNOR 3000 (N° CART.)]]*PE_EMUL_3000[PE],"")</f>
        <v/>
      </c>
      <c r="AS137" s="176" t="str">
        <f>+IF(BD_MO[[#This Row],[N° VALE]]&lt;&gt;"",BD_MO[[#This Row],[PULVERULENTA (N° CART.)]]*PE_PULV_65[PE],"")</f>
        <v/>
      </c>
      <c r="AT137" s="176" t="str">
        <f>+IF(BD_MO[[#This Row],[N° DISP]]&lt;&gt;"",BD_MO[[#This Row],[SEMIGELATINA (N° CART.)]]*PE_SEMIGEL_65[PE],"")</f>
        <v/>
      </c>
      <c r="AU137" s="176" t="str">
        <f>+IF(BD_MO[N° VALE]&lt;&gt;"",BD_MO[[#This Row],[KG EXPLO SEMIGEL]]+BD_MO[[#This Row],[KG EXPLO PULVE]]+BD_MO[[#This Row],[KG EXPLO EMULN 3000]]+BD_MO[[#This Row],[KG EXPLO EMULN 1000]],"")</f>
        <v/>
      </c>
      <c r="AV137" s="172"/>
      <c r="AW137" s="172">
        <v>1</v>
      </c>
      <c r="AX137" s="172" t="str">
        <f>+IF(BD_MO[[#This Row],[MINERAL (U-35)]]&lt;&gt;"",BD_MO[[#This Row],[MINERAL (U-35)]]*1.45,"-")</f>
        <v>-</v>
      </c>
      <c r="AY137" s="172">
        <f>+IF(BD_MO[[#This Row],[DESMONTE (U-35)]]&lt;&gt;"",BD_MO[[#This Row],[DESMONTE (U-35)]]*1.23,"-")</f>
        <v>1.23</v>
      </c>
      <c r="AZ137" s="172">
        <v>1</v>
      </c>
      <c r="BA137" s="172"/>
      <c r="BB137" s="172"/>
      <c r="BC137" s="172"/>
      <c r="BD137" s="172"/>
      <c r="BE137" s="172"/>
      <c r="BF137" s="172"/>
      <c r="BG137" s="172"/>
      <c r="BH137" s="172"/>
      <c r="BI137" s="172"/>
      <c r="BJ137" s="172"/>
      <c r="BK137" s="172"/>
      <c r="BL137" s="172"/>
      <c r="BM137" s="172"/>
      <c r="BN137" s="171"/>
      <c r="BO137" s="172">
        <v>2</v>
      </c>
      <c r="BP137" s="172"/>
      <c r="BQ137" s="171"/>
      <c r="BR137" s="172"/>
      <c r="BS137" s="171"/>
      <c r="BT137" s="176">
        <v>3</v>
      </c>
      <c r="BU137" s="172"/>
      <c r="BV137" s="172"/>
      <c r="BW137" s="172"/>
      <c r="BX137" s="172"/>
      <c r="BY137" s="172"/>
      <c r="BZ137" s="172"/>
      <c r="CA137" s="172"/>
      <c r="CB137" s="172"/>
      <c r="CC137" s="172"/>
      <c r="CD137" s="172"/>
      <c r="CE137" s="172"/>
      <c r="CF137" s="172"/>
      <c r="CG137" s="172"/>
      <c r="CH137" s="172"/>
      <c r="CI137" s="172"/>
      <c r="CJ137" s="172"/>
      <c r="CK137" s="172"/>
      <c r="CL137" s="172">
        <v>2</v>
      </c>
      <c r="CM137" s="172">
        <v>2</v>
      </c>
      <c r="CN137" s="172"/>
      <c r="CO137" s="172">
        <v>3</v>
      </c>
      <c r="CP137" s="176">
        <f>+IF(BD_MO[[#This Row],[FECHA]]&lt;&gt;"",BD_MO[[#This Row],[PUNTAL 4"]]+BD_MO[[#This Row],[PUNTAL 5"]]+BD_MO[[#This Row],[PUNTAL 6"]]+BD_MO[[#This Row],[PUNTAL 7"]]+BD_MO[[#This Row],[PUNTAL 8"]],"")</f>
        <v>7</v>
      </c>
      <c r="CQ137" s="172"/>
      <c r="CR137" s="172"/>
      <c r="CS137" s="172">
        <v>14</v>
      </c>
      <c r="CT137" s="172"/>
      <c r="CU137" s="172"/>
      <c r="CV137" s="172"/>
      <c r="CW137" s="172"/>
      <c r="CX137" s="172"/>
      <c r="CY137" s="176"/>
      <c r="CZ13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735.80200000000002</v>
      </c>
      <c r="DA137" s="176">
        <f>+IF(BD_MO[[#This Row],[FECHA]]&lt;&gt;"",BD_MO[[#This Row],[DURMIENTE2]]*6.561+BD_MO[[#This Row],[LISTONES]]*4.921+BD_MO[[#This Row],[TABLA 1"x8"x3m]]*6.561+BD_MO[[#This Row],[TABLA 2"x8"x3m]]*13.122,"")</f>
        <v>0</v>
      </c>
      <c r="DB137" s="176">
        <f>+IF(BD_MO[[#This Row],[FECHA]]&lt;&gt;"",BD_MO[[#This Row],[PIE2 MADERA ASERRADA]]*1.95,"")</f>
        <v>0</v>
      </c>
      <c r="DC137" s="176">
        <f>+IF(BD_MO[[#This Row],[FECHA]]&lt;&gt;"",BD_MO[[#This Row],[KG. MADERA REDONDA]]+BD_MO[[#This Row],[KG MADERA ASERRADA]],"")</f>
        <v>735.80200000000002</v>
      </c>
      <c r="DD13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296.66000000000003</v>
      </c>
      <c r="DE137" s="172"/>
      <c r="DF137" s="172"/>
      <c r="DG137" s="172"/>
      <c r="DH137" s="172"/>
      <c r="DI137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37" s="180"/>
      <c r="DK137" s="180"/>
      <c r="DL13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37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37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37" s="181"/>
      <c r="DP137" s="180" t="str">
        <f>+IF(BD_MO[[#This Row],[M o D]]&lt;&gt;"",IF(BD_MO[[#This Row],[M o D]]="M",BD_MO[[#This Row],[ROTURA TMH]]/2.65,BD_MO[[#This Row],[ROTURA TMH]]/2.4),"")</f>
        <v/>
      </c>
      <c r="DQ137" s="180"/>
      <c r="DR137" s="116" t="str">
        <f>IF(BD_MO[[#This Row],[TIPO AVANCE]]="Avance",((BD_MO[[#This Row],[AVANCE (m)]]/BD_MO[[#This Row],[AVANCE TEÓRICO]]))," ")</f>
        <v xml:space="preserve"> </v>
      </c>
      <c r="DS137" s="134"/>
      <c r="DT137" s="134"/>
      <c r="DU137" s="134"/>
      <c r="DV137" s="134"/>
      <c r="DW137" s="134"/>
      <c r="DX137" s="135"/>
      <c r="DY137" s="135"/>
      <c r="DZ137" s="135"/>
    </row>
    <row r="138" spans="1:130" s="136" customFormat="1" ht="18" customHeight="1" x14ac:dyDescent="0.25">
      <c r="A138" s="168">
        <v>44659</v>
      </c>
      <c r="B138" s="169" t="s">
        <v>10655</v>
      </c>
      <c r="C138" s="169" t="s">
        <v>10680</v>
      </c>
      <c r="D138" s="170" t="s">
        <v>12164</v>
      </c>
      <c r="E138" s="171" t="str">
        <f>LEFT(BD_MO[[#This Row],[LABOR]],2)</f>
        <v>Tj</v>
      </c>
      <c r="F138" s="172"/>
      <c r="G138" s="172" t="s">
        <v>10669</v>
      </c>
      <c r="H138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38" s="171" t="str">
        <f>IF(BD_MO[FECHA]&lt;&gt;"",VLOOKUP(BD_MO[LABOR],TB_CECO[[LABOR]:[CECO_T]],3,FALSE),"")</f>
        <v>VANESSA</v>
      </c>
      <c r="J138" s="171" t="str">
        <f>IF(BD_MO[FECHA]&lt;&gt;"",VLOOKUP(BD_MO[LABOR],D_CECO!B:H,7,FALSE),"")</f>
        <v>TAJO</v>
      </c>
      <c r="K138" s="171" t="str">
        <f>IF(BD_MO[FECHA]&lt;&gt;"",VLOOKUP(BD_MO[LABOR],D_CECO!B:H,4,FALSE),"")</f>
        <v>EXPLOTACION</v>
      </c>
      <c r="L138" s="171"/>
      <c r="M138" s="169"/>
      <c r="N138" s="172"/>
      <c r="O138" s="173" t="s">
        <v>12151</v>
      </c>
      <c r="P138" s="173"/>
      <c r="Q138" s="173"/>
      <c r="R138" s="174"/>
      <c r="S138" s="175" t="str">
        <f>IFERROR(VLOOKUP(BD_MO[DNI 4],#REF!,2,FALSE)," ")</f>
        <v xml:space="preserve"> </v>
      </c>
      <c r="T138" s="176">
        <f>+IF(BD_MO[[#This Row],[FECHA]]&lt;&gt;"",COUNTA(BD_MO[[#This Row],[DNI]],BD_MO[[#This Row],[DNI 2]],BD_MO[[#This Row],[DNI 3]],BD_MO[[#This Row],[DNI 4]]),"")</f>
        <v>1</v>
      </c>
      <c r="U138" s="176"/>
      <c r="V138" s="176"/>
      <c r="W138" s="176"/>
      <c r="X138" s="176">
        <v>1</v>
      </c>
      <c r="Y138" s="177">
        <f>SUM(BD_MO[[#This Row],[LIMP]:[SERV]])</f>
        <v>1</v>
      </c>
      <c r="Z138" s="172"/>
      <c r="AA138" s="172" t="str">
        <f>+IF(BD_MO[[#This Row],[N° VALE]]&lt;&gt;"",1,"")</f>
        <v/>
      </c>
      <c r="AB138" s="169"/>
      <c r="AC138" s="172"/>
      <c r="AD138" s="172" t="str">
        <f>+IF(BD_MO[[#This Row],[N° VALE]]&lt;&gt;"",BD_MO[[#This Row],[FULMINANTE N° 08]]+BD_MO[CARMEX 7''],"")</f>
        <v/>
      </c>
      <c r="AE138" s="172"/>
      <c r="AF138" s="172" t="str">
        <f>+IF(BD_MO[[#This Row],[N° VALE]]&lt;&gt;"",BD_MO[[#This Row],[N° TALADROS]]+BD_MO[[#This Row],[N° TAL. VACIOS]],"")</f>
        <v/>
      </c>
      <c r="AG138" s="178"/>
      <c r="AH138" s="178"/>
      <c r="AI138" s="178"/>
      <c r="AJ138" s="178"/>
      <c r="AK138" s="178"/>
      <c r="AL138" s="178"/>
      <c r="AM138" s="171"/>
      <c r="AN138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38" s="172" t="str">
        <f>+IF(BD_MO[[#This Row],[N° VALE]]&lt;&gt;"",IF(BD_MO[[#This Row],[FULMINANTE N° 08]]&lt;&gt;"",BD_MO[[#This Row],[FULMINANTE N° 08]],IF(BD_MO[[#This Row],[CARMEX 7'']]&lt;&gt;0,0,"")),"")</f>
        <v/>
      </c>
      <c r="AP138" s="176" t="str">
        <f>+IF(BD_MO[[#This Row],[N° VALE]]&lt;&gt;"",BD_MO[[#This Row],[N°  TOTAL TALADROS]]*BD_MO[[#This Row],[BARRA]]*0.95,"")</f>
        <v/>
      </c>
      <c r="AQ138" s="176" t="str">
        <f>+IF(BD_MO[[#This Row],[N° VALE]]&lt;&gt;"",BD_MO[[#This Row],[EMULNOR 1000 (N° CART.)]]*PE_EMUL_1000[PE],"")</f>
        <v/>
      </c>
      <c r="AR138" s="176" t="str">
        <f>+IF(BD_MO[[#This Row],[N° VALE]]&lt;&gt;"",BD_MO[[#This Row],[EMULNOR 3000 (N° CART.)]]*PE_EMUL_3000[PE],"")</f>
        <v/>
      </c>
      <c r="AS138" s="176" t="str">
        <f>+IF(BD_MO[[#This Row],[N° VALE]]&lt;&gt;"",BD_MO[[#This Row],[PULVERULENTA (N° CART.)]]*PE_PULV_65[PE],"")</f>
        <v/>
      </c>
      <c r="AT138" s="176" t="str">
        <f>+IF(BD_MO[[#This Row],[N° DISP]]&lt;&gt;"",BD_MO[[#This Row],[SEMIGELATINA (N° CART.)]]*PE_SEMIGEL_65[PE],"")</f>
        <v/>
      </c>
      <c r="AU138" s="176" t="str">
        <f>+IF(BD_MO[N° VALE]&lt;&gt;"",BD_MO[[#This Row],[KG EXPLO SEMIGEL]]+BD_MO[[#This Row],[KG EXPLO PULVE]]+BD_MO[[#This Row],[KG EXPLO EMULN 3000]]+BD_MO[[#This Row],[KG EXPLO EMULN 1000]],"")</f>
        <v/>
      </c>
      <c r="AV138" s="172"/>
      <c r="AW138" s="172"/>
      <c r="AX138" s="172" t="str">
        <f>+IF(BD_MO[[#This Row],[MINERAL (U-35)]]&lt;&gt;"",BD_MO[[#This Row],[MINERAL (U-35)]]*1.45,"-")</f>
        <v>-</v>
      </c>
      <c r="AY138" s="172" t="str">
        <f>+IF(BD_MO[[#This Row],[DESMONTE (U-35)]]&lt;&gt;"",BD_MO[[#This Row],[DESMONTE (U-35)]]*1.23,"-")</f>
        <v>-</v>
      </c>
      <c r="AZ138" s="172"/>
      <c r="BA138" s="172"/>
      <c r="BB138" s="172"/>
      <c r="BC138" s="172"/>
      <c r="BD138" s="172"/>
      <c r="BE138" s="172"/>
      <c r="BF138" s="172"/>
      <c r="BG138" s="172"/>
      <c r="BH138" s="172"/>
      <c r="BI138" s="172"/>
      <c r="BJ138" s="172"/>
      <c r="BK138" s="172"/>
      <c r="BL138" s="172"/>
      <c r="BM138" s="172"/>
      <c r="BN138" s="171"/>
      <c r="BO138" s="172"/>
      <c r="BP138" s="172"/>
      <c r="BQ138" s="171"/>
      <c r="BR138" s="172"/>
      <c r="BS138" s="171"/>
      <c r="BT138" s="176"/>
      <c r="BU138" s="172"/>
      <c r="BV138" s="172"/>
      <c r="BW138" s="172"/>
      <c r="BX138" s="172"/>
      <c r="BY138" s="172"/>
      <c r="BZ138" s="172"/>
      <c r="CA138" s="172"/>
      <c r="CB138" s="172"/>
      <c r="CC138" s="172"/>
      <c r="CD138" s="172"/>
      <c r="CE138" s="172"/>
      <c r="CF138" s="172"/>
      <c r="CG138" s="172"/>
      <c r="CH138" s="172"/>
      <c r="CI138" s="172"/>
      <c r="CJ138" s="172"/>
      <c r="CK138" s="172"/>
      <c r="CL138" s="172"/>
      <c r="CM138" s="172"/>
      <c r="CN138" s="172"/>
      <c r="CO138" s="172"/>
      <c r="CP138" s="176">
        <f>+IF(BD_MO[[#This Row],[FECHA]]&lt;&gt;"",BD_MO[[#This Row],[PUNTAL 4"]]+BD_MO[[#This Row],[PUNTAL 5"]]+BD_MO[[#This Row],[PUNTAL 6"]]+BD_MO[[#This Row],[PUNTAL 7"]]+BD_MO[[#This Row],[PUNTAL 8"]],"")</f>
        <v>0</v>
      </c>
      <c r="CQ138" s="172"/>
      <c r="CR138" s="172"/>
      <c r="CS138" s="172"/>
      <c r="CT138" s="172"/>
      <c r="CU138" s="172"/>
      <c r="CV138" s="172"/>
      <c r="CW138" s="172"/>
      <c r="CX138" s="172"/>
      <c r="CY138" s="176"/>
      <c r="CZ138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38" s="176">
        <f>+IF(BD_MO[[#This Row],[FECHA]]&lt;&gt;"",BD_MO[[#This Row],[DURMIENTE2]]*6.561+BD_MO[[#This Row],[LISTONES]]*4.921+BD_MO[[#This Row],[TABLA 1"x8"x3m]]*6.561+BD_MO[[#This Row],[TABLA 2"x8"x3m]]*13.122,"")</f>
        <v>0</v>
      </c>
      <c r="DB138" s="176">
        <f>+IF(BD_MO[[#This Row],[FECHA]]&lt;&gt;"",BD_MO[[#This Row],[PIE2 MADERA ASERRADA]]*1.95,"")</f>
        <v>0</v>
      </c>
      <c r="DC138" s="176">
        <f>+IF(BD_MO[[#This Row],[FECHA]]&lt;&gt;"",BD_MO[[#This Row],[KG. MADERA REDONDA]]+BD_MO[[#This Row],[KG MADERA ASERRADA]],"")</f>
        <v>0</v>
      </c>
      <c r="DD138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38" s="172"/>
      <c r="DF138" s="172"/>
      <c r="DG138" s="172"/>
      <c r="DH138" s="172"/>
      <c r="DI138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38" s="180"/>
      <c r="DK138" s="180"/>
      <c r="DL138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38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38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38" s="181"/>
      <c r="DP138" s="180" t="str">
        <f>+IF(BD_MO[[#This Row],[M o D]]&lt;&gt;"",IF(BD_MO[[#This Row],[M o D]]="M",BD_MO[[#This Row],[ROTURA TMH]]/2.65,BD_MO[[#This Row],[ROTURA TMH]]/2.4),"")</f>
        <v/>
      </c>
      <c r="DQ138" s="180"/>
      <c r="DR138" s="116" t="str">
        <f>IF(BD_MO[[#This Row],[TIPO AVANCE]]="Avance",((BD_MO[[#This Row],[AVANCE (m)]]/BD_MO[[#This Row],[AVANCE TEÓRICO]]))," ")</f>
        <v xml:space="preserve"> </v>
      </c>
      <c r="DS138" s="134"/>
      <c r="DT138" s="134"/>
      <c r="DU138" s="134"/>
      <c r="DV138" s="134"/>
      <c r="DW138" s="134"/>
      <c r="DX138" s="135"/>
      <c r="DY138" s="135"/>
      <c r="DZ138" s="135"/>
    </row>
    <row r="139" spans="1:130" s="136" customFormat="1" ht="18" customHeight="1" x14ac:dyDescent="0.25">
      <c r="A139" s="168">
        <v>44659</v>
      </c>
      <c r="B139" s="169" t="s">
        <v>10655</v>
      </c>
      <c r="C139" s="169" t="s">
        <v>10680</v>
      </c>
      <c r="D139" s="170" t="s">
        <v>10952</v>
      </c>
      <c r="E139" s="171" t="str">
        <f>LEFT(BD_MO[[#This Row],[LABOR]],2)</f>
        <v>In</v>
      </c>
      <c r="F139" s="172"/>
      <c r="G139" s="172" t="s">
        <v>10669</v>
      </c>
      <c r="H13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39" s="171" t="str">
        <f>IF(BD_MO[FECHA]&lt;&gt;"",VLOOKUP(BD_MO[LABOR],TB_CECO[[LABOR]:[CECO_T]],3,FALSE),"")</f>
        <v>VANESSA</v>
      </c>
      <c r="J139" s="171" t="str">
        <f>IF(BD_MO[FECHA]&lt;&gt;"",VLOOKUP(BD_MO[LABOR],D_CECO!B:H,7,FALSE),"")</f>
        <v>LINEAL</v>
      </c>
      <c r="K139" s="171" t="str">
        <f>IF(BD_MO[FECHA]&lt;&gt;"",VLOOKUP(BD_MO[LABOR],D_CECO!B:H,4,FALSE),"")</f>
        <v>EXPLORACION</v>
      </c>
      <c r="L139" s="171"/>
      <c r="M139" s="169"/>
      <c r="N139" s="172"/>
      <c r="O139" s="173" t="s">
        <v>11925</v>
      </c>
      <c r="P139" s="173" t="s">
        <v>11906</v>
      </c>
      <c r="Q139" s="173"/>
      <c r="R139" s="174"/>
      <c r="S139" s="175" t="str">
        <f>IFERROR(VLOOKUP(BD_MO[DNI 4],#REF!,2,FALSE)," ")</f>
        <v xml:space="preserve"> </v>
      </c>
      <c r="T139" s="176">
        <f>+IF(BD_MO[[#This Row],[FECHA]]&lt;&gt;"",COUNTA(BD_MO[[#This Row],[DNI]],BD_MO[[#This Row],[DNI 2]],BD_MO[[#This Row],[DNI 3]],BD_MO[[#This Row],[DNI 4]]),"")</f>
        <v>2</v>
      </c>
      <c r="U139" s="176"/>
      <c r="V139" s="176"/>
      <c r="W139" s="176"/>
      <c r="X139" s="176">
        <v>2</v>
      </c>
      <c r="Y139" s="177">
        <f>SUM(BD_MO[[#This Row],[LIMP]:[SERV]])</f>
        <v>2</v>
      </c>
      <c r="Z139" s="172"/>
      <c r="AA139" s="172" t="str">
        <f>+IF(BD_MO[[#This Row],[N° VALE]]&lt;&gt;"",1,"")</f>
        <v/>
      </c>
      <c r="AB139" s="169"/>
      <c r="AC139" s="172"/>
      <c r="AD139" s="172" t="str">
        <f>+IF(BD_MO[[#This Row],[N° VALE]]&lt;&gt;"",BD_MO[[#This Row],[FULMINANTE N° 08]]+BD_MO[CARMEX 7''],"")</f>
        <v/>
      </c>
      <c r="AE139" s="172"/>
      <c r="AF139" s="172" t="str">
        <f>+IF(BD_MO[[#This Row],[N° VALE]]&lt;&gt;"",BD_MO[[#This Row],[N° TALADROS]]+BD_MO[[#This Row],[N° TAL. VACIOS]],"")</f>
        <v/>
      </c>
      <c r="AG139" s="178"/>
      <c r="AH139" s="178"/>
      <c r="AI139" s="178"/>
      <c r="AJ139" s="178"/>
      <c r="AK139" s="178"/>
      <c r="AL139" s="178"/>
      <c r="AM139" s="171"/>
      <c r="AN139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39" s="172" t="str">
        <f>+IF(BD_MO[[#This Row],[N° VALE]]&lt;&gt;"",IF(BD_MO[[#This Row],[FULMINANTE N° 08]]&lt;&gt;"",BD_MO[[#This Row],[FULMINANTE N° 08]],IF(BD_MO[[#This Row],[CARMEX 7'']]&lt;&gt;0,0,"")),"")</f>
        <v/>
      </c>
      <c r="AP139" s="176" t="str">
        <f>+IF(BD_MO[[#This Row],[N° VALE]]&lt;&gt;"",BD_MO[[#This Row],[N°  TOTAL TALADROS]]*BD_MO[[#This Row],[BARRA]]*0.95,"")</f>
        <v/>
      </c>
      <c r="AQ139" s="176" t="str">
        <f>+IF(BD_MO[[#This Row],[N° VALE]]&lt;&gt;"",BD_MO[[#This Row],[EMULNOR 1000 (N° CART.)]]*PE_EMUL_1000[PE],"")</f>
        <v/>
      </c>
      <c r="AR139" s="176" t="str">
        <f>+IF(BD_MO[[#This Row],[N° VALE]]&lt;&gt;"",BD_MO[[#This Row],[EMULNOR 3000 (N° CART.)]]*PE_EMUL_3000[PE],"")</f>
        <v/>
      </c>
      <c r="AS139" s="176" t="str">
        <f>+IF(BD_MO[[#This Row],[N° VALE]]&lt;&gt;"",BD_MO[[#This Row],[PULVERULENTA (N° CART.)]]*PE_PULV_65[PE],"")</f>
        <v/>
      </c>
      <c r="AT139" s="176" t="str">
        <f>+IF(BD_MO[[#This Row],[N° DISP]]&lt;&gt;"",BD_MO[[#This Row],[SEMIGELATINA (N° CART.)]]*PE_SEMIGEL_65[PE],"")</f>
        <v/>
      </c>
      <c r="AU139" s="176" t="str">
        <f>+IF(BD_MO[N° VALE]&lt;&gt;"",BD_MO[[#This Row],[KG EXPLO SEMIGEL]]+BD_MO[[#This Row],[KG EXPLO PULVE]]+BD_MO[[#This Row],[KG EXPLO EMULN 3000]]+BD_MO[[#This Row],[KG EXPLO EMULN 1000]],"")</f>
        <v/>
      </c>
      <c r="AV139" s="172"/>
      <c r="AW139" s="172"/>
      <c r="AX139" s="172" t="str">
        <f>+IF(BD_MO[[#This Row],[MINERAL (U-35)]]&lt;&gt;"",BD_MO[[#This Row],[MINERAL (U-35)]]*1.45,"-")</f>
        <v>-</v>
      </c>
      <c r="AY139" s="172" t="str">
        <f>+IF(BD_MO[[#This Row],[DESMONTE (U-35)]]&lt;&gt;"",BD_MO[[#This Row],[DESMONTE (U-35)]]*1.23,"-")</f>
        <v>-</v>
      </c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172"/>
      <c r="BN139" s="171"/>
      <c r="BO139" s="172"/>
      <c r="BP139" s="172"/>
      <c r="BQ139" s="171"/>
      <c r="BR139" s="172"/>
      <c r="BS139" s="171"/>
      <c r="BT139" s="176"/>
      <c r="BU139" s="172"/>
      <c r="BV139" s="172"/>
      <c r="BW139" s="172"/>
      <c r="BX139" s="172"/>
      <c r="BY139" s="172"/>
      <c r="BZ139" s="172"/>
      <c r="CA139" s="172"/>
      <c r="CB139" s="172"/>
      <c r="CC139" s="172"/>
      <c r="CD139" s="172"/>
      <c r="CE139" s="172"/>
      <c r="CF139" s="172"/>
      <c r="CG139" s="172"/>
      <c r="CH139" s="172"/>
      <c r="CI139" s="172"/>
      <c r="CJ139" s="172"/>
      <c r="CK139" s="172"/>
      <c r="CL139" s="172"/>
      <c r="CM139" s="172"/>
      <c r="CN139" s="172"/>
      <c r="CO139" s="172"/>
      <c r="CP139" s="176">
        <f>+IF(BD_MO[[#This Row],[FECHA]]&lt;&gt;"",BD_MO[[#This Row],[PUNTAL 4"]]+BD_MO[[#This Row],[PUNTAL 5"]]+BD_MO[[#This Row],[PUNTAL 6"]]+BD_MO[[#This Row],[PUNTAL 7"]]+BD_MO[[#This Row],[PUNTAL 8"]],"")</f>
        <v>0</v>
      </c>
      <c r="CQ139" s="172"/>
      <c r="CR139" s="172"/>
      <c r="CS139" s="172"/>
      <c r="CT139" s="172"/>
      <c r="CU139" s="172"/>
      <c r="CV139" s="172"/>
      <c r="CW139" s="172"/>
      <c r="CX139" s="172"/>
      <c r="CY139" s="176"/>
      <c r="CZ13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39" s="176">
        <f>+IF(BD_MO[[#This Row],[FECHA]]&lt;&gt;"",BD_MO[[#This Row],[DURMIENTE2]]*6.561+BD_MO[[#This Row],[LISTONES]]*4.921+BD_MO[[#This Row],[TABLA 1"x8"x3m]]*6.561+BD_MO[[#This Row],[TABLA 2"x8"x3m]]*13.122,"")</f>
        <v>0</v>
      </c>
      <c r="DB139" s="176">
        <f>+IF(BD_MO[[#This Row],[FECHA]]&lt;&gt;"",BD_MO[[#This Row],[PIE2 MADERA ASERRADA]]*1.95,"")</f>
        <v>0</v>
      </c>
      <c r="DC139" s="176">
        <f>+IF(BD_MO[[#This Row],[FECHA]]&lt;&gt;"",BD_MO[[#This Row],[KG. MADERA REDONDA]]+BD_MO[[#This Row],[KG MADERA ASERRADA]],"")</f>
        <v>0</v>
      </c>
      <c r="DD13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39" s="172"/>
      <c r="DF139" s="172"/>
      <c r="DG139" s="172" t="s">
        <v>12183</v>
      </c>
      <c r="DH139" s="172">
        <v>7</v>
      </c>
      <c r="DI139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39" s="180"/>
      <c r="DK139" s="180"/>
      <c r="DL139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39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39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39" s="181"/>
      <c r="DP139" s="180" t="str">
        <f>+IF(BD_MO[[#This Row],[M o D]]&lt;&gt;"",IF(BD_MO[[#This Row],[M o D]]="M",BD_MO[[#This Row],[ROTURA TMH]]/2.65,BD_MO[[#This Row],[ROTURA TMH]]/2.4),"")</f>
        <v/>
      </c>
      <c r="DQ139" s="180"/>
      <c r="DR139" s="116" t="str">
        <f>IF(BD_MO[[#This Row],[TIPO AVANCE]]="Avance",((BD_MO[[#This Row],[AVANCE (m)]]/BD_MO[[#This Row],[AVANCE TEÓRICO]]))," ")</f>
        <v xml:space="preserve"> </v>
      </c>
      <c r="DS139" s="134"/>
      <c r="DT139" s="134"/>
      <c r="DU139" s="134"/>
      <c r="DV139" s="134"/>
      <c r="DW139" s="134"/>
      <c r="DX139" s="135"/>
      <c r="DY139" s="135"/>
      <c r="DZ139" s="135"/>
    </row>
    <row r="140" spans="1:130" s="136" customFormat="1" ht="18" customHeight="1" x14ac:dyDescent="0.25">
      <c r="A140" s="168">
        <v>44659</v>
      </c>
      <c r="B140" s="169" t="s">
        <v>10655</v>
      </c>
      <c r="C140" s="169" t="s">
        <v>10680</v>
      </c>
      <c r="D140" s="170" t="s">
        <v>11872</v>
      </c>
      <c r="E140" s="171" t="str">
        <f>LEFT(BD_MO[[#This Row],[LABOR]],2)</f>
        <v>PQ</v>
      </c>
      <c r="F140" s="172"/>
      <c r="G140" s="172" t="s">
        <v>10669</v>
      </c>
      <c r="H14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40" s="171" t="str">
        <f>IF(BD_MO[FECHA]&lt;&gt;"",VLOOKUP(BD_MO[LABOR],TB_CECO[[LABOR]:[CECO_T]],3,FALSE),"")</f>
        <v>ANDREA</v>
      </c>
      <c r="J140" s="171" t="str">
        <f>IF(BD_MO[FECHA]&lt;&gt;"",VLOOKUP(BD_MO[LABOR],D_CECO!B:H,7,FALSE),"")</f>
        <v>LINEAL</v>
      </c>
      <c r="K140" s="171" t="str">
        <f>IF(BD_MO[FECHA]&lt;&gt;"",VLOOKUP(BD_MO[LABOR],D_CECO!B:H,4,FALSE),"")</f>
        <v>EXPLOTACION</v>
      </c>
      <c r="L140" s="171"/>
      <c r="M140" s="169"/>
      <c r="N140" s="172"/>
      <c r="O140" s="173" t="s">
        <v>11908</v>
      </c>
      <c r="P140" s="173" t="s">
        <v>11905</v>
      </c>
      <c r="Q140" s="173" t="s">
        <v>12211</v>
      </c>
      <c r="R140" s="174"/>
      <c r="S140" s="175" t="str">
        <f>IFERROR(VLOOKUP(BD_MO[DNI 4],#REF!,2,FALSE)," ")</f>
        <v xml:space="preserve"> </v>
      </c>
      <c r="T140" s="176">
        <f>+IF(BD_MO[[#This Row],[FECHA]]&lt;&gt;"",COUNTA(BD_MO[[#This Row],[DNI]],BD_MO[[#This Row],[DNI 2]],BD_MO[[#This Row],[DNI 3]],BD_MO[[#This Row],[DNI 4]]),"")</f>
        <v>3</v>
      </c>
      <c r="U140" s="176"/>
      <c r="V140" s="176"/>
      <c r="W140" s="176"/>
      <c r="X140" s="176">
        <v>3</v>
      </c>
      <c r="Y140" s="177">
        <f>SUM(BD_MO[[#This Row],[LIMP]:[SERV]])</f>
        <v>3</v>
      </c>
      <c r="Z140" s="172"/>
      <c r="AA140" s="172" t="str">
        <f>+IF(BD_MO[[#This Row],[N° VALE]]&lt;&gt;"",1,"")</f>
        <v/>
      </c>
      <c r="AB140" s="169"/>
      <c r="AC140" s="172"/>
      <c r="AD140" s="172" t="str">
        <f>+IF(BD_MO[[#This Row],[N° VALE]]&lt;&gt;"",BD_MO[[#This Row],[FULMINANTE N° 08]]+BD_MO[CARMEX 7''],"")</f>
        <v/>
      </c>
      <c r="AE140" s="172"/>
      <c r="AF140" s="172" t="str">
        <f>+IF(BD_MO[[#This Row],[N° VALE]]&lt;&gt;"",BD_MO[[#This Row],[N° TALADROS]]+BD_MO[[#This Row],[N° TAL. VACIOS]],"")</f>
        <v/>
      </c>
      <c r="AG140" s="178"/>
      <c r="AH140" s="178"/>
      <c r="AI140" s="178"/>
      <c r="AJ140" s="178"/>
      <c r="AK140" s="178"/>
      <c r="AL140" s="178"/>
      <c r="AM140" s="171"/>
      <c r="AN140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40" s="172" t="str">
        <f>+IF(BD_MO[[#This Row],[N° VALE]]&lt;&gt;"",IF(BD_MO[[#This Row],[FULMINANTE N° 08]]&lt;&gt;"",BD_MO[[#This Row],[FULMINANTE N° 08]],IF(BD_MO[[#This Row],[CARMEX 7'']]&lt;&gt;0,0,"")),"")</f>
        <v/>
      </c>
      <c r="AP140" s="176" t="str">
        <f>+IF(BD_MO[[#This Row],[N° VALE]]&lt;&gt;"",BD_MO[[#This Row],[N°  TOTAL TALADROS]]*BD_MO[[#This Row],[BARRA]]*0.95,"")</f>
        <v/>
      </c>
      <c r="AQ140" s="176" t="str">
        <f>+IF(BD_MO[[#This Row],[N° VALE]]&lt;&gt;"",BD_MO[[#This Row],[EMULNOR 1000 (N° CART.)]]*PE_EMUL_1000[PE],"")</f>
        <v/>
      </c>
      <c r="AR140" s="176" t="str">
        <f>+IF(BD_MO[[#This Row],[N° VALE]]&lt;&gt;"",BD_MO[[#This Row],[EMULNOR 3000 (N° CART.)]]*PE_EMUL_3000[PE],"")</f>
        <v/>
      </c>
      <c r="AS140" s="176" t="str">
        <f>+IF(BD_MO[[#This Row],[N° VALE]]&lt;&gt;"",BD_MO[[#This Row],[PULVERULENTA (N° CART.)]]*PE_PULV_65[PE],"")</f>
        <v/>
      </c>
      <c r="AT140" s="176" t="str">
        <f>+IF(BD_MO[[#This Row],[N° DISP]]&lt;&gt;"",BD_MO[[#This Row],[SEMIGELATINA (N° CART.)]]*PE_SEMIGEL_65[PE],"")</f>
        <v/>
      </c>
      <c r="AU140" s="176" t="str">
        <f>+IF(BD_MO[N° VALE]&lt;&gt;"",BD_MO[[#This Row],[KG EXPLO SEMIGEL]]+BD_MO[[#This Row],[KG EXPLO PULVE]]+BD_MO[[#This Row],[KG EXPLO EMULN 3000]]+BD_MO[[#This Row],[KG EXPLO EMULN 1000]],"")</f>
        <v/>
      </c>
      <c r="AV140" s="172"/>
      <c r="AW140" s="172"/>
      <c r="AX140" s="172" t="str">
        <f>+IF(BD_MO[[#This Row],[MINERAL (U-35)]]&lt;&gt;"",BD_MO[[#This Row],[MINERAL (U-35)]]*1.45,"-")</f>
        <v>-</v>
      </c>
      <c r="AY140" s="172" t="str">
        <f>+IF(BD_MO[[#This Row],[DESMONTE (U-35)]]&lt;&gt;"",BD_MO[[#This Row],[DESMONTE (U-35)]]*1.23,"-")</f>
        <v>-</v>
      </c>
      <c r="AZ140" s="172"/>
      <c r="BA140" s="172"/>
      <c r="BB140" s="172"/>
      <c r="BC140" s="172"/>
      <c r="BD140" s="172"/>
      <c r="BE140" s="172"/>
      <c r="BF140" s="172"/>
      <c r="BG140" s="172"/>
      <c r="BH140" s="172"/>
      <c r="BI140" s="172"/>
      <c r="BJ140" s="172"/>
      <c r="BK140" s="172"/>
      <c r="BL140" s="172"/>
      <c r="BM140" s="172"/>
      <c r="BN140" s="171"/>
      <c r="BO140" s="172"/>
      <c r="BP140" s="172"/>
      <c r="BQ140" s="171"/>
      <c r="BR140" s="172"/>
      <c r="BS140" s="171"/>
      <c r="BT140" s="176"/>
      <c r="BU140" s="172"/>
      <c r="BV140" s="172"/>
      <c r="BW140" s="172"/>
      <c r="BX140" s="172"/>
      <c r="BY140" s="172"/>
      <c r="BZ140" s="172"/>
      <c r="CA140" s="172"/>
      <c r="CB140" s="172"/>
      <c r="CC140" s="172"/>
      <c r="CD140" s="172"/>
      <c r="CE140" s="172"/>
      <c r="CF140" s="172"/>
      <c r="CG140" s="172"/>
      <c r="CH140" s="172"/>
      <c r="CI140" s="172"/>
      <c r="CJ140" s="172"/>
      <c r="CK140" s="172"/>
      <c r="CL140" s="172"/>
      <c r="CM140" s="172"/>
      <c r="CN140" s="172"/>
      <c r="CO140" s="172"/>
      <c r="CP140" s="176">
        <f>+IF(BD_MO[[#This Row],[FECHA]]&lt;&gt;"",BD_MO[[#This Row],[PUNTAL 4"]]+BD_MO[[#This Row],[PUNTAL 5"]]+BD_MO[[#This Row],[PUNTAL 6"]]+BD_MO[[#This Row],[PUNTAL 7"]]+BD_MO[[#This Row],[PUNTAL 8"]],"")</f>
        <v>0</v>
      </c>
      <c r="CQ140" s="172"/>
      <c r="CR140" s="172"/>
      <c r="CS140" s="172"/>
      <c r="CT140" s="172"/>
      <c r="CU140" s="172"/>
      <c r="CV140" s="172"/>
      <c r="CW140" s="172"/>
      <c r="CX140" s="172"/>
      <c r="CY140" s="176"/>
      <c r="CZ14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40" s="176">
        <f>+IF(BD_MO[[#This Row],[FECHA]]&lt;&gt;"",BD_MO[[#This Row],[DURMIENTE2]]*6.561+BD_MO[[#This Row],[LISTONES]]*4.921+BD_MO[[#This Row],[TABLA 1"x8"x3m]]*6.561+BD_MO[[#This Row],[TABLA 2"x8"x3m]]*13.122,"")</f>
        <v>0</v>
      </c>
      <c r="DB140" s="176">
        <f>+IF(BD_MO[[#This Row],[FECHA]]&lt;&gt;"",BD_MO[[#This Row],[PIE2 MADERA ASERRADA]]*1.95,"")</f>
        <v>0</v>
      </c>
      <c r="DC140" s="176">
        <f>+IF(BD_MO[[#This Row],[FECHA]]&lt;&gt;"",BD_MO[[#This Row],[KG. MADERA REDONDA]]+BD_MO[[#This Row],[KG MADERA ASERRADA]],"")</f>
        <v>0</v>
      </c>
      <c r="DD14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40" s="172"/>
      <c r="DF140" s="172"/>
      <c r="DG140" s="172" t="s">
        <v>12184</v>
      </c>
      <c r="DH140" s="172">
        <v>6</v>
      </c>
      <c r="DI140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40" s="180"/>
      <c r="DK140" s="180"/>
      <c r="DL140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40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40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40" s="181"/>
      <c r="DP140" s="180" t="str">
        <f>+IF(BD_MO[[#This Row],[M o D]]&lt;&gt;"",IF(BD_MO[[#This Row],[M o D]]="M",BD_MO[[#This Row],[ROTURA TMH]]/2.65,BD_MO[[#This Row],[ROTURA TMH]]/2.4),"")</f>
        <v/>
      </c>
      <c r="DQ140" s="180"/>
      <c r="DR140" s="116" t="str">
        <f>IF(BD_MO[[#This Row],[TIPO AVANCE]]="Avance",((BD_MO[[#This Row],[AVANCE (m)]]/BD_MO[[#This Row],[AVANCE TEÓRICO]]))," ")</f>
        <v xml:space="preserve"> </v>
      </c>
      <c r="DS140" s="134"/>
      <c r="DT140" s="134"/>
      <c r="DU140" s="134"/>
      <c r="DV140" s="134"/>
      <c r="DW140" s="134"/>
      <c r="DX140" s="135"/>
      <c r="DY140" s="135"/>
      <c r="DZ140" s="135"/>
    </row>
    <row r="141" spans="1:130" s="136" customFormat="1" ht="18" customHeight="1" x14ac:dyDescent="0.25">
      <c r="A141" s="168">
        <v>44659</v>
      </c>
      <c r="B141" s="169" t="s">
        <v>10655</v>
      </c>
      <c r="C141" s="169" t="s">
        <v>10680</v>
      </c>
      <c r="D141" s="170" t="s">
        <v>10954</v>
      </c>
      <c r="E141" s="171" t="str">
        <f>LEFT(BD_MO[[#This Row],[LABOR]],2)</f>
        <v>MO</v>
      </c>
      <c r="F141" s="172"/>
      <c r="G141" s="172" t="s">
        <v>10669</v>
      </c>
      <c r="H141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41" s="171" t="str">
        <f>IF(BD_MO[FECHA]&lt;&gt;"",VLOOKUP(BD_MO[LABOR],TB_CECO[[LABOR]:[CECO_T]],3,FALSE),"")</f>
        <v>INCA</v>
      </c>
      <c r="J141" s="171" t="str">
        <f>IF(BD_MO[FECHA]&lt;&gt;"",VLOOKUP(BD_MO[LABOR],D_CECO!B:H,7,FALSE),"")</f>
        <v>SERVICIOS</v>
      </c>
      <c r="K141" s="171" t="str">
        <f>IF(BD_MO[FECHA]&lt;&gt;"",VLOOKUP(BD_MO[LABOR],D_CECO!B:H,4,FALSE),"")</f>
        <v>SERVICIOS</v>
      </c>
      <c r="L141" s="171"/>
      <c r="M141" s="169"/>
      <c r="N141" s="172"/>
      <c r="O141" s="173" t="s">
        <v>12117</v>
      </c>
      <c r="P141" s="173" t="s">
        <v>11907</v>
      </c>
      <c r="Q141" s="173"/>
      <c r="R141" s="174"/>
      <c r="S141" s="175" t="str">
        <f>IFERROR(VLOOKUP(BD_MO[DNI 4],#REF!,2,FALSE)," ")</f>
        <v xml:space="preserve"> </v>
      </c>
      <c r="T141" s="176">
        <f>+IF(BD_MO[[#This Row],[FECHA]]&lt;&gt;"",COUNTA(BD_MO[[#This Row],[DNI]],BD_MO[[#This Row],[DNI 2]],BD_MO[[#This Row],[DNI 3]],BD_MO[[#This Row],[DNI 4]]),"")</f>
        <v>2</v>
      </c>
      <c r="U141" s="176"/>
      <c r="V141" s="176"/>
      <c r="W141" s="176"/>
      <c r="X141" s="176">
        <v>2</v>
      </c>
      <c r="Y141" s="177">
        <f>SUM(BD_MO[[#This Row],[LIMP]:[SERV]])</f>
        <v>2</v>
      </c>
      <c r="Z141" s="172"/>
      <c r="AA141" s="172" t="str">
        <f>+IF(BD_MO[[#This Row],[N° VALE]]&lt;&gt;"",1,"")</f>
        <v/>
      </c>
      <c r="AB141" s="169"/>
      <c r="AC141" s="172"/>
      <c r="AD141" s="172" t="str">
        <f>+IF(BD_MO[[#This Row],[N° VALE]]&lt;&gt;"",BD_MO[[#This Row],[FULMINANTE N° 08]]+BD_MO[CARMEX 7''],"")</f>
        <v/>
      </c>
      <c r="AE141" s="172"/>
      <c r="AF141" s="172" t="str">
        <f>+IF(BD_MO[[#This Row],[N° VALE]]&lt;&gt;"",BD_MO[[#This Row],[N° TALADROS]]+BD_MO[[#This Row],[N° TAL. VACIOS]],"")</f>
        <v/>
      </c>
      <c r="AG141" s="178"/>
      <c r="AH141" s="178"/>
      <c r="AI141" s="178"/>
      <c r="AJ141" s="178"/>
      <c r="AK141" s="178"/>
      <c r="AL141" s="178"/>
      <c r="AM141" s="171"/>
      <c r="AN141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41" s="172" t="str">
        <f>+IF(BD_MO[[#This Row],[N° VALE]]&lt;&gt;"",IF(BD_MO[[#This Row],[FULMINANTE N° 08]]&lt;&gt;"",BD_MO[[#This Row],[FULMINANTE N° 08]],IF(BD_MO[[#This Row],[CARMEX 7'']]&lt;&gt;0,0,"")),"")</f>
        <v/>
      </c>
      <c r="AP141" s="176" t="str">
        <f>+IF(BD_MO[[#This Row],[N° VALE]]&lt;&gt;"",BD_MO[[#This Row],[N°  TOTAL TALADROS]]*BD_MO[[#This Row],[BARRA]]*0.95,"")</f>
        <v/>
      </c>
      <c r="AQ141" s="176" t="str">
        <f>+IF(BD_MO[[#This Row],[N° VALE]]&lt;&gt;"",BD_MO[[#This Row],[EMULNOR 1000 (N° CART.)]]*PE_EMUL_1000[PE],"")</f>
        <v/>
      </c>
      <c r="AR141" s="176" t="str">
        <f>+IF(BD_MO[[#This Row],[N° VALE]]&lt;&gt;"",BD_MO[[#This Row],[EMULNOR 3000 (N° CART.)]]*PE_EMUL_3000[PE],"")</f>
        <v/>
      </c>
      <c r="AS141" s="176" t="str">
        <f>+IF(BD_MO[[#This Row],[N° VALE]]&lt;&gt;"",BD_MO[[#This Row],[PULVERULENTA (N° CART.)]]*PE_PULV_65[PE],"")</f>
        <v/>
      </c>
      <c r="AT141" s="176" t="str">
        <f>+IF(BD_MO[[#This Row],[N° DISP]]&lt;&gt;"",BD_MO[[#This Row],[SEMIGELATINA (N° CART.)]]*PE_SEMIGEL_65[PE],"")</f>
        <v/>
      </c>
      <c r="AU141" s="176" t="str">
        <f>+IF(BD_MO[N° VALE]&lt;&gt;"",BD_MO[[#This Row],[KG EXPLO SEMIGEL]]+BD_MO[[#This Row],[KG EXPLO PULVE]]+BD_MO[[#This Row],[KG EXPLO EMULN 3000]]+BD_MO[[#This Row],[KG EXPLO EMULN 1000]],"")</f>
        <v/>
      </c>
      <c r="AV141" s="172"/>
      <c r="AW141" s="172"/>
      <c r="AX141" s="172" t="str">
        <f>+IF(BD_MO[[#This Row],[MINERAL (U-35)]]&lt;&gt;"",BD_MO[[#This Row],[MINERAL (U-35)]]*1.45,"-")</f>
        <v>-</v>
      </c>
      <c r="AY141" s="172" t="str">
        <f>+IF(BD_MO[[#This Row],[DESMONTE (U-35)]]&lt;&gt;"",BD_MO[[#This Row],[DESMONTE (U-35)]]*1.23,"-")</f>
        <v>-</v>
      </c>
      <c r="AZ141" s="172"/>
      <c r="BA141" s="172"/>
      <c r="BB141" s="172"/>
      <c r="BC141" s="172"/>
      <c r="BD141" s="172"/>
      <c r="BE141" s="172"/>
      <c r="BF141" s="172"/>
      <c r="BG141" s="172"/>
      <c r="BH141" s="172"/>
      <c r="BI141" s="172"/>
      <c r="BJ141" s="172"/>
      <c r="BK141" s="172"/>
      <c r="BL141" s="172"/>
      <c r="BM141" s="172"/>
      <c r="BN141" s="171"/>
      <c r="BO141" s="172"/>
      <c r="BP141" s="172"/>
      <c r="BQ141" s="171"/>
      <c r="BR141" s="172"/>
      <c r="BS141" s="171"/>
      <c r="BT141" s="176"/>
      <c r="BU141" s="172"/>
      <c r="BV141" s="172"/>
      <c r="BW141" s="172"/>
      <c r="BX141" s="172"/>
      <c r="BY141" s="172"/>
      <c r="BZ141" s="172"/>
      <c r="CA141" s="172"/>
      <c r="CB141" s="172"/>
      <c r="CC141" s="172"/>
      <c r="CD141" s="172"/>
      <c r="CE141" s="172"/>
      <c r="CF141" s="172"/>
      <c r="CG141" s="172"/>
      <c r="CH141" s="172"/>
      <c r="CI141" s="172"/>
      <c r="CJ141" s="172"/>
      <c r="CK141" s="172"/>
      <c r="CL141" s="172"/>
      <c r="CM141" s="172"/>
      <c r="CN141" s="172"/>
      <c r="CO141" s="172"/>
      <c r="CP141" s="176">
        <f>+IF(BD_MO[[#This Row],[FECHA]]&lt;&gt;"",BD_MO[[#This Row],[PUNTAL 4"]]+BD_MO[[#This Row],[PUNTAL 5"]]+BD_MO[[#This Row],[PUNTAL 6"]]+BD_MO[[#This Row],[PUNTAL 7"]]+BD_MO[[#This Row],[PUNTAL 8"]],"")</f>
        <v>0</v>
      </c>
      <c r="CQ141" s="172"/>
      <c r="CR141" s="172"/>
      <c r="CS141" s="172"/>
      <c r="CT141" s="172"/>
      <c r="CU141" s="172"/>
      <c r="CV141" s="172"/>
      <c r="CW141" s="172"/>
      <c r="CX141" s="172"/>
      <c r="CY141" s="176"/>
      <c r="CZ141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41" s="176">
        <f>+IF(BD_MO[[#This Row],[FECHA]]&lt;&gt;"",BD_MO[[#This Row],[DURMIENTE2]]*6.561+BD_MO[[#This Row],[LISTONES]]*4.921+BD_MO[[#This Row],[TABLA 1"x8"x3m]]*6.561+BD_MO[[#This Row],[TABLA 2"x8"x3m]]*13.122,"")</f>
        <v>0</v>
      </c>
      <c r="DB141" s="176">
        <f>+IF(BD_MO[[#This Row],[FECHA]]&lt;&gt;"",BD_MO[[#This Row],[PIE2 MADERA ASERRADA]]*1.95,"")</f>
        <v>0</v>
      </c>
      <c r="DC141" s="176">
        <f>+IF(BD_MO[[#This Row],[FECHA]]&lt;&gt;"",BD_MO[[#This Row],[KG. MADERA REDONDA]]+BD_MO[[#This Row],[KG MADERA ASERRADA]],"")</f>
        <v>0</v>
      </c>
      <c r="DD141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41" s="172"/>
      <c r="DF141" s="172"/>
      <c r="DG141" s="172"/>
      <c r="DH141" s="172"/>
      <c r="DI141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41" s="180"/>
      <c r="DK141" s="180"/>
      <c r="DL141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41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41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41" s="181"/>
      <c r="DP141" s="180" t="str">
        <f>+IF(BD_MO[[#This Row],[M o D]]&lt;&gt;"",IF(BD_MO[[#This Row],[M o D]]="M",BD_MO[[#This Row],[ROTURA TMH]]/2.65,BD_MO[[#This Row],[ROTURA TMH]]/2.4),"")</f>
        <v/>
      </c>
      <c r="DQ141" s="180"/>
      <c r="DR141" s="116" t="str">
        <f>IF(BD_MO[[#This Row],[TIPO AVANCE]]="Avance",((BD_MO[[#This Row],[AVANCE (m)]]/BD_MO[[#This Row],[AVANCE TEÓRICO]]))," ")</f>
        <v xml:space="preserve"> </v>
      </c>
      <c r="DS141" s="134"/>
      <c r="DT141" s="134"/>
      <c r="DU141" s="134"/>
      <c r="DV141" s="134"/>
      <c r="DW141" s="134"/>
      <c r="DX141" s="135"/>
      <c r="DY141" s="135"/>
      <c r="DZ141" s="135"/>
    </row>
    <row r="142" spans="1:130" s="115" customFormat="1" ht="18" customHeight="1" thickBot="1" x14ac:dyDescent="0.3">
      <c r="A142" s="198">
        <v>44659</v>
      </c>
      <c r="B142" s="199" t="s">
        <v>10655</v>
      </c>
      <c r="C142" s="199" t="s">
        <v>10680</v>
      </c>
      <c r="D142" s="200" t="s">
        <v>10717</v>
      </c>
      <c r="E142" s="201" t="str">
        <f>LEFT(BD_MO[[#This Row],[LABOR]],2)</f>
        <v>BO</v>
      </c>
      <c r="F142" s="202"/>
      <c r="G142" s="202" t="s">
        <v>10669</v>
      </c>
      <c r="H142" s="20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42" s="201" t="str">
        <f>IF(BD_MO[FECHA]&lt;&gt;"",VLOOKUP(BD_MO[LABOR],TB_CECO[[LABOR]:[CECO_T]],3,FALSE),"")</f>
        <v>CACHORRO</v>
      </c>
      <c r="J142" s="201" t="str">
        <f>IF(BD_MO[FECHA]&lt;&gt;"",VLOOKUP(BD_MO[LABOR],D_CECO!B:H,7,FALSE),"")</f>
        <v>SERVICIOS</v>
      </c>
      <c r="K142" s="201" t="str">
        <f>IF(BD_MO[FECHA]&lt;&gt;"",VLOOKUP(BD_MO[LABOR],D_CECO!B:H,4,FALSE),"")</f>
        <v>SERVICIOS</v>
      </c>
      <c r="L142" s="201"/>
      <c r="M142" s="199"/>
      <c r="N142" s="202"/>
      <c r="O142" s="203" t="s">
        <v>11909</v>
      </c>
      <c r="P142" s="203"/>
      <c r="Q142" s="203"/>
      <c r="R142" s="204"/>
      <c r="S142" s="205" t="str">
        <f>IFERROR(VLOOKUP(BD_MO[DNI 4],#REF!,2,FALSE)," ")</f>
        <v xml:space="preserve"> </v>
      </c>
      <c r="T142" s="206">
        <f>+IF(BD_MO[[#This Row],[FECHA]]&lt;&gt;"",COUNTA(BD_MO[[#This Row],[DNI]],BD_MO[[#This Row],[DNI 2]],BD_MO[[#This Row],[DNI 3]],BD_MO[[#This Row],[DNI 4]]),"")</f>
        <v>1</v>
      </c>
      <c r="U142" s="206"/>
      <c r="V142" s="206"/>
      <c r="W142" s="206"/>
      <c r="X142" s="206">
        <v>1</v>
      </c>
      <c r="Y142" s="207">
        <f>SUM(BD_MO[[#This Row],[LIMP]:[SERV]])</f>
        <v>1</v>
      </c>
      <c r="Z142" s="202"/>
      <c r="AA142" s="202" t="str">
        <f>+IF(BD_MO[[#This Row],[N° VALE]]&lt;&gt;"",1,"")</f>
        <v/>
      </c>
      <c r="AB142" s="199"/>
      <c r="AC142" s="202"/>
      <c r="AD142" s="202" t="str">
        <f>+IF(BD_MO[[#This Row],[N° VALE]]&lt;&gt;"",BD_MO[[#This Row],[FULMINANTE N° 08]]+BD_MO[CARMEX 7''],"")</f>
        <v/>
      </c>
      <c r="AE142" s="202"/>
      <c r="AF142" s="202" t="str">
        <f>+IF(BD_MO[[#This Row],[N° VALE]]&lt;&gt;"",BD_MO[[#This Row],[N° TALADROS]]+BD_MO[[#This Row],[N° TAL. VACIOS]],"")</f>
        <v/>
      </c>
      <c r="AG142" s="208"/>
      <c r="AH142" s="208"/>
      <c r="AI142" s="208"/>
      <c r="AJ142" s="208"/>
      <c r="AK142" s="208"/>
      <c r="AL142" s="208"/>
      <c r="AM142" s="201"/>
      <c r="AN142" s="20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42" s="202" t="str">
        <f>+IF(BD_MO[[#This Row],[N° VALE]]&lt;&gt;"",IF(BD_MO[[#This Row],[FULMINANTE N° 08]]&lt;&gt;"",BD_MO[[#This Row],[FULMINANTE N° 08]],IF(BD_MO[[#This Row],[CARMEX 7'']]&lt;&gt;0,0,"")),"")</f>
        <v/>
      </c>
      <c r="AP142" s="206" t="str">
        <f>+IF(BD_MO[[#This Row],[N° VALE]]&lt;&gt;"",BD_MO[[#This Row],[N°  TOTAL TALADROS]]*BD_MO[[#This Row],[BARRA]]*0.95,"")</f>
        <v/>
      </c>
      <c r="AQ142" s="206" t="str">
        <f>+IF(BD_MO[[#This Row],[N° VALE]]&lt;&gt;"",BD_MO[[#This Row],[EMULNOR 1000 (N° CART.)]]*PE_EMUL_1000[PE],"")</f>
        <v/>
      </c>
      <c r="AR142" s="206" t="str">
        <f>+IF(BD_MO[[#This Row],[N° VALE]]&lt;&gt;"",BD_MO[[#This Row],[EMULNOR 3000 (N° CART.)]]*PE_EMUL_3000[PE],"")</f>
        <v/>
      </c>
      <c r="AS142" s="206" t="str">
        <f>+IF(BD_MO[[#This Row],[N° VALE]]&lt;&gt;"",BD_MO[[#This Row],[PULVERULENTA (N° CART.)]]*PE_PULV_65[PE],"")</f>
        <v/>
      </c>
      <c r="AT142" s="206" t="str">
        <f>+IF(BD_MO[[#This Row],[N° DISP]]&lt;&gt;"",BD_MO[[#This Row],[SEMIGELATINA (N° CART.)]]*PE_SEMIGEL_65[PE],"")</f>
        <v/>
      </c>
      <c r="AU142" s="206" t="str">
        <f>+IF(BD_MO[N° VALE]&lt;&gt;"",BD_MO[[#This Row],[KG EXPLO SEMIGEL]]+BD_MO[[#This Row],[KG EXPLO PULVE]]+BD_MO[[#This Row],[KG EXPLO EMULN 3000]]+BD_MO[[#This Row],[KG EXPLO EMULN 1000]],"")</f>
        <v/>
      </c>
      <c r="AV142" s="202"/>
      <c r="AW142" s="202"/>
      <c r="AX142" s="202" t="str">
        <f>+IF(BD_MO[[#This Row],[MINERAL (U-35)]]&lt;&gt;"",BD_MO[[#This Row],[MINERAL (U-35)]]*1.45,"-")</f>
        <v>-</v>
      </c>
      <c r="AY142" s="202" t="str">
        <f>+IF(BD_MO[[#This Row],[DESMONTE (U-35)]]&lt;&gt;"",BD_MO[[#This Row],[DESMONTE (U-35)]]*1.23,"-")</f>
        <v>-</v>
      </c>
      <c r="AZ142" s="202"/>
      <c r="BA142" s="202"/>
      <c r="BB142" s="202"/>
      <c r="BC142" s="202"/>
      <c r="BD142" s="202"/>
      <c r="BE142" s="202"/>
      <c r="BF142" s="202"/>
      <c r="BG142" s="202"/>
      <c r="BH142" s="202"/>
      <c r="BI142" s="202"/>
      <c r="BJ142" s="202"/>
      <c r="BK142" s="202"/>
      <c r="BL142" s="202"/>
      <c r="BM142" s="202"/>
      <c r="BN142" s="201"/>
      <c r="BO142" s="202"/>
      <c r="BP142" s="202"/>
      <c r="BQ142" s="201"/>
      <c r="BR142" s="202"/>
      <c r="BS142" s="201"/>
      <c r="BT142" s="206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6">
        <f>+IF(BD_MO[[#This Row],[FECHA]]&lt;&gt;"",BD_MO[[#This Row],[PUNTAL 4"]]+BD_MO[[#This Row],[PUNTAL 5"]]+BD_MO[[#This Row],[PUNTAL 6"]]+BD_MO[[#This Row],[PUNTAL 7"]]+BD_MO[[#This Row],[PUNTAL 8"]],"")</f>
        <v>0</v>
      </c>
      <c r="CQ142" s="202"/>
      <c r="CR142" s="202"/>
      <c r="CS142" s="202"/>
      <c r="CT142" s="202"/>
      <c r="CU142" s="202"/>
      <c r="CV142" s="202"/>
      <c r="CW142" s="202"/>
      <c r="CX142" s="202"/>
      <c r="CY142" s="206"/>
      <c r="CZ142" s="20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42" s="206">
        <f>+IF(BD_MO[[#This Row],[FECHA]]&lt;&gt;"",BD_MO[[#This Row],[DURMIENTE2]]*6.561+BD_MO[[#This Row],[LISTONES]]*4.921+BD_MO[[#This Row],[TABLA 1"x8"x3m]]*6.561+BD_MO[[#This Row],[TABLA 2"x8"x3m]]*13.122,"")</f>
        <v>0</v>
      </c>
      <c r="DB142" s="206">
        <f>+IF(BD_MO[[#This Row],[FECHA]]&lt;&gt;"",BD_MO[[#This Row],[PIE2 MADERA ASERRADA]]*1.95,"")</f>
        <v>0</v>
      </c>
      <c r="DC142" s="206">
        <f>+IF(BD_MO[[#This Row],[FECHA]]&lt;&gt;"",BD_MO[[#This Row],[KG. MADERA REDONDA]]+BD_MO[[#This Row],[KG MADERA ASERRADA]],"")</f>
        <v>0</v>
      </c>
      <c r="DD142" s="20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42" s="202"/>
      <c r="DF142" s="202"/>
      <c r="DG142" s="202"/>
      <c r="DH142" s="202"/>
      <c r="DI142" s="21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42" s="210"/>
      <c r="DK142" s="210"/>
      <c r="DL142" s="21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42" s="21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42" s="21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42" s="211"/>
      <c r="DP142" s="210" t="str">
        <f>+IF(BD_MO[[#This Row],[M o D]]&lt;&gt;"",IF(BD_MO[[#This Row],[M o D]]="M",BD_MO[[#This Row],[ROTURA TMH]]/2.65,BD_MO[[#This Row],[ROTURA TMH]]/2.4),"")</f>
        <v/>
      </c>
      <c r="DQ142" s="210"/>
      <c r="DR142" s="116" t="str">
        <f>IF(BD_MO[[#This Row],[TIPO AVANCE]]="Avance",((BD_MO[[#This Row],[AVANCE (m)]]/BD_MO[[#This Row],[AVANCE TEÓRICO]]))," ")</f>
        <v xml:space="preserve"> </v>
      </c>
      <c r="DS142" s="113"/>
      <c r="DT142" s="113"/>
      <c r="DU142" s="113"/>
      <c r="DV142" s="113"/>
      <c r="DW142" s="113"/>
      <c r="DX142" s="114"/>
      <c r="DY142" s="114"/>
      <c r="DZ142" s="114"/>
    </row>
    <row r="143" spans="1:130" s="136" customFormat="1" ht="18" customHeight="1" x14ac:dyDescent="0.25">
      <c r="A143" s="224">
        <v>44660</v>
      </c>
      <c r="B143" s="169" t="s">
        <v>10647</v>
      </c>
      <c r="C143" s="169" t="s">
        <v>10672</v>
      </c>
      <c r="D143" s="94" t="s">
        <v>10952</v>
      </c>
      <c r="E143" s="171" t="str">
        <f>LEFT(BD_MO[[#This Row],[LABOR]],2)</f>
        <v>In</v>
      </c>
      <c r="F143" s="172"/>
      <c r="G143" s="212" t="s">
        <v>10669</v>
      </c>
      <c r="H14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43" s="171" t="str">
        <f>IF(BD_MO[FECHA]&lt;&gt;"",VLOOKUP(BD_MO[LABOR],TB_CECO[[LABOR]:[CECO_T]],3,FALSE),"")</f>
        <v>VANESSA</v>
      </c>
      <c r="J143" s="171" t="str">
        <f>IF(BD_MO[FECHA]&lt;&gt;"",VLOOKUP(BD_MO[LABOR],D_CECO!B:H,7,FALSE),"")</f>
        <v>LINEAL</v>
      </c>
      <c r="K143" s="171" t="str">
        <f>IF(BD_MO[FECHA]&lt;&gt;"",VLOOKUP(BD_MO[LABOR],D_CECO!B:H,4,FALSE),"")</f>
        <v>EXPLORACION</v>
      </c>
      <c r="L143" s="171"/>
      <c r="M143" s="169"/>
      <c r="N143" s="172"/>
      <c r="O143" s="93" t="s">
        <v>12192</v>
      </c>
      <c r="P143" s="93" t="s">
        <v>12205</v>
      </c>
      <c r="Q143" s="173"/>
      <c r="R143" s="174"/>
      <c r="S143" s="175" t="str">
        <f>IFERROR(VLOOKUP(BD_MO[DNI 4],#REF!,2,FALSE)," ")</f>
        <v xml:space="preserve"> </v>
      </c>
      <c r="T143" s="176">
        <f>+IF(BD_MO[[#This Row],[FECHA]]&lt;&gt;"",COUNTA(BD_MO[[#This Row],[DNI]],BD_MO[[#This Row],[DNI 2]],BD_MO[[#This Row],[DNI 3]],BD_MO[[#This Row],[DNI 4]]),"")</f>
        <v>2</v>
      </c>
      <c r="U143" s="176"/>
      <c r="V143" s="176"/>
      <c r="W143" s="176"/>
      <c r="X143" s="176">
        <v>2</v>
      </c>
      <c r="Y143" s="177">
        <f>SUM(BD_MO[[#This Row],[LIMP]:[SERV]])</f>
        <v>2</v>
      </c>
      <c r="Z143" s="172"/>
      <c r="AA143" s="172" t="str">
        <f>+IF(BD_MO[[#This Row],[N° VALE]]&lt;&gt;"",1,"")</f>
        <v/>
      </c>
      <c r="AB143" s="169"/>
      <c r="AC143" s="172"/>
      <c r="AD143" s="172" t="str">
        <f>+IF(BD_MO[[#This Row],[N° VALE]]&lt;&gt;"",BD_MO[[#This Row],[FULMINANTE N° 08]]+BD_MO[CARMEX 7''],"")</f>
        <v/>
      </c>
      <c r="AE143" s="172"/>
      <c r="AF143" s="172" t="str">
        <f>+IF(BD_MO[[#This Row],[N° VALE]]&lt;&gt;"",BD_MO[[#This Row],[N° TALADROS]]+BD_MO[[#This Row],[N° TAL. VACIOS]],"")</f>
        <v/>
      </c>
      <c r="AG143" s="178"/>
      <c r="AH143" s="178"/>
      <c r="AI143" s="178"/>
      <c r="AJ143" s="178"/>
      <c r="AK143" s="178"/>
      <c r="AL143" s="178"/>
      <c r="AM143" s="171"/>
      <c r="AN143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43" s="172" t="str">
        <f>+IF(BD_MO[[#This Row],[N° VALE]]&lt;&gt;"",IF(BD_MO[[#This Row],[FULMINANTE N° 08]]&lt;&gt;"",BD_MO[[#This Row],[FULMINANTE N° 08]],IF(BD_MO[[#This Row],[CARMEX 7'']]&lt;&gt;0,0,"")),"")</f>
        <v/>
      </c>
      <c r="AP143" s="176" t="str">
        <f>+IF(BD_MO[[#This Row],[N° VALE]]&lt;&gt;"",BD_MO[[#This Row],[N°  TOTAL TALADROS]]*BD_MO[[#This Row],[BARRA]]*0.95,"")</f>
        <v/>
      </c>
      <c r="AQ143" s="176" t="str">
        <f>+IF(BD_MO[[#This Row],[N° VALE]]&lt;&gt;"",BD_MO[[#This Row],[EMULNOR 1000 (N° CART.)]]*PE_EMUL_1000[PE],"")</f>
        <v/>
      </c>
      <c r="AR143" s="176" t="str">
        <f>+IF(BD_MO[[#This Row],[N° VALE]]&lt;&gt;"",BD_MO[[#This Row],[EMULNOR 3000 (N° CART.)]]*PE_EMUL_3000[PE],"")</f>
        <v/>
      </c>
      <c r="AS143" s="176" t="str">
        <f>+IF(BD_MO[[#This Row],[N° VALE]]&lt;&gt;"",BD_MO[[#This Row],[PULVERULENTA (N° CART.)]]*PE_PULV_65[PE],"")</f>
        <v/>
      </c>
      <c r="AT143" s="176" t="str">
        <f>+IF(BD_MO[[#This Row],[N° DISP]]&lt;&gt;"",BD_MO[[#This Row],[SEMIGELATINA (N° CART.)]]*PE_SEMIGEL_65[PE],"")</f>
        <v/>
      </c>
      <c r="AU143" s="176" t="str">
        <f>+IF(BD_MO[N° VALE]&lt;&gt;"",BD_MO[[#This Row],[KG EXPLO SEMIGEL]]+BD_MO[[#This Row],[KG EXPLO PULVE]]+BD_MO[[#This Row],[KG EXPLO EMULN 3000]]+BD_MO[[#This Row],[KG EXPLO EMULN 1000]],"")</f>
        <v/>
      </c>
      <c r="AV143" s="172"/>
      <c r="AW143" s="172"/>
      <c r="AX143" s="172" t="str">
        <f>+IF(BD_MO[[#This Row],[MINERAL (U-35)]]&lt;&gt;"",BD_MO[[#This Row],[MINERAL (U-35)]]*1.45,"-")</f>
        <v>-</v>
      </c>
      <c r="AY143" s="172" t="str">
        <f>+IF(BD_MO[[#This Row],[DESMONTE (U-35)]]&lt;&gt;"",BD_MO[[#This Row],[DESMONTE (U-35)]]*1.23,"-")</f>
        <v>-</v>
      </c>
      <c r="AZ143" s="172"/>
      <c r="BA143" s="172"/>
      <c r="BB143" s="172"/>
      <c r="BC143" s="172"/>
      <c r="BD143" s="172"/>
      <c r="BE143" s="172"/>
      <c r="BF143" s="172"/>
      <c r="BG143" s="172"/>
      <c r="BH143" s="172"/>
      <c r="BI143" s="172"/>
      <c r="BJ143" s="172"/>
      <c r="BK143" s="172"/>
      <c r="BL143" s="172"/>
      <c r="BM143" s="172"/>
      <c r="BN143" s="171"/>
      <c r="BO143" s="172"/>
      <c r="BP143" s="172"/>
      <c r="BQ143" s="171"/>
      <c r="BR143" s="172"/>
      <c r="BS143" s="171"/>
      <c r="BT143" s="176"/>
      <c r="BU143" s="172"/>
      <c r="BV143" s="172"/>
      <c r="BW143" s="172"/>
      <c r="BX143" s="172"/>
      <c r="BY143" s="172"/>
      <c r="BZ143" s="172"/>
      <c r="CA143" s="172"/>
      <c r="CB143" s="172"/>
      <c r="CC143" s="172"/>
      <c r="CD143" s="172"/>
      <c r="CE143" s="172"/>
      <c r="CF143" s="172"/>
      <c r="CG143" s="172"/>
      <c r="CH143" s="172"/>
      <c r="CI143" s="172"/>
      <c r="CJ143" s="172"/>
      <c r="CK143" s="172"/>
      <c r="CL143" s="172"/>
      <c r="CM143" s="172"/>
      <c r="CN143" s="172"/>
      <c r="CO143" s="172"/>
      <c r="CP143" s="176">
        <f>+IF(BD_MO[[#This Row],[FECHA]]&lt;&gt;"",BD_MO[[#This Row],[PUNTAL 4"]]+BD_MO[[#This Row],[PUNTAL 5"]]+BD_MO[[#This Row],[PUNTAL 6"]]+BD_MO[[#This Row],[PUNTAL 7"]]+BD_MO[[#This Row],[PUNTAL 8"]],"")</f>
        <v>0</v>
      </c>
      <c r="CQ143" s="172"/>
      <c r="CR143" s="172"/>
      <c r="CS143" s="172"/>
      <c r="CT143" s="172"/>
      <c r="CU143" s="172"/>
      <c r="CV143" s="172"/>
      <c r="CW143" s="172"/>
      <c r="CX143" s="172"/>
      <c r="CY143" s="176"/>
      <c r="CZ14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43" s="176">
        <f>+IF(BD_MO[[#This Row],[FECHA]]&lt;&gt;"",BD_MO[[#This Row],[DURMIENTE2]]*6.561+BD_MO[[#This Row],[LISTONES]]*4.921+BD_MO[[#This Row],[TABLA 1"x8"x3m]]*6.561+BD_MO[[#This Row],[TABLA 2"x8"x3m]]*13.122,"")</f>
        <v>0</v>
      </c>
      <c r="DB143" s="176">
        <f>+IF(BD_MO[[#This Row],[FECHA]]&lt;&gt;"",BD_MO[[#This Row],[PIE2 MADERA ASERRADA]]*1.95,"")</f>
        <v>0</v>
      </c>
      <c r="DC143" s="176">
        <f>+IF(BD_MO[[#This Row],[FECHA]]&lt;&gt;"",BD_MO[[#This Row],[KG. MADERA REDONDA]]+BD_MO[[#This Row],[KG MADERA ASERRADA]],"")</f>
        <v>0</v>
      </c>
      <c r="DD14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43" s="172"/>
      <c r="DF143" s="172"/>
      <c r="DG143" s="172"/>
      <c r="DH143" s="172"/>
      <c r="DI143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43" s="180"/>
      <c r="DK143" s="180"/>
      <c r="DL143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43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43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43" s="181"/>
      <c r="DP143" s="180" t="str">
        <f>+IF(BD_MO[[#This Row],[M o D]]&lt;&gt;"",IF(BD_MO[[#This Row],[M o D]]="M",BD_MO[[#This Row],[ROTURA TMH]]/2.65,BD_MO[[#This Row],[ROTURA TMH]]/2.4),"")</f>
        <v/>
      </c>
      <c r="DQ143" s="180"/>
      <c r="DR143" s="116" t="str">
        <f>IF(BD_MO[[#This Row],[TIPO AVANCE]]="Avance",((BD_MO[[#This Row],[AVANCE (m)]]/BD_MO[[#This Row],[AVANCE TEÓRICO]]))," ")</f>
        <v xml:space="preserve"> </v>
      </c>
      <c r="DS143" s="134"/>
      <c r="DT143" s="134"/>
      <c r="DU143" s="134"/>
      <c r="DV143" s="134"/>
      <c r="DW143" s="134"/>
      <c r="DX143" s="135"/>
      <c r="DY143" s="135"/>
      <c r="DZ143" s="135"/>
    </row>
    <row r="144" spans="1:130" s="136" customFormat="1" ht="18" customHeight="1" x14ac:dyDescent="0.25">
      <c r="A144" s="223">
        <v>44660</v>
      </c>
      <c r="B144" s="169" t="s">
        <v>10647</v>
      </c>
      <c r="C144" s="40" t="s">
        <v>10672</v>
      </c>
      <c r="D144" s="170" t="s">
        <v>12116</v>
      </c>
      <c r="E144" s="171" t="str">
        <f>LEFT(BD_MO[[#This Row],[LABOR]],2)</f>
        <v>Cx</v>
      </c>
      <c r="F144" s="172"/>
      <c r="G144" s="172" t="s">
        <v>10673</v>
      </c>
      <c r="H14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REHABILITACION</v>
      </c>
      <c r="I144" s="171" t="str">
        <f>IF(BD_MO[FECHA]&lt;&gt;"",VLOOKUP(BD_MO[LABOR],TB_CECO[[LABOR]:[CECO_T]],3,FALSE),"")</f>
        <v>ESCONDIDA</v>
      </c>
      <c r="J144" s="171" t="str">
        <f>IF(BD_MO[FECHA]&lt;&gt;"",VLOOKUP(BD_MO[LABOR],D_CECO!B:H,7,FALSE),"")</f>
        <v>LINEAL</v>
      </c>
      <c r="K144" s="171" t="str">
        <f>IF(BD_MO[FECHA]&lt;&gt;"",VLOOKUP(BD_MO[LABOR],D_CECO!B:H,4,FALSE),"")</f>
        <v>EXPLOTACION</v>
      </c>
      <c r="L144" s="171"/>
      <c r="M144" s="169"/>
      <c r="N144" s="172"/>
      <c r="O144" s="93" t="s">
        <v>12196</v>
      </c>
      <c r="P144" s="93" t="s">
        <v>12197</v>
      </c>
      <c r="Q144" s="173"/>
      <c r="R144" s="174"/>
      <c r="S144" s="175" t="str">
        <f>IFERROR(VLOOKUP(BD_MO[DNI 4],#REF!,2,FALSE)," ")</f>
        <v xml:space="preserve"> </v>
      </c>
      <c r="T144" s="176">
        <f>+IF(BD_MO[[#This Row],[FECHA]]&lt;&gt;"",COUNTA(BD_MO[[#This Row],[DNI]],BD_MO[[#This Row],[DNI 2]],BD_MO[[#This Row],[DNI 3]],BD_MO[[#This Row],[DNI 4]]),"")</f>
        <v>2</v>
      </c>
      <c r="U144" s="176">
        <v>1.04</v>
      </c>
      <c r="V144" s="176"/>
      <c r="W144" s="176">
        <v>0.48</v>
      </c>
      <c r="X144" s="176">
        <v>0.48</v>
      </c>
      <c r="Y144" s="177">
        <f>SUM(BD_MO[[#This Row],[LIMP]:[SERV]])</f>
        <v>2</v>
      </c>
      <c r="Z144" s="172"/>
      <c r="AA144" s="172" t="str">
        <f>+IF(BD_MO[[#This Row],[N° VALE]]&lt;&gt;"",1,"")</f>
        <v/>
      </c>
      <c r="AB144" s="169"/>
      <c r="AC144" s="172"/>
      <c r="AD144" s="172" t="str">
        <f>+IF(BD_MO[[#This Row],[N° VALE]]&lt;&gt;"",BD_MO[[#This Row],[FULMINANTE N° 08]]+BD_MO[CARMEX 7''],"")</f>
        <v/>
      </c>
      <c r="AE144" s="172"/>
      <c r="AF144" s="172" t="str">
        <f>+IF(BD_MO[[#This Row],[N° VALE]]&lt;&gt;"",BD_MO[[#This Row],[N° TALADROS]]+BD_MO[[#This Row],[N° TAL. VACIOS]],"")</f>
        <v/>
      </c>
      <c r="AG144" s="178"/>
      <c r="AH144" s="178"/>
      <c r="AI144" s="178"/>
      <c r="AJ144" s="178"/>
      <c r="AK144" s="178"/>
      <c r="AL144" s="178"/>
      <c r="AM144" s="171"/>
      <c r="AN14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44" s="172" t="str">
        <f>+IF(BD_MO[[#This Row],[N° VALE]]&lt;&gt;"",IF(BD_MO[[#This Row],[FULMINANTE N° 08]]&lt;&gt;"",BD_MO[[#This Row],[FULMINANTE N° 08]],IF(BD_MO[[#This Row],[CARMEX 7'']]&lt;&gt;0,0,"")),"")</f>
        <v/>
      </c>
      <c r="AP144" s="176" t="str">
        <f>+IF(BD_MO[[#This Row],[N° VALE]]&lt;&gt;"",BD_MO[[#This Row],[N°  TOTAL TALADROS]]*BD_MO[[#This Row],[BARRA]]*0.95,"")</f>
        <v/>
      </c>
      <c r="AQ144" s="176" t="str">
        <f>+IF(BD_MO[[#This Row],[N° VALE]]&lt;&gt;"",BD_MO[[#This Row],[EMULNOR 1000 (N° CART.)]]*PE_EMUL_1000[PE],"")</f>
        <v/>
      </c>
      <c r="AR144" s="176" t="str">
        <f>+IF(BD_MO[[#This Row],[N° VALE]]&lt;&gt;"",BD_MO[[#This Row],[EMULNOR 3000 (N° CART.)]]*PE_EMUL_3000[PE],"")</f>
        <v/>
      </c>
      <c r="AS144" s="176" t="str">
        <f>+IF(BD_MO[[#This Row],[N° VALE]]&lt;&gt;"",BD_MO[[#This Row],[PULVERULENTA (N° CART.)]]*PE_PULV_65[PE],"")</f>
        <v/>
      </c>
      <c r="AT144" s="176" t="str">
        <f>+IF(BD_MO[[#This Row],[N° DISP]]&lt;&gt;"",BD_MO[[#This Row],[SEMIGELATINA (N° CART.)]]*PE_SEMIGEL_65[PE],"")</f>
        <v/>
      </c>
      <c r="AU144" s="176" t="str">
        <f>+IF(BD_MO[N° VALE]&lt;&gt;"",BD_MO[[#This Row],[KG EXPLO SEMIGEL]]+BD_MO[[#This Row],[KG EXPLO PULVE]]+BD_MO[[#This Row],[KG EXPLO EMULN 3000]]+BD_MO[[#This Row],[KG EXPLO EMULN 1000]],"")</f>
        <v/>
      </c>
      <c r="AV144" s="172"/>
      <c r="AW144" s="172">
        <v>3</v>
      </c>
      <c r="AX144" s="172" t="str">
        <f>+IF(BD_MO[[#This Row],[MINERAL (U-35)]]&lt;&gt;"",BD_MO[[#This Row],[MINERAL (U-35)]]*1.45,"-")</f>
        <v>-</v>
      </c>
      <c r="AY144" s="172">
        <f>+IF(BD_MO[[#This Row],[DESMONTE (U-35)]]&lt;&gt;"",BD_MO[[#This Row],[DESMONTE (U-35)]]*1.23,"-")</f>
        <v>3.69</v>
      </c>
      <c r="AZ144" s="172"/>
      <c r="BA144" s="172"/>
      <c r="BB144" s="172"/>
      <c r="BC144" s="172"/>
      <c r="BD144" s="172"/>
      <c r="BE144" s="172"/>
      <c r="BF144" s="172"/>
      <c r="BG144" s="172">
        <v>4</v>
      </c>
      <c r="BH144" s="172"/>
      <c r="BI144" s="172"/>
      <c r="BJ144" s="172"/>
      <c r="BK144" s="172"/>
      <c r="BL144" s="172"/>
      <c r="BM144" s="172"/>
      <c r="BN144" s="171"/>
      <c r="BO144" s="172"/>
      <c r="BP144" s="172"/>
      <c r="BQ144" s="171"/>
      <c r="BR144" s="172"/>
      <c r="BS144" s="171"/>
      <c r="BT144" s="176">
        <v>3.3</v>
      </c>
      <c r="BU144" s="172"/>
      <c r="BV144" s="172"/>
      <c r="BW144" s="172"/>
      <c r="BX144" s="172"/>
      <c r="BY144" s="172"/>
      <c r="BZ144" s="172"/>
      <c r="CA144" s="172"/>
      <c r="CB144" s="172"/>
      <c r="CC144" s="172"/>
      <c r="CD144" s="172"/>
      <c r="CE144" s="172"/>
      <c r="CF144" s="172"/>
      <c r="CG144" s="172"/>
      <c r="CH144" s="172"/>
      <c r="CI144" s="172"/>
      <c r="CJ144" s="172"/>
      <c r="CK144" s="172"/>
      <c r="CL144" s="172">
        <v>2</v>
      </c>
      <c r="CM144" s="172"/>
      <c r="CN144" s="172"/>
      <c r="CO144" s="172"/>
      <c r="CP144" s="176">
        <f>+IF(BD_MO[[#This Row],[FECHA]]&lt;&gt;"",BD_MO[[#This Row],[PUNTAL 4"]]+BD_MO[[#This Row],[PUNTAL 5"]]+BD_MO[[#This Row],[PUNTAL 6"]]+BD_MO[[#This Row],[PUNTAL 7"]]+BD_MO[[#This Row],[PUNTAL 8"]],"")</f>
        <v>2</v>
      </c>
      <c r="CQ144" s="172"/>
      <c r="CR144" s="172"/>
      <c r="CS144" s="172">
        <v>4</v>
      </c>
      <c r="CT144" s="172"/>
      <c r="CU144" s="172"/>
      <c r="CV144" s="172"/>
      <c r="CW144" s="172"/>
      <c r="CX144" s="172"/>
      <c r="CY144" s="176"/>
      <c r="CZ14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160.726</v>
      </c>
      <c r="DA144" s="176">
        <f>+IF(BD_MO[[#This Row],[FECHA]]&lt;&gt;"",BD_MO[[#This Row],[DURMIENTE2]]*6.561+BD_MO[[#This Row],[LISTONES]]*4.921+BD_MO[[#This Row],[TABLA 1"x8"x3m]]*6.561+BD_MO[[#This Row],[TABLA 2"x8"x3m]]*13.122,"")</f>
        <v>0</v>
      </c>
      <c r="DB144" s="176">
        <f>+IF(BD_MO[[#This Row],[FECHA]]&lt;&gt;"",BD_MO[[#This Row],[PIE2 MADERA ASERRADA]]*1.95,"")</f>
        <v>0</v>
      </c>
      <c r="DC144" s="176">
        <f>+IF(BD_MO[[#This Row],[FECHA]]&lt;&gt;"",BD_MO[[#This Row],[KG. MADERA REDONDA]]+BD_MO[[#This Row],[KG MADERA ASERRADA]],"")</f>
        <v>160.726</v>
      </c>
      <c r="DD14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84.759999999999991</v>
      </c>
      <c r="DE144" s="172"/>
      <c r="DF144" s="172"/>
      <c r="DG144" s="172"/>
      <c r="DH144" s="172"/>
      <c r="DI14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44" s="180"/>
      <c r="DK144" s="180"/>
      <c r="DL14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4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4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44" s="181"/>
      <c r="DP144" s="180" t="str">
        <f>+IF(BD_MO[[#This Row],[M o D]]&lt;&gt;"",IF(BD_MO[[#This Row],[M o D]]="M",BD_MO[[#This Row],[ROTURA TMH]]/2.65,BD_MO[[#This Row],[ROTURA TMH]]/2.4),"")</f>
        <v/>
      </c>
      <c r="DQ144" s="180"/>
      <c r="DR144" s="116" t="str">
        <f>IF(BD_MO[[#This Row],[TIPO AVANCE]]="Avance",((BD_MO[[#This Row],[AVANCE (m)]]/BD_MO[[#This Row],[AVANCE TEÓRICO]]))," ")</f>
        <v xml:space="preserve"> </v>
      </c>
      <c r="DS144" s="134"/>
      <c r="DT144" s="134"/>
      <c r="DU144" s="134"/>
      <c r="DV144" s="134"/>
      <c r="DW144" s="134"/>
      <c r="DX144" s="135"/>
      <c r="DY144" s="135"/>
      <c r="DZ144" s="135"/>
    </row>
    <row r="145" spans="1:130" s="136" customFormat="1" ht="18" customHeight="1" x14ac:dyDescent="0.25">
      <c r="A145" s="223">
        <v>44660</v>
      </c>
      <c r="B145" s="169" t="s">
        <v>10647</v>
      </c>
      <c r="C145" s="40" t="s">
        <v>10672</v>
      </c>
      <c r="D145" s="94" t="s">
        <v>11594</v>
      </c>
      <c r="E145" s="171" t="str">
        <f>LEFT(BD_MO[[#This Row],[LABOR]],2)</f>
        <v>Ga</v>
      </c>
      <c r="F145" s="172"/>
      <c r="G145" s="212" t="s">
        <v>10669</v>
      </c>
      <c r="H145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45" s="171" t="str">
        <f>IF(BD_MO[FECHA]&lt;&gt;"",VLOOKUP(BD_MO[LABOR],TB_CECO[[LABOR]:[CECO_T]],3,FALSE),"")</f>
        <v>ESCONDIDA</v>
      </c>
      <c r="J145" s="171" t="str">
        <f>IF(BD_MO[FECHA]&lt;&gt;"",VLOOKUP(BD_MO[LABOR],D_CECO!B:H,7,FALSE),"")</f>
        <v>LINEAL</v>
      </c>
      <c r="K145" s="171" t="str">
        <f>IF(BD_MO[FECHA]&lt;&gt;"",VLOOKUP(BD_MO[LABOR],D_CECO!B:H,4,FALSE),"")</f>
        <v>EXPLOTACION</v>
      </c>
      <c r="L145" s="171"/>
      <c r="M145" s="169"/>
      <c r="N145" s="172"/>
      <c r="O145" s="93" t="s">
        <v>12194</v>
      </c>
      <c r="P145" s="93" t="s">
        <v>12195</v>
      </c>
      <c r="Q145" s="93" t="s">
        <v>12207</v>
      </c>
      <c r="R145" s="174"/>
      <c r="S145" s="175" t="str">
        <f>IFERROR(VLOOKUP(BD_MO[DNI 4],#REF!,2,FALSE)," ")</f>
        <v xml:space="preserve"> </v>
      </c>
      <c r="T145" s="176">
        <f>+IF(BD_MO[[#This Row],[FECHA]]&lt;&gt;"",COUNTA(BD_MO[[#This Row],[DNI]],BD_MO[[#This Row],[DNI 2]],BD_MO[[#This Row],[DNI 3]],BD_MO[[#This Row],[DNI 4]]),"")</f>
        <v>3</v>
      </c>
      <c r="U145" s="176"/>
      <c r="V145" s="176"/>
      <c r="W145" s="176"/>
      <c r="X145" s="176">
        <v>3</v>
      </c>
      <c r="Y145" s="177">
        <f>SUM(BD_MO[[#This Row],[LIMP]:[SERV]])</f>
        <v>3</v>
      </c>
      <c r="Z145" s="172"/>
      <c r="AA145" s="172" t="str">
        <f>+IF(BD_MO[[#This Row],[N° VALE]]&lt;&gt;"",1,"")</f>
        <v/>
      </c>
      <c r="AB145" s="169"/>
      <c r="AC145" s="172"/>
      <c r="AD145" s="172" t="str">
        <f>+IF(BD_MO[[#This Row],[N° VALE]]&lt;&gt;"",BD_MO[[#This Row],[FULMINANTE N° 08]]+BD_MO[CARMEX 7''],"")</f>
        <v/>
      </c>
      <c r="AE145" s="172"/>
      <c r="AF145" s="172" t="str">
        <f>+IF(BD_MO[[#This Row],[N° VALE]]&lt;&gt;"",BD_MO[[#This Row],[N° TALADROS]]+BD_MO[[#This Row],[N° TAL. VACIOS]],"")</f>
        <v/>
      </c>
      <c r="AG145" s="178"/>
      <c r="AH145" s="178"/>
      <c r="AI145" s="178"/>
      <c r="AJ145" s="178"/>
      <c r="AK145" s="178"/>
      <c r="AL145" s="178"/>
      <c r="AM145" s="171"/>
      <c r="AN145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45" s="172" t="str">
        <f>+IF(BD_MO[[#This Row],[N° VALE]]&lt;&gt;"",IF(BD_MO[[#This Row],[FULMINANTE N° 08]]&lt;&gt;"",BD_MO[[#This Row],[FULMINANTE N° 08]],IF(BD_MO[[#This Row],[CARMEX 7'']]&lt;&gt;0,0,"")),"")</f>
        <v/>
      </c>
      <c r="AP145" s="176" t="str">
        <f>+IF(BD_MO[[#This Row],[N° VALE]]&lt;&gt;"",BD_MO[[#This Row],[N°  TOTAL TALADROS]]*BD_MO[[#This Row],[BARRA]]*0.95,"")</f>
        <v/>
      </c>
      <c r="AQ145" s="176" t="str">
        <f>+IF(BD_MO[[#This Row],[N° VALE]]&lt;&gt;"",BD_MO[[#This Row],[EMULNOR 1000 (N° CART.)]]*PE_EMUL_1000[PE],"")</f>
        <v/>
      </c>
      <c r="AR145" s="176" t="str">
        <f>+IF(BD_MO[[#This Row],[N° VALE]]&lt;&gt;"",BD_MO[[#This Row],[EMULNOR 3000 (N° CART.)]]*PE_EMUL_3000[PE],"")</f>
        <v/>
      </c>
      <c r="AS145" s="176" t="str">
        <f>+IF(BD_MO[[#This Row],[N° VALE]]&lt;&gt;"",BD_MO[[#This Row],[PULVERULENTA (N° CART.)]]*PE_PULV_65[PE],"")</f>
        <v/>
      </c>
      <c r="AT145" s="176" t="str">
        <f>+IF(BD_MO[[#This Row],[N° DISP]]&lt;&gt;"",BD_MO[[#This Row],[SEMIGELATINA (N° CART.)]]*PE_SEMIGEL_65[PE],"")</f>
        <v/>
      </c>
      <c r="AU145" s="176" t="str">
        <f>+IF(BD_MO[N° VALE]&lt;&gt;"",BD_MO[[#This Row],[KG EXPLO SEMIGEL]]+BD_MO[[#This Row],[KG EXPLO PULVE]]+BD_MO[[#This Row],[KG EXPLO EMULN 3000]]+BD_MO[[#This Row],[KG EXPLO EMULN 1000]],"")</f>
        <v/>
      </c>
      <c r="AV145" s="172"/>
      <c r="AW145" s="172"/>
      <c r="AX145" s="172" t="str">
        <f>+IF(BD_MO[[#This Row],[MINERAL (U-35)]]&lt;&gt;"",BD_MO[[#This Row],[MINERAL (U-35)]]*1.45,"-")</f>
        <v>-</v>
      </c>
      <c r="AY145" s="172" t="str">
        <f>+IF(BD_MO[[#This Row],[DESMONTE (U-35)]]&lt;&gt;"",BD_MO[[#This Row],[DESMONTE (U-35)]]*1.23,"-")</f>
        <v>-</v>
      </c>
      <c r="AZ145" s="172"/>
      <c r="BA145" s="172"/>
      <c r="BB145" s="172"/>
      <c r="BC145" s="172"/>
      <c r="BD145" s="172"/>
      <c r="BE145" s="172"/>
      <c r="BF145" s="172"/>
      <c r="BG145" s="172"/>
      <c r="BH145" s="172"/>
      <c r="BI145" s="172"/>
      <c r="BJ145" s="172"/>
      <c r="BK145" s="172"/>
      <c r="BL145" s="172"/>
      <c r="BM145" s="172"/>
      <c r="BN145" s="171"/>
      <c r="BO145" s="172"/>
      <c r="BP145" s="172"/>
      <c r="BQ145" s="171"/>
      <c r="BR145" s="172"/>
      <c r="BS145" s="171"/>
      <c r="BT145" s="176"/>
      <c r="BU145" s="172"/>
      <c r="BV145" s="172"/>
      <c r="BW145" s="172"/>
      <c r="BX145" s="172"/>
      <c r="BY145" s="172"/>
      <c r="BZ145" s="172"/>
      <c r="CA145" s="172"/>
      <c r="CB145" s="172"/>
      <c r="CC145" s="172"/>
      <c r="CD145" s="172"/>
      <c r="CE145" s="172"/>
      <c r="CF145" s="172"/>
      <c r="CG145" s="172">
        <v>3</v>
      </c>
      <c r="CH145" s="172"/>
      <c r="CI145" s="172"/>
      <c r="CJ145" s="172"/>
      <c r="CK145" s="172"/>
      <c r="CL145" s="172"/>
      <c r="CM145" s="172"/>
      <c r="CN145" s="172"/>
      <c r="CO145" s="172"/>
      <c r="CP145" s="176">
        <f>+IF(BD_MO[[#This Row],[FECHA]]&lt;&gt;"",BD_MO[[#This Row],[PUNTAL 4"]]+BD_MO[[#This Row],[PUNTAL 5"]]+BD_MO[[#This Row],[PUNTAL 6"]]+BD_MO[[#This Row],[PUNTAL 7"]]+BD_MO[[#This Row],[PUNTAL 8"]],"")</f>
        <v>0</v>
      </c>
      <c r="CQ145" s="172"/>
      <c r="CR145" s="172"/>
      <c r="CS145" s="172"/>
      <c r="CT145" s="172">
        <v>3</v>
      </c>
      <c r="CU145" s="172"/>
      <c r="CV145" s="172"/>
      <c r="CW145" s="172"/>
      <c r="CX145" s="172"/>
      <c r="CY145" s="176"/>
      <c r="CZ145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45" s="176">
        <f>+IF(BD_MO[[#This Row],[FECHA]]&lt;&gt;"",BD_MO[[#This Row],[DURMIENTE2]]*6.561+BD_MO[[#This Row],[LISTONES]]*4.921+BD_MO[[#This Row],[TABLA 1"x8"x3m]]*6.561+BD_MO[[#This Row],[TABLA 2"x8"x3m]]*13.122,"")</f>
        <v>19.683</v>
      </c>
      <c r="DB145" s="176">
        <f>+IF(BD_MO[[#This Row],[FECHA]]&lt;&gt;"",BD_MO[[#This Row],[PIE2 MADERA ASERRADA]]*1.95,"")</f>
        <v>38.38185</v>
      </c>
      <c r="DC145" s="176">
        <f>+IF(BD_MO[[#This Row],[FECHA]]&lt;&gt;"",BD_MO[[#This Row],[KG. MADERA REDONDA]]+BD_MO[[#This Row],[KG MADERA ASERRADA]],"")</f>
        <v>38.38185</v>
      </c>
      <c r="DD145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45.444822696000003</v>
      </c>
      <c r="DE145" s="172"/>
      <c r="DF145" s="172"/>
      <c r="DG145" s="172"/>
      <c r="DH145" s="172"/>
      <c r="DI145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45" s="180"/>
      <c r="DK145" s="180"/>
      <c r="DL145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45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45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45" s="181"/>
      <c r="DP145" s="180" t="str">
        <f>+IF(BD_MO[[#This Row],[M o D]]&lt;&gt;"",IF(BD_MO[[#This Row],[M o D]]="M",BD_MO[[#This Row],[ROTURA TMH]]/2.65,BD_MO[[#This Row],[ROTURA TMH]]/2.4),"")</f>
        <v/>
      </c>
      <c r="DQ145" s="180"/>
      <c r="DR145" s="116" t="str">
        <f>IF(BD_MO[[#This Row],[TIPO AVANCE]]="Avance",((BD_MO[[#This Row],[AVANCE (m)]]/BD_MO[[#This Row],[AVANCE TEÓRICO]]))," ")</f>
        <v xml:space="preserve"> </v>
      </c>
      <c r="DS145" s="134"/>
      <c r="DT145" s="134"/>
      <c r="DU145" s="134"/>
      <c r="DV145" s="134"/>
      <c r="DW145" s="134"/>
      <c r="DX145" s="135"/>
      <c r="DY145" s="135"/>
      <c r="DZ145" s="135"/>
    </row>
    <row r="146" spans="1:130" s="136" customFormat="1" ht="18" customHeight="1" x14ac:dyDescent="0.25">
      <c r="A146" s="223">
        <v>44660</v>
      </c>
      <c r="B146" s="169" t="s">
        <v>10647</v>
      </c>
      <c r="C146" s="40" t="s">
        <v>10672</v>
      </c>
      <c r="D146" s="94" t="s">
        <v>10952</v>
      </c>
      <c r="E146" s="171" t="str">
        <f>LEFT(BD_MO[[#This Row],[LABOR]],2)</f>
        <v>In</v>
      </c>
      <c r="F146" s="172"/>
      <c r="G146" s="212" t="s">
        <v>10669</v>
      </c>
      <c r="H146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46" s="171" t="str">
        <f>IF(BD_MO[FECHA]&lt;&gt;"",VLOOKUP(BD_MO[LABOR],TB_CECO[[LABOR]:[CECO_T]],3,FALSE),"")</f>
        <v>VANESSA</v>
      </c>
      <c r="J146" s="171" t="str">
        <f>IF(BD_MO[FECHA]&lt;&gt;"",VLOOKUP(BD_MO[LABOR],D_CECO!B:H,7,FALSE),"")</f>
        <v>LINEAL</v>
      </c>
      <c r="K146" s="171" t="str">
        <f>IF(BD_MO[FECHA]&lt;&gt;"",VLOOKUP(BD_MO[LABOR],D_CECO!B:H,4,FALSE),"")</f>
        <v>EXPLORACION</v>
      </c>
      <c r="L146" s="171"/>
      <c r="M146" s="169"/>
      <c r="N146" s="172"/>
      <c r="O146" s="93" t="s">
        <v>12198</v>
      </c>
      <c r="P146" s="93" t="s">
        <v>12220</v>
      </c>
      <c r="Q146" s="93" t="s">
        <v>12199</v>
      </c>
      <c r="R146" s="174"/>
      <c r="S146" s="175" t="str">
        <f>IFERROR(VLOOKUP(BD_MO[DNI 4],#REF!,2,FALSE)," ")</f>
        <v xml:space="preserve"> </v>
      </c>
      <c r="T146" s="176">
        <f>+IF(BD_MO[[#This Row],[FECHA]]&lt;&gt;"",COUNTA(BD_MO[[#This Row],[DNI]],BD_MO[[#This Row],[DNI 2]],BD_MO[[#This Row],[DNI 3]],BD_MO[[#This Row],[DNI 4]]),"")</f>
        <v>3</v>
      </c>
      <c r="U146" s="176"/>
      <c r="V146" s="176"/>
      <c r="W146" s="176"/>
      <c r="X146" s="176">
        <v>3</v>
      </c>
      <c r="Y146" s="177">
        <f>SUM(BD_MO[[#This Row],[LIMP]:[SERV]])</f>
        <v>3</v>
      </c>
      <c r="Z146" s="172"/>
      <c r="AA146" s="172" t="str">
        <f>+IF(BD_MO[[#This Row],[N° VALE]]&lt;&gt;"",1,"")</f>
        <v/>
      </c>
      <c r="AB146" s="169"/>
      <c r="AC146" s="172"/>
      <c r="AD146" s="172" t="str">
        <f>+IF(BD_MO[[#This Row],[N° VALE]]&lt;&gt;"",BD_MO[[#This Row],[FULMINANTE N° 08]]+BD_MO[CARMEX 7''],"")</f>
        <v/>
      </c>
      <c r="AE146" s="172"/>
      <c r="AF146" s="172" t="str">
        <f>+IF(BD_MO[[#This Row],[N° VALE]]&lt;&gt;"",BD_MO[[#This Row],[N° TALADROS]]+BD_MO[[#This Row],[N° TAL. VACIOS]],"")</f>
        <v/>
      </c>
      <c r="AG146" s="178"/>
      <c r="AH146" s="178"/>
      <c r="AI146" s="178"/>
      <c r="AJ146" s="178"/>
      <c r="AK146" s="178"/>
      <c r="AL146" s="178"/>
      <c r="AM146" s="171"/>
      <c r="AN146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46" s="172" t="str">
        <f>+IF(BD_MO[[#This Row],[N° VALE]]&lt;&gt;"",IF(BD_MO[[#This Row],[FULMINANTE N° 08]]&lt;&gt;"",BD_MO[[#This Row],[FULMINANTE N° 08]],IF(BD_MO[[#This Row],[CARMEX 7'']]&lt;&gt;0,0,"")),"")</f>
        <v/>
      </c>
      <c r="AP146" s="176" t="str">
        <f>+IF(BD_MO[[#This Row],[N° VALE]]&lt;&gt;"",BD_MO[[#This Row],[N°  TOTAL TALADROS]]*BD_MO[[#This Row],[BARRA]]*0.95,"")</f>
        <v/>
      </c>
      <c r="AQ146" s="176" t="str">
        <f>+IF(BD_MO[[#This Row],[N° VALE]]&lt;&gt;"",BD_MO[[#This Row],[EMULNOR 1000 (N° CART.)]]*PE_EMUL_1000[PE],"")</f>
        <v/>
      </c>
      <c r="AR146" s="176" t="str">
        <f>+IF(BD_MO[[#This Row],[N° VALE]]&lt;&gt;"",BD_MO[[#This Row],[EMULNOR 3000 (N° CART.)]]*PE_EMUL_3000[PE],"")</f>
        <v/>
      </c>
      <c r="AS146" s="176" t="str">
        <f>+IF(BD_MO[[#This Row],[N° VALE]]&lt;&gt;"",BD_MO[[#This Row],[PULVERULENTA (N° CART.)]]*PE_PULV_65[PE],"")</f>
        <v/>
      </c>
      <c r="AT146" s="176" t="str">
        <f>+IF(BD_MO[[#This Row],[N° DISP]]&lt;&gt;"",BD_MO[[#This Row],[SEMIGELATINA (N° CART.)]]*PE_SEMIGEL_65[PE],"")</f>
        <v/>
      </c>
      <c r="AU146" s="176" t="str">
        <f>+IF(BD_MO[N° VALE]&lt;&gt;"",BD_MO[[#This Row],[KG EXPLO SEMIGEL]]+BD_MO[[#This Row],[KG EXPLO PULVE]]+BD_MO[[#This Row],[KG EXPLO EMULN 3000]]+BD_MO[[#This Row],[KG EXPLO EMULN 1000]],"")</f>
        <v/>
      </c>
      <c r="AV146" s="172"/>
      <c r="AW146" s="172"/>
      <c r="AX146" s="172" t="str">
        <f>+IF(BD_MO[[#This Row],[MINERAL (U-35)]]&lt;&gt;"",BD_MO[[#This Row],[MINERAL (U-35)]]*1.45,"-")</f>
        <v>-</v>
      </c>
      <c r="AY146" s="172" t="str">
        <f>+IF(BD_MO[[#This Row],[DESMONTE (U-35)]]&lt;&gt;"",BD_MO[[#This Row],[DESMONTE (U-35)]]*1.23,"-")</f>
        <v>-</v>
      </c>
      <c r="AZ146" s="172"/>
      <c r="BA146" s="172"/>
      <c r="BB146" s="172"/>
      <c r="BC146" s="172"/>
      <c r="BD146" s="172"/>
      <c r="BE146" s="172"/>
      <c r="BF146" s="172"/>
      <c r="BG146" s="172"/>
      <c r="BH146" s="172"/>
      <c r="BI146" s="172"/>
      <c r="BJ146" s="172"/>
      <c r="BK146" s="172"/>
      <c r="BL146" s="172"/>
      <c r="BM146" s="172"/>
      <c r="BN146" s="171"/>
      <c r="BO146" s="172"/>
      <c r="BP146" s="172"/>
      <c r="BQ146" s="171"/>
      <c r="BR146" s="172"/>
      <c r="BS146" s="171"/>
      <c r="BT146" s="176"/>
      <c r="BU146" s="172"/>
      <c r="BV146" s="172"/>
      <c r="BW146" s="172"/>
      <c r="BX146" s="172"/>
      <c r="BY146" s="172"/>
      <c r="BZ146" s="172"/>
      <c r="CA146" s="172"/>
      <c r="CB146" s="172"/>
      <c r="CC146" s="172"/>
      <c r="CD146" s="172"/>
      <c r="CE146" s="172"/>
      <c r="CF146" s="172"/>
      <c r="CG146" s="172"/>
      <c r="CH146" s="172"/>
      <c r="CI146" s="172"/>
      <c r="CJ146" s="172"/>
      <c r="CK146" s="172"/>
      <c r="CL146" s="172"/>
      <c r="CM146" s="172"/>
      <c r="CN146" s="172"/>
      <c r="CO146" s="172"/>
      <c r="CP146" s="176">
        <f>+IF(BD_MO[[#This Row],[FECHA]]&lt;&gt;"",BD_MO[[#This Row],[PUNTAL 4"]]+BD_MO[[#This Row],[PUNTAL 5"]]+BD_MO[[#This Row],[PUNTAL 6"]]+BD_MO[[#This Row],[PUNTAL 7"]]+BD_MO[[#This Row],[PUNTAL 8"]],"")</f>
        <v>0</v>
      </c>
      <c r="CQ146" s="172"/>
      <c r="CR146" s="172"/>
      <c r="CS146" s="172"/>
      <c r="CT146" s="172"/>
      <c r="CU146" s="172"/>
      <c r="CV146" s="172"/>
      <c r="CW146" s="172"/>
      <c r="CX146" s="172"/>
      <c r="CY146" s="176"/>
      <c r="CZ146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46" s="176">
        <f>+IF(BD_MO[[#This Row],[FECHA]]&lt;&gt;"",BD_MO[[#This Row],[DURMIENTE2]]*6.561+BD_MO[[#This Row],[LISTONES]]*4.921+BD_MO[[#This Row],[TABLA 1"x8"x3m]]*6.561+BD_MO[[#This Row],[TABLA 2"x8"x3m]]*13.122,"")</f>
        <v>0</v>
      </c>
      <c r="DB146" s="176">
        <f>+IF(BD_MO[[#This Row],[FECHA]]&lt;&gt;"",BD_MO[[#This Row],[PIE2 MADERA ASERRADA]]*1.95,"")</f>
        <v>0</v>
      </c>
      <c r="DC146" s="176">
        <f>+IF(BD_MO[[#This Row],[FECHA]]&lt;&gt;"",BD_MO[[#This Row],[KG. MADERA REDONDA]]+BD_MO[[#This Row],[KG MADERA ASERRADA]],"")</f>
        <v>0</v>
      </c>
      <c r="DD146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46" s="172"/>
      <c r="DF146" s="172"/>
      <c r="DG146" s="212" t="s">
        <v>12184</v>
      </c>
      <c r="DH146" s="172">
        <v>1</v>
      </c>
      <c r="DI146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46" s="180"/>
      <c r="DK146" s="180"/>
      <c r="DL146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46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46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46" s="181"/>
      <c r="DP146" s="180" t="str">
        <f>+IF(BD_MO[[#This Row],[M o D]]&lt;&gt;"",IF(BD_MO[[#This Row],[M o D]]="M",BD_MO[[#This Row],[ROTURA TMH]]/2.65,BD_MO[[#This Row],[ROTURA TMH]]/2.4),"")</f>
        <v/>
      </c>
      <c r="DQ146" s="180"/>
      <c r="DR146" s="116" t="str">
        <f>IF(BD_MO[[#This Row],[TIPO AVANCE]]="Avance",((BD_MO[[#This Row],[AVANCE (m)]]/BD_MO[[#This Row],[AVANCE TEÓRICO]]))," ")</f>
        <v xml:space="preserve"> </v>
      </c>
      <c r="DS146" s="134"/>
      <c r="DT146" s="134"/>
      <c r="DU146" s="134"/>
      <c r="DV146" s="134"/>
      <c r="DW146" s="134"/>
      <c r="DX146" s="135"/>
      <c r="DY146" s="135"/>
      <c r="DZ146" s="135"/>
    </row>
    <row r="147" spans="1:130" s="136" customFormat="1" ht="18" customHeight="1" x14ac:dyDescent="0.25">
      <c r="A147" s="223">
        <v>44660</v>
      </c>
      <c r="B147" s="169" t="s">
        <v>10647</v>
      </c>
      <c r="C147" s="40" t="s">
        <v>10672</v>
      </c>
      <c r="D147" s="94" t="s">
        <v>10954</v>
      </c>
      <c r="E147" s="171" t="str">
        <f>LEFT(BD_MO[[#This Row],[LABOR]],2)</f>
        <v>MO</v>
      </c>
      <c r="F147" s="172"/>
      <c r="G147" s="212" t="s">
        <v>10669</v>
      </c>
      <c r="H14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47" s="171" t="str">
        <f>IF(BD_MO[FECHA]&lt;&gt;"",VLOOKUP(BD_MO[LABOR],TB_CECO[[LABOR]:[CECO_T]],3,FALSE),"")</f>
        <v>INCA</v>
      </c>
      <c r="J147" s="171" t="str">
        <f>IF(BD_MO[FECHA]&lt;&gt;"",VLOOKUP(BD_MO[LABOR],D_CECO!B:H,7,FALSE),"")</f>
        <v>SERVICIOS</v>
      </c>
      <c r="K147" s="171" t="str">
        <f>IF(BD_MO[FECHA]&lt;&gt;"",VLOOKUP(BD_MO[LABOR],D_CECO!B:H,4,FALSE),"")</f>
        <v>SERVICIOS</v>
      </c>
      <c r="L147" s="171"/>
      <c r="M147" s="169"/>
      <c r="N147" s="172"/>
      <c r="O147" s="93" t="s">
        <v>12221</v>
      </c>
      <c r="P147" s="93" t="s">
        <v>12209</v>
      </c>
      <c r="Q147" s="173"/>
      <c r="R147" s="174"/>
      <c r="S147" s="175" t="str">
        <f>IFERROR(VLOOKUP(BD_MO[DNI 4],#REF!,2,FALSE)," ")</f>
        <v xml:space="preserve"> </v>
      </c>
      <c r="T147" s="176">
        <f>+IF(BD_MO[[#This Row],[FECHA]]&lt;&gt;"",COUNTA(BD_MO[[#This Row],[DNI]],BD_MO[[#This Row],[DNI 2]],BD_MO[[#This Row],[DNI 3]],BD_MO[[#This Row],[DNI 4]]),"")</f>
        <v>2</v>
      </c>
      <c r="U147" s="176"/>
      <c r="V147" s="176"/>
      <c r="W147" s="176"/>
      <c r="X147" s="176">
        <v>2</v>
      </c>
      <c r="Y147" s="177">
        <f>SUM(BD_MO[[#This Row],[LIMP]:[SERV]])</f>
        <v>2</v>
      </c>
      <c r="Z147" s="172"/>
      <c r="AA147" s="172" t="str">
        <f>+IF(BD_MO[[#This Row],[N° VALE]]&lt;&gt;"",1,"")</f>
        <v/>
      </c>
      <c r="AB147" s="169"/>
      <c r="AC147" s="172"/>
      <c r="AD147" s="172" t="str">
        <f>+IF(BD_MO[[#This Row],[N° VALE]]&lt;&gt;"",BD_MO[[#This Row],[FULMINANTE N° 08]]+BD_MO[CARMEX 7''],"")</f>
        <v/>
      </c>
      <c r="AE147" s="172"/>
      <c r="AF147" s="172" t="str">
        <f>+IF(BD_MO[[#This Row],[N° VALE]]&lt;&gt;"",BD_MO[[#This Row],[N° TALADROS]]+BD_MO[[#This Row],[N° TAL. VACIOS]],"")</f>
        <v/>
      </c>
      <c r="AG147" s="178"/>
      <c r="AH147" s="178"/>
      <c r="AI147" s="178"/>
      <c r="AJ147" s="178"/>
      <c r="AK147" s="178"/>
      <c r="AL147" s="178"/>
      <c r="AM147" s="171"/>
      <c r="AN147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47" s="172" t="str">
        <f>+IF(BD_MO[[#This Row],[N° VALE]]&lt;&gt;"",IF(BD_MO[[#This Row],[FULMINANTE N° 08]]&lt;&gt;"",BD_MO[[#This Row],[FULMINANTE N° 08]],IF(BD_MO[[#This Row],[CARMEX 7'']]&lt;&gt;0,0,"")),"")</f>
        <v/>
      </c>
      <c r="AP147" s="176" t="str">
        <f>+IF(BD_MO[[#This Row],[N° VALE]]&lt;&gt;"",BD_MO[[#This Row],[N°  TOTAL TALADROS]]*BD_MO[[#This Row],[BARRA]]*0.95,"")</f>
        <v/>
      </c>
      <c r="AQ147" s="176" t="str">
        <f>+IF(BD_MO[[#This Row],[N° VALE]]&lt;&gt;"",BD_MO[[#This Row],[EMULNOR 1000 (N° CART.)]]*PE_EMUL_1000[PE],"")</f>
        <v/>
      </c>
      <c r="AR147" s="176" t="str">
        <f>+IF(BD_MO[[#This Row],[N° VALE]]&lt;&gt;"",BD_MO[[#This Row],[EMULNOR 3000 (N° CART.)]]*PE_EMUL_3000[PE],"")</f>
        <v/>
      </c>
      <c r="AS147" s="176" t="str">
        <f>+IF(BD_MO[[#This Row],[N° VALE]]&lt;&gt;"",BD_MO[[#This Row],[PULVERULENTA (N° CART.)]]*PE_PULV_65[PE],"")</f>
        <v/>
      </c>
      <c r="AT147" s="176" t="str">
        <f>+IF(BD_MO[[#This Row],[N° DISP]]&lt;&gt;"",BD_MO[[#This Row],[SEMIGELATINA (N° CART.)]]*PE_SEMIGEL_65[PE],"")</f>
        <v/>
      </c>
      <c r="AU147" s="176" t="str">
        <f>+IF(BD_MO[N° VALE]&lt;&gt;"",BD_MO[[#This Row],[KG EXPLO SEMIGEL]]+BD_MO[[#This Row],[KG EXPLO PULVE]]+BD_MO[[#This Row],[KG EXPLO EMULN 3000]]+BD_MO[[#This Row],[KG EXPLO EMULN 1000]],"")</f>
        <v/>
      </c>
      <c r="AV147" s="172"/>
      <c r="AW147" s="172">
        <v>1</v>
      </c>
      <c r="AX147" s="172" t="str">
        <f>+IF(BD_MO[[#This Row],[MINERAL (U-35)]]&lt;&gt;"",BD_MO[[#This Row],[MINERAL (U-35)]]*1.45,"-")</f>
        <v>-</v>
      </c>
      <c r="AY147" s="172">
        <f>+IF(BD_MO[[#This Row],[DESMONTE (U-35)]]&lt;&gt;"",BD_MO[[#This Row],[DESMONTE (U-35)]]*1.23,"-")</f>
        <v>1.23</v>
      </c>
      <c r="AZ147" s="172"/>
      <c r="BA147" s="172"/>
      <c r="BB147" s="172"/>
      <c r="BC147" s="172"/>
      <c r="BD147" s="172"/>
      <c r="BE147" s="172"/>
      <c r="BF147" s="172"/>
      <c r="BG147" s="172"/>
      <c r="BH147" s="172"/>
      <c r="BI147" s="172"/>
      <c r="BJ147" s="172"/>
      <c r="BK147" s="172"/>
      <c r="BL147" s="172"/>
      <c r="BM147" s="172"/>
      <c r="BN147" s="171"/>
      <c r="BO147" s="172"/>
      <c r="BP147" s="172"/>
      <c r="BQ147" s="171"/>
      <c r="BR147" s="172"/>
      <c r="BS147" s="171"/>
      <c r="BT147" s="176"/>
      <c r="BU147" s="172"/>
      <c r="BV147" s="172"/>
      <c r="BW147" s="172"/>
      <c r="BX147" s="172"/>
      <c r="BY147" s="172"/>
      <c r="BZ147" s="172"/>
      <c r="CA147" s="172"/>
      <c r="CB147" s="172"/>
      <c r="CC147" s="172"/>
      <c r="CD147" s="172"/>
      <c r="CE147" s="172"/>
      <c r="CF147" s="172"/>
      <c r="CG147" s="172"/>
      <c r="CH147" s="172"/>
      <c r="CI147" s="172"/>
      <c r="CJ147" s="172"/>
      <c r="CK147" s="172"/>
      <c r="CL147" s="172"/>
      <c r="CM147" s="172"/>
      <c r="CN147" s="172"/>
      <c r="CO147" s="172"/>
      <c r="CP147" s="176">
        <f>+IF(BD_MO[[#This Row],[FECHA]]&lt;&gt;"",BD_MO[[#This Row],[PUNTAL 4"]]+BD_MO[[#This Row],[PUNTAL 5"]]+BD_MO[[#This Row],[PUNTAL 6"]]+BD_MO[[#This Row],[PUNTAL 7"]]+BD_MO[[#This Row],[PUNTAL 8"]],"")</f>
        <v>0</v>
      </c>
      <c r="CQ147" s="172"/>
      <c r="CR147" s="172"/>
      <c r="CS147" s="172"/>
      <c r="CT147" s="172"/>
      <c r="CU147" s="172"/>
      <c r="CV147" s="172"/>
      <c r="CW147" s="172"/>
      <c r="CX147" s="172"/>
      <c r="CY147" s="176"/>
      <c r="CZ14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47" s="176">
        <f>+IF(BD_MO[[#This Row],[FECHA]]&lt;&gt;"",BD_MO[[#This Row],[DURMIENTE2]]*6.561+BD_MO[[#This Row],[LISTONES]]*4.921+BD_MO[[#This Row],[TABLA 1"x8"x3m]]*6.561+BD_MO[[#This Row],[TABLA 2"x8"x3m]]*13.122,"")</f>
        <v>0</v>
      </c>
      <c r="DB147" s="176">
        <f>+IF(BD_MO[[#This Row],[FECHA]]&lt;&gt;"",BD_MO[[#This Row],[PIE2 MADERA ASERRADA]]*1.95,"")</f>
        <v>0</v>
      </c>
      <c r="DC147" s="176">
        <f>+IF(BD_MO[[#This Row],[FECHA]]&lt;&gt;"",BD_MO[[#This Row],[KG. MADERA REDONDA]]+BD_MO[[#This Row],[KG MADERA ASERRADA]],"")</f>
        <v>0</v>
      </c>
      <c r="DD14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47" s="172"/>
      <c r="DF147" s="172"/>
      <c r="DG147" s="172"/>
      <c r="DH147" s="172"/>
      <c r="DI147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47" s="180"/>
      <c r="DK147" s="180"/>
      <c r="DL147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47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47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47" s="181"/>
      <c r="DP147" s="180" t="str">
        <f>+IF(BD_MO[[#This Row],[M o D]]&lt;&gt;"",IF(BD_MO[[#This Row],[M o D]]="M",BD_MO[[#This Row],[ROTURA TMH]]/2.65,BD_MO[[#This Row],[ROTURA TMH]]/2.4),"")</f>
        <v/>
      </c>
      <c r="DQ147" s="180"/>
      <c r="DR147" s="116" t="str">
        <f>IF(BD_MO[[#This Row],[TIPO AVANCE]]="Avance",((BD_MO[[#This Row],[AVANCE (m)]]/BD_MO[[#This Row],[AVANCE TEÓRICO]]))," ")</f>
        <v xml:space="preserve"> </v>
      </c>
      <c r="DS147" s="134"/>
      <c r="DT147" s="134"/>
      <c r="DU147" s="134"/>
      <c r="DV147" s="134"/>
      <c r="DW147" s="134"/>
      <c r="DX147" s="135"/>
      <c r="DY147" s="135"/>
      <c r="DZ147" s="135"/>
    </row>
    <row r="148" spans="1:130" s="115" customFormat="1" ht="18" customHeight="1" thickBot="1" x14ac:dyDescent="0.3">
      <c r="A148" s="225">
        <v>44660</v>
      </c>
      <c r="B148" s="199" t="s">
        <v>10647</v>
      </c>
      <c r="C148" s="117" t="s">
        <v>10672</v>
      </c>
      <c r="D148" s="118" t="s">
        <v>10717</v>
      </c>
      <c r="E148" s="201" t="str">
        <f>LEFT(BD_MO[[#This Row],[LABOR]],2)</f>
        <v>BO</v>
      </c>
      <c r="F148" s="202"/>
      <c r="G148" s="120" t="s">
        <v>10669</v>
      </c>
      <c r="H148" s="20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48" s="201" t="str">
        <f>IF(BD_MO[FECHA]&lt;&gt;"",VLOOKUP(BD_MO[LABOR],TB_CECO[[LABOR]:[CECO_T]],3,FALSE),"")</f>
        <v>CACHORRO</v>
      </c>
      <c r="J148" s="201" t="str">
        <f>IF(BD_MO[FECHA]&lt;&gt;"",VLOOKUP(BD_MO[LABOR],D_CECO!B:H,7,FALSE),"")</f>
        <v>SERVICIOS</v>
      </c>
      <c r="K148" s="201" t="str">
        <f>IF(BD_MO[FECHA]&lt;&gt;"",VLOOKUP(BD_MO[LABOR],D_CECO!B:H,4,FALSE),"")</f>
        <v>SERVICIOS</v>
      </c>
      <c r="L148" s="201"/>
      <c r="M148" s="199"/>
      <c r="N148" s="202"/>
      <c r="O148" s="121" t="s">
        <v>12202</v>
      </c>
      <c r="P148" s="121" t="s">
        <v>12222</v>
      </c>
      <c r="Q148" s="203"/>
      <c r="R148" s="204"/>
      <c r="S148" s="205" t="str">
        <f>IFERROR(VLOOKUP(BD_MO[DNI 4],#REF!,2,FALSE)," ")</f>
        <v xml:space="preserve"> </v>
      </c>
      <c r="T148" s="206">
        <f>+IF(BD_MO[[#This Row],[FECHA]]&lt;&gt;"",COUNTA(BD_MO[[#This Row],[DNI]],BD_MO[[#This Row],[DNI 2]],BD_MO[[#This Row],[DNI 3]],BD_MO[[#This Row],[DNI 4]]),"")</f>
        <v>2</v>
      </c>
      <c r="U148" s="206"/>
      <c r="V148" s="206"/>
      <c r="W148" s="206"/>
      <c r="X148" s="206">
        <v>2</v>
      </c>
      <c r="Y148" s="207">
        <f>SUM(BD_MO[[#This Row],[LIMP]:[SERV]])</f>
        <v>2</v>
      </c>
      <c r="Z148" s="202"/>
      <c r="AA148" s="202" t="str">
        <f>+IF(BD_MO[[#This Row],[N° VALE]]&lt;&gt;"",1,"")</f>
        <v/>
      </c>
      <c r="AB148" s="199"/>
      <c r="AC148" s="202"/>
      <c r="AD148" s="202" t="str">
        <f>+IF(BD_MO[[#This Row],[N° VALE]]&lt;&gt;"",BD_MO[[#This Row],[FULMINANTE N° 08]]+BD_MO[CARMEX 7''],"")</f>
        <v/>
      </c>
      <c r="AE148" s="202"/>
      <c r="AF148" s="202" t="str">
        <f>+IF(BD_MO[[#This Row],[N° VALE]]&lt;&gt;"",BD_MO[[#This Row],[N° TALADROS]]+BD_MO[[#This Row],[N° TAL. VACIOS]],"")</f>
        <v/>
      </c>
      <c r="AG148" s="208"/>
      <c r="AH148" s="208"/>
      <c r="AI148" s="208"/>
      <c r="AJ148" s="208"/>
      <c r="AK148" s="208"/>
      <c r="AL148" s="208"/>
      <c r="AM148" s="201"/>
      <c r="AN148" s="20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48" s="202" t="str">
        <f>+IF(BD_MO[[#This Row],[N° VALE]]&lt;&gt;"",IF(BD_MO[[#This Row],[FULMINANTE N° 08]]&lt;&gt;"",BD_MO[[#This Row],[FULMINANTE N° 08]],IF(BD_MO[[#This Row],[CARMEX 7'']]&lt;&gt;0,0,"")),"")</f>
        <v/>
      </c>
      <c r="AP148" s="206" t="str">
        <f>+IF(BD_MO[[#This Row],[N° VALE]]&lt;&gt;"",BD_MO[[#This Row],[N°  TOTAL TALADROS]]*BD_MO[[#This Row],[BARRA]]*0.95,"")</f>
        <v/>
      </c>
      <c r="AQ148" s="206" t="str">
        <f>+IF(BD_MO[[#This Row],[N° VALE]]&lt;&gt;"",BD_MO[[#This Row],[EMULNOR 1000 (N° CART.)]]*PE_EMUL_1000[PE],"")</f>
        <v/>
      </c>
      <c r="AR148" s="206" t="str">
        <f>+IF(BD_MO[[#This Row],[N° VALE]]&lt;&gt;"",BD_MO[[#This Row],[EMULNOR 3000 (N° CART.)]]*PE_EMUL_3000[PE],"")</f>
        <v/>
      </c>
      <c r="AS148" s="206" t="str">
        <f>+IF(BD_MO[[#This Row],[N° VALE]]&lt;&gt;"",BD_MO[[#This Row],[PULVERULENTA (N° CART.)]]*PE_PULV_65[PE],"")</f>
        <v/>
      </c>
      <c r="AT148" s="206" t="str">
        <f>+IF(BD_MO[[#This Row],[N° DISP]]&lt;&gt;"",BD_MO[[#This Row],[SEMIGELATINA (N° CART.)]]*PE_SEMIGEL_65[PE],"")</f>
        <v/>
      </c>
      <c r="AU148" s="206" t="str">
        <f>+IF(BD_MO[N° VALE]&lt;&gt;"",BD_MO[[#This Row],[KG EXPLO SEMIGEL]]+BD_MO[[#This Row],[KG EXPLO PULVE]]+BD_MO[[#This Row],[KG EXPLO EMULN 3000]]+BD_MO[[#This Row],[KG EXPLO EMULN 1000]],"")</f>
        <v/>
      </c>
      <c r="AV148" s="202"/>
      <c r="AW148" s="202"/>
      <c r="AX148" s="202" t="str">
        <f>+IF(BD_MO[[#This Row],[MINERAL (U-35)]]&lt;&gt;"",BD_MO[[#This Row],[MINERAL (U-35)]]*1.45,"-")</f>
        <v>-</v>
      </c>
      <c r="AY148" s="202" t="str">
        <f>+IF(BD_MO[[#This Row],[DESMONTE (U-35)]]&lt;&gt;"",BD_MO[[#This Row],[DESMONTE (U-35)]]*1.23,"-")</f>
        <v>-</v>
      </c>
      <c r="AZ148" s="202"/>
      <c r="BA148" s="202"/>
      <c r="BB148" s="202"/>
      <c r="BC148" s="202"/>
      <c r="BD148" s="202"/>
      <c r="BE148" s="202"/>
      <c r="BF148" s="202"/>
      <c r="BG148" s="202"/>
      <c r="BH148" s="202"/>
      <c r="BI148" s="202"/>
      <c r="BJ148" s="202"/>
      <c r="BK148" s="202"/>
      <c r="BL148" s="202"/>
      <c r="BM148" s="202"/>
      <c r="BN148" s="201"/>
      <c r="BO148" s="202"/>
      <c r="BP148" s="202"/>
      <c r="BQ148" s="201"/>
      <c r="BR148" s="202"/>
      <c r="BS148" s="201"/>
      <c r="BT148" s="206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6">
        <f>+IF(BD_MO[[#This Row],[FECHA]]&lt;&gt;"",BD_MO[[#This Row],[PUNTAL 4"]]+BD_MO[[#This Row],[PUNTAL 5"]]+BD_MO[[#This Row],[PUNTAL 6"]]+BD_MO[[#This Row],[PUNTAL 7"]]+BD_MO[[#This Row],[PUNTAL 8"]],"")</f>
        <v>0</v>
      </c>
      <c r="CQ148" s="202"/>
      <c r="CR148" s="202"/>
      <c r="CS148" s="202"/>
      <c r="CT148" s="202"/>
      <c r="CU148" s="202"/>
      <c r="CV148" s="202"/>
      <c r="CW148" s="202"/>
      <c r="CX148" s="202"/>
      <c r="CY148" s="206"/>
      <c r="CZ148" s="20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48" s="206">
        <f>+IF(BD_MO[[#This Row],[FECHA]]&lt;&gt;"",BD_MO[[#This Row],[DURMIENTE2]]*6.561+BD_MO[[#This Row],[LISTONES]]*4.921+BD_MO[[#This Row],[TABLA 1"x8"x3m]]*6.561+BD_MO[[#This Row],[TABLA 2"x8"x3m]]*13.122,"")</f>
        <v>0</v>
      </c>
      <c r="DB148" s="206">
        <f>+IF(BD_MO[[#This Row],[FECHA]]&lt;&gt;"",BD_MO[[#This Row],[PIE2 MADERA ASERRADA]]*1.95,"")</f>
        <v>0</v>
      </c>
      <c r="DC148" s="206">
        <f>+IF(BD_MO[[#This Row],[FECHA]]&lt;&gt;"",BD_MO[[#This Row],[KG. MADERA REDONDA]]+BD_MO[[#This Row],[KG MADERA ASERRADA]],"")</f>
        <v>0</v>
      </c>
      <c r="DD148" s="20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48" s="202"/>
      <c r="DF148" s="202"/>
      <c r="DG148" s="202"/>
      <c r="DH148" s="202"/>
      <c r="DI148" s="21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48" s="210"/>
      <c r="DK148" s="210"/>
      <c r="DL148" s="21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48" s="21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48" s="21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48" s="211"/>
      <c r="DP148" s="210" t="str">
        <f>+IF(BD_MO[[#This Row],[M o D]]&lt;&gt;"",IF(BD_MO[[#This Row],[M o D]]="M",BD_MO[[#This Row],[ROTURA TMH]]/2.65,BD_MO[[#This Row],[ROTURA TMH]]/2.4),"")</f>
        <v/>
      </c>
      <c r="DQ148" s="210"/>
      <c r="DR148" s="116" t="str">
        <f>IF(BD_MO[[#This Row],[TIPO AVANCE]]="Avance",((BD_MO[[#This Row],[AVANCE (m)]]/BD_MO[[#This Row],[AVANCE TEÓRICO]]))," ")</f>
        <v xml:space="preserve"> </v>
      </c>
      <c r="DS148" s="113"/>
      <c r="DT148" s="113"/>
      <c r="DU148" s="113"/>
      <c r="DV148" s="113"/>
      <c r="DW148" s="113"/>
      <c r="DX148" s="114"/>
      <c r="DY148" s="114"/>
      <c r="DZ148" s="114"/>
    </row>
    <row r="149" spans="1:130" ht="18" customHeight="1" x14ac:dyDescent="0.25">
      <c r="A149" s="223">
        <v>44660</v>
      </c>
      <c r="B149" s="40" t="s">
        <v>10655</v>
      </c>
      <c r="C149" s="40" t="s">
        <v>10680</v>
      </c>
      <c r="D149" s="61" t="s">
        <v>11746</v>
      </c>
      <c r="E149" s="42" t="str">
        <f>LEFT(BD_MO[[#This Row],[LABOR]],2)</f>
        <v>Tj</v>
      </c>
      <c r="F149" s="46" t="s">
        <v>10950</v>
      </c>
      <c r="G149" s="46" t="s">
        <v>10648</v>
      </c>
      <c r="H149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49" s="42" t="str">
        <f>IF(BD_MO[FECHA]&lt;&gt;"",VLOOKUP(BD_MO[LABOR],TB_CECO[[LABOR]:[CECO_T]],3,FALSE),"")</f>
        <v>CACHORRO</v>
      </c>
      <c r="J149" s="42" t="str">
        <f>IF(BD_MO[FECHA]&lt;&gt;"",VLOOKUP(BD_MO[LABOR],D_CECO!B:H,7,FALSE),"")</f>
        <v>TAJO</v>
      </c>
      <c r="K149" s="42" t="str">
        <f>IF(BD_MO[FECHA]&lt;&gt;"",VLOOKUP(BD_MO[LABOR],D_CECO!B:H,4,FALSE),"")</f>
        <v>EXPLOTACION</v>
      </c>
      <c r="L149" s="42"/>
      <c r="M149" s="48" t="s">
        <v>10661</v>
      </c>
      <c r="N149" s="46"/>
      <c r="O149" s="93" t="s">
        <v>12223</v>
      </c>
      <c r="P149" s="93" t="s">
        <v>11924</v>
      </c>
      <c r="Q149" s="93"/>
      <c r="R149" s="45"/>
      <c r="S149" s="54" t="str">
        <f>IFERROR(VLOOKUP(BD_MO[DNI 4],#REF!,2,FALSE)," ")</f>
        <v xml:space="preserve"> </v>
      </c>
      <c r="T149" s="24">
        <f>+IF(BD_MO[[#This Row],[FECHA]]&lt;&gt;"",COUNTA(BD_MO[[#This Row],[DNI]],BD_MO[[#This Row],[DNI 2]],BD_MO[[#This Row],[DNI 3]],BD_MO[[#This Row],[DNI 4]]),"")</f>
        <v>2</v>
      </c>
      <c r="U149" s="24">
        <v>1</v>
      </c>
      <c r="V149" s="24">
        <v>0.3</v>
      </c>
      <c r="W149" s="24">
        <v>0.4</v>
      </c>
      <c r="X149" s="24">
        <v>0.3</v>
      </c>
      <c r="Y149" s="86">
        <f>SUM(BD_MO[[#This Row],[LIMP]:[SERV]])</f>
        <v>2</v>
      </c>
      <c r="Z149" s="46" t="s">
        <v>12224</v>
      </c>
      <c r="AA149" s="46">
        <f>+IF(BD_MO[[#This Row],[N° VALE]]&lt;&gt;"",1,"")</f>
        <v>1</v>
      </c>
      <c r="AB149" s="40" t="s">
        <v>10709</v>
      </c>
      <c r="AC149" s="46">
        <v>4</v>
      </c>
      <c r="AD149" s="227">
        <f>+IF(BD_MO[[#This Row],[N° VALE]]&lt;&gt;"",BD_MO[[#This Row],[FULMINANTE N° 08]]+BD_MO[CARMEX 7''],"")</f>
        <v>11</v>
      </c>
      <c r="AE149" s="46">
        <v>3</v>
      </c>
      <c r="AF149" s="46">
        <f>+IF(BD_MO[[#This Row],[N° VALE]]&lt;&gt;"",BD_MO[[#This Row],[N° TALADROS]]+BD_MO[[#This Row],[N° TAL. VACIOS]],"")</f>
        <v>14</v>
      </c>
      <c r="AG149" s="55"/>
      <c r="AH149" s="55">
        <v>45</v>
      </c>
      <c r="AI149" s="55"/>
      <c r="AJ149" s="55"/>
      <c r="AK149" s="55">
        <v>11</v>
      </c>
      <c r="AL149" s="55">
        <v>3</v>
      </c>
      <c r="AM149" s="42"/>
      <c r="AN149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49" s="46">
        <f>+IF(BD_MO[[#This Row],[N° VALE]]&lt;&gt;"",IF(BD_MO[[#This Row],[FULMINANTE N° 08]]&lt;&gt;"",BD_MO[[#This Row],[FULMINANTE N° 08]],IF(BD_MO[[#This Row],[CARMEX 7'']]&lt;&gt;0,0,"")),"")</f>
        <v>0</v>
      </c>
      <c r="AP149" s="24">
        <f>+IF(BD_MO[[#This Row],[N° VALE]]&lt;&gt;"",BD_MO[[#This Row],[N°  TOTAL TALADROS]]*BD_MO[[#This Row],[BARRA]]*0.95,"")</f>
        <v>53.199999999999996</v>
      </c>
      <c r="AQ149" s="24">
        <f>+IF(BD_MO[[#This Row],[N° VALE]]&lt;&gt;"",BD_MO[[#This Row],[EMULNOR 1000 (N° CART.)]]*PE_EMUL_1000[PE],"")</f>
        <v>4.2614999999999998</v>
      </c>
      <c r="AR149" s="24">
        <f>+IF(BD_MO[[#This Row],[N° VALE]]&lt;&gt;"",BD_MO[[#This Row],[EMULNOR 3000 (N° CART.)]]*PE_EMUL_3000[PE],"")</f>
        <v>0</v>
      </c>
      <c r="AS149" s="24">
        <f>+IF(BD_MO[[#This Row],[N° VALE]]&lt;&gt;"",BD_MO[[#This Row],[PULVERULENTA (N° CART.)]]*PE_PULV_65[PE],"")</f>
        <v>0</v>
      </c>
      <c r="AT149" s="24">
        <f>+IF(BD_MO[[#This Row],[N° DISP]]&lt;&gt;"",BD_MO[[#This Row],[SEMIGELATINA (N° CART.)]]*PE_SEMIGEL_65[PE],"")</f>
        <v>0</v>
      </c>
      <c r="AU149" s="24">
        <f>+IF(BD_MO[N° VALE]&lt;&gt;"",BD_MO[[#This Row],[KG EXPLO SEMIGEL]]+BD_MO[[#This Row],[KG EXPLO PULVE]]+BD_MO[[#This Row],[KG EXPLO EMULN 3000]]+BD_MO[[#This Row],[KG EXPLO EMULN 1000]],"")</f>
        <v>4.2614999999999998</v>
      </c>
      <c r="AV149" s="46">
        <v>6</v>
      </c>
      <c r="AW149" s="46"/>
      <c r="AX149" s="46">
        <f>+IF(BD_MO[[#This Row],[MINERAL (U-35)]]&lt;&gt;"",BD_MO[[#This Row],[MINERAL (U-35)]]*1.45,"-")</f>
        <v>8.6999999999999993</v>
      </c>
      <c r="AY149" s="46" t="str">
        <f>+IF(BD_MO[[#This Row],[DESMONTE (U-35)]]&lt;&gt;"",BD_MO[[#This Row],[DESMONTE (U-35)]]*1.23,"-")</f>
        <v>-</v>
      </c>
      <c r="AZ149" s="46"/>
      <c r="BA149" s="46">
        <v>1</v>
      </c>
      <c r="BB149" s="46"/>
      <c r="BC149" s="46"/>
      <c r="BD149" s="46"/>
      <c r="BE149" s="46"/>
      <c r="BF149" s="46"/>
      <c r="BG149" s="46"/>
      <c r="BH149" s="46"/>
      <c r="BI149" s="46">
        <v>1</v>
      </c>
      <c r="BJ149" s="46"/>
      <c r="BK149" s="46"/>
      <c r="BL149" s="46"/>
      <c r="BM149" s="46"/>
      <c r="BN149" s="42"/>
      <c r="BO149" s="46"/>
      <c r="BP149" s="46"/>
      <c r="BQ149" s="42"/>
      <c r="BR149" s="46"/>
      <c r="BS149" s="42"/>
      <c r="BT149" s="24">
        <v>3</v>
      </c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>
        <v>2</v>
      </c>
      <c r="CM149" s="46">
        <v>2</v>
      </c>
      <c r="CN149" s="46">
        <v>3</v>
      </c>
      <c r="CO149" s="46"/>
      <c r="CP149" s="24">
        <f>+IF(BD_MO[[#This Row],[FECHA]]&lt;&gt;"",BD_MO[[#This Row],[PUNTAL 4"]]+BD_MO[[#This Row],[PUNTAL 5"]]+BD_MO[[#This Row],[PUNTAL 6"]]+BD_MO[[#This Row],[PUNTAL 7"]]+BD_MO[[#This Row],[PUNTAL 8"]],"")</f>
        <v>7</v>
      </c>
      <c r="CQ149" s="46"/>
      <c r="CR149" s="46"/>
      <c r="CS149" s="46">
        <v>6</v>
      </c>
      <c r="CT149" s="46"/>
      <c r="CU149" s="46"/>
      <c r="CV149" s="46"/>
      <c r="CW149" s="46"/>
      <c r="CX149" s="46"/>
      <c r="CY149" s="24"/>
      <c r="CZ149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482.91100000000006</v>
      </c>
      <c r="DA149" s="24">
        <f>+IF(BD_MO[[#This Row],[FECHA]]&lt;&gt;"",BD_MO[[#This Row],[DURMIENTE2]]*6.561+BD_MO[[#This Row],[LISTONES]]*4.921+BD_MO[[#This Row],[TABLA 1"x8"x3m]]*6.561+BD_MO[[#This Row],[TABLA 2"x8"x3m]]*13.122,"")</f>
        <v>0</v>
      </c>
      <c r="DB149" s="24">
        <f>+IF(BD_MO[[#This Row],[FECHA]]&lt;&gt;"",BD_MO[[#This Row],[PIE2 MADERA ASERRADA]]*1.95,"")</f>
        <v>0</v>
      </c>
      <c r="DC149" s="24">
        <f>+IF(BD_MO[[#This Row],[FECHA]]&lt;&gt;"",BD_MO[[#This Row],[KG. MADERA REDONDA]]+BD_MO[[#This Row],[KG MADERA ASERRADA]],"")</f>
        <v>482.91100000000006</v>
      </c>
      <c r="DD149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198.34</v>
      </c>
      <c r="DE149" s="46"/>
      <c r="DF149" s="46"/>
      <c r="DG149" s="46"/>
      <c r="DH149" s="46"/>
      <c r="DI149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49" s="56"/>
      <c r="DK149" s="56"/>
      <c r="DL149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3.27</v>
      </c>
      <c r="DM149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3.4008000000000003</v>
      </c>
      <c r="DN149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49" s="66">
        <f>1.76*BD_MO[[#This Row],[N° TALADROS]]</f>
        <v>19.36</v>
      </c>
      <c r="DP149" s="56">
        <f>+IF(BD_MO[[#This Row],[M o D]]&lt;&gt;"",IF(BD_MO[[#This Row],[M o D]]="M",BD_MO[[#This Row],[ROTURA TMH]]/2.65,BD_MO[[#This Row],[ROTURA TMH]]/2.4),"")</f>
        <v>7.3056603773584907</v>
      </c>
      <c r="DQ149" s="56"/>
      <c r="DR149" s="116" t="str">
        <f>IF(BD_MO[[#This Row],[TIPO AVANCE]]="Avance",((BD_MO[[#This Row],[AVANCE (m)]]/BD_MO[[#This Row],[AVANCE TEÓRICO]]))," ")</f>
        <v xml:space="preserve"> </v>
      </c>
    </row>
    <row r="150" spans="1:130" ht="18" customHeight="1" x14ac:dyDescent="0.25">
      <c r="A150" s="223">
        <v>44660</v>
      </c>
      <c r="B150" s="40" t="s">
        <v>10655</v>
      </c>
      <c r="C150" s="40" t="s">
        <v>10680</v>
      </c>
      <c r="D150" s="61" t="s">
        <v>11827</v>
      </c>
      <c r="E150" s="42" t="str">
        <f>LEFT(BD_MO[[#This Row],[LABOR]],2)</f>
        <v>Tj</v>
      </c>
      <c r="F150" s="46" t="s">
        <v>10950</v>
      </c>
      <c r="G150" s="46" t="s">
        <v>10648</v>
      </c>
      <c r="H150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50" s="42" t="str">
        <f>IF(BD_MO[FECHA]&lt;&gt;"",VLOOKUP(BD_MO[LABOR],TB_CECO[[LABOR]:[CECO_T]],3,FALSE),"")</f>
        <v>VANESSA</v>
      </c>
      <c r="J150" s="42" t="str">
        <f>IF(BD_MO[FECHA]&lt;&gt;"",VLOOKUP(BD_MO[LABOR],D_CECO!B:H,7,FALSE),"")</f>
        <v>TAJO</v>
      </c>
      <c r="K150" s="42" t="str">
        <f>IF(BD_MO[FECHA]&lt;&gt;"",VLOOKUP(BD_MO[LABOR],D_CECO!B:H,4,FALSE),"")</f>
        <v>EXPLOTACION</v>
      </c>
      <c r="L150" s="46"/>
      <c r="M150" s="48" t="s">
        <v>10661</v>
      </c>
      <c r="N150" s="46"/>
      <c r="O150" s="93" t="s">
        <v>11910</v>
      </c>
      <c r="P150" s="93" t="s">
        <v>11912</v>
      </c>
      <c r="Q150" s="93"/>
      <c r="R150" s="45"/>
      <c r="S150" s="54" t="str">
        <f>IFERROR(VLOOKUP(BD_MO[DNI 4],#REF!,2,FALSE)," ")</f>
        <v xml:space="preserve"> </v>
      </c>
      <c r="T150" s="24">
        <f>+IF(BD_MO[[#This Row],[FECHA]]&lt;&gt;"",COUNTA(BD_MO[[#This Row],[DNI]],BD_MO[[#This Row],[DNI 2]],BD_MO[[#This Row],[DNI 3]],BD_MO[[#This Row],[DNI 4]]),"")</f>
        <v>2</v>
      </c>
      <c r="U150" s="24"/>
      <c r="V150" s="24">
        <v>0.6</v>
      </c>
      <c r="W150" s="24">
        <v>0.7</v>
      </c>
      <c r="X150" s="24">
        <v>0.7</v>
      </c>
      <c r="Y150" s="99">
        <f>SUM(BD_MO[[#This Row],[LIMP]:[SERV]])</f>
        <v>1.9999999999999998</v>
      </c>
      <c r="Z150" s="46" t="s">
        <v>12225</v>
      </c>
      <c r="AA150" s="46">
        <f>+IF(BD_MO[[#This Row],[N° VALE]]&lt;&gt;"",1,"")</f>
        <v>1</v>
      </c>
      <c r="AB150" s="40" t="s">
        <v>10644</v>
      </c>
      <c r="AC150" s="46">
        <v>4</v>
      </c>
      <c r="AD150" s="226">
        <f>+IF(BD_MO[[#This Row],[N° VALE]]&lt;&gt;"",BD_MO[[#This Row],[FULMINANTE N° 08]]+BD_MO[CARMEX 7''],"")</f>
        <v>10</v>
      </c>
      <c r="AE150" s="46">
        <v>3</v>
      </c>
      <c r="AF150" s="46">
        <f>+IF(BD_MO[[#This Row],[N° VALE]]&lt;&gt;"",BD_MO[[#This Row],[N° TALADROS]]+BD_MO[[#This Row],[N° TAL. VACIOS]],"")</f>
        <v>13</v>
      </c>
      <c r="AG150" s="55"/>
      <c r="AH150" s="55">
        <v>27</v>
      </c>
      <c r="AI150" s="55"/>
      <c r="AJ150" s="55"/>
      <c r="AK150" s="55">
        <v>10</v>
      </c>
      <c r="AL150" s="55">
        <v>3</v>
      </c>
      <c r="AM150" s="42"/>
      <c r="AN150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50" s="46">
        <f>+IF(BD_MO[[#This Row],[N° VALE]]&lt;&gt;"",IF(BD_MO[[#This Row],[FULMINANTE N° 08]]&lt;&gt;"",BD_MO[[#This Row],[FULMINANTE N° 08]],IF(BD_MO[[#This Row],[CARMEX 7'']]&lt;&gt;0,0,"")),"")</f>
        <v>0</v>
      </c>
      <c r="AP150" s="24">
        <f>+IF(BD_MO[[#This Row],[N° VALE]]&lt;&gt;"",BD_MO[[#This Row],[N°  TOTAL TALADROS]]*BD_MO[[#This Row],[BARRA]]*0.95,"")</f>
        <v>49.4</v>
      </c>
      <c r="AQ150" s="24">
        <f>+IF(BD_MO[[#This Row],[N° VALE]]&lt;&gt;"",BD_MO[[#This Row],[EMULNOR 1000 (N° CART.)]]*PE_EMUL_1000[PE],"")</f>
        <v>2.5569000000000002</v>
      </c>
      <c r="AR150" s="24">
        <f>+IF(BD_MO[[#This Row],[N° VALE]]&lt;&gt;"",BD_MO[[#This Row],[EMULNOR 3000 (N° CART.)]]*PE_EMUL_3000[PE],"")</f>
        <v>0</v>
      </c>
      <c r="AS150" s="24">
        <f>+IF(BD_MO[[#This Row],[N° VALE]]&lt;&gt;"",BD_MO[[#This Row],[PULVERULENTA (N° CART.)]]*PE_PULV_65[PE],"")</f>
        <v>0</v>
      </c>
      <c r="AT150" s="24">
        <f>+IF(BD_MO[[#This Row],[N° DISP]]&lt;&gt;"",BD_MO[[#This Row],[SEMIGELATINA (N° CART.)]]*PE_SEMIGEL_65[PE],"")</f>
        <v>0</v>
      </c>
      <c r="AU150" s="24">
        <f>+IF(BD_MO[N° VALE]&lt;&gt;"",BD_MO[[#This Row],[KG EXPLO SEMIGEL]]+BD_MO[[#This Row],[KG EXPLO PULVE]]+BD_MO[[#This Row],[KG EXPLO EMULN 3000]]+BD_MO[[#This Row],[KG EXPLO EMULN 1000]],"")</f>
        <v>2.5569000000000002</v>
      </c>
      <c r="AV150" s="46">
        <v>12</v>
      </c>
      <c r="AW150" s="46"/>
      <c r="AX150" s="46">
        <f>+IF(BD_MO[[#This Row],[MINERAL (U-35)]]&lt;&gt;"",BD_MO[[#This Row],[MINERAL (U-35)]]*1.45,"-")</f>
        <v>17.399999999999999</v>
      </c>
      <c r="AY150" s="46" t="str">
        <f>+IF(BD_MO[[#This Row],[DESMONTE (U-35)]]&lt;&gt;"",BD_MO[[#This Row],[DESMONTE (U-35)]]*1.23,"-")</f>
        <v>-</v>
      </c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2"/>
      <c r="BO150" s="46"/>
      <c r="BP150" s="46"/>
      <c r="BQ150" s="42"/>
      <c r="BR150" s="46"/>
      <c r="BS150" s="42"/>
      <c r="BT150" s="24"/>
      <c r="BU150" s="46"/>
      <c r="BV150" s="46"/>
      <c r="BW150" s="46">
        <v>4</v>
      </c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24">
        <f>+IF(BD_MO[[#This Row],[FECHA]]&lt;&gt;"",BD_MO[[#This Row],[PUNTAL 4"]]+BD_MO[[#This Row],[PUNTAL 5"]]+BD_MO[[#This Row],[PUNTAL 6"]]+BD_MO[[#This Row],[PUNTAL 7"]]+BD_MO[[#This Row],[PUNTAL 8"]],"")</f>
        <v>0</v>
      </c>
      <c r="CQ150" s="46"/>
      <c r="CR150" s="46"/>
      <c r="CS150" s="46"/>
      <c r="CT150" s="46"/>
      <c r="CU150" s="46"/>
      <c r="CV150" s="46"/>
      <c r="CW150" s="46"/>
      <c r="CX150" s="46"/>
      <c r="CY150" s="24"/>
      <c r="CZ150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50" s="24">
        <f>+IF(BD_MO[[#This Row],[FECHA]]&lt;&gt;"",BD_MO[[#This Row],[DURMIENTE2]]*6.561+BD_MO[[#This Row],[LISTONES]]*4.921+BD_MO[[#This Row],[TABLA 1"x8"x3m]]*6.561+BD_MO[[#This Row],[TABLA 2"x8"x3m]]*13.122,"")</f>
        <v>0</v>
      </c>
      <c r="DB150" s="24">
        <f>+IF(BD_MO[[#This Row],[FECHA]]&lt;&gt;"",BD_MO[[#This Row],[PIE2 MADERA ASERRADA]]*1.95,"")</f>
        <v>0</v>
      </c>
      <c r="DC150" s="24">
        <f>+IF(BD_MO[[#This Row],[FECHA]]&lt;&gt;"",BD_MO[[#This Row],[KG. MADERA REDONDA]]+BD_MO[[#This Row],[KG MADERA ASERRADA]],"")</f>
        <v>0</v>
      </c>
      <c r="DD150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50" s="46"/>
      <c r="DF150" s="46"/>
      <c r="DG150" s="46"/>
      <c r="DH150" s="46"/>
      <c r="DI150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50" s="56"/>
      <c r="DK150" s="56"/>
      <c r="DL150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3.03</v>
      </c>
      <c r="DM150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3.1511999999999998</v>
      </c>
      <c r="DN150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50" s="66">
        <f>0.83*BD_MO[[#This Row],[N° TALADROS]]</f>
        <v>8.2999999999999989</v>
      </c>
      <c r="DP150" s="56">
        <f>+IF(BD_MO[[#This Row],[M o D]]&lt;&gt;"",IF(BD_MO[[#This Row],[M o D]]="M",BD_MO[[#This Row],[ROTURA TMH]]/2.65,BD_MO[[#This Row],[ROTURA TMH]]/2.4),"")</f>
        <v>3.132075471698113</v>
      </c>
      <c r="DQ150" s="56"/>
      <c r="DR150" s="116" t="str">
        <f>IF(BD_MO[[#This Row],[TIPO AVANCE]]="Avance",((BD_MO[[#This Row],[AVANCE (m)]]/BD_MO[[#This Row],[AVANCE TEÓRICO]]))," ")</f>
        <v xml:space="preserve"> </v>
      </c>
    </row>
    <row r="151" spans="1:130" ht="18" customHeight="1" x14ac:dyDescent="0.25">
      <c r="A151" s="223">
        <v>44660</v>
      </c>
      <c r="B151" s="169" t="s">
        <v>10655</v>
      </c>
      <c r="C151" s="169" t="s">
        <v>10680</v>
      </c>
      <c r="D151" s="213" t="s">
        <v>10952</v>
      </c>
      <c r="E151" s="214" t="str">
        <f>LEFT(BD_MO[[#This Row],[LABOR]],2)</f>
        <v>In</v>
      </c>
      <c r="F151" s="215"/>
      <c r="G151" s="215" t="s">
        <v>10656</v>
      </c>
      <c r="H151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151" s="214" t="str">
        <f>IF(BD_MO[FECHA]&lt;&gt;"",VLOOKUP(BD_MO[LABOR],TB_CECO[[LABOR]:[CECO_T]],3,FALSE),"")</f>
        <v>VANESSA</v>
      </c>
      <c r="J151" s="214" t="str">
        <f>IF(BD_MO[FECHA]&lt;&gt;"",VLOOKUP(BD_MO[LABOR],D_CECO!B:H,7,FALSE),"")</f>
        <v>LINEAL</v>
      </c>
      <c r="K151" s="214" t="str">
        <f>IF(BD_MO[FECHA]&lt;&gt;"",VLOOKUP(BD_MO[LABOR],D_CECO!B:H,4,FALSE),"")</f>
        <v>EXPLORACION</v>
      </c>
      <c r="L151" s="214"/>
      <c r="M151" s="216"/>
      <c r="N151" s="215"/>
      <c r="O151" s="173" t="s">
        <v>11904</v>
      </c>
      <c r="P151" s="173" t="s">
        <v>11926</v>
      </c>
      <c r="Q151" s="173"/>
      <c r="R151" s="217"/>
      <c r="S151" s="218" t="str">
        <f>IFERROR(VLOOKUP(BD_MO[DNI 4],#REF!,2,FALSE)," ")</f>
        <v xml:space="preserve"> </v>
      </c>
      <c r="T151" s="219">
        <f>+IF(BD_MO[[#This Row],[FECHA]]&lt;&gt;"",COUNTA(BD_MO[[#This Row],[DNI]],BD_MO[[#This Row],[DNI 2]],BD_MO[[#This Row],[DNI 3]],BD_MO[[#This Row],[DNI 4]]),"")</f>
        <v>2</v>
      </c>
      <c r="U151" s="219">
        <v>1</v>
      </c>
      <c r="V151" s="219"/>
      <c r="W151" s="219">
        <v>0.6</v>
      </c>
      <c r="X151" s="219">
        <v>0.4</v>
      </c>
      <c r="Y151" s="177">
        <f>SUM(BD_MO[[#This Row],[LIMP]:[SERV]])</f>
        <v>2</v>
      </c>
      <c r="Z151" s="215"/>
      <c r="AA151" s="215" t="str">
        <f>+IF(BD_MO[[#This Row],[N° VALE]]&lt;&gt;"",1,"")</f>
        <v/>
      </c>
      <c r="AB151" s="169"/>
      <c r="AC151" s="215"/>
      <c r="AD151" s="215" t="str">
        <f>+IF(BD_MO[[#This Row],[N° VALE]]&lt;&gt;"",BD_MO[[#This Row],[FULMINANTE N° 08]]+BD_MO[CARMEX 7''],"")</f>
        <v/>
      </c>
      <c r="AE151" s="215"/>
      <c r="AF151" s="215" t="str">
        <f>+IF(BD_MO[[#This Row],[N° VALE]]&lt;&gt;"",BD_MO[[#This Row],[N° TALADROS]]+BD_MO[[#This Row],[N° TAL. VACIOS]],"")</f>
        <v/>
      </c>
      <c r="AG151" s="220"/>
      <c r="AH151" s="220"/>
      <c r="AI151" s="220"/>
      <c r="AJ151" s="220"/>
      <c r="AK151" s="220"/>
      <c r="AL151" s="220"/>
      <c r="AM151" s="214"/>
      <c r="AN151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51" s="215" t="str">
        <f>+IF(BD_MO[[#This Row],[N° VALE]]&lt;&gt;"",IF(BD_MO[[#This Row],[FULMINANTE N° 08]]&lt;&gt;"",BD_MO[[#This Row],[FULMINANTE N° 08]],IF(BD_MO[[#This Row],[CARMEX 7'']]&lt;&gt;0,0,"")),"")</f>
        <v/>
      </c>
      <c r="AP151" s="219" t="str">
        <f>+IF(BD_MO[[#This Row],[N° VALE]]&lt;&gt;"",BD_MO[[#This Row],[N°  TOTAL TALADROS]]*BD_MO[[#This Row],[BARRA]]*0.95,"")</f>
        <v/>
      </c>
      <c r="AQ151" s="219" t="str">
        <f>+IF(BD_MO[[#This Row],[N° VALE]]&lt;&gt;"",BD_MO[[#This Row],[EMULNOR 1000 (N° CART.)]]*PE_EMUL_1000[PE],"")</f>
        <v/>
      </c>
      <c r="AR151" s="219" t="str">
        <f>+IF(BD_MO[[#This Row],[N° VALE]]&lt;&gt;"",BD_MO[[#This Row],[EMULNOR 3000 (N° CART.)]]*PE_EMUL_3000[PE],"")</f>
        <v/>
      </c>
      <c r="AS151" s="219" t="str">
        <f>+IF(BD_MO[[#This Row],[N° VALE]]&lt;&gt;"",BD_MO[[#This Row],[PULVERULENTA (N° CART.)]]*PE_PULV_65[PE],"")</f>
        <v/>
      </c>
      <c r="AT151" s="219" t="str">
        <f>+IF(BD_MO[[#This Row],[N° DISP]]&lt;&gt;"",BD_MO[[#This Row],[SEMIGELATINA (N° CART.)]]*PE_SEMIGEL_65[PE],"")</f>
        <v/>
      </c>
      <c r="AU151" s="219" t="str">
        <f>+IF(BD_MO[N° VALE]&lt;&gt;"",BD_MO[[#This Row],[KG EXPLO SEMIGEL]]+BD_MO[[#This Row],[KG EXPLO PULVE]]+BD_MO[[#This Row],[KG EXPLO EMULN 3000]]+BD_MO[[#This Row],[KG EXPLO EMULN 1000]],"")</f>
        <v/>
      </c>
      <c r="AV151" s="215"/>
      <c r="AW151" s="215"/>
      <c r="AX151" s="215" t="str">
        <f>+IF(BD_MO[[#This Row],[MINERAL (U-35)]]&lt;&gt;"",BD_MO[[#This Row],[MINERAL (U-35)]]*1.45,"-")</f>
        <v>-</v>
      </c>
      <c r="AY151" s="215" t="str">
        <f>+IF(BD_MO[[#This Row],[DESMONTE (U-35)]]&lt;&gt;"",BD_MO[[#This Row],[DESMONTE (U-35)]]*1.23,"-")</f>
        <v>-</v>
      </c>
      <c r="AZ151" s="215"/>
      <c r="BA151" s="215"/>
      <c r="BB151" s="215"/>
      <c r="BC151" s="215"/>
      <c r="BD151" s="215"/>
      <c r="BE151" s="215"/>
      <c r="BF151" s="215"/>
      <c r="BG151" s="215"/>
      <c r="BH151" s="215"/>
      <c r="BI151" s="215"/>
      <c r="BJ151" s="215"/>
      <c r="BK151" s="215"/>
      <c r="BL151" s="215"/>
      <c r="BM151" s="215"/>
      <c r="BN151" s="214">
        <v>4</v>
      </c>
      <c r="BO151" s="215"/>
      <c r="BP151" s="215"/>
      <c r="BQ151" s="214"/>
      <c r="BR151" s="215"/>
      <c r="BS151" s="214"/>
      <c r="BT151" s="219"/>
      <c r="BU151" s="215"/>
      <c r="BV151" s="215"/>
      <c r="BW151" s="215"/>
      <c r="BX151" s="215"/>
      <c r="BY151" s="215"/>
      <c r="BZ151" s="215"/>
      <c r="CA151" s="215"/>
      <c r="CB151" s="215"/>
      <c r="CC151" s="215"/>
      <c r="CD151" s="215"/>
      <c r="CE151" s="215"/>
      <c r="CF151" s="215"/>
      <c r="CG151" s="215"/>
      <c r="CH151" s="215"/>
      <c r="CI151" s="215"/>
      <c r="CJ151" s="215"/>
      <c r="CK151" s="215"/>
      <c r="CL151" s="215"/>
      <c r="CM151" s="215"/>
      <c r="CN151" s="215"/>
      <c r="CO151" s="215"/>
      <c r="CP151" s="219">
        <f>+IF(BD_MO[[#This Row],[FECHA]]&lt;&gt;"",BD_MO[[#This Row],[PUNTAL 4"]]+BD_MO[[#This Row],[PUNTAL 5"]]+BD_MO[[#This Row],[PUNTAL 6"]]+BD_MO[[#This Row],[PUNTAL 7"]]+BD_MO[[#This Row],[PUNTAL 8"]],"")</f>
        <v>0</v>
      </c>
      <c r="CQ151" s="215"/>
      <c r="CR151" s="215"/>
      <c r="CS151" s="215"/>
      <c r="CT151" s="215"/>
      <c r="CU151" s="215"/>
      <c r="CV151" s="215"/>
      <c r="CW151" s="215"/>
      <c r="CX151" s="215"/>
      <c r="CY151" s="219"/>
      <c r="CZ151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51" s="219">
        <f>+IF(BD_MO[[#This Row],[FECHA]]&lt;&gt;"",BD_MO[[#This Row],[DURMIENTE2]]*6.561+BD_MO[[#This Row],[LISTONES]]*4.921+BD_MO[[#This Row],[TABLA 1"x8"x3m]]*6.561+BD_MO[[#This Row],[TABLA 2"x8"x3m]]*13.122,"")</f>
        <v>0</v>
      </c>
      <c r="DB151" s="219">
        <f>+IF(BD_MO[[#This Row],[FECHA]]&lt;&gt;"",BD_MO[[#This Row],[PIE2 MADERA ASERRADA]]*1.95,"")</f>
        <v>0</v>
      </c>
      <c r="DC151" s="219">
        <f>+IF(BD_MO[[#This Row],[FECHA]]&lt;&gt;"",BD_MO[[#This Row],[KG. MADERA REDONDA]]+BD_MO[[#This Row],[KG MADERA ASERRADA]],"")</f>
        <v>0</v>
      </c>
      <c r="DD151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51" s="215"/>
      <c r="DF151" s="215"/>
      <c r="DG151" s="215"/>
      <c r="DH151" s="215"/>
      <c r="DI151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51" s="222"/>
      <c r="DK151" s="222"/>
      <c r="DL151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51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51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51" s="197"/>
      <c r="DP151" s="222" t="str">
        <f>+IF(BD_MO[[#This Row],[M o D]]&lt;&gt;"",IF(BD_MO[[#This Row],[M o D]]="M",BD_MO[[#This Row],[ROTURA TMH]]/2.65,BD_MO[[#This Row],[ROTURA TMH]]/2.4),"")</f>
        <v/>
      </c>
      <c r="DQ151" s="222"/>
      <c r="DR151" s="116" t="str">
        <f>IF(BD_MO[[#This Row],[TIPO AVANCE]]="Avance",((BD_MO[[#This Row],[AVANCE (m)]]/BD_MO[[#This Row],[AVANCE TEÓRICO]]))," ")</f>
        <v xml:space="preserve"> </v>
      </c>
    </row>
    <row r="152" spans="1:130" ht="18" customHeight="1" x14ac:dyDescent="0.25">
      <c r="A152" s="223">
        <v>44660</v>
      </c>
      <c r="B152" s="169" t="s">
        <v>10655</v>
      </c>
      <c r="C152" s="169" t="s">
        <v>10680</v>
      </c>
      <c r="D152" s="213" t="s">
        <v>11806</v>
      </c>
      <c r="E152" s="214" t="str">
        <f>LEFT(BD_MO[[#This Row],[LABOR]],2)</f>
        <v>CX</v>
      </c>
      <c r="F152" s="215"/>
      <c r="G152" s="215" t="s">
        <v>10662</v>
      </c>
      <c r="H152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152" s="214" t="str">
        <f>IF(BD_MO[FECHA]&lt;&gt;"",VLOOKUP(BD_MO[LABOR],TB_CECO[[LABOR]:[CECO_T]],3,FALSE),"")</f>
        <v>CACHORRO</v>
      </c>
      <c r="J152" s="214" t="str">
        <f>IF(BD_MO[FECHA]&lt;&gt;"",VLOOKUP(BD_MO[LABOR],D_CECO!B:H,7,FALSE),"")</f>
        <v>LINEAL</v>
      </c>
      <c r="K152" s="214" t="str">
        <f>IF(BD_MO[FECHA]&lt;&gt;"",VLOOKUP(BD_MO[LABOR],D_CECO!B:H,4,FALSE),"")</f>
        <v>EXPLORACION</v>
      </c>
      <c r="L152" s="214"/>
      <c r="M152" s="216"/>
      <c r="N152" s="215"/>
      <c r="O152" s="173" t="s">
        <v>11911</v>
      </c>
      <c r="P152" s="173" t="s">
        <v>11913</v>
      </c>
      <c r="Q152" s="173"/>
      <c r="R152" s="217"/>
      <c r="S152" s="218" t="str">
        <f>IFERROR(VLOOKUP(BD_MO[DNI 4],#REF!,2,FALSE)," ")</f>
        <v xml:space="preserve"> </v>
      </c>
      <c r="T152" s="219">
        <f>+IF(BD_MO[[#This Row],[FECHA]]&lt;&gt;"",COUNTA(BD_MO[[#This Row],[DNI]],BD_MO[[#This Row],[DNI 2]],BD_MO[[#This Row],[DNI 3]],BD_MO[[#This Row],[DNI 4]]),"")</f>
        <v>2</v>
      </c>
      <c r="U152" s="219">
        <v>0.6</v>
      </c>
      <c r="V152" s="219"/>
      <c r="W152" s="219">
        <v>1</v>
      </c>
      <c r="X152" s="219">
        <v>0.4</v>
      </c>
      <c r="Y152" s="177">
        <f>SUM(BD_MO[[#This Row],[LIMP]:[SERV]])</f>
        <v>2</v>
      </c>
      <c r="Z152" s="215"/>
      <c r="AA152" s="215" t="str">
        <f>+IF(BD_MO[[#This Row],[N° VALE]]&lt;&gt;"",1,"")</f>
        <v/>
      </c>
      <c r="AB152" s="169"/>
      <c r="AC152" s="215"/>
      <c r="AD152" s="215" t="str">
        <f>+IF(BD_MO[[#This Row],[N° VALE]]&lt;&gt;"",BD_MO[[#This Row],[FULMINANTE N° 08]]+BD_MO[CARMEX 7''],"")</f>
        <v/>
      </c>
      <c r="AE152" s="215"/>
      <c r="AF152" s="215" t="str">
        <f>+IF(BD_MO[[#This Row],[N° VALE]]&lt;&gt;"",BD_MO[[#This Row],[N° TALADROS]]+BD_MO[[#This Row],[N° TAL. VACIOS]],"")</f>
        <v/>
      </c>
      <c r="AG152" s="220"/>
      <c r="AH152" s="220"/>
      <c r="AI152" s="220"/>
      <c r="AJ152" s="220"/>
      <c r="AK152" s="220"/>
      <c r="AL152" s="220"/>
      <c r="AM152" s="214"/>
      <c r="AN152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52" s="215" t="str">
        <f>+IF(BD_MO[[#This Row],[N° VALE]]&lt;&gt;"",IF(BD_MO[[#This Row],[FULMINANTE N° 08]]&lt;&gt;"",BD_MO[[#This Row],[FULMINANTE N° 08]],IF(BD_MO[[#This Row],[CARMEX 7'']]&lt;&gt;0,0,"")),"")</f>
        <v/>
      </c>
      <c r="AP152" s="219" t="str">
        <f>+IF(BD_MO[[#This Row],[N° VALE]]&lt;&gt;"",BD_MO[[#This Row],[N°  TOTAL TALADROS]]*BD_MO[[#This Row],[BARRA]]*0.95,"")</f>
        <v/>
      </c>
      <c r="AQ152" s="219" t="str">
        <f>+IF(BD_MO[[#This Row],[N° VALE]]&lt;&gt;"",BD_MO[[#This Row],[EMULNOR 1000 (N° CART.)]]*PE_EMUL_1000[PE],"")</f>
        <v/>
      </c>
      <c r="AR152" s="219" t="str">
        <f>+IF(BD_MO[[#This Row],[N° VALE]]&lt;&gt;"",BD_MO[[#This Row],[EMULNOR 3000 (N° CART.)]]*PE_EMUL_3000[PE],"")</f>
        <v/>
      </c>
      <c r="AS152" s="219" t="str">
        <f>+IF(BD_MO[[#This Row],[N° VALE]]&lt;&gt;"",BD_MO[[#This Row],[PULVERULENTA (N° CART.)]]*PE_PULV_65[PE],"")</f>
        <v/>
      </c>
      <c r="AT152" s="219" t="str">
        <f>+IF(BD_MO[[#This Row],[N° DISP]]&lt;&gt;"",BD_MO[[#This Row],[SEMIGELATINA (N° CART.)]]*PE_SEMIGEL_65[PE],"")</f>
        <v/>
      </c>
      <c r="AU152" s="219" t="str">
        <f>+IF(BD_MO[N° VALE]&lt;&gt;"",BD_MO[[#This Row],[KG EXPLO SEMIGEL]]+BD_MO[[#This Row],[KG EXPLO PULVE]]+BD_MO[[#This Row],[KG EXPLO EMULN 3000]]+BD_MO[[#This Row],[KG EXPLO EMULN 1000]],"")</f>
        <v/>
      </c>
      <c r="AV152" s="215"/>
      <c r="AW152" s="215"/>
      <c r="AX152" s="215" t="str">
        <f>+IF(BD_MO[[#This Row],[MINERAL (U-35)]]&lt;&gt;"",BD_MO[[#This Row],[MINERAL (U-35)]]*1.45,"-")</f>
        <v>-</v>
      </c>
      <c r="AY152" s="215" t="str">
        <f>+IF(BD_MO[[#This Row],[DESMONTE (U-35)]]&lt;&gt;"",BD_MO[[#This Row],[DESMONTE (U-35)]]*1.23,"-")</f>
        <v>-</v>
      </c>
      <c r="AZ152" s="215"/>
      <c r="BA152" s="215"/>
      <c r="BB152" s="215"/>
      <c r="BC152" s="215"/>
      <c r="BD152" s="215"/>
      <c r="BE152" s="215"/>
      <c r="BF152" s="215">
        <v>2</v>
      </c>
      <c r="BG152" s="215"/>
      <c r="BH152" s="215"/>
      <c r="BI152" s="215"/>
      <c r="BJ152" s="215"/>
      <c r="BK152" s="215"/>
      <c r="BL152" s="215"/>
      <c r="BM152" s="215"/>
      <c r="BN152" s="214"/>
      <c r="BO152" s="215"/>
      <c r="BP152" s="215"/>
      <c r="BQ152" s="214"/>
      <c r="BR152" s="215"/>
      <c r="BS152" s="214"/>
      <c r="BT152" s="219">
        <v>4</v>
      </c>
      <c r="BU152" s="215"/>
      <c r="BV152" s="215"/>
      <c r="BW152" s="215"/>
      <c r="BX152" s="215"/>
      <c r="BY152" s="215"/>
      <c r="BZ152" s="215"/>
      <c r="CA152" s="215"/>
      <c r="CB152" s="215"/>
      <c r="CC152" s="215"/>
      <c r="CD152" s="215"/>
      <c r="CE152" s="215"/>
      <c r="CF152" s="215"/>
      <c r="CG152" s="215"/>
      <c r="CH152" s="215"/>
      <c r="CI152" s="215"/>
      <c r="CJ152" s="215"/>
      <c r="CK152" s="215"/>
      <c r="CL152" s="215">
        <v>2</v>
      </c>
      <c r="CM152" s="215">
        <v>1</v>
      </c>
      <c r="CN152" s="215"/>
      <c r="CO152" s="215">
        <v>2</v>
      </c>
      <c r="CP152" s="219">
        <f>+IF(BD_MO[[#This Row],[FECHA]]&lt;&gt;"",BD_MO[[#This Row],[PUNTAL 4"]]+BD_MO[[#This Row],[PUNTAL 5"]]+BD_MO[[#This Row],[PUNTAL 6"]]+BD_MO[[#This Row],[PUNTAL 7"]]+BD_MO[[#This Row],[PUNTAL 8"]],"")</f>
        <v>5</v>
      </c>
      <c r="CQ152" s="215"/>
      <c r="CR152" s="215"/>
      <c r="CS152" s="215">
        <v>12</v>
      </c>
      <c r="CT152" s="215"/>
      <c r="CU152" s="215"/>
      <c r="CV152" s="215"/>
      <c r="CW152" s="215"/>
      <c r="CX152" s="215"/>
      <c r="CY152" s="219"/>
      <c r="CZ152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561.952</v>
      </c>
      <c r="DA152" s="219">
        <f>+IF(BD_MO[[#This Row],[FECHA]]&lt;&gt;"",BD_MO[[#This Row],[DURMIENTE2]]*6.561+BD_MO[[#This Row],[LISTONES]]*4.921+BD_MO[[#This Row],[TABLA 1"x8"x3m]]*6.561+BD_MO[[#This Row],[TABLA 2"x8"x3m]]*13.122,"")</f>
        <v>0</v>
      </c>
      <c r="DB152" s="219">
        <f>+IF(BD_MO[[#This Row],[FECHA]]&lt;&gt;"",BD_MO[[#This Row],[PIE2 MADERA ASERRADA]]*1.95,"")</f>
        <v>0</v>
      </c>
      <c r="DC152" s="219">
        <f>+IF(BD_MO[[#This Row],[FECHA]]&lt;&gt;"",BD_MO[[#This Row],[KG. MADERA REDONDA]]+BD_MO[[#This Row],[KG MADERA ASERRADA]],"")</f>
        <v>561.952</v>
      </c>
      <c r="DD152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236.48</v>
      </c>
      <c r="DE152" s="215"/>
      <c r="DF152" s="215"/>
      <c r="DG152" s="215"/>
      <c r="DH152" s="215"/>
      <c r="DI152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52" s="222"/>
      <c r="DK152" s="222"/>
      <c r="DL152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52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52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52" s="197"/>
      <c r="DP152" s="222" t="str">
        <f>+IF(BD_MO[[#This Row],[M o D]]&lt;&gt;"",IF(BD_MO[[#This Row],[M o D]]="M",BD_MO[[#This Row],[ROTURA TMH]]/2.65,BD_MO[[#This Row],[ROTURA TMH]]/2.4),"")</f>
        <v/>
      </c>
      <c r="DQ152" s="222"/>
      <c r="DR152" s="116" t="str">
        <f>IF(BD_MO[[#This Row],[TIPO AVANCE]]="Avance",((BD_MO[[#This Row],[AVANCE (m)]]/BD_MO[[#This Row],[AVANCE TEÓRICO]]))," ")</f>
        <v xml:space="preserve"> </v>
      </c>
    </row>
    <row r="153" spans="1:130" ht="18" customHeight="1" x14ac:dyDescent="0.25">
      <c r="A153" s="223">
        <v>44660</v>
      </c>
      <c r="B153" s="169" t="s">
        <v>10655</v>
      </c>
      <c r="C153" s="169" t="s">
        <v>10680</v>
      </c>
      <c r="D153" s="213" t="s">
        <v>10952</v>
      </c>
      <c r="E153" s="214" t="str">
        <f>LEFT(BD_MO[[#This Row],[LABOR]],2)</f>
        <v>In</v>
      </c>
      <c r="F153" s="215"/>
      <c r="G153" s="215" t="s">
        <v>10669</v>
      </c>
      <c r="H153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53" s="214" t="str">
        <f>IF(BD_MO[FECHA]&lt;&gt;"",VLOOKUP(BD_MO[LABOR],TB_CECO[[LABOR]:[CECO_T]],3,FALSE),"")</f>
        <v>VANESSA</v>
      </c>
      <c r="J153" s="214" t="str">
        <f>IF(BD_MO[FECHA]&lt;&gt;"",VLOOKUP(BD_MO[LABOR],D_CECO!B:H,7,FALSE),"")</f>
        <v>LINEAL</v>
      </c>
      <c r="K153" s="214" t="str">
        <f>IF(BD_MO[FECHA]&lt;&gt;"",VLOOKUP(BD_MO[LABOR],D_CECO!B:H,4,FALSE),"")</f>
        <v>EXPLORACION</v>
      </c>
      <c r="L153" s="214"/>
      <c r="M153" s="216"/>
      <c r="N153" s="215"/>
      <c r="O153" s="173" t="s">
        <v>11925</v>
      </c>
      <c r="P153" s="173" t="s">
        <v>11906</v>
      </c>
      <c r="Q153" s="173"/>
      <c r="R153" s="217"/>
      <c r="S153" s="218" t="str">
        <f>IFERROR(VLOOKUP(BD_MO[DNI 4],#REF!,2,FALSE)," ")</f>
        <v xml:space="preserve"> </v>
      </c>
      <c r="T153" s="219">
        <f>+IF(BD_MO[[#This Row],[FECHA]]&lt;&gt;"",COUNTA(BD_MO[[#This Row],[DNI]],BD_MO[[#This Row],[DNI 2]],BD_MO[[#This Row],[DNI 3]],BD_MO[[#This Row],[DNI 4]]),"")</f>
        <v>2</v>
      </c>
      <c r="U153" s="219"/>
      <c r="V153" s="219"/>
      <c r="W153" s="219"/>
      <c r="X153" s="219">
        <v>2</v>
      </c>
      <c r="Y153" s="177">
        <f>SUM(BD_MO[[#This Row],[LIMP]:[SERV]])</f>
        <v>2</v>
      </c>
      <c r="Z153" s="215"/>
      <c r="AA153" s="215" t="str">
        <f>+IF(BD_MO[[#This Row],[N° VALE]]&lt;&gt;"",1,"")</f>
        <v/>
      </c>
      <c r="AB153" s="169"/>
      <c r="AC153" s="215"/>
      <c r="AD153" s="215" t="str">
        <f>+IF(BD_MO[[#This Row],[N° VALE]]&lt;&gt;"",BD_MO[[#This Row],[FULMINANTE N° 08]]+BD_MO[CARMEX 7''],"")</f>
        <v/>
      </c>
      <c r="AE153" s="215"/>
      <c r="AF153" s="215" t="str">
        <f>+IF(BD_MO[[#This Row],[N° VALE]]&lt;&gt;"",BD_MO[[#This Row],[N° TALADROS]]+BD_MO[[#This Row],[N° TAL. VACIOS]],"")</f>
        <v/>
      </c>
      <c r="AG153" s="220"/>
      <c r="AH153" s="220"/>
      <c r="AI153" s="220"/>
      <c r="AJ153" s="220"/>
      <c r="AK153" s="220"/>
      <c r="AL153" s="220"/>
      <c r="AM153" s="214"/>
      <c r="AN153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53" s="215" t="str">
        <f>+IF(BD_MO[[#This Row],[N° VALE]]&lt;&gt;"",IF(BD_MO[[#This Row],[FULMINANTE N° 08]]&lt;&gt;"",BD_MO[[#This Row],[FULMINANTE N° 08]],IF(BD_MO[[#This Row],[CARMEX 7'']]&lt;&gt;0,0,"")),"")</f>
        <v/>
      </c>
      <c r="AP153" s="219" t="str">
        <f>+IF(BD_MO[[#This Row],[N° VALE]]&lt;&gt;"",BD_MO[[#This Row],[N°  TOTAL TALADROS]]*BD_MO[[#This Row],[BARRA]]*0.95,"")</f>
        <v/>
      </c>
      <c r="AQ153" s="219" t="str">
        <f>+IF(BD_MO[[#This Row],[N° VALE]]&lt;&gt;"",BD_MO[[#This Row],[EMULNOR 1000 (N° CART.)]]*PE_EMUL_1000[PE],"")</f>
        <v/>
      </c>
      <c r="AR153" s="219" t="str">
        <f>+IF(BD_MO[[#This Row],[N° VALE]]&lt;&gt;"",BD_MO[[#This Row],[EMULNOR 3000 (N° CART.)]]*PE_EMUL_3000[PE],"")</f>
        <v/>
      </c>
      <c r="AS153" s="219" t="str">
        <f>+IF(BD_MO[[#This Row],[N° VALE]]&lt;&gt;"",BD_MO[[#This Row],[PULVERULENTA (N° CART.)]]*PE_PULV_65[PE],"")</f>
        <v/>
      </c>
      <c r="AT153" s="219" t="str">
        <f>+IF(BD_MO[[#This Row],[N° DISP]]&lt;&gt;"",BD_MO[[#This Row],[SEMIGELATINA (N° CART.)]]*PE_SEMIGEL_65[PE],"")</f>
        <v/>
      </c>
      <c r="AU153" s="219" t="str">
        <f>+IF(BD_MO[N° VALE]&lt;&gt;"",BD_MO[[#This Row],[KG EXPLO SEMIGEL]]+BD_MO[[#This Row],[KG EXPLO PULVE]]+BD_MO[[#This Row],[KG EXPLO EMULN 3000]]+BD_MO[[#This Row],[KG EXPLO EMULN 1000]],"")</f>
        <v/>
      </c>
      <c r="AV153" s="215"/>
      <c r="AW153" s="215"/>
      <c r="AX153" s="215" t="str">
        <f>+IF(BD_MO[[#This Row],[MINERAL (U-35)]]&lt;&gt;"",BD_MO[[#This Row],[MINERAL (U-35)]]*1.45,"-")</f>
        <v>-</v>
      </c>
      <c r="AY153" s="215" t="str">
        <f>+IF(BD_MO[[#This Row],[DESMONTE (U-35)]]&lt;&gt;"",BD_MO[[#This Row],[DESMONTE (U-35)]]*1.23,"-")</f>
        <v>-</v>
      </c>
      <c r="AZ153" s="215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5"/>
      <c r="BN153" s="214"/>
      <c r="BO153" s="215"/>
      <c r="BP153" s="215"/>
      <c r="BQ153" s="214"/>
      <c r="BR153" s="215"/>
      <c r="BS153" s="214"/>
      <c r="BT153" s="219"/>
      <c r="BU153" s="215"/>
      <c r="BV153" s="215"/>
      <c r="BW153" s="215"/>
      <c r="BX153" s="215"/>
      <c r="BY153" s="215"/>
      <c r="BZ153" s="215"/>
      <c r="CA153" s="215"/>
      <c r="CB153" s="215"/>
      <c r="CC153" s="215"/>
      <c r="CD153" s="215"/>
      <c r="CE153" s="215"/>
      <c r="CF153" s="215"/>
      <c r="CG153" s="215"/>
      <c r="CH153" s="215"/>
      <c r="CI153" s="215"/>
      <c r="CJ153" s="215"/>
      <c r="CK153" s="215"/>
      <c r="CL153" s="215"/>
      <c r="CM153" s="215"/>
      <c r="CN153" s="215"/>
      <c r="CO153" s="215"/>
      <c r="CP153" s="219">
        <f>+IF(BD_MO[[#This Row],[FECHA]]&lt;&gt;"",BD_MO[[#This Row],[PUNTAL 4"]]+BD_MO[[#This Row],[PUNTAL 5"]]+BD_MO[[#This Row],[PUNTAL 6"]]+BD_MO[[#This Row],[PUNTAL 7"]]+BD_MO[[#This Row],[PUNTAL 8"]],"")</f>
        <v>0</v>
      </c>
      <c r="CQ153" s="215"/>
      <c r="CR153" s="215"/>
      <c r="CS153" s="215"/>
      <c r="CT153" s="215"/>
      <c r="CU153" s="215"/>
      <c r="CV153" s="215"/>
      <c r="CW153" s="215">
        <v>12</v>
      </c>
      <c r="CX153" s="215">
        <v>10</v>
      </c>
      <c r="CY153" s="219"/>
      <c r="CZ153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53" s="219">
        <f>+IF(BD_MO[[#This Row],[FECHA]]&lt;&gt;"",BD_MO[[#This Row],[DURMIENTE2]]*6.561+BD_MO[[#This Row],[LISTONES]]*4.921+BD_MO[[#This Row],[TABLA 1"x8"x3m]]*6.561+BD_MO[[#This Row],[TABLA 2"x8"x3m]]*13.122,"")</f>
        <v>209.952</v>
      </c>
      <c r="DB153" s="219">
        <f>+IF(BD_MO[[#This Row],[FECHA]]&lt;&gt;"",BD_MO[[#This Row],[PIE2 MADERA ASERRADA]]*1.95,"")</f>
        <v>409.40639999999996</v>
      </c>
      <c r="DC153" s="219">
        <f>+IF(BD_MO[[#This Row],[FECHA]]&lt;&gt;"",BD_MO[[#This Row],[KG. MADERA REDONDA]]+BD_MO[[#This Row],[KG MADERA ASERRADA]],"")</f>
        <v>409.40639999999996</v>
      </c>
      <c r="DD153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304.72000000000003</v>
      </c>
      <c r="DE153" s="215"/>
      <c r="DF153" s="215"/>
      <c r="DG153" s="215" t="s">
        <v>12183</v>
      </c>
      <c r="DH153" s="215">
        <v>7</v>
      </c>
      <c r="DI153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53" s="222"/>
      <c r="DK153" s="222"/>
      <c r="DL153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53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53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53" s="197"/>
      <c r="DP153" s="222" t="str">
        <f>+IF(BD_MO[[#This Row],[M o D]]&lt;&gt;"",IF(BD_MO[[#This Row],[M o D]]="M",BD_MO[[#This Row],[ROTURA TMH]]/2.65,BD_MO[[#This Row],[ROTURA TMH]]/2.4),"")</f>
        <v/>
      </c>
      <c r="DQ153" s="222"/>
      <c r="DR153" s="116" t="str">
        <f>IF(BD_MO[[#This Row],[TIPO AVANCE]]="Avance",((BD_MO[[#This Row],[AVANCE (m)]]/BD_MO[[#This Row],[AVANCE TEÓRICO]]))," ")</f>
        <v xml:space="preserve"> </v>
      </c>
    </row>
    <row r="154" spans="1:130" ht="18" customHeight="1" x14ac:dyDescent="0.25">
      <c r="A154" s="223">
        <v>44660</v>
      </c>
      <c r="B154" s="169" t="s">
        <v>10655</v>
      </c>
      <c r="C154" s="169" t="s">
        <v>10680</v>
      </c>
      <c r="D154" s="213" t="s">
        <v>11872</v>
      </c>
      <c r="E154" s="214" t="str">
        <f>LEFT(BD_MO[[#This Row],[LABOR]],2)</f>
        <v>PQ</v>
      </c>
      <c r="F154" s="215"/>
      <c r="G154" s="215" t="s">
        <v>10669</v>
      </c>
      <c r="H154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54" s="214" t="str">
        <f>IF(BD_MO[FECHA]&lt;&gt;"",VLOOKUP(BD_MO[LABOR],TB_CECO[[LABOR]:[CECO_T]],3,FALSE),"")</f>
        <v>ANDREA</v>
      </c>
      <c r="J154" s="214" t="str">
        <f>IF(BD_MO[FECHA]&lt;&gt;"",VLOOKUP(BD_MO[LABOR],D_CECO!B:H,7,FALSE),"")</f>
        <v>LINEAL</v>
      </c>
      <c r="K154" s="214" t="str">
        <f>IF(BD_MO[FECHA]&lt;&gt;"",VLOOKUP(BD_MO[LABOR],D_CECO!B:H,4,FALSE),"")</f>
        <v>EXPLOTACION</v>
      </c>
      <c r="L154" s="214"/>
      <c r="M154" s="216"/>
      <c r="N154" s="215"/>
      <c r="O154" s="173" t="s">
        <v>11908</v>
      </c>
      <c r="P154" s="173" t="s">
        <v>11905</v>
      </c>
      <c r="Q154" s="173" t="s">
        <v>12211</v>
      </c>
      <c r="R154" s="217"/>
      <c r="S154" s="218" t="str">
        <f>IFERROR(VLOOKUP(BD_MO[DNI 4],#REF!,2,FALSE)," ")</f>
        <v xml:space="preserve"> </v>
      </c>
      <c r="T154" s="219">
        <f>+IF(BD_MO[[#This Row],[FECHA]]&lt;&gt;"",COUNTA(BD_MO[[#This Row],[DNI]],BD_MO[[#This Row],[DNI 2]],BD_MO[[#This Row],[DNI 3]],BD_MO[[#This Row],[DNI 4]]),"")</f>
        <v>3</v>
      </c>
      <c r="U154" s="219"/>
      <c r="V154" s="219"/>
      <c r="W154" s="219"/>
      <c r="X154" s="219">
        <v>3</v>
      </c>
      <c r="Y154" s="177">
        <f>SUM(BD_MO[[#This Row],[LIMP]:[SERV]])</f>
        <v>3</v>
      </c>
      <c r="Z154" s="215"/>
      <c r="AA154" s="215" t="str">
        <f>+IF(BD_MO[[#This Row],[N° VALE]]&lt;&gt;"",1,"")</f>
        <v/>
      </c>
      <c r="AB154" s="169"/>
      <c r="AC154" s="215"/>
      <c r="AD154" s="215" t="str">
        <f>+IF(BD_MO[[#This Row],[N° VALE]]&lt;&gt;"",BD_MO[[#This Row],[FULMINANTE N° 08]]+BD_MO[CARMEX 7''],"")</f>
        <v/>
      </c>
      <c r="AE154" s="215"/>
      <c r="AF154" s="215" t="str">
        <f>+IF(BD_MO[[#This Row],[N° VALE]]&lt;&gt;"",BD_MO[[#This Row],[N° TALADROS]]+BD_MO[[#This Row],[N° TAL. VACIOS]],"")</f>
        <v/>
      </c>
      <c r="AG154" s="220"/>
      <c r="AH154" s="220"/>
      <c r="AI154" s="220"/>
      <c r="AJ154" s="220"/>
      <c r="AK154" s="220"/>
      <c r="AL154" s="220"/>
      <c r="AM154" s="214"/>
      <c r="AN154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54" s="215" t="str">
        <f>+IF(BD_MO[[#This Row],[N° VALE]]&lt;&gt;"",IF(BD_MO[[#This Row],[FULMINANTE N° 08]]&lt;&gt;"",BD_MO[[#This Row],[FULMINANTE N° 08]],IF(BD_MO[[#This Row],[CARMEX 7'']]&lt;&gt;0,0,"")),"")</f>
        <v/>
      </c>
      <c r="AP154" s="219" t="str">
        <f>+IF(BD_MO[[#This Row],[N° VALE]]&lt;&gt;"",BD_MO[[#This Row],[N°  TOTAL TALADROS]]*BD_MO[[#This Row],[BARRA]]*0.95,"")</f>
        <v/>
      </c>
      <c r="AQ154" s="219" t="str">
        <f>+IF(BD_MO[[#This Row],[N° VALE]]&lt;&gt;"",BD_MO[[#This Row],[EMULNOR 1000 (N° CART.)]]*PE_EMUL_1000[PE],"")</f>
        <v/>
      </c>
      <c r="AR154" s="219" t="str">
        <f>+IF(BD_MO[[#This Row],[N° VALE]]&lt;&gt;"",BD_MO[[#This Row],[EMULNOR 3000 (N° CART.)]]*PE_EMUL_3000[PE],"")</f>
        <v/>
      </c>
      <c r="AS154" s="219" t="str">
        <f>+IF(BD_MO[[#This Row],[N° VALE]]&lt;&gt;"",BD_MO[[#This Row],[PULVERULENTA (N° CART.)]]*PE_PULV_65[PE],"")</f>
        <v/>
      </c>
      <c r="AT154" s="219" t="str">
        <f>+IF(BD_MO[[#This Row],[N° DISP]]&lt;&gt;"",BD_MO[[#This Row],[SEMIGELATINA (N° CART.)]]*PE_SEMIGEL_65[PE],"")</f>
        <v/>
      </c>
      <c r="AU154" s="219" t="str">
        <f>+IF(BD_MO[N° VALE]&lt;&gt;"",BD_MO[[#This Row],[KG EXPLO SEMIGEL]]+BD_MO[[#This Row],[KG EXPLO PULVE]]+BD_MO[[#This Row],[KG EXPLO EMULN 3000]]+BD_MO[[#This Row],[KG EXPLO EMULN 1000]],"")</f>
        <v/>
      </c>
      <c r="AV154" s="215"/>
      <c r="AW154" s="215"/>
      <c r="AX154" s="215" t="str">
        <f>+IF(BD_MO[[#This Row],[MINERAL (U-35)]]&lt;&gt;"",BD_MO[[#This Row],[MINERAL (U-35)]]*1.45,"-")</f>
        <v>-</v>
      </c>
      <c r="AY154" s="215" t="str">
        <f>+IF(BD_MO[[#This Row],[DESMONTE (U-35)]]&lt;&gt;"",BD_MO[[#This Row],[DESMONTE (U-35)]]*1.23,"-")</f>
        <v>-</v>
      </c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5"/>
      <c r="BN154" s="214"/>
      <c r="BO154" s="215"/>
      <c r="BP154" s="215"/>
      <c r="BQ154" s="214"/>
      <c r="BR154" s="215"/>
      <c r="BS154" s="214"/>
      <c r="BT154" s="219"/>
      <c r="BU154" s="215"/>
      <c r="BV154" s="215"/>
      <c r="BW154" s="215"/>
      <c r="BX154" s="215"/>
      <c r="BY154" s="215"/>
      <c r="BZ154" s="215"/>
      <c r="CA154" s="215"/>
      <c r="CB154" s="215"/>
      <c r="CC154" s="215"/>
      <c r="CD154" s="215"/>
      <c r="CE154" s="215"/>
      <c r="CF154" s="215"/>
      <c r="CG154" s="215"/>
      <c r="CH154" s="215"/>
      <c r="CI154" s="215"/>
      <c r="CJ154" s="215"/>
      <c r="CK154" s="215"/>
      <c r="CL154" s="215"/>
      <c r="CM154" s="215"/>
      <c r="CN154" s="215"/>
      <c r="CO154" s="215"/>
      <c r="CP154" s="219">
        <f>+IF(BD_MO[[#This Row],[FECHA]]&lt;&gt;"",BD_MO[[#This Row],[PUNTAL 4"]]+BD_MO[[#This Row],[PUNTAL 5"]]+BD_MO[[#This Row],[PUNTAL 6"]]+BD_MO[[#This Row],[PUNTAL 7"]]+BD_MO[[#This Row],[PUNTAL 8"]],"")</f>
        <v>0</v>
      </c>
      <c r="CQ154" s="215"/>
      <c r="CR154" s="215"/>
      <c r="CS154" s="215"/>
      <c r="CT154" s="215"/>
      <c r="CU154" s="215"/>
      <c r="CV154" s="215"/>
      <c r="CW154" s="215"/>
      <c r="CX154" s="215"/>
      <c r="CY154" s="219"/>
      <c r="CZ154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54" s="219">
        <f>+IF(BD_MO[[#This Row],[FECHA]]&lt;&gt;"",BD_MO[[#This Row],[DURMIENTE2]]*6.561+BD_MO[[#This Row],[LISTONES]]*4.921+BD_MO[[#This Row],[TABLA 1"x8"x3m]]*6.561+BD_MO[[#This Row],[TABLA 2"x8"x3m]]*13.122,"")</f>
        <v>0</v>
      </c>
      <c r="DB154" s="219">
        <f>+IF(BD_MO[[#This Row],[FECHA]]&lt;&gt;"",BD_MO[[#This Row],[PIE2 MADERA ASERRADA]]*1.95,"")</f>
        <v>0</v>
      </c>
      <c r="DC154" s="219">
        <f>+IF(BD_MO[[#This Row],[FECHA]]&lt;&gt;"",BD_MO[[#This Row],[KG. MADERA REDONDA]]+BD_MO[[#This Row],[KG MADERA ASERRADA]],"")</f>
        <v>0</v>
      </c>
      <c r="DD154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54" s="215"/>
      <c r="DF154" s="215"/>
      <c r="DG154" s="215" t="s">
        <v>12184</v>
      </c>
      <c r="DH154" s="215">
        <v>5</v>
      </c>
      <c r="DI154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54" s="222"/>
      <c r="DK154" s="222"/>
      <c r="DL154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54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54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54" s="197"/>
      <c r="DP154" s="222" t="str">
        <f>+IF(BD_MO[[#This Row],[M o D]]&lt;&gt;"",IF(BD_MO[[#This Row],[M o D]]="M",BD_MO[[#This Row],[ROTURA TMH]]/2.65,BD_MO[[#This Row],[ROTURA TMH]]/2.4),"")</f>
        <v/>
      </c>
      <c r="DQ154" s="222"/>
      <c r="DR154" s="116" t="str">
        <f>IF(BD_MO[[#This Row],[TIPO AVANCE]]="Avance",((BD_MO[[#This Row],[AVANCE (m)]]/BD_MO[[#This Row],[AVANCE TEÓRICO]]))," ")</f>
        <v xml:space="preserve"> </v>
      </c>
    </row>
    <row r="155" spans="1:130" ht="18" customHeight="1" x14ac:dyDescent="0.25">
      <c r="A155" s="223">
        <v>44660</v>
      </c>
      <c r="B155" s="169" t="s">
        <v>10655</v>
      </c>
      <c r="C155" s="169" t="s">
        <v>10680</v>
      </c>
      <c r="D155" s="213" t="s">
        <v>10954</v>
      </c>
      <c r="E155" s="214" t="str">
        <f>LEFT(BD_MO[[#This Row],[LABOR]],2)</f>
        <v>MO</v>
      </c>
      <c r="F155" s="215"/>
      <c r="G155" s="215" t="s">
        <v>10669</v>
      </c>
      <c r="H155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55" s="214" t="str">
        <f>IF(BD_MO[FECHA]&lt;&gt;"",VLOOKUP(BD_MO[LABOR],TB_CECO[[LABOR]:[CECO_T]],3,FALSE),"")</f>
        <v>INCA</v>
      </c>
      <c r="J155" s="214" t="str">
        <f>IF(BD_MO[FECHA]&lt;&gt;"",VLOOKUP(BD_MO[LABOR],D_CECO!B:H,7,FALSE),"")</f>
        <v>SERVICIOS</v>
      </c>
      <c r="K155" s="214" t="str">
        <f>IF(BD_MO[FECHA]&lt;&gt;"",VLOOKUP(BD_MO[LABOR],D_CECO!B:H,4,FALSE),"")</f>
        <v>SERVICIOS</v>
      </c>
      <c r="L155" s="214"/>
      <c r="M155" s="216"/>
      <c r="N155" s="215"/>
      <c r="O155" s="173" t="s">
        <v>12117</v>
      </c>
      <c r="P155" s="173" t="s">
        <v>11907</v>
      </c>
      <c r="Q155" s="173"/>
      <c r="R155" s="217"/>
      <c r="S155" s="218" t="str">
        <f>IFERROR(VLOOKUP(BD_MO[DNI 4],#REF!,2,FALSE)," ")</f>
        <v xml:space="preserve"> </v>
      </c>
      <c r="T155" s="219">
        <f>+IF(BD_MO[[#This Row],[FECHA]]&lt;&gt;"",COUNTA(BD_MO[[#This Row],[DNI]],BD_MO[[#This Row],[DNI 2]],BD_MO[[#This Row],[DNI 3]],BD_MO[[#This Row],[DNI 4]]),"")</f>
        <v>2</v>
      </c>
      <c r="U155" s="219"/>
      <c r="V155" s="219"/>
      <c r="W155" s="219"/>
      <c r="X155" s="219">
        <v>2</v>
      </c>
      <c r="Y155" s="177">
        <f>SUM(BD_MO[[#This Row],[LIMP]:[SERV]])</f>
        <v>2</v>
      </c>
      <c r="Z155" s="215"/>
      <c r="AA155" s="215" t="str">
        <f>+IF(BD_MO[[#This Row],[N° VALE]]&lt;&gt;"",1,"")</f>
        <v/>
      </c>
      <c r="AB155" s="169"/>
      <c r="AC155" s="215"/>
      <c r="AD155" s="215" t="str">
        <f>+IF(BD_MO[[#This Row],[N° VALE]]&lt;&gt;"",BD_MO[[#This Row],[FULMINANTE N° 08]]+BD_MO[CARMEX 7''],"")</f>
        <v/>
      </c>
      <c r="AE155" s="215"/>
      <c r="AF155" s="215" t="str">
        <f>+IF(BD_MO[[#This Row],[N° VALE]]&lt;&gt;"",BD_MO[[#This Row],[N° TALADROS]]+BD_MO[[#This Row],[N° TAL. VACIOS]],"")</f>
        <v/>
      </c>
      <c r="AG155" s="220"/>
      <c r="AH155" s="220"/>
      <c r="AI155" s="220"/>
      <c r="AJ155" s="220"/>
      <c r="AK155" s="220"/>
      <c r="AL155" s="220"/>
      <c r="AM155" s="214"/>
      <c r="AN155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55" s="215" t="str">
        <f>+IF(BD_MO[[#This Row],[N° VALE]]&lt;&gt;"",IF(BD_MO[[#This Row],[FULMINANTE N° 08]]&lt;&gt;"",BD_MO[[#This Row],[FULMINANTE N° 08]],IF(BD_MO[[#This Row],[CARMEX 7'']]&lt;&gt;0,0,"")),"")</f>
        <v/>
      </c>
      <c r="AP155" s="219" t="str">
        <f>+IF(BD_MO[[#This Row],[N° VALE]]&lt;&gt;"",BD_MO[[#This Row],[N°  TOTAL TALADROS]]*BD_MO[[#This Row],[BARRA]]*0.95,"")</f>
        <v/>
      </c>
      <c r="AQ155" s="219" t="str">
        <f>+IF(BD_MO[[#This Row],[N° VALE]]&lt;&gt;"",BD_MO[[#This Row],[EMULNOR 1000 (N° CART.)]]*PE_EMUL_1000[PE],"")</f>
        <v/>
      </c>
      <c r="AR155" s="219" t="str">
        <f>+IF(BD_MO[[#This Row],[N° VALE]]&lt;&gt;"",BD_MO[[#This Row],[EMULNOR 3000 (N° CART.)]]*PE_EMUL_3000[PE],"")</f>
        <v/>
      </c>
      <c r="AS155" s="219" t="str">
        <f>+IF(BD_MO[[#This Row],[N° VALE]]&lt;&gt;"",BD_MO[[#This Row],[PULVERULENTA (N° CART.)]]*PE_PULV_65[PE],"")</f>
        <v/>
      </c>
      <c r="AT155" s="219" t="str">
        <f>+IF(BD_MO[[#This Row],[N° DISP]]&lt;&gt;"",BD_MO[[#This Row],[SEMIGELATINA (N° CART.)]]*PE_SEMIGEL_65[PE],"")</f>
        <v/>
      </c>
      <c r="AU155" s="219" t="str">
        <f>+IF(BD_MO[N° VALE]&lt;&gt;"",BD_MO[[#This Row],[KG EXPLO SEMIGEL]]+BD_MO[[#This Row],[KG EXPLO PULVE]]+BD_MO[[#This Row],[KG EXPLO EMULN 3000]]+BD_MO[[#This Row],[KG EXPLO EMULN 1000]],"")</f>
        <v/>
      </c>
      <c r="AV155" s="215"/>
      <c r="AW155" s="215"/>
      <c r="AX155" s="215" t="str">
        <f>+IF(BD_MO[[#This Row],[MINERAL (U-35)]]&lt;&gt;"",BD_MO[[#This Row],[MINERAL (U-35)]]*1.45,"-")</f>
        <v>-</v>
      </c>
      <c r="AY155" s="215" t="str">
        <f>+IF(BD_MO[[#This Row],[DESMONTE (U-35)]]&lt;&gt;"",BD_MO[[#This Row],[DESMONTE (U-35)]]*1.23,"-")</f>
        <v>-</v>
      </c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4"/>
      <c r="BO155" s="215"/>
      <c r="BP155" s="215"/>
      <c r="BQ155" s="214"/>
      <c r="BR155" s="215"/>
      <c r="BS155" s="214"/>
      <c r="BT155" s="219"/>
      <c r="BU155" s="215"/>
      <c r="BV155" s="215"/>
      <c r="BW155" s="215"/>
      <c r="BX155" s="215"/>
      <c r="BY155" s="215"/>
      <c r="BZ155" s="215"/>
      <c r="CA155" s="215"/>
      <c r="CB155" s="215"/>
      <c r="CC155" s="215"/>
      <c r="CD155" s="215"/>
      <c r="CE155" s="215"/>
      <c r="CF155" s="215"/>
      <c r="CG155" s="215"/>
      <c r="CH155" s="215"/>
      <c r="CI155" s="215"/>
      <c r="CJ155" s="215"/>
      <c r="CK155" s="215"/>
      <c r="CL155" s="215"/>
      <c r="CM155" s="215"/>
      <c r="CN155" s="215"/>
      <c r="CO155" s="215"/>
      <c r="CP155" s="219">
        <f>+IF(BD_MO[[#This Row],[FECHA]]&lt;&gt;"",BD_MO[[#This Row],[PUNTAL 4"]]+BD_MO[[#This Row],[PUNTAL 5"]]+BD_MO[[#This Row],[PUNTAL 6"]]+BD_MO[[#This Row],[PUNTAL 7"]]+BD_MO[[#This Row],[PUNTAL 8"]],"")</f>
        <v>0</v>
      </c>
      <c r="CQ155" s="215"/>
      <c r="CR155" s="215"/>
      <c r="CS155" s="215"/>
      <c r="CT155" s="215"/>
      <c r="CU155" s="215"/>
      <c r="CV155" s="215"/>
      <c r="CW155" s="215"/>
      <c r="CX155" s="215"/>
      <c r="CY155" s="219"/>
      <c r="CZ155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55" s="219">
        <f>+IF(BD_MO[[#This Row],[FECHA]]&lt;&gt;"",BD_MO[[#This Row],[DURMIENTE2]]*6.561+BD_MO[[#This Row],[LISTONES]]*4.921+BD_MO[[#This Row],[TABLA 1"x8"x3m]]*6.561+BD_MO[[#This Row],[TABLA 2"x8"x3m]]*13.122,"")</f>
        <v>0</v>
      </c>
      <c r="DB155" s="219">
        <f>+IF(BD_MO[[#This Row],[FECHA]]&lt;&gt;"",BD_MO[[#This Row],[PIE2 MADERA ASERRADA]]*1.95,"")</f>
        <v>0</v>
      </c>
      <c r="DC155" s="219">
        <f>+IF(BD_MO[[#This Row],[FECHA]]&lt;&gt;"",BD_MO[[#This Row],[KG. MADERA REDONDA]]+BD_MO[[#This Row],[KG MADERA ASERRADA]],"")</f>
        <v>0</v>
      </c>
      <c r="DD155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55" s="215"/>
      <c r="DF155" s="215"/>
      <c r="DG155" s="215"/>
      <c r="DH155" s="215"/>
      <c r="DI155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55" s="222"/>
      <c r="DK155" s="222"/>
      <c r="DL155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55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55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55" s="197"/>
      <c r="DP155" s="222" t="str">
        <f>+IF(BD_MO[[#This Row],[M o D]]&lt;&gt;"",IF(BD_MO[[#This Row],[M o D]]="M",BD_MO[[#This Row],[ROTURA TMH]]/2.65,BD_MO[[#This Row],[ROTURA TMH]]/2.4),"")</f>
        <v/>
      </c>
      <c r="DQ155" s="222"/>
      <c r="DR155" s="116" t="str">
        <f>IF(BD_MO[[#This Row],[TIPO AVANCE]]="Avance",((BD_MO[[#This Row],[AVANCE (m)]]/BD_MO[[#This Row],[AVANCE TEÓRICO]]))," ")</f>
        <v xml:space="preserve"> </v>
      </c>
    </row>
    <row r="156" spans="1:130" ht="18" customHeight="1" x14ac:dyDescent="0.25">
      <c r="A156" s="223">
        <v>44660</v>
      </c>
      <c r="B156" s="169" t="s">
        <v>10655</v>
      </c>
      <c r="C156" s="169" t="s">
        <v>10680</v>
      </c>
      <c r="D156" s="213" t="s">
        <v>10717</v>
      </c>
      <c r="E156" s="214" t="str">
        <f>LEFT(BD_MO[[#This Row],[LABOR]],2)</f>
        <v>BO</v>
      </c>
      <c r="F156" s="215"/>
      <c r="G156" s="215" t="s">
        <v>10669</v>
      </c>
      <c r="H156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56" s="214" t="str">
        <f>IF(BD_MO[FECHA]&lt;&gt;"",VLOOKUP(BD_MO[LABOR],TB_CECO[[LABOR]:[CECO_T]],3,FALSE),"")</f>
        <v>CACHORRO</v>
      </c>
      <c r="J156" s="214" t="str">
        <f>IF(BD_MO[FECHA]&lt;&gt;"",VLOOKUP(BD_MO[LABOR],D_CECO!B:H,7,FALSE),"")</f>
        <v>SERVICIOS</v>
      </c>
      <c r="K156" s="214" t="str">
        <f>IF(BD_MO[FECHA]&lt;&gt;"",VLOOKUP(BD_MO[LABOR],D_CECO!B:H,4,FALSE),"")</f>
        <v>SERVICIOS</v>
      </c>
      <c r="L156" s="214"/>
      <c r="M156" s="216"/>
      <c r="N156" s="215"/>
      <c r="O156" s="173" t="s">
        <v>11909</v>
      </c>
      <c r="P156" s="173"/>
      <c r="Q156" s="173"/>
      <c r="R156" s="217"/>
      <c r="S156" s="218" t="str">
        <f>IFERROR(VLOOKUP(BD_MO[DNI 4],#REF!,2,FALSE)," ")</f>
        <v xml:space="preserve"> </v>
      </c>
      <c r="T156" s="219">
        <f>+IF(BD_MO[[#This Row],[FECHA]]&lt;&gt;"",COUNTA(BD_MO[[#This Row],[DNI]],BD_MO[[#This Row],[DNI 2]],BD_MO[[#This Row],[DNI 3]],BD_MO[[#This Row],[DNI 4]]),"")</f>
        <v>1</v>
      </c>
      <c r="U156" s="219"/>
      <c r="V156" s="219"/>
      <c r="W156" s="219"/>
      <c r="X156" s="219">
        <v>1</v>
      </c>
      <c r="Y156" s="177">
        <f>SUM(BD_MO[[#This Row],[LIMP]:[SERV]])</f>
        <v>1</v>
      </c>
      <c r="Z156" s="215"/>
      <c r="AA156" s="215" t="str">
        <f>+IF(BD_MO[[#This Row],[N° VALE]]&lt;&gt;"",1,"")</f>
        <v/>
      </c>
      <c r="AB156" s="169"/>
      <c r="AC156" s="215"/>
      <c r="AD156" s="215" t="str">
        <f>+IF(BD_MO[[#This Row],[N° VALE]]&lt;&gt;"",BD_MO[[#This Row],[FULMINANTE N° 08]]+BD_MO[CARMEX 7''],"")</f>
        <v/>
      </c>
      <c r="AE156" s="215"/>
      <c r="AF156" s="215" t="str">
        <f>+IF(BD_MO[[#This Row],[N° VALE]]&lt;&gt;"",BD_MO[[#This Row],[N° TALADROS]]+BD_MO[[#This Row],[N° TAL. VACIOS]],"")</f>
        <v/>
      </c>
      <c r="AG156" s="220"/>
      <c r="AH156" s="220"/>
      <c r="AI156" s="220"/>
      <c r="AJ156" s="220"/>
      <c r="AK156" s="220"/>
      <c r="AL156" s="220"/>
      <c r="AM156" s="214"/>
      <c r="AN156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56" s="215" t="str">
        <f>+IF(BD_MO[[#This Row],[N° VALE]]&lt;&gt;"",IF(BD_MO[[#This Row],[FULMINANTE N° 08]]&lt;&gt;"",BD_MO[[#This Row],[FULMINANTE N° 08]],IF(BD_MO[[#This Row],[CARMEX 7'']]&lt;&gt;0,0,"")),"")</f>
        <v/>
      </c>
      <c r="AP156" s="219" t="str">
        <f>+IF(BD_MO[[#This Row],[N° VALE]]&lt;&gt;"",BD_MO[[#This Row],[N°  TOTAL TALADROS]]*BD_MO[[#This Row],[BARRA]]*0.95,"")</f>
        <v/>
      </c>
      <c r="AQ156" s="219" t="str">
        <f>+IF(BD_MO[[#This Row],[N° VALE]]&lt;&gt;"",BD_MO[[#This Row],[EMULNOR 1000 (N° CART.)]]*PE_EMUL_1000[PE],"")</f>
        <v/>
      </c>
      <c r="AR156" s="219" t="str">
        <f>+IF(BD_MO[[#This Row],[N° VALE]]&lt;&gt;"",BD_MO[[#This Row],[EMULNOR 3000 (N° CART.)]]*PE_EMUL_3000[PE],"")</f>
        <v/>
      </c>
      <c r="AS156" s="219" t="str">
        <f>+IF(BD_MO[[#This Row],[N° VALE]]&lt;&gt;"",BD_MO[[#This Row],[PULVERULENTA (N° CART.)]]*PE_PULV_65[PE],"")</f>
        <v/>
      </c>
      <c r="AT156" s="219" t="str">
        <f>+IF(BD_MO[[#This Row],[N° DISP]]&lt;&gt;"",BD_MO[[#This Row],[SEMIGELATINA (N° CART.)]]*PE_SEMIGEL_65[PE],"")</f>
        <v/>
      </c>
      <c r="AU156" s="219" t="str">
        <f>+IF(BD_MO[N° VALE]&lt;&gt;"",BD_MO[[#This Row],[KG EXPLO SEMIGEL]]+BD_MO[[#This Row],[KG EXPLO PULVE]]+BD_MO[[#This Row],[KG EXPLO EMULN 3000]]+BD_MO[[#This Row],[KG EXPLO EMULN 1000]],"")</f>
        <v/>
      </c>
      <c r="AV156" s="215"/>
      <c r="AW156" s="215"/>
      <c r="AX156" s="215" t="str">
        <f>+IF(BD_MO[[#This Row],[MINERAL (U-35)]]&lt;&gt;"",BD_MO[[#This Row],[MINERAL (U-35)]]*1.45,"-")</f>
        <v>-</v>
      </c>
      <c r="AY156" s="215" t="str">
        <f>+IF(BD_MO[[#This Row],[DESMONTE (U-35)]]&lt;&gt;"",BD_MO[[#This Row],[DESMONTE (U-35)]]*1.23,"-")</f>
        <v>-</v>
      </c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15"/>
      <c r="BN156" s="214"/>
      <c r="BO156" s="215"/>
      <c r="BP156" s="215"/>
      <c r="BQ156" s="214"/>
      <c r="BR156" s="215"/>
      <c r="BS156" s="214"/>
      <c r="BT156" s="219"/>
      <c r="BU156" s="215"/>
      <c r="BV156" s="215"/>
      <c r="BW156" s="215"/>
      <c r="BX156" s="215"/>
      <c r="BY156" s="215"/>
      <c r="BZ156" s="215"/>
      <c r="CA156" s="215"/>
      <c r="CB156" s="215"/>
      <c r="CC156" s="215"/>
      <c r="CD156" s="215"/>
      <c r="CE156" s="215"/>
      <c r="CF156" s="215"/>
      <c r="CG156" s="215"/>
      <c r="CH156" s="215"/>
      <c r="CI156" s="215"/>
      <c r="CJ156" s="215"/>
      <c r="CK156" s="215"/>
      <c r="CL156" s="215"/>
      <c r="CM156" s="215"/>
      <c r="CN156" s="215"/>
      <c r="CO156" s="215"/>
      <c r="CP156" s="219">
        <f>+IF(BD_MO[[#This Row],[FECHA]]&lt;&gt;"",BD_MO[[#This Row],[PUNTAL 4"]]+BD_MO[[#This Row],[PUNTAL 5"]]+BD_MO[[#This Row],[PUNTAL 6"]]+BD_MO[[#This Row],[PUNTAL 7"]]+BD_MO[[#This Row],[PUNTAL 8"]],"")</f>
        <v>0</v>
      </c>
      <c r="CQ156" s="215"/>
      <c r="CR156" s="215"/>
      <c r="CS156" s="215"/>
      <c r="CT156" s="215"/>
      <c r="CU156" s="215"/>
      <c r="CV156" s="215"/>
      <c r="CW156" s="215"/>
      <c r="CX156" s="215"/>
      <c r="CY156" s="219"/>
      <c r="CZ156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56" s="219">
        <f>+IF(BD_MO[[#This Row],[FECHA]]&lt;&gt;"",BD_MO[[#This Row],[DURMIENTE2]]*6.561+BD_MO[[#This Row],[LISTONES]]*4.921+BD_MO[[#This Row],[TABLA 1"x8"x3m]]*6.561+BD_MO[[#This Row],[TABLA 2"x8"x3m]]*13.122,"")</f>
        <v>0</v>
      </c>
      <c r="DB156" s="219">
        <f>+IF(BD_MO[[#This Row],[FECHA]]&lt;&gt;"",BD_MO[[#This Row],[PIE2 MADERA ASERRADA]]*1.95,"")</f>
        <v>0</v>
      </c>
      <c r="DC156" s="219">
        <f>+IF(BD_MO[[#This Row],[FECHA]]&lt;&gt;"",BD_MO[[#This Row],[KG. MADERA REDONDA]]+BD_MO[[#This Row],[KG MADERA ASERRADA]],"")</f>
        <v>0</v>
      </c>
      <c r="DD156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56" s="215"/>
      <c r="DF156" s="215"/>
      <c r="DG156" s="215"/>
      <c r="DH156" s="215"/>
      <c r="DI156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56" s="222"/>
      <c r="DK156" s="222"/>
      <c r="DL156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56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56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56" s="197"/>
      <c r="DP156" s="222" t="str">
        <f>+IF(BD_MO[[#This Row],[M o D]]&lt;&gt;"",IF(BD_MO[[#This Row],[M o D]]="M",BD_MO[[#This Row],[ROTURA TMH]]/2.65,BD_MO[[#This Row],[ROTURA TMH]]/2.4),"")</f>
        <v/>
      </c>
      <c r="DQ156" s="222"/>
      <c r="DR156" s="116" t="str">
        <f>IF(BD_MO[[#This Row],[TIPO AVANCE]]="Avance",((BD_MO[[#This Row],[AVANCE (m)]]/BD_MO[[#This Row],[AVANCE TEÓRICO]]))," ")</f>
        <v xml:space="preserve"> </v>
      </c>
    </row>
    <row r="157" spans="1:130" s="115" customFormat="1" ht="18" customHeight="1" thickBot="1" x14ac:dyDescent="0.3">
      <c r="A157" s="225">
        <v>44660</v>
      </c>
      <c r="B157" s="199" t="s">
        <v>10655</v>
      </c>
      <c r="C157" s="199" t="s">
        <v>10680</v>
      </c>
      <c r="D157" s="200" t="s">
        <v>12149</v>
      </c>
      <c r="E157" s="201" t="str">
        <f>LEFT(BD_MO[[#This Row],[LABOR]],2)</f>
        <v>Es</v>
      </c>
      <c r="F157" s="202"/>
      <c r="G157" s="202" t="s">
        <v>10669</v>
      </c>
      <c r="H157" s="20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57" s="201" t="str">
        <f>IF(BD_MO[FECHA]&lt;&gt;"",VLOOKUP(BD_MO[LABOR],TB_CECO[[LABOR]:[CECO_T]],3,FALSE),"")</f>
        <v>VANESSA</v>
      </c>
      <c r="J157" s="201" t="str">
        <f>IF(BD_MO[FECHA]&lt;&gt;"",VLOOKUP(BD_MO[LABOR],D_CECO!B:H,7,FALSE),"")</f>
        <v>LINEAL</v>
      </c>
      <c r="K157" s="201" t="str">
        <f>IF(BD_MO[FECHA]&lt;&gt;"",VLOOKUP(BD_MO[LABOR],D_CECO!B:H,4,FALSE),"")</f>
        <v>EXPLORACION</v>
      </c>
      <c r="L157" s="201"/>
      <c r="M157" s="199"/>
      <c r="N157" s="202"/>
      <c r="O157" s="203" t="s">
        <v>12151</v>
      </c>
      <c r="P157" s="203"/>
      <c r="Q157" s="203"/>
      <c r="R157" s="204"/>
      <c r="S157" s="205" t="str">
        <f>IFERROR(VLOOKUP(BD_MO[DNI 4],#REF!,2,FALSE)," ")</f>
        <v xml:space="preserve"> </v>
      </c>
      <c r="T157" s="206">
        <f>+IF(BD_MO[[#This Row],[FECHA]]&lt;&gt;"",COUNTA(BD_MO[[#This Row],[DNI]],BD_MO[[#This Row],[DNI 2]],BD_MO[[#This Row],[DNI 3]],BD_MO[[#This Row],[DNI 4]]),"")</f>
        <v>1</v>
      </c>
      <c r="U157" s="206"/>
      <c r="V157" s="206"/>
      <c r="W157" s="206"/>
      <c r="X157" s="206">
        <v>1</v>
      </c>
      <c r="Y157" s="177">
        <f>SUM(BD_MO[[#This Row],[LIMP]:[SERV]])</f>
        <v>1</v>
      </c>
      <c r="Z157" s="202"/>
      <c r="AA157" s="202" t="str">
        <f>+IF(BD_MO[[#This Row],[N° VALE]]&lt;&gt;"",1,"")</f>
        <v/>
      </c>
      <c r="AB157" s="199"/>
      <c r="AC157" s="202"/>
      <c r="AD157" s="202" t="str">
        <f>+IF(BD_MO[[#This Row],[N° VALE]]&lt;&gt;"",BD_MO[[#This Row],[FULMINANTE N° 08]]+BD_MO[CARMEX 7''],"")</f>
        <v/>
      </c>
      <c r="AE157" s="202"/>
      <c r="AF157" s="202" t="str">
        <f>+IF(BD_MO[[#This Row],[N° VALE]]&lt;&gt;"",BD_MO[[#This Row],[N° TALADROS]]+BD_MO[[#This Row],[N° TAL. VACIOS]],"")</f>
        <v/>
      </c>
      <c r="AG157" s="208"/>
      <c r="AH157" s="208"/>
      <c r="AI157" s="208"/>
      <c r="AJ157" s="208"/>
      <c r="AK157" s="208"/>
      <c r="AL157" s="208"/>
      <c r="AM157" s="201"/>
      <c r="AN157" s="20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57" s="202" t="str">
        <f>+IF(BD_MO[[#This Row],[N° VALE]]&lt;&gt;"",IF(BD_MO[[#This Row],[FULMINANTE N° 08]]&lt;&gt;"",BD_MO[[#This Row],[FULMINANTE N° 08]],IF(BD_MO[[#This Row],[CARMEX 7'']]&lt;&gt;0,0,"")),"")</f>
        <v/>
      </c>
      <c r="AP157" s="206" t="str">
        <f>+IF(BD_MO[[#This Row],[N° VALE]]&lt;&gt;"",BD_MO[[#This Row],[N°  TOTAL TALADROS]]*BD_MO[[#This Row],[BARRA]]*0.95,"")</f>
        <v/>
      </c>
      <c r="AQ157" s="206" t="str">
        <f>+IF(BD_MO[[#This Row],[N° VALE]]&lt;&gt;"",BD_MO[[#This Row],[EMULNOR 1000 (N° CART.)]]*PE_EMUL_1000[PE],"")</f>
        <v/>
      </c>
      <c r="AR157" s="206" t="str">
        <f>+IF(BD_MO[[#This Row],[N° VALE]]&lt;&gt;"",BD_MO[[#This Row],[EMULNOR 3000 (N° CART.)]]*PE_EMUL_3000[PE],"")</f>
        <v/>
      </c>
      <c r="AS157" s="206" t="str">
        <f>+IF(BD_MO[[#This Row],[N° VALE]]&lt;&gt;"",BD_MO[[#This Row],[PULVERULENTA (N° CART.)]]*PE_PULV_65[PE],"")</f>
        <v/>
      </c>
      <c r="AT157" s="206" t="str">
        <f>+IF(BD_MO[[#This Row],[N° DISP]]&lt;&gt;"",BD_MO[[#This Row],[SEMIGELATINA (N° CART.)]]*PE_SEMIGEL_65[PE],"")</f>
        <v/>
      </c>
      <c r="AU157" s="206" t="str">
        <f>+IF(BD_MO[N° VALE]&lt;&gt;"",BD_MO[[#This Row],[KG EXPLO SEMIGEL]]+BD_MO[[#This Row],[KG EXPLO PULVE]]+BD_MO[[#This Row],[KG EXPLO EMULN 3000]]+BD_MO[[#This Row],[KG EXPLO EMULN 1000]],"")</f>
        <v/>
      </c>
      <c r="AV157" s="202"/>
      <c r="AW157" s="202"/>
      <c r="AX157" s="202" t="str">
        <f>+IF(BD_MO[[#This Row],[MINERAL (U-35)]]&lt;&gt;"",BD_MO[[#This Row],[MINERAL (U-35)]]*1.45,"-")</f>
        <v>-</v>
      </c>
      <c r="AY157" s="202" t="str">
        <f>+IF(BD_MO[[#This Row],[DESMONTE (U-35)]]&lt;&gt;"",BD_MO[[#This Row],[DESMONTE (U-35)]]*1.23,"-")</f>
        <v>-</v>
      </c>
      <c r="AZ157" s="202"/>
      <c r="BA157" s="202"/>
      <c r="BB157" s="202"/>
      <c r="BC157" s="202"/>
      <c r="BD157" s="202"/>
      <c r="BE157" s="202"/>
      <c r="BF157" s="202"/>
      <c r="BG157" s="202"/>
      <c r="BH157" s="202"/>
      <c r="BI157" s="202"/>
      <c r="BJ157" s="202"/>
      <c r="BK157" s="202"/>
      <c r="BL157" s="202"/>
      <c r="BM157" s="202"/>
      <c r="BN157" s="201"/>
      <c r="BO157" s="202"/>
      <c r="BP157" s="202"/>
      <c r="BQ157" s="201"/>
      <c r="BR157" s="202"/>
      <c r="BS157" s="201"/>
      <c r="BT157" s="206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6">
        <f>+IF(BD_MO[[#This Row],[FECHA]]&lt;&gt;"",BD_MO[[#This Row],[PUNTAL 4"]]+BD_MO[[#This Row],[PUNTAL 5"]]+BD_MO[[#This Row],[PUNTAL 6"]]+BD_MO[[#This Row],[PUNTAL 7"]]+BD_MO[[#This Row],[PUNTAL 8"]],"")</f>
        <v>0</v>
      </c>
      <c r="CQ157" s="202"/>
      <c r="CR157" s="202"/>
      <c r="CS157" s="202"/>
      <c r="CT157" s="202"/>
      <c r="CU157" s="202"/>
      <c r="CV157" s="202"/>
      <c r="CW157" s="202"/>
      <c r="CX157" s="202"/>
      <c r="CY157" s="206"/>
      <c r="CZ157" s="20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57" s="206">
        <f>+IF(BD_MO[[#This Row],[FECHA]]&lt;&gt;"",BD_MO[[#This Row],[DURMIENTE2]]*6.561+BD_MO[[#This Row],[LISTONES]]*4.921+BD_MO[[#This Row],[TABLA 1"x8"x3m]]*6.561+BD_MO[[#This Row],[TABLA 2"x8"x3m]]*13.122,"")</f>
        <v>0</v>
      </c>
      <c r="DB157" s="206">
        <f>+IF(BD_MO[[#This Row],[FECHA]]&lt;&gt;"",BD_MO[[#This Row],[PIE2 MADERA ASERRADA]]*1.95,"")</f>
        <v>0</v>
      </c>
      <c r="DC157" s="206">
        <f>+IF(BD_MO[[#This Row],[FECHA]]&lt;&gt;"",BD_MO[[#This Row],[KG. MADERA REDONDA]]+BD_MO[[#This Row],[KG MADERA ASERRADA]],"")</f>
        <v>0</v>
      </c>
      <c r="DD157" s="20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57" s="202"/>
      <c r="DF157" s="202"/>
      <c r="DG157" s="202"/>
      <c r="DH157" s="202"/>
      <c r="DI157" s="21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57" s="210"/>
      <c r="DK157" s="210"/>
      <c r="DL157" s="21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57" s="21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57" s="21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57" s="211"/>
      <c r="DP157" s="210" t="str">
        <f>+IF(BD_MO[[#This Row],[M o D]]&lt;&gt;"",IF(BD_MO[[#This Row],[M o D]]="M",BD_MO[[#This Row],[ROTURA TMH]]/2.65,BD_MO[[#This Row],[ROTURA TMH]]/2.4),"")</f>
        <v/>
      </c>
      <c r="DQ157" s="210"/>
      <c r="DR157" s="116" t="str">
        <f>IF(BD_MO[[#This Row],[TIPO AVANCE]]="Avance",((BD_MO[[#This Row],[AVANCE (m)]]/BD_MO[[#This Row],[AVANCE TEÓRICO]]))," ")</f>
        <v xml:space="preserve"> </v>
      </c>
      <c r="DS157" s="113"/>
      <c r="DT157" s="113"/>
      <c r="DU157" s="113"/>
      <c r="DV157" s="113"/>
      <c r="DW157" s="113"/>
      <c r="DX157" s="114"/>
      <c r="DY157" s="114"/>
      <c r="DZ157" s="114"/>
    </row>
    <row r="158" spans="1:130" s="136" customFormat="1" ht="18" customHeight="1" x14ac:dyDescent="0.25">
      <c r="A158" s="168">
        <v>44661</v>
      </c>
      <c r="B158" s="169" t="s">
        <v>10647</v>
      </c>
      <c r="C158" s="169" t="s">
        <v>10672</v>
      </c>
      <c r="D158" s="170" t="s">
        <v>12116</v>
      </c>
      <c r="E158" s="171" t="str">
        <f>LEFT(BD_MO[[#This Row],[LABOR]],2)</f>
        <v>Cx</v>
      </c>
      <c r="F158" s="172"/>
      <c r="G158" s="172" t="s">
        <v>10673</v>
      </c>
      <c r="H158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REHABILITACION</v>
      </c>
      <c r="I158" s="171" t="str">
        <f>IF(BD_MO[FECHA]&lt;&gt;"",VLOOKUP(BD_MO[LABOR],TB_CECO[[LABOR]:[CECO_T]],3,FALSE),"")</f>
        <v>ESCONDIDA</v>
      </c>
      <c r="J158" s="171" t="str">
        <f>IF(BD_MO[FECHA]&lt;&gt;"",VLOOKUP(BD_MO[LABOR],D_CECO!B:H,7,FALSE),"")</f>
        <v>LINEAL</v>
      </c>
      <c r="K158" s="171" t="str">
        <f>IF(BD_MO[FECHA]&lt;&gt;"",VLOOKUP(BD_MO[LABOR],D_CECO!B:H,4,FALSE),"")</f>
        <v>EXPLOTACION</v>
      </c>
      <c r="L158" s="171"/>
      <c r="M158" s="169"/>
      <c r="N158" s="172"/>
      <c r="O158" s="173" t="s">
        <v>12197</v>
      </c>
      <c r="P158" s="173"/>
      <c r="Q158" s="173"/>
      <c r="R158" s="174"/>
      <c r="S158" s="175" t="str">
        <f>IFERROR(VLOOKUP(BD_MO[DNI 4],#REF!,2,FALSE)," ")</f>
        <v xml:space="preserve"> </v>
      </c>
      <c r="T158" s="176">
        <f>+IF(BD_MO[[#This Row],[FECHA]]&lt;&gt;"",COUNTA(BD_MO[[#This Row],[DNI]],BD_MO[[#This Row],[DNI 2]],BD_MO[[#This Row],[DNI 3]],BD_MO[[#This Row],[DNI 4]]),"")</f>
        <v>1</v>
      </c>
      <c r="U158" s="176">
        <v>0.76</v>
      </c>
      <c r="V158" s="176"/>
      <c r="W158" s="176">
        <v>0.86</v>
      </c>
      <c r="X158" s="176">
        <v>0.38</v>
      </c>
      <c r="Y158" s="177">
        <f>SUM(BD_MO[[#This Row],[LIMP]:[SERV]])</f>
        <v>2</v>
      </c>
      <c r="Z158" s="172"/>
      <c r="AA158" s="172" t="str">
        <f>+IF(BD_MO[[#This Row],[N° VALE]]&lt;&gt;"",1,"")</f>
        <v/>
      </c>
      <c r="AB158" s="169"/>
      <c r="AC158" s="172"/>
      <c r="AD158" s="172" t="str">
        <f>+IF(BD_MO[[#This Row],[N° VALE]]&lt;&gt;"",BD_MO[[#This Row],[FULMINANTE N° 08]]+BD_MO[CARMEX 7''],"")</f>
        <v/>
      </c>
      <c r="AE158" s="172"/>
      <c r="AF158" s="172" t="str">
        <f>+IF(BD_MO[[#This Row],[N° VALE]]&lt;&gt;"",BD_MO[[#This Row],[N° TALADROS]]+BD_MO[[#This Row],[N° TAL. VACIOS]],"")</f>
        <v/>
      </c>
      <c r="AG158" s="178"/>
      <c r="AH158" s="178"/>
      <c r="AI158" s="178"/>
      <c r="AJ158" s="178"/>
      <c r="AK158" s="178"/>
      <c r="AL158" s="178"/>
      <c r="AM158" s="171"/>
      <c r="AN158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58" s="172" t="str">
        <f>+IF(BD_MO[[#This Row],[N° VALE]]&lt;&gt;"",IF(BD_MO[[#This Row],[FULMINANTE N° 08]]&lt;&gt;"",BD_MO[[#This Row],[FULMINANTE N° 08]],IF(BD_MO[[#This Row],[CARMEX 7'']]&lt;&gt;0,0,"")),"")</f>
        <v/>
      </c>
      <c r="AP158" s="176" t="str">
        <f>+IF(BD_MO[[#This Row],[N° VALE]]&lt;&gt;"",BD_MO[[#This Row],[N°  TOTAL TALADROS]]*BD_MO[[#This Row],[BARRA]]*0.95,"")</f>
        <v/>
      </c>
      <c r="AQ158" s="176" t="str">
        <f>+IF(BD_MO[[#This Row],[N° VALE]]&lt;&gt;"",BD_MO[[#This Row],[EMULNOR 1000 (N° CART.)]]*PE_EMUL_1000[PE],"")</f>
        <v/>
      </c>
      <c r="AR158" s="176" t="str">
        <f>+IF(BD_MO[[#This Row],[N° VALE]]&lt;&gt;"",BD_MO[[#This Row],[EMULNOR 3000 (N° CART.)]]*PE_EMUL_3000[PE],"")</f>
        <v/>
      </c>
      <c r="AS158" s="176" t="str">
        <f>+IF(BD_MO[[#This Row],[N° VALE]]&lt;&gt;"",BD_MO[[#This Row],[PULVERULENTA (N° CART.)]]*PE_PULV_65[PE],"")</f>
        <v/>
      </c>
      <c r="AT158" s="176" t="str">
        <f>+IF(BD_MO[[#This Row],[N° DISP]]&lt;&gt;"",BD_MO[[#This Row],[SEMIGELATINA (N° CART.)]]*PE_SEMIGEL_65[PE],"")</f>
        <v/>
      </c>
      <c r="AU158" s="176" t="str">
        <f>+IF(BD_MO[N° VALE]&lt;&gt;"",BD_MO[[#This Row],[KG EXPLO SEMIGEL]]+BD_MO[[#This Row],[KG EXPLO PULVE]]+BD_MO[[#This Row],[KG EXPLO EMULN 3000]]+BD_MO[[#This Row],[KG EXPLO EMULN 1000]],"")</f>
        <v/>
      </c>
      <c r="AV158" s="172"/>
      <c r="AW158" s="172"/>
      <c r="AX158" s="172" t="str">
        <f>+IF(BD_MO[[#This Row],[MINERAL (U-35)]]&lt;&gt;"",BD_MO[[#This Row],[MINERAL (U-35)]]*1.45,"-")</f>
        <v>-</v>
      </c>
      <c r="AY158" s="172" t="str">
        <f>+IF(BD_MO[[#This Row],[DESMONTE (U-35)]]&lt;&gt;"",BD_MO[[#This Row],[DESMONTE (U-35)]]*1.23,"-")</f>
        <v>-</v>
      </c>
      <c r="AZ158" s="172"/>
      <c r="BA158" s="172"/>
      <c r="BB158" s="172"/>
      <c r="BC158" s="172"/>
      <c r="BD158" s="172"/>
      <c r="BE158" s="172"/>
      <c r="BF158" s="172"/>
      <c r="BG158" s="172"/>
      <c r="BH158" s="172"/>
      <c r="BI158" s="172"/>
      <c r="BJ158" s="172"/>
      <c r="BK158" s="172"/>
      <c r="BL158" s="172"/>
      <c r="BM158" s="172"/>
      <c r="BN158" s="171"/>
      <c r="BO158" s="172">
        <v>3</v>
      </c>
      <c r="BP158" s="172"/>
      <c r="BQ158" s="171"/>
      <c r="BR158" s="172"/>
      <c r="BS158" s="171"/>
      <c r="BT158" s="176">
        <v>3.3</v>
      </c>
      <c r="BU158" s="172"/>
      <c r="BV158" s="172"/>
      <c r="BW158" s="172"/>
      <c r="BX158" s="172"/>
      <c r="BY158" s="172"/>
      <c r="BZ158" s="172"/>
      <c r="CA158" s="172"/>
      <c r="CB158" s="172"/>
      <c r="CC158" s="172"/>
      <c r="CD158" s="172"/>
      <c r="CE158" s="172"/>
      <c r="CF158" s="172"/>
      <c r="CG158" s="172"/>
      <c r="CH158" s="172"/>
      <c r="CI158" s="172"/>
      <c r="CJ158" s="172"/>
      <c r="CK158" s="172"/>
      <c r="CL158" s="172"/>
      <c r="CM158" s="172"/>
      <c r="CN158" s="172"/>
      <c r="CO158" s="172"/>
      <c r="CP158" s="176">
        <f>+IF(BD_MO[[#This Row],[FECHA]]&lt;&gt;"",BD_MO[[#This Row],[PUNTAL 4"]]+BD_MO[[#This Row],[PUNTAL 5"]]+BD_MO[[#This Row],[PUNTAL 6"]]+BD_MO[[#This Row],[PUNTAL 7"]]+BD_MO[[#This Row],[PUNTAL 8"]],"")</f>
        <v>0</v>
      </c>
      <c r="CQ158" s="172"/>
      <c r="CR158" s="172"/>
      <c r="CS158" s="172"/>
      <c r="CT158" s="172"/>
      <c r="CU158" s="172"/>
      <c r="CV158" s="172"/>
      <c r="CW158" s="172"/>
      <c r="CX158" s="172"/>
      <c r="CY158" s="176"/>
      <c r="CZ158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58" s="176">
        <f>+IF(BD_MO[[#This Row],[FECHA]]&lt;&gt;"",BD_MO[[#This Row],[DURMIENTE2]]*6.561+BD_MO[[#This Row],[LISTONES]]*4.921+BD_MO[[#This Row],[TABLA 1"x8"x3m]]*6.561+BD_MO[[#This Row],[TABLA 2"x8"x3m]]*13.122,"")</f>
        <v>0</v>
      </c>
      <c r="DB158" s="176">
        <f>+IF(BD_MO[[#This Row],[FECHA]]&lt;&gt;"",BD_MO[[#This Row],[PIE2 MADERA ASERRADA]]*1.95,"")</f>
        <v>0</v>
      </c>
      <c r="DC158" s="176">
        <f>+IF(BD_MO[[#This Row],[FECHA]]&lt;&gt;"",BD_MO[[#This Row],[KG. MADERA REDONDA]]+BD_MO[[#This Row],[KG MADERA ASERRADA]],"")</f>
        <v>0</v>
      </c>
      <c r="DD158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58" s="172"/>
      <c r="DF158" s="172"/>
      <c r="DG158" s="172"/>
      <c r="DH158" s="172"/>
      <c r="DI158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58" s="180"/>
      <c r="DK158" s="180"/>
      <c r="DL158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58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58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58" s="181"/>
      <c r="DP158" s="180" t="str">
        <f>+IF(BD_MO[[#This Row],[M o D]]&lt;&gt;"",IF(BD_MO[[#This Row],[M o D]]="M",BD_MO[[#This Row],[ROTURA TMH]]/2.65,BD_MO[[#This Row],[ROTURA TMH]]/2.4),"")</f>
        <v/>
      </c>
      <c r="DQ158" s="180"/>
      <c r="DR158" s="116" t="str">
        <f>IF(BD_MO[[#This Row],[TIPO AVANCE]]="Avance",((BD_MO[[#This Row],[AVANCE (m)]]/BD_MO[[#This Row],[AVANCE TEÓRICO]]))," ")</f>
        <v xml:space="preserve"> </v>
      </c>
      <c r="DS158" s="134"/>
      <c r="DT158" s="134"/>
      <c r="DU158" s="134"/>
      <c r="DV158" s="134"/>
      <c r="DW158" s="134"/>
      <c r="DX158" s="135"/>
      <c r="DY158" s="135"/>
      <c r="DZ158" s="135"/>
    </row>
    <row r="159" spans="1:130" s="136" customFormat="1" ht="18" customHeight="1" x14ac:dyDescent="0.25">
      <c r="A159" s="168">
        <v>44661</v>
      </c>
      <c r="B159" s="169" t="s">
        <v>10647</v>
      </c>
      <c r="C159" s="169" t="s">
        <v>10672</v>
      </c>
      <c r="D159" s="170" t="s">
        <v>10952</v>
      </c>
      <c r="E159" s="171" t="str">
        <f>LEFT(BD_MO[[#This Row],[LABOR]],2)</f>
        <v>In</v>
      </c>
      <c r="F159" s="172"/>
      <c r="G159" s="172" t="s">
        <v>10662</v>
      </c>
      <c r="H15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159" s="171" t="str">
        <f>IF(BD_MO[FECHA]&lt;&gt;"",VLOOKUP(BD_MO[LABOR],TB_CECO[[LABOR]:[CECO_T]],3,FALSE),"")</f>
        <v>VANESSA</v>
      </c>
      <c r="J159" s="171" t="str">
        <f>IF(BD_MO[FECHA]&lt;&gt;"",VLOOKUP(BD_MO[LABOR],D_CECO!B:H,7,FALSE),"")</f>
        <v>LINEAL</v>
      </c>
      <c r="K159" s="171" t="str">
        <f>IF(BD_MO[FECHA]&lt;&gt;"",VLOOKUP(BD_MO[LABOR],D_CECO!B:H,4,FALSE),"")</f>
        <v>EXPLORACION</v>
      </c>
      <c r="L159" s="171"/>
      <c r="M159" s="169"/>
      <c r="N159" s="172"/>
      <c r="O159" s="173" t="s">
        <v>12192</v>
      </c>
      <c r="P159" s="173" t="s">
        <v>12226</v>
      </c>
      <c r="Q159" s="173"/>
      <c r="R159" s="174"/>
      <c r="S159" s="175" t="str">
        <f>IFERROR(VLOOKUP(BD_MO[DNI 4],#REF!,2,FALSE)," ")</f>
        <v xml:space="preserve"> </v>
      </c>
      <c r="T159" s="176">
        <f>+IF(BD_MO[[#This Row],[FECHA]]&lt;&gt;"",COUNTA(BD_MO[[#This Row],[DNI]],BD_MO[[#This Row],[DNI 2]],BD_MO[[#This Row],[DNI 3]],BD_MO[[#This Row],[DNI 4]]),"")</f>
        <v>2</v>
      </c>
      <c r="U159" s="176"/>
      <c r="V159" s="176"/>
      <c r="W159" s="176">
        <v>1.04</v>
      </c>
      <c r="X159" s="176">
        <v>0.96</v>
      </c>
      <c r="Y159" s="177">
        <f>SUM(BD_MO[[#This Row],[LIMP]:[SERV]])</f>
        <v>2</v>
      </c>
      <c r="Z159" s="172"/>
      <c r="AA159" s="172" t="str">
        <f>+IF(BD_MO[[#This Row],[N° VALE]]&lt;&gt;"",1,"")</f>
        <v/>
      </c>
      <c r="AB159" s="169"/>
      <c r="AC159" s="172"/>
      <c r="AD159" s="172" t="str">
        <f>+IF(BD_MO[[#This Row],[N° VALE]]&lt;&gt;"",BD_MO[[#This Row],[FULMINANTE N° 08]]+BD_MO[CARMEX 7''],"")</f>
        <v/>
      </c>
      <c r="AE159" s="172"/>
      <c r="AF159" s="172" t="str">
        <f>+IF(BD_MO[[#This Row],[N° VALE]]&lt;&gt;"",BD_MO[[#This Row],[N° TALADROS]]+BD_MO[[#This Row],[N° TAL. VACIOS]],"")</f>
        <v/>
      </c>
      <c r="AG159" s="178"/>
      <c r="AH159" s="178"/>
      <c r="AI159" s="178"/>
      <c r="AJ159" s="178"/>
      <c r="AK159" s="178"/>
      <c r="AL159" s="178"/>
      <c r="AM159" s="171"/>
      <c r="AN159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59" s="172" t="str">
        <f>+IF(BD_MO[[#This Row],[N° VALE]]&lt;&gt;"",IF(BD_MO[[#This Row],[FULMINANTE N° 08]]&lt;&gt;"",BD_MO[[#This Row],[FULMINANTE N° 08]],IF(BD_MO[[#This Row],[CARMEX 7'']]&lt;&gt;0,0,"")),"")</f>
        <v/>
      </c>
      <c r="AP159" s="176" t="str">
        <f>+IF(BD_MO[[#This Row],[N° VALE]]&lt;&gt;"",BD_MO[[#This Row],[N°  TOTAL TALADROS]]*BD_MO[[#This Row],[BARRA]]*0.95,"")</f>
        <v/>
      </c>
      <c r="AQ159" s="176" t="str">
        <f>+IF(BD_MO[[#This Row],[N° VALE]]&lt;&gt;"",BD_MO[[#This Row],[EMULNOR 1000 (N° CART.)]]*PE_EMUL_1000[PE],"")</f>
        <v/>
      </c>
      <c r="AR159" s="176" t="str">
        <f>+IF(BD_MO[[#This Row],[N° VALE]]&lt;&gt;"",BD_MO[[#This Row],[EMULNOR 3000 (N° CART.)]]*PE_EMUL_3000[PE],"")</f>
        <v/>
      </c>
      <c r="AS159" s="176" t="str">
        <f>+IF(BD_MO[[#This Row],[N° VALE]]&lt;&gt;"",BD_MO[[#This Row],[PULVERULENTA (N° CART.)]]*PE_PULV_65[PE],"")</f>
        <v/>
      </c>
      <c r="AT159" s="176" t="str">
        <f>+IF(BD_MO[[#This Row],[N° DISP]]&lt;&gt;"",BD_MO[[#This Row],[SEMIGELATINA (N° CART.)]]*PE_SEMIGEL_65[PE],"")</f>
        <v/>
      </c>
      <c r="AU159" s="176" t="str">
        <f>+IF(BD_MO[N° VALE]&lt;&gt;"",BD_MO[[#This Row],[KG EXPLO SEMIGEL]]+BD_MO[[#This Row],[KG EXPLO PULVE]]+BD_MO[[#This Row],[KG EXPLO EMULN 3000]]+BD_MO[[#This Row],[KG EXPLO EMULN 1000]],"")</f>
        <v/>
      </c>
      <c r="AV159" s="172"/>
      <c r="AW159" s="172"/>
      <c r="AX159" s="172" t="str">
        <f>+IF(BD_MO[[#This Row],[MINERAL (U-35)]]&lt;&gt;"",BD_MO[[#This Row],[MINERAL (U-35)]]*1.45,"-")</f>
        <v>-</v>
      </c>
      <c r="AY159" s="172" t="str">
        <f>+IF(BD_MO[[#This Row],[DESMONTE (U-35)]]&lt;&gt;"",BD_MO[[#This Row],[DESMONTE (U-35)]]*1.23,"-")</f>
        <v>-</v>
      </c>
      <c r="AZ159" s="172"/>
      <c r="BA159" s="172"/>
      <c r="BB159" s="172"/>
      <c r="BC159" s="172"/>
      <c r="BD159" s="172"/>
      <c r="BE159" s="172"/>
      <c r="BF159" s="172"/>
      <c r="BG159" s="172"/>
      <c r="BH159" s="172"/>
      <c r="BI159" s="172"/>
      <c r="BJ159" s="172"/>
      <c r="BK159" s="172"/>
      <c r="BL159" s="172"/>
      <c r="BM159" s="172"/>
      <c r="BN159" s="171"/>
      <c r="BO159" s="172"/>
      <c r="BP159" s="172"/>
      <c r="BQ159" s="171"/>
      <c r="BR159" s="172"/>
      <c r="BS159" s="171"/>
      <c r="BT159" s="176"/>
      <c r="BU159" s="172"/>
      <c r="BV159" s="172">
        <v>4</v>
      </c>
      <c r="BW159" s="172"/>
      <c r="BX159" s="172">
        <v>6</v>
      </c>
      <c r="BY159" s="172"/>
      <c r="BZ159" s="172"/>
      <c r="CA159" s="172"/>
      <c r="CB159" s="172"/>
      <c r="CC159" s="172">
        <v>8</v>
      </c>
      <c r="CD159" s="172"/>
      <c r="CE159" s="172"/>
      <c r="CF159" s="172"/>
      <c r="CG159" s="172"/>
      <c r="CH159" s="172"/>
      <c r="CI159" s="172"/>
      <c r="CJ159" s="172"/>
      <c r="CK159" s="172"/>
      <c r="CL159" s="172"/>
      <c r="CM159" s="172"/>
      <c r="CN159" s="172"/>
      <c r="CO159" s="172"/>
      <c r="CP159" s="176">
        <f>+IF(BD_MO[[#This Row],[FECHA]]&lt;&gt;"",BD_MO[[#This Row],[PUNTAL 4"]]+BD_MO[[#This Row],[PUNTAL 5"]]+BD_MO[[#This Row],[PUNTAL 6"]]+BD_MO[[#This Row],[PUNTAL 7"]]+BD_MO[[#This Row],[PUNTAL 8"]],"")</f>
        <v>0</v>
      </c>
      <c r="CQ159" s="172"/>
      <c r="CR159" s="172"/>
      <c r="CS159" s="172"/>
      <c r="CT159" s="172"/>
      <c r="CU159" s="172"/>
      <c r="CV159" s="172"/>
      <c r="CW159" s="172"/>
      <c r="CX159" s="172"/>
      <c r="CY159" s="176"/>
      <c r="CZ15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59" s="176">
        <f>+IF(BD_MO[[#This Row],[FECHA]]&lt;&gt;"",BD_MO[[#This Row],[DURMIENTE2]]*6.561+BD_MO[[#This Row],[LISTONES]]*4.921+BD_MO[[#This Row],[TABLA 1"x8"x3m]]*6.561+BD_MO[[#This Row],[TABLA 2"x8"x3m]]*13.122,"")</f>
        <v>0</v>
      </c>
      <c r="DB159" s="176">
        <f>+IF(BD_MO[[#This Row],[FECHA]]&lt;&gt;"",BD_MO[[#This Row],[PIE2 MADERA ASERRADA]]*1.95,"")</f>
        <v>0</v>
      </c>
      <c r="DC159" s="176">
        <f>+IF(BD_MO[[#This Row],[FECHA]]&lt;&gt;"",BD_MO[[#This Row],[KG. MADERA REDONDA]]+BD_MO[[#This Row],[KG MADERA ASERRADA]],"")</f>
        <v>0</v>
      </c>
      <c r="DD15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59" s="172"/>
      <c r="DF159" s="172"/>
      <c r="DG159" s="172"/>
      <c r="DH159" s="172"/>
      <c r="DI159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59" s="180"/>
      <c r="DK159" s="180"/>
      <c r="DL159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59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59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59" s="181"/>
      <c r="DP159" s="180" t="str">
        <f>+IF(BD_MO[[#This Row],[M o D]]&lt;&gt;"",IF(BD_MO[[#This Row],[M o D]]="M",BD_MO[[#This Row],[ROTURA TMH]]/2.65,BD_MO[[#This Row],[ROTURA TMH]]/2.4),"")</f>
        <v/>
      </c>
      <c r="DQ159" s="180"/>
      <c r="DR159" s="116" t="str">
        <f>IF(BD_MO[[#This Row],[TIPO AVANCE]]="Avance",((BD_MO[[#This Row],[AVANCE (m)]]/BD_MO[[#This Row],[AVANCE TEÓRICO]]))," ")</f>
        <v xml:space="preserve"> </v>
      </c>
      <c r="DS159" s="134"/>
      <c r="DT159" s="134"/>
      <c r="DU159" s="134"/>
      <c r="DV159" s="134"/>
      <c r="DW159" s="134"/>
      <c r="DX159" s="135"/>
      <c r="DY159" s="135"/>
      <c r="DZ159" s="135"/>
    </row>
    <row r="160" spans="1:130" s="136" customFormat="1" ht="18" customHeight="1" x14ac:dyDescent="0.25">
      <c r="A160" s="168">
        <v>44661</v>
      </c>
      <c r="B160" s="169" t="s">
        <v>10647</v>
      </c>
      <c r="C160" s="169" t="s">
        <v>10672</v>
      </c>
      <c r="D160" s="170" t="s">
        <v>12164</v>
      </c>
      <c r="E160" s="171" t="str">
        <f>LEFT(BD_MO[[#This Row],[LABOR]],2)</f>
        <v>Tj</v>
      </c>
      <c r="F160" s="172"/>
      <c r="G160" s="172" t="s">
        <v>10662</v>
      </c>
      <c r="H160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160" s="171" t="str">
        <f>IF(BD_MO[FECHA]&lt;&gt;"",VLOOKUP(BD_MO[LABOR],TB_CECO[[LABOR]:[CECO_T]],3,FALSE),"")</f>
        <v>VANESSA</v>
      </c>
      <c r="J160" s="171" t="str">
        <f>IF(BD_MO[FECHA]&lt;&gt;"",VLOOKUP(BD_MO[LABOR],D_CECO!B:H,7,FALSE),"")</f>
        <v>TAJO</v>
      </c>
      <c r="K160" s="171" t="str">
        <f>IF(BD_MO[FECHA]&lt;&gt;"",VLOOKUP(BD_MO[LABOR],D_CECO!B:H,4,FALSE),"")</f>
        <v>EXPLOTACION</v>
      </c>
      <c r="L160" s="171"/>
      <c r="M160" s="169"/>
      <c r="N160" s="172"/>
      <c r="O160" s="173" t="s">
        <v>12194</v>
      </c>
      <c r="P160" s="173" t="s">
        <v>12195</v>
      </c>
      <c r="Q160" s="173"/>
      <c r="R160" s="174"/>
      <c r="S160" s="175" t="str">
        <f>IFERROR(VLOOKUP(BD_MO[DNI 4],#REF!,2,FALSE)," ")</f>
        <v xml:space="preserve"> </v>
      </c>
      <c r="T160" s="176">
        <f>+IF(BD_MO[[#This Row],[FECHA]]&lt;&gt;"",COUNTA(BD_MO[[#This Row],[DNI]],BD_MO[[#This Row],[DNI 2]],BD_MO[[#This Row],[DNI 3]],BD_MO[[#This Row],[DNI 4]]),"")</f>
        <v>2</v>
      </c>
      <c r="U160" s="176"/>
      <c r="V160" s="176"/>
      <c r="W160" s="176">
        <v>1.42</v>
      </c>
      <c r="X160" s="176">
        <v>0.57999999999999996</v>
      </c>
      <c r="Y160" s="177">
        <f>SUM(BD_MO[[#This Row],[LIMP]:[SERV]])</f>
        <v>2</v>
      </c>
      <c r="Z160" s="172"/>
      <c r="AA160" s="172" t="str">
        <f>+IF(BD_MO[[#This Row],[N° VALE]]&lt;&gt;"",1,"")</f>
        <v/>
      </c>
      <c r="AB160" s="169"/>
      <c r="AC160" s="172"/>
      <c r="AD160" s="172" t="str">
        <f>+IF(BD_MO[[#This Row],[N° VALE]]&lt;&gt;"",BD_MO[[#This Row],[FULMINANTE N° 08]]+BD_MO[CARMEX 7''],"")</f>
        <v/>
      </c>
      <c r="AE160" s="172"/>
      <c r="AF160" s="172" t="str">
        <f>+IF(BD_MO[[#This Row],[N° VALE]]&lt;&gt;"",BD_MO[[#This Row],[N° TALADROS]]+BD_MO[[#This Row],[N° TAL. VACIOS]],"")</f>
        <v/>
      </c>
      <c r="AG160" s="178"/>
      <c r="AH160" s="178"/>
      <c r="AI160" s="178"/>
      <c r="AJ160" s="178"/>
      <c r="AK160" s="178"/>
      <c r="AL160" s="178"/>
      <c r="AM160" s="171"/>
      <c r="AN160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60" s="172" t="str">
        <f>+IF(BD_MO[[#This Row],[N° VALE]]&lt;&gt;"",IF(BD_MO[[#This Row],[FULMINANTE N° 08]]&lt;&gt;"",BD_MO[[#This Row],[FULMINANTE N° 08]],IF(BD_MO[[#This Row],[CARMEX 7'']]&lt;&gt;0,0,"")),"")</f>
        <v/>
      </c>
      <c r="AP160" s="176" t="str">
        <f>+IF(BD_MO[[#This Row],[N° VALE]]&lt;&gt;"",BD_MO[[#This Row],[N°  TOTAL TALADROS]]*BD_MO[[#This Row],[BARRA]]*0.95,"")</f>
        <v/>
      </c>
      <c r="AQ160" s="176" t="str">
        <f>+IF(BD_MO[[#This Row],[N° VALE]]&lt;&gt;"",BD_MO[[#This Row],[EMULNOR 1000 (N° CART.)]]*PE_EMUL_1000[PE],"")</f>
        <v/>
      </c>
      <c r="AR160" s="176" t="str">
        <f>+IF(BD_MO[[#This Row],[N° VALE]]&lt;&gt;"",BD_MO[[#This Row],[EMULNOR 3000 (N° CART.)]]*PE_EMUL_3000[PE],"")</f>
        <v/>
      </c>
      <c r="AS160" s="176" t="str">
        <f>+IF(BD_MO[[#This Row],[N° VALE]]&lt;&gt;"",BD_MO[[#This Row],[PULVERULENTA (N° CART.)]]*PE_PULV_65[PE],"")</f>
        <v/>
      </c>
      <c r="AT160" s="176" t="str">
        <f>+IF(BD_MO[[#This Row],[N° DISP]]&lt;&gt;"",BD_MO[[#This Row],[SEMIGELATINA (N° CART.)]]*PE_SEMIGEL_65[PE],"")</f>
        <v/>
      </c>
      <c r="AU160" s="176" t="str">
        <f>+IF(BD_MO[N° VALE]&lt;&gt;"",BD_MO[[#This Row],[KG EXPLO SEMIGEL]]+BD_MO[[#This Row],[KG EXPLO PULVE]]+BD_MO[[#This Row],[KG EXPLO EMULN 3000]]+BD_MO[[#This Row],[KG EXPLO EMULN 1000]],"")</f>
        <v/>
      </c>
      <c r="AV160" s="172">
        <v>5</v>
      </c>
      <c r="AW160" s="172"/>
      <c r="AX160" s="172">
        <f>+IF(BD_MO[[#This Row],[MINERAL (U-35)]]&lt;&gt;"",BD_MO[[#This Row],[MINERAL (U-35)]]*1.45,"-")</f>
        <v>7.25</v>
      </c>
      <c r="AY160" s="172" t="str">
        <f>+IF(BD_MO[[#This Row],[DESMONTE (U-35)]]&lt;&gt;"",BD_MO[[#This Row],[DESMONTE (U-35)]]*1.23,"-")</f>
        <v>-</v>
      </c>
      <c r="AZ160" s="172"/>
      <c r="BA160" s="172"/>
      <c r="BB160" s="172"/>
      <c r="BC160" s="172"/>
      <c r="BD160" s="172"/>
      <c r="BE160" s="172">
        <v>2</v>
      </c>
      <c r="BF160" s="172"/>
      <c r="BG160" s="172"/>
      <c r="BH160" s="172"/>
      <c r="BI160" s="172">
        <v>2</v>
      </c>
      <c r="BJ160" s="172"/>
      <c r="BK160" s="172"/>
      <c r="BL160" s="172"/>
      <c r="BM160" s="172"/>
      <c r="BN160" s="171"/>
      <c r="BO160" s="172"/>
      <c r="BP160" s="172"/>
      <c r="BQ160" s="171"/>
      <c r="BR160" s="172"/>
      <c r="BS160" s="171"/>
      <c r="BT160" s="176">
        <v>3.45</v>
      </c>
      <c r="BU160" s="172"/>
      <c r="BV160" s="172"/>
      <c r="BW160" s="172"/>
      <c r="BX160" s="172"/>
      <c r="BY160" s="172"/>
      <c r="BZ160" s="172"/>
      <c r="CA160" s="172"/>
      <c r="CB160" s="172"/>
      <c r="CC160" s="172"/>
      <c r="CD160" s="172"/>
      <c r="CE160" s="172"/>
      <c r="CF160" s="172"/>
      <c r="CG160" s="172"/>
      <c r="CH160" s="172"/>
      <c r="CI160" s="172"/>
      <c r="CJ160" s="172"/>
      <c r="CK160" s="172"/>
      <c r="CL160" s="172">
        <v>2</v>
      </c>
      <c r="CM160" s="172"/>
      <c r="CN160" s="172">
        <v>8</v>
      </c>
      <c r="CO160" s="172"/>
      <c r="CP160" s="176">
        <f>+IF(BD_MO[[#This Row],[FECHA]]&lt;&gt;"",BD_MO[[#This Row],[PUNTAL 4"]]+BD_MO[[#This Row],[PUNTAL 5"]]+BD_MO[[#This Row],[PUNTAL 6"]]+BD_MO[[#This Row],[PUNTAL 7"]]+BD_MO[[#This Row],[PUNTAL 8"]],"")</f>
        <v>10</v>
      </c>
      <c r="CQ160" s="172"/>
      <c r="CR160" s="172"/>
      <c r="CS160" s="172">
        <v>6</v>
      </c>
      <c r="CT160" s="172"/>
      <c r="CU160" s="172"/>
      <c r="CV160" s="172"/>
      <c r="CW160" s="172"/>
      <c r="CX160" s="172"/>
      <c r="CY160" s="176"/>
      <c r="CZ160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698.55799999999999</v>
      </c>
      <c r="DA160" s="176">
        <f>+IF(BD_MO[[#This Row],[FECHA]]&lt;&gt;"",BD_MO[[#This Row],[DURMIENTE2]]*6.561+BD_MO[[#This Row],[LISTONES]]*4.921+BD_MO[[#This Row],[TABLA 1"x8"x3m]]*6.561+BD_MO[[#This Row],[TABLA 2"x8"x3m]]*13.122,"")</f>
        <v>0</v>
      </c>
      <c r="DB160" s="176">
        <f>+IF(BD_MO[[#This Row],[FECHA]]&lt;&gt;"",BD_MO[[#This Row],[PIE2 MADERA ASERRADA]]*1.95,"")</f>
        <v>0</v>
      </c>
      <c r="DC160" s="176">
        <f>+IF(BD_MO[[#This Row],[FECHA]]&lt;&gt;"",BD_MO[[#This Row],[KG. MADERA REDONDA]]+BD_MO[[#This Row],[KG MADERA ASERRADA]],"")</f>
        <v>698.55799999999999</v>
      </c>
      <c r="DD160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251.74</v>
      </c>
      <c r="DE160" s="172"/>
      <c r="DF160" s="172"/>
      <c r="DG160" s="172"/>
      <c r="DH160" s="172"/>
      <c r="DI160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60" s="180"/>
      <c r="DK160" s="180"/>
      <c r="DL160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60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60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60" s="181"/>
      <c r="DP160" s="180" t="str">
        <f>+IF(BD_MO[[#This Row],[M o D]]&lt;&gt;"",IF(BD_MO[[#This Row],[M o D]]="M",BD_MO[[#This Row],[ROTURA TMH]]/2.65,BD_MO[[#This Row],[ROTURA TMH]]/2.4),"")</f>
        <v/>
      </c>
      <c r="DQ160" s="180"/>
      <c r="DR160" s="116" t="str">
        <f>IF(BD_MO[[#This Row],[TIPO AVANCE]]="Avance",((BD_MO[[#This Row],[AVANCE (m)]]/BD_MO[[#This Row],[AVANCE TEÓRICO]]))," ")</f>
        <v xml:space="preserve"> </v>
      </c>
      <c r="DS160" s="134"/>
      <c r="DT160" s="134"/>
      <c r="DU160" s="134"/>
      <c r="DV160" s="134"/>
      <c r="DW160" s="134"/>
      <c r="DX160" s="135"/>
      <c r="DY160" s="135"/>
      <c r="DZ160" s="135"/>
    </row>
    <row r="161" spans="1:130" s="136" customFormat="1" ht="18" customHeight="1" x14ac:dyDescent="0.25">
      <c r="A161" s="168">
        <v>44661</v>
      </c>
      <c r="B161" s="169" t="s">
        <v>10647</v>
      </c>
      <c r="C161" s="169" t="s">
        <v>10672</v>
      </c>
      <c r="D161" s="170" t="s">
        <v>11746</v>
      </c>
      <c r="E161" s="171" t="str">
        <f>LEFT(BD_MO[[#This Row],[LABOR]],2)</f>
        <v>Tj</v>
      </c>
      <c r="F161" s="172" t="s">
        <v>10950</v>
      </c>
      <c r="G161" s="172" t="s">
        <v>10648</v>
      </c>
      <c r="H161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61" s="171" t="str">
        <f>IF(BD_MO[FECHA]&lt;&gt;"",VLOOKUP(BD_MO[LABOR],TB_CECO[[LABOR]:[CECO_T]],3,FALSE),"")</f>
        <v>CACHORRO</v>
      </c>
      <c r="J161" s="171" t="str">
        <f>IF(BD_MO[FECHA]&lt;&gt;"",VLOOKUP(BD_MO[LABOR],D_CECO!B:H,7,FALSE),"")</f>
        <v>TAJO</v>
      </c>
      <c r="K161" s="171" t="str">
        <f>IF(BD_MO[FECHA]&lt;&gt;"",VLOOKUP(BD_MO[LABOR],D_CECO!B:H,4,FALSE),"")</f>
        <v>EXPLOTACION</v>
      </c>
      <c r="L161" s="171"/>
      <c r="M161" s="169" t="s">
        <v>10661</v>
      </c>
      <c r="N161" s="172"/>
      <c r="O161" s="173" t="s">
        <v>12196</v>
      </c>
      <c r="P161" s="173"/>
      <c r="Q161" s="173"/>
      <c r="R161" s="174"/>
      <c r="S161" s="175" t="str">
        <f>IFERROR(VLOOKUP(BD_MO[DNI 4],#REF!,2,FALSE)," ")</f>
        <v xml:space="preserve"> </v>
      </c>
      <c r="T161" s="176">
        <f>+IF(BD_MO[[#This Row],[FECHA]]&lt;&gt;"",COUNTA(BD_MO[[#This Row],[DNI]],BD_MO[[#This Row],[DNI 2]],BD_MO[[#This Row],[DNI 3]],BD_MO[[#This Row],[DNI 4]]),"")</f>
        <v>1</v>
      </c>
      <c r="U161" s="176">
        <v>0.19</v>
      </c>
      <c r="V161" s="176">
        <v>0.14000000000000001</v>
      </c>
      <c r="W161" s="176">
        <v>0.38</v>
      </c>
      <c r="X161" s="176">
        <v>0.28999999999999998</v>
      </c>
      <c r="Y161" s="177">
        <f>SUM(BD_MO[[#This Row],[LIMP]:[SERV]])</f>
        <v>1</v>
      </c>
      <c r="Z161" s="172" t="s">
        <v>12227</v>
      </c>
      <c r="AA161" s="172">
        <v>1</v>
      </c>
      <c r="AB161" s="169" t="s">
        <v>10666</v>
      </c>
      <c r="AC161" s="172">
        <v>4</v>
      </c>
      <c r="AD161" s="172">
        <f>+IF(BD_MO[[#This Row],[N° VALE]]&lt;&gt;"",BD_MO[[#This Row],[FULMINANTE N° 08]]+BD_MO[CARMEX 7''],"")</f>
        <v>3</v>
      </c>
      <c r="AE161" s="172"/>
      <c r="AF161" s="172">
        <f>+IF(BD_MO[[#This Row],[N° VALE]]&lt;&gt;"",BD_MO[[#This Row],[N° TALADROS]]+BD_MO[[#This Row],[N° TAL. VACIOS]],"")</f>
        <v>3</v>
      </c>
      <c r="AG161" s="178"/>
      <c r="AH161" s="178">
        <v>12</v>
      </c>
      <c r="AI161" s="178"/>
      <c r="AJ161" s="178"/>
      <c r="AK161" s="178">
        <v>3</v>
      </c>
      <c r="AL161" s="178">
        <v>1</v>
      </c>
      <c r="AM161" s="171"/>
      <c r="AN161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61" s="172">
        <f>+IF(BD_MO[[#This Row],[N° VALE]]&lt;&gt;"",IF(BD_MO[[#This Row],[FULMINANTE N° 08]]&lt;&gt;"",BD_MO[[#This Row],[FULMINANTE N° 08]],IF(BD_MO[[#This Row],[CARMEX 7'']]&lt;&gt;0,0,"")),"")</f>
        <v>0</v>
      </c>
      <c r="AP161" s="176">
        <f>+IF(BD_MO[[#This Row],[N° VALE]]&lt;&gt;"",BD_MO[[#This Row],[N°  TOTAL TALADROS]]*BD_MO[[#This Row],[BARRA]]*0.95,"")</f>
        <v>11.399999999999999</v>
      </c>
      <c r="AQ161" s="176">
        <f>+IF(BD_MO[[#This Row],[N° VALE]]&lt;&gt;"",BD_MO[[#This Row],[EMULNOR 1000 (N° CART.)]]*PE_EMUL_1000[PE],"")</f>
        <v>1.1364000000000001</v>
      </c>
      <c r="AR161" s="176">
        <f>+IF(BD_MO[[#This Row],[N° VALE]]&lt;&gt;"",BD_MO[[#This Row],[EMULNOR 3000 (N° CART.)]]*PE_EMUL_3000[PE],"")</f>
        <v>0</v>
      </c>
      <c r="AS161" s="176">
        <f>+IF(BD_MO[[#This Row],[N° VALE]]&lt;&gt;"",BD_MO[[#This Row],[PULVERULENTA (N° CART.)]]*PE_PULV_65[PE],"")</f>
        <v>0</v>
      </c>
      <c r="AT161" s="176">
        <f>+IF(BD_MO[[#This Row],[N° DISP]]&lt;&gt;"",BD_MO[[#This Row],[SEMIGELATINA (N° CART.)]]*PE_SEMIGEL_65[PE],"")</f>
        <v>0</v>
      </c>
      <c r="AU161" s="176">
        <f>+IF(BD_MO[N° VALE]&lt;&gt;"",BD_MO[[#This Row],[KG EXPLO SEMIGEL]]+BD_MO[[#This Row],[KG EXPLO PULVE]]+BD_MO[[#This Row],[KG EXPLO EMULN 3000]]+BD_MO[[#This Row],[KG EXPLO EMULN 1000]],"")</f>
        <v>1.1364000000000001</v>
      </c>
      <c r="AV161" s="172"/>
      <c r="AW161" s="172"/>
      <c r="AX161" s="172" t="str">
        <f>+IF(BD_MO[[#This Row],[MINERAL (U-35)]]&lt;&gt;"",BD_MO[[#This Row],[MINERAL (U-35)]]*1.45,"-")</f>
        <v>-</v>
      </c>
      <c r="AY161" s="172" t="str">
        <f>+IF(BD_MO[[#This Row],[DESMONTE (U-35)]]&lt;&gt;"",BD_MO[[#This Row],[DESMONTE (U-35)]]*1.23,"-")</f>
        <v>-</v>
      </c>
      <c r="AZ161" s="172"/>
      <c r="BA161" s="172"/>
      <c r="BB161" s="172"/>
      <c r="BC161" s="172"/>
      <c r="BD161" s="172"/>
      <c r="BE161" s="172"/>
      <c r="BF161" s="172">
        <v>2</v>
      </c>
      <c r="BG161" s="172"/>
      <c r="BH161" s="172"/>
      <c r="BI161" s="172"/>
      <c r="BJ161" s="172"/>
      <c r="BK161" s="172"/>
      <c r="BL161" s="172"/>
      <c r="BM161" s="172"/>
      <c r="BN161" s="171"/>
      <c r="BO161" s="172"/>
      <c r="BP161" s="172"/>
      <c r="BQ161" s="171"/>
      <c r="BR161" s="172"/>
      <c r="BS161" s="171"/>
      <c r="BT161" s="176"/>
      <c r="BU161" s="172"/>
      <c r="BV161" s="172"/>
      <c r="BW161" s="172">
        <v>3</v>
      </c>
      <c r="BX161" s="172"/>
      <c r="BY161" s="172"/>
      <c r="BZ161" s="172"/>
      <c r="CA161" s="172"/>
      <c r="CB161" s="172"/>
      <c r="CC161" s="172"/>
      <c r="CD161" s="172"/>
      <c r="CE161" s="172"/>
      <c r="CF161" s="172"/>
      <c r="CG161" s="172"/>
      <c r="CH161" s="172"/>
      <c r="CI161" s="172"/>
      <c r="CJ161" s="172"/>
      <c r="CK161" s="172"/>
      <c r="CL161" s="172"/>
      <c r="CM161" s="172"/>
      <c r="CN161" s="172"/>
      <c r="CO161" s="172"/>
      <c r="CP161" s="176">
        <f>+IF(BD_MO[[#This Row],[FECHA]]&lt;&gt;"",BD_MO[[#This Row],[PUNTAL 4"]]+BD_MO[[#This Row],[PUNTAL 5"]]+BD_MO[[#This Row],[PUNTAL 6"]]+BD_MO[[#This Row],[PUNTAL 7"]]+BD_MO[[#This Row],[PUNTAL 8"]],"")</f>
        <v>0</v>
      </c>
      <c r="CQ161" s="172">
        <v>1</v>
      </c>
      <c r="CR161" s="172"/>
      <c r="CS161" s="172"/>
      <c r="CT161" s="172"/>
      <c r="CU161" s="172"/>
      <c r="CV161" s="172"/>
      <c r="CW161" s="172"/>
      <c r="CX161" s="172"/>
      <c r="CY161" s="176"/>
      <c r="CZ161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81.438000000000002</v>
      </c>
      <c r="DA161" s="176">
        <f>+IF(BD_MO[[#This Row],[FECHA]]&lt;&gt;"",BD_MO[[#This Row],[DURMIENTE2]]*6.561+BD_MO[[#This Row],[LISTONES]]*4.921+BD_MO[[#This Row],[TABLA 1"x8"x3m]]*6.561+BD_MO[[#This Row],[TABLA 2"x8"x3m]]*13.122,"")</f>
        <v>0</v>
      </c>
      <c r="DB161" s="176">
        <f>+IF(BD_MO[[#This Row],[FECHA]]&lt;&gt;"",BD_MO[[#This Row],[PIE2 MADERA ASERRADA]]*1.95,"")</f>
        <v>0</v>
      </c>
      <c r="DC161" s="176">
        <f>+IF(BD_MO[[#This Row],[FECHA]]&lt;&gt;"",BD_MO[[#This Row],[KG. MADERA REDONDA]]+BD_MO[[#This Row],[KG MADERA ASERRADA]],"")</f>
        <v>81.438000000000002</v>
      </c>
      <c r="DD161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46.3</v>
      </c>
      <c r="DE161" s="172"/>
      <c r="DF161" s="172"/>
      <c r="DG161" s="172"/>
      <c r="DH161" s="172"/>
      <c r="DI161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61" s="180"/>
      <c r="DK161" s="180"/>
      <c r="DL161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0.7</v>
      </c>
      <c r="DM161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0.72799999999999998</v>
      </c>
      <c r="DN161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61" s="66">
        <f>1.76*BD_MO[[#This Row],[N° TALADROS]]</f>
        <v>5.28</v>
      </c>
      <c r="DP161" s="180">
        <f>+IF(BD_MO[[#This Row],[M o D]]&lt;&gt;"",IF(BD_MO[[#This Row],[M o D]]="M",BD_MO[[#This Row],[ROTURA TMH]]/2.65,BD_MO[[#This Row],[ROTURA TMH]]/2.4),"")</f>
        <v>1.9924528301886795</v>
      </c>
      <c r="DQ161" s="180"/>
      <c r="DR161" s="116" t="str">
        <f>IF(BD_MO[[#This Row],[TIPO AVANCE]]="Avance",((BD_MO[[#This Row],[AVANCE (m)]]/BD_MO[[#This Row],[AVANCE TEÓRICO]]))," ")</f>
        <v xml:space="preserve"> </v>
      </c>
      <c r="DS161" s="134"/>
      <c r="DT161" s="134"/>
      <c r="DU161" s="134"/>
      <c r="DV161" s="134"/>
      <c r="DW161" s="134"/>
      <c r="DX161" s="135"/>
      <c r="DY161" s="135"/>
      <c r="DZ161" s="135"/>
    </row>
    <row r="162" spans="1:130" s="136" customFormat="1" ht="18" customHeight="1" x14ac:dyDescent="0.25">
      <c r="A162" s="168">
        <v>44661</v>
      </c>
      <c r="B162" s="169" t="s">
        <v>10647</v>
      </c>
      <c r="C162" s="169" t="s">
        <v>10672</v>
      </c>
      <c r="D162" s="170" t="s">
        <v>11746</v>
      </c>
      <c r="E162" s="171" t="str">
        <f>LEFT(BD_MO[[#This Row],[LABOR]],2)</f>
        <v>Tj</v>
      </c>
      <c r="F162" s="172" t="s">
        <v>10950</v>
      </c>
      <c r="G162" s="172" t="s">
        <v>10648</v>
      </c>
      <c r="H162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62" s="171" t="str">
        <f>IF(BD_MO[FECHA]&lt;&gt;"",VLOOKUP(BD_MO[LABOR],TB_CECO[[LABOR]:[CECO_T]],3,FALSE),"")</f>
        <v>CACHORRO</v>
      </c>
      <c r="J162" s="171" t="str">
        <f>IF(BD_MO[FECHA]&lt;&gt;"",VLOOKUP(BD_MO[LABOR],D_CECO!B:H,7,FALSE),"")</f>
        <v>TAJO</v>
      </c>
      <c r="K162" s="171" t="str">
        <f>IF(BD_MO[FECHA]&lt;&gt;"",VLOOKUP(BD_MO[LABOR],D_CECO!B:H,4,FALSE),"")</f>
        <v>EXPLOTACION</v>
      </c>
      <c r="L162" s="171"/>
      <c r="M162" s="169" t="s">
        <v>10661</v>
      </c>
      <c r="N162" s="172"/>
      <c r="O162" s="173" t="s">
        <v>12207</v>
      </c>
      <c r="P162" s="173"/>
      <c r="Q162" s="173"/>
      <c r="R162" s="174"/>
      <c r="S162" s="175" t="str">
        <f>IFERROR(VLOOKUP(BD_MO[DNI 4],#REF!,2,FALSE)," ")</f>
        <v xml:space="preserve"> </v>
      </c>
      <c r="T162" s="176">
        <f>+IF(BD_MO[[#This Row],[FECHA]]&lt;&gt;"",COUNTA(BD_MO[[#This Row],[DNI]],BD_MO[[#This Row],[DNI 2]],BD_MO[[#This Row],[DNI 3]],BD_MO[[#This Row],[DNI 4]]),"")</f>
        <v>1</v>
      </c>
      <c r="U162" s="176">
        <v>0.19</v>
      </c>
      <c r="V162" s="176">
        <v>0.14000000000000001</v>
      </c>
      <c r="W162" s="176">
        <v>0.38</v>
      </c>
      <c r="X162" s="176">
        <v>0.28999999999999998</v>
      </c>
      <c r="Y162" s="177">
        <f>SUM(BD_MO[[#This Row],[LIMP]:[SERV]])</f>
        <v>1</v>
      </c>
      <c r="Z162" s="172" t="s">
        <v>12232</v>
      </c>
      <c r="AA162" s="172">
        <f>+IF(BD_MO[[#This Row],[N° VALE]]&lt;&gt;"",1,"")</f>
        <v>1</v>
      </c>
      <c r="AB162" s="169" t="s">
        <v>10666</v>
      </c>
      <c r="AC162" s="172">
        <v>4</v>
      </c>
      <c r="AD162" s="172">
        <f>+IF(BD_MO[[#This Row],[N° VALE]]&lt;&gt;"",BD_MO[[#This Row],[FULMINANTE N° 08]]+BD_MO[CARMEX 7''],"")</f>
        <v>2</v>
      </c>
      <c r="AE162" s="172"/>
      <c r="AF162" s="172">
        <f>+IF(BD_MO[[#This Row],[N° VALE]]&lt;&gt;"",BD_MO[[#This Row],[N° TALADROS]]+BD_MO[[#This Row],[N° TAL. VACIOS]],"")</f>
        <v>2</v>
      </c>
      <c r="AG162" s="178"/>
      <c r="AH162" s="178">
        <v>8</v>
      </c>
      <c r="AI162" s="178"/>
      <c r="AJ162" s="178"/>
      <c r="AK162" s="178">
        <v>2</v>
      </c>
      <c r="AL162" s="178">
        <v>1</v>
      </c>
      <c r="AM162" s="171"/>
      <c r="AN162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62" s="172">
        <f>+IF(BD_MO[[#This Row],[N° VALE]]&lt;&gt;"",IF(BD_MO[[#This Row],[FULMINANTE N° 08]]&lt;&gt;"",BD_MO[[#This Row],[FULMINANTE N° 08]],IF(BD_MO[[#This Row],[CARMEX 7'']]&lt;&gt;0,0,"")),"")</f>
        <v>0</v>
      </c>
      <c r="AP162" s="176">
        <f>+IF(BD_MO[[#This Row],[N° VALE]]&lt;&gt;"",BD_MO[[#This Row],[N°  TOTAL TALADROS]]*BD_MO[[#This Row],[BARRA]]*0.95,"")</f>
        <v>7.6</v>
      </c>
      <c r="AQ162" s="176">
        <f>+IF(BD_MO[[#This Row],[N° VALE]]&lt;&gt;"",BD_MO[[#This Row],[EMULNOR 1000 (N° CART.)]]*PE_EMUL_1000[PE],"")</f>
        <v>0.75760000000000005</v>
      </c>
      <c r="AR162" s="176">
        <f>+IF(BD_MO[[#This Row],[N° VALE]]&lt;&gt;"",BD_MO[[#This Row],[EMULNOR 3000 (N° CART.)]]*PE_EMUL_3000[PE],"")</f>
        <v>0</v>
      </c>
      <c r="AS162" s="176">
        <f>+IF(BD_MO[[#This Row],[N° VALE]]&lt;&gt;"",BD_MO[[#This Row],[PULVERULENTA (N° CART.)]]*PE_PULV_65[PE],"")</f>
        <v>0</v>
      </c>
      <c r="AT162" s="176">
        <f>+IF(BD_MO[[#This Row],[N° DISP]]&lt;&gt;"",BD_MO[[#This Row],[SEMIGELATINA (N° CART.)]]*PE_SEMIGEL_65[PE],"")</f>
        <v>0</v>
      </c>
      <c r="AU162" s="176">
        <f>+IF(BD_MO[N° VALE]&lt;&gt;"",BD_MO[[#This Row],[KG EXPLO SEMIGEL]]+BD_MO[[#This Row],[KG EXPLO PULVE]]+BD_MO[[#This Row],[KG EXPLO EMULN 3000]]+BD_MO[[#This Row],[KG EXPLO EMULN 1000]],"")</f>
        <v>0.75760000000000005</v>
      </c>
      <c r="AV162" s="172"/>
      <c r="AW162" s="172"/>
      <c r="AX162" s="172" t="str">
        <f>+IF(BD_MO[[#This Row],[MINERAL (U-35)]]&lt;&gt;"",BD_MO[[#This Row],[MINERAL (U-35)]]*1.45,"-")</f>
        <v>-</v>
      </c>
      <c r="AY162" s="172" t="str">
        <f>+IF(BD_MO[[#This Row],[DESMONTE (U-35)]]&lt;&gt;"",BD_MO[[#This Row],[DESMONTE (U-35)]]*1.23,"-")</f>
        <v>-</v>
      </c>
      <c r="AZ162" s="172"/>
      <c r="BA162" s="172"/>
      <c r="BB162" s="172"/>
      <c r="BC162" s="172"/>
      <c r="BD162" s="172"/>
      <c r="BE162" s="172"/>
      <c r="BF162" s="172"/>
      <c r="BG162" s="172"/>
      <c r="BH162" s="172"/>
      <c r="BI162" s="172"/>
      <c r="BJ162" s="172"/>
      <c r="BK162" s="172"/>
      <c r="BL162" s="172"/>
      <c r="BM162" s="172"/>
      <c r="BN162" s="171"/>
      <c r="BO162" s="172"/>
      <c r="BP162" s="172"/>
      <c r="BQ162" s="171"/>
      <c r="BR162" s="172"/>
      <c r="BS162" s="171"/>
      <c r="BT162" s="176"/>
      <c r="BU162" s="172"/>
      <c r="BV162" s="172"/>
      <c r="BW162" s="172"/>
      <c r="BX162" s="172"/>
      <c r="BY162" s="172"/>
      <c r="BZ162" s="172"/>
      <c r="CA162" s="172"/>
      <c r="CB162" s="172"/>
      <c r="CC162" s="172"/>
      <c r="CD162" s="172"/>
      <c r="CE162" s="172"/>
      <c r="CF162" s="172"/>
      <c r="CG162" s="172"/>
      <c r="CH162" s="172"/>
      <c r="CI162" s="172"/>
      <c r="CJ162" s="172"/>
      <c r="CK162" s="172"/>
      <c r="CL162" s="172"/>
      <c r="CM162" s="172"/>
      <c r="CN162" s="172"/>
      <c r="CO162" s="172"/>
      <c r="CP162" s="176">
        <f>+IF(BD_MO[[#This Row],[FECHA]]&lt;&gt;"",BD_MO[[#This Row],[PUNTAL 4"]]+BD_MO[[#This Row],[PUNTAL 5"]]+BD_MO[[#This Row],[PUNTAL 6"]]+BD_MO[[#This Row],[PUNTAL 7"]]+BD_MO[[#This Row],[PUNTAL 8"]],"")</f>
        <v>0</v>
      </c>
      <c r="CQ162" s="172"/>
      <c r="CR162" s="172"/>
      <c r="CS162" s="172"/>
      <c r="CT162" s="172"/>
      <c r="CU162" s="172"/>
      <c r="CV162" s="172"/>
      <c r="CW162" s="172"/>
      <c r="CX162" s="172"/>
      <c r="CY162" s="176"/>
      <c r="CZ162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62" s="176">
        <f>+IF(BD_MO[[#This Row],[FECHA]]&lt;&gt;"",BD_MO[[#This Row],[DURMIENTE2]]*6.561+BD_MO[[#This Row],[LISTONES]]*4.921+BD_MO[[#This Row],[TABLA 1"x8"x3m]]*6.561+BD_MO[[#This Row],[TABLA 2"x8"x3m]]*13.122,"")</f>
        <v>0</v>
      </c>
      <c r="DB162" s="176">
        <f>+IF(BD_MO[[#This Row],[FECHA]]&lt;&gt;"",BD_MO[[#This Row],[PIE2 MADERA ASERRADA]]*1.95,"")</f>
        <v>0</v>
      </c>
      <c r="DC162" s="176">
        <f>+IF(BD_MO[[#This Row],[FECHA]]&lt;&gt;"",BD_MO[[#This Row],[KG. MADERA REDONDA]]+BD_MO[[#This Row],[KG MADERA ASERRADA]],"")</f>
        <v>0</v>
      </c>
      <c r="DD162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62" s="172"/>
      <c r="DF162" s="172"/>
      <c r="DG162" s="172"/>
      <c r="DH162" s="172"/>
      <c r="DI162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62" s="180"/>
      <c r="DK162" s="180"/>
      <c r="DL162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0.47</v>
      </c>
      <c r="DM162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0.48880000000000001</v>
      </c>
      <c r="DN162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62" s="66">
        <f>1.76*BD_MO[[#This Row],[N° TALADROS]]</f>
        <v>3.52</v>
      </c>
      <c r="DP162" s="180">
        <f>+IF(BD_MO[[#This Row],[M o D]]&lt;&gt;"",IF(BD_MO[[#This Row],[M o D]]="M",BD_MO[[#This Row],[ROTURA TMH]]/2.65,BD_MO[[#This Row],[ROTURA TMH]]/2.4),"")</f>
        <v>1.328301886792453</v>
      </c>
      <c r="DQ162" s="180"/>
      <c r="DR162" s="116" t="str">
        <f>IF(BD_MO[[#This Row],[TIPO AVANCE]]="Avance",((BD_MO[[#This Row],[AVANCE (m)]]/BD_MO[[#This Row],[AVANCE TEÓRICO]]))," ")</f>
        <v xml:space="preserve"> </v>
      </c>
      <c r="DS162" s="134"/>
      <c r="DT162" s="134"/>
      <c r="DU162" s="134"/>
      <c r="DV162" s="134"/>
      <c r="DW162" s="134"/>
      <c r="DX162" s="135"/>
      <c r="DY162" s="135"/>
      <c r="DZ162" s="135"/>
    </row>
    <row r="163" spans="1:130" s="136" customFormat="1" ht="18" customHeight="1" x14ac:dyDescent="0.25">
      <c r="A163" s="168">
        <v>44661</v>
      </c>
      <c r="B163" s="169" t="s">
        <v>10647</v>
      </c>
      <c r="C163" s="169" t="s">
        <v>10672</v>
      </c>
      <c r="D163" s="170" t="s">
        <v>11872</v>
      </c>
      <c r="E163" s="171" t="str">
        <f>LEFT(BD_MO[[#This Row],[LABOR]],2)</f>
        <v>PQ</v>
      </c>
      <c r="F163" s="172"/>
      <c r="G163" s="172" t="s">
        <v>10669</v>
      </c>
      <c r="H163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63" s="171" t="str">
        <f>IF(BD_MO[FECHA]&lt;&gt;"",VLOOKUP(BD_MO[LABOR],TB_CECO[[LABOR]:[CECO_T]],3,FALSE),"")</f>
        <v>ANDREA</v>
      </c>
      <c r="J163" s="171" t="str">
        <f>IF(BD_MO[FECHA]&lt;&gt;"",VLOOKUP(BD_MO[LABOR],D_CECO!B:H,7,FALSE),"")</f>
        <v>LINEAL</v>
      </c>
      <c r="K163" s="171" t="str">
        <f>IF(BD_MO[FECHA]&lt;&gt;"",VLOOKUP(BD_MO[LABOR],D_CECO!B:H,4,FALSE),"")</f>
        <v>EXPLOTACION</v>
      </c>
      <c r="L163" s="171"/>
      <c r="M163" s="169"/>
      <c r="N163" s="172"/>
      <c r="O163" s="173" t="s">
        <v>12198</v>
      </c>
      <c r="P163" s="173" t="s">
        <v>12220</v>
      </c>
      <c r="Q163" s="173" t="s">
        <v>12199</v>
      </c>
      <c r="R163" s="174"/>
      <c r="S163" s="175" t="str">
        <f>IFERROR(VLOOKUP(BD_MO[DNI 4],#REF!,2,FALSE)," ")</f>
        <v xml:space="preserve"> </v>
      </c>
      <c r="T163" s="176">
        <f>+IF(BD_MO[[#This Row],[FECHA]]&lt;&gt;"",COUNTA(BD_MO[[#This Row],[DNI]],BD_MO[[#This Row],[DNI 2]],BD_MO[[#This Row],[DNI 3]],BD_MO[[#This Row],[DNI 4]]),"")</f>
        <v>3</v>
      </c>
      <c r="U163" s="176"/>
      <c r="V163" s="176"/>
      <c r="W163" s="176"/>
      <c r="X163" s="176">
        <v>3</v>
      </c>
      <c r="Y163" s="177">
        <f>SUM(BD_MO[[#This Row],[LIMP]:[SERV]])</f>
        <v>3</v>
      </c>
      <c r="Z163" s="172"/>
      <c r="AA163" s="172" t="str">
        <f>+IF(BD_MO[[#This Row],[N° VALE]]&lt;&gt;"",1,"")</f>
        <v/>
      </c>
      <c r="AB163" s="169"/>
      <c r="AC163" s="172"/>
      <c r="AD163" s="172" t="str">
        <f>+IF(BD_MO[[#This Row],[N° VALE]]&lt;&gt;"",BD_MO[[#This Row],[FULMINANTE N° 08]]+BD_MO[CARMEX 7''],"")</f>
        <v/>
      </c>
      <c r="AE163" s="172"/>
      <c r="AF163" s="172" t="str">
        <f>+IF(BD_MO[[#This Row],[N° VALE]]&lt;&gt;"",BD_MO[[#This Row],[N° TALADROS]]+BD_MO[[#This Row],[N° TAL. VACIOS]],"")</f>
        <v/>
      </c>
      <c r="AG163" s="178"/>
      <c r="AH163" s="178"/>
      <c r="AI163" s="178"/>
      <c r="AJ163" s="178"/>
      <c r="AK163" s="178"/>
      <c r="AL163" s="178"/>
      <c r="AM163" s="171"/>
      <c r="AN163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63" s="172" t="str">
        <f>+IF(BD_MO[[#This Row],[N° VALE]]&lt;&gt;"",IF(BD_MO[[#This Row],[FULMINANTE N° 08]]&lt;&gt;"",BD_MO[[#This Row],[FULMINANTE N° 08]],IF(BD_MO[[#This Row],[CARMEX 7'']]&lt;&gt;0,0,"")),"")</f>
        <v/>
      </c>
      <c r="AP163" s="176" t="str">
        <f>+IF(BD_MO[[#This Row],[N° VALE]]&lt;&gt;"",BD_MO[[#This Row],[N°  TOTAL TALADROS]]*BD_MO[[#This Row],[BARRA]]*0.95,"")</f>
        <v/>
      </c>
      <c r="AQ163" s="176" t="str">
        <f>+IF(BD_MO[[#This Row],[N° VALE]]&lt;&gt;"",BD_MO[[#This Row],[EMULNOR 1000 (N° CART.)]]*PE_EMUL_1000[PE],"")</f>
        <v/>
      </c>
      <c r="AR163" s="176" t="str">
        <f>+IF(BD_MO[[#This Row],[N° VALE]]&lt;&gt;"",BD_MO[[#This Row],[EMULNOR 3000 (N° CART.)]]*PE_EMUL_3000[PE],"")</f>
        <v/>
      </c>
      <c r="AS163" s="176" t="str">
        <f>+IF(BD_MO[[#This Row],[N° VALE]]&lt;&gt;"",BD_MO[[#This Row],[PULVERULENTA (N° CART.)]]*PE_PULV_65[PE],"")</f>
        <v/>
      </c>
      <c r="AT163" s="176" t="str">
        <f>+IF(BD_MO[[#This Row],[N° DISP]]&lt;&gt;"",BD_MO[[#This Row],[SEMIGELATINA (N° CART.)]]*PE_SEMIGEL_65[PE],"")</f>
        <v/>
      </c>
      <c r="AU163" s="176" t="str">
        <f>+IF(BD_MO[N° VALE]&lt;&gt;"",BD_MO[[#This Row],[KG EXPLO SEMIGEL]]+BD_MO[[#This Row],[KG EXPLO PULVE]]+BD_MO[[#This Row],[KG EXPLO EMULN 3000]]+BD_MO[[#This Row],[KG EXPLO EMULN 1000]],"")</f>
        <v/>
      </c>
      <c r="AV163" s="172"/>
      <c r="AW163" s="172"/>
      <c r="AX163" s="172" t="str">
        <f>+IF(BD_MO[[#This Row],[MINERAL (U-35)]]&lt;&gt;"",BD_MO[[#This Row],[MINERAL (U-35)]]*1.45,"-")</f>
        <v>-</v>
      </c>
      <c r="AY163" s="172" t="str">
        <f>+IF(BD_MO[[#This Row],[DESMONTE (U-35)]]&lt;&gt;"",BD_MO[[#This Row],[DESMONTE (U-35)]]*1.23,"-")</f>
        <v>-</v>
      </c>
      <c r="AZ163" s="172"/>
      <c r="BA163" s="172"/>
      <c r="BB163" s="172"/>
      <c r="BC163" s="172"/>
      <c r="BD163" s="172"/>
      <c r="BE163" s="172"/>
      <c r="BF163" s="172"/>
      <c r="BG163" s="172"/>
      <c r="BH163" s="172"/>
      <c r="BI163" s="172"/>
      <c r="BJ163" s="172"/>
      <c r="BK163" s="172"/>
      <c r="BL163" s="172"/>
      <c r="BM163" s="172"/>
      <c r="BN163" s="171"/>
      <c r="BO163" s="172"/>
      <c r="BP163" s="172"/>
      <c r="BQ163" s="171"/>
      <c r="BR163" s="172"/>
      <c r="BS163" s="171"/>
      <c r="BT163" s="176"/>
      <c r="BU163" s="172"/>
      <c r="BV163" s="172"/>
      <c r="BW163" s="172"/>
      <c r="BX163" s="172"/>
      <c r="BY163" s="172"/>
      <c r="BZ163" s="172"/>
      <c r="CA163" s="172"/>
      <c r="CB163" s="172"/>
      <c r="CC163" s="172"/>
      <c r="CD163" s="172"/>
      <c r="CE163" s="172"/>
      <c r="CF163" s="172"/>
      <c r="CG163" s="172"/>
      <c r="CH163" s="172"/>
      <c r="CI163" s="172"/>
      <c r="CJ163" s="172"/>
      <c r="CK163" s="172"/>
      <c r="CL163" s="172"/>
      <c r="CM163" s="172"/>
      <c r="CN163" s="172"/>
      <c r="CO163" s="172"/>
      <c r="CP163" s="176">
        <f>+IF(BD_MO[[#This Row],[FECHA]]&lt;&gt;"",BD_MO[[#This Row],[PUNTAL 4"]]+BD_MO[[#This Row],[PUNTAL 5"]]+BD_MO[[#This Row],[PUNTAL 6"]]+BD_MO[[#This Row],[PUNTAL 7"]]+BD_MO[[#This Row],[PUNTAL 8"]],"")</f>
        <v>0</v>
      </c>
      <c r="CQ163" s="172"/>
      <c r="CR163" s="172"/>
      <c r="CS163" s="172"/>
      <c r="CT163" s="172"/>
      <c r="CU163" s="172"/>
      <c r="CV163" s="172"/>
      <c r="CW163" s="172"/>
      <c r="CX163" s="172"/>
      <c r="CY163" s="176"/>
      <c r="CZ163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63" s="176">
        <f>+IF(BD_MO[[#This Row],[FECHA]]&lt;&gt;"",BD_MO[[#This Row],[DURMIENTE2]]*6.561+BD_MO[[#This Row],[LISTONES]]*4.921+BD_MO[[#This Row],[TABLA 1"x8"x3m]]*6.561+BD_MO[[#This Row],[TABLA 2"x8"x3m]]*13.122,"")</f>
        <v>0</v>
      </c>
      <c r="DB163" s="176">
        <f>+IF(BD_MO[[#This Row],[FECHA]]&lt;&gt;"",BD_MO[[#This Row],[PIE2 MADERA ASERRADA]]*1.95,"")</f>
        <v>0</v>
      </c>
      <c r="DC163" s="176">
        <f>+IF(BD_MO[[#This Row],[FECHA]]&lt;&gt;"",BD_MO[[#This Row],[KG. MADERA REDONDA]]+BD_MO[[#This Row],[KG MADERA ASERRADA]],"")</f>
        <v>0</v>
      </c>
      <c r="DD163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63" s="172"/>
      <c r="DF163" s="172"/>
      <c r="DG163" s="172" t="s">
        <v>12184</v>
      </c>
      <c r="DH163" s="172">
        <v>3</v>
      </c>
      <c r="DI163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63" s="180"/>
      <c r="DK163" s="180"/>
      <c r="DL163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63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63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63" s="181"/>
      <c r="DP163" s="180" t="str">
        <f>+IF(BD_MO[[#This Row],[M o D]]&lt;&gt;"",IF(BD_MO[[#This Row],[M o D]]="M",BD_MO[[#This Row],[ROTURA TMH]]/2.65,BD_MO[[#This Row],[ROTURA TMH]]/2.4),"")</f>
        <v/>
      </c>
      <c r="DQ163" s="180"/>
      <c r="DR163" s="116" t="str">
        <f>IF(BD_MO[[#This Row],[TIPO AVANCE]]="Avance",((BD_MO[[#This Row],[AVANCE (m)]]/BD_MO[[#This Row],[AVANCE TEÓRICO]]))," ")</f>
        <v xml:space="preserve"> </v>
      </c>
      <c r="DS163" s="134"/>
      <c r="DT163" s="134"/>
      <c r="DU163" s="134"/>
      <c r="DV163" s="134"/>
      <c r="DW163" s="134"/>
      <c r="DX163" s="135"/>
      <c r="DY163" s="135"/>
      <c r="DZ163" s="135"/>
    </row>
    <row r="164" spans="1:130" s="136" customFormat="1" ht="18" customHeight="1" x14ac:dyDescent="0.25">
      <c r="A164" s="168">
        <v>44661</v>
      </c>
      <c r="B164" s="169" t="s">
        <v>10647</v>
      </c>
      <c r="C164" s="169" t="s">
        <v>10672</v>
      </c>
      <c r="D164" s="170" t="s">
        <v>10952</v>
      </c>
      <c r="E164" s="171" t="str">
        <f>LEFT(BD_MO[[#This Row],[LABOR]],2)</f>
        <v>In</v>
      </c>
      <c r="F164" s="172"/>
      <c r="G164" s="172" t="s">
        <v>10669</v>
      </c>
      <c r="H164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64" s="171" t="str">
        <f>IF(BD_MO[FECHA]&lt;&gt;"",VLOOKUP(BD_MO[LABOR],TB_CECO[[LABOR]:[CECO_T]],3,FALSE),"")</f>
        <v>VANESSA</v>
      </c>
      <c r="J164" s="171" t="str">
        <f>IF(BD_MO[FECHA]&lt;&gt;"",VLOOKUP(BD_MO[LABOR],D_CECO!B:H,7,FALSE),"")</f>
        <v>LINEAL</v>
      </c>
      <c r="K164" s="171" t="str">
        <f>IF(BD_MO[FECHA]&lt;&gt;"",VLOOKUP(BD_MO[LABOR],D_CECO!B:H,4,FALSE),"")</f>
        <v>EXPLORACION</v>
      </c>
      <c r="L164" s="171"/>
      <c r="M164" s="169"/>
      <c r="N164" s="172"/>
      <c r="O164" s="173" t="s">
        <v>12221</v>
      </c>
      <c r="P164" s="173" t="s">
        <v>12209</v>
      </c>
      <c r="Q164" s="173"/>
      <c r="R164" s="174"/>
      <c r="S164" s="175" t="str">
        <f>IFERROR(VLOOKUP(BD_MO[DNI 4],#REF!,2,FALSE)," ")</f>
        <v xml:space="preserve"> </v>
      </c>
      <c r="T164" s="176">
        <f>+IF(BD_MO[[#This Row],[FECHA]]&lt;&gt;"",COUNTA(BD_MO[[#This Row],[DNI]],BD_MO[[#This Row],[DNI 2]],BD_MO[[#This Row],[DNI 3]],BD_MO[[#This Row],[DNI 4]]),"")</f>
        <v>2</v>
      </c>
      <c r="U164" s="176"/>
      <c r="V164" s="176"/>
      <c r="W164" s="176"/>
      <c r="X164" s="176">
        <v>2</v>
      </c>
      <c r="Y164" s="177">
        <f>SUM(BD_MO[[#This Row],[LIMP]:[SERV]])</f>
        <v>2</v>
      </c>
      <c r="Z164" s="172"/>
      <c r="AA164" s="172" t="str">
        <f>+IF(BD_MO[[#This Row],[N° VALE]]&lt;&gt;"",1,"")</f>
        <v/>
      </c>
      <c r="AB164" s="169"/>
      <c r="AC164" s="172"/>
      <c r="AD164" s="172" t="str">
        <f>+IF(BD_MO[[#This Row],[N° VALE]]&lt;&gt;"",BD_MO[[#This Row],[FULMINANTE N° 08]]+BD_MO[CARMEX 7''],"")</f>
        <v/>
      </c>
      <c r="AE164" s="172"/>
      <c r="AF164" s="172" t="str">
        <f>+IF(BD_MO[[#This Row],[N° VALE]]&lt;&gt;"",BD_MO[[#This Row],[N° TALADROS]]+BD_MO[[#This Row],[N° TAL. VACIOS]],"")</f>
        <v/>
      </c>
      <c r="AG164" s="178"/>
      <c r="AH164" s="178"/>
      <c r="AI164" s="178"/>
      <c r="AJ164" s="178"/>
      <c r="AK164" s="178"/>
      <c r="AL164" s="178"/>
      <c r="AM164" s="171"/>
      <c r="AN164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64" s="172" t="str">
        <f>+IF(BD_MO[[#This Row],[N° VALE]]&lt;&gt;"",IF(BD_MO[[#This Row],[FULMINANTE N° 08]]&lt;&gt;"",BD_MO[[#This Row],[FULMINANTE N° 08]],IF(BD_MO[[#This Row],[CARMEX 7'']]&lt;&gt;0,0,"")),"")</f>
        <v/>
      </c>
      <c r="AP164" s="176" t="str">
        <f>+IF(BD_MO[[#This Row],[N° VALE]]&lt;&gt;"",BD_MO[[#This Row],[N°  TOTAL TALADROS]]*BD_MO[[#This Row],[BARRA]]*0.95,"")</f>
        <v/>
      </c>
      <c r="AQ164" s="176" t="str">
        <f>+IF(BD_MO[[#This Row],[N° VALE]]&lt;&gt;"",BD_MO[[#This Row],[EMULNOR 1000 (N° CART.)]]*PE_EMUL_1000[PE],"")</f>
        <v/>
      </c>
      <c r="AR164" s="176" t="str">
        <f>+IF(BD_MO[[#This Row],[N° VALE]]&lt;&gt;"",BD_MO[[#This Row],[EMULNOR 3000 (N° CART.)]]*PE_EMUL_3000[PE],"")</f>
        <v/>
      </c>
      <c r="AS164" s="176" t="str">
        <f>+IF(BD_MO[[#This Row],[N° VALE]]&lt;&gt;"",BD_MO[[#This Row],[PULVERULENTA (N° CART.)]]*PE_PULV_65[PE],"")</f>
        <v/>
      </c>
      <c r="AT164" s="176" t="str">
        <f>+IF(BD_MO[[#This Row],[N° DISP]]&lt;&gt;"",BD_MO[[#This Row],[SEMIGELATINA (N° CART.)]]*PE_SEMIGEL_65[PE],"")</f>
        <v/>
      </c>
      <c r="AU164" s="176" t="str">
        <f>+IF(BD_MO[N° VALE]&lt;&gt;"",BD_MO[[#This Row],[KG EXPLO SEMIGEL]]+BD_MO[[#This Row],[KG EXPLO PULVE]]+BD_MO[[#This Row],[KG EXPLO EMULN 3000]]+BD_MO[[#This Row],[KG EXPLO EMULN 1000]],"")</f>
        <v/>
      </c>
      <c r="AV164" s="172"/>
      <c r="AW164" s="172"/>
      <c r="AX164" s="172" t="str">
        <f>+IF(BD_MO[[#This Row],[MINERAL (U-35)]]&lt;&gt;"",BD_MO[[#This Row],[MINERAL (U-35)]]*1.45,"-")</f>
        <v>-</v>
      </c>
      <c r="AY164" s="172" t="str">
        <f>+IF(BD_MO[[#This Row],[DESMONTE (U-35)]]&lt;&gt;"",BD_MO[[#This Row],[DESMONTE (U-35)]]*1.23,"-")</f>
        <v>-</v>
      </c>
      <c r="AZ164" s="172"/>
      <c r="BA164" s="172"/>
      <c r="BB164" s="172"/>
      <c r="BC164" s="172"/>
      <c r="BD164" s="172"/>
      <c r="BE164" s="172"/>
      <c r="BF164" s="172"/>
      <c r="BG164" s="172"/>
      <c r="BH164" s="172"/>
      <c r="BI164" s="172"/>
      <c r="BJ164" s="172"/>
      <c r="BK164" s="172"/>
      <c r="BL164" s="172"/>
      <c r="BM164" s="172"/>
      <c r="BN164" s="171"/>
      <c r="BO164" s="172"/>
      <c r="BP164" s="172"/>
      <c r="BQ164" s="171"/>
      <c r="BR164" s="172"/>
      <c r="BS164" s="171"/>
      <c r="BT164" s="176"/>
      <c r="BU164" s="172"/>
      <c r="BV164" s="172"/>
      <c r="BW164" s="172"/>
      <c r="BX164" s="172"/>
      <c r="BY164" s="172"/>
      <c r="BZ164" s="172"/>
      <c r="CA164" s="172"/>
      <c r="CB164" s="172"/>
      <c r="CC164" s="172"/>
      <c r="CD164" s="172"/>
      <c r="CE164" s="172"/>
      <c r="CF164" s="172"/>
      <c r="CG164" s="172"/>
      <c r="CH164" s="172"/>
      <c r="CI164" s="172"/>
      <c r="CJ164" s="172"/>
      <c r="CK164" s="172"/>
      <c r="CL164" s="172"/>
      <c r="CM164" s="172"/>
      <c r="CN164" s="172"/>
      <c r="CO164" s="172"/>
      <c r="CP164" s="176">
        <f>+IF(BD_MO[[#This Row],[FECHA]]&lt;&gt;"",BD_MO[[#This Row],[PUNTAL 4"]]+BD_MO[[#This Row],[PUNTAL 5"]]+BD_MO[[#This Row],[PUNTAL 6"]]+BD_MO[[#This Row],[PUNTAL 7"]]+BD_MO[[#This Row],[PUNTAL 8"]],"")</f>
        <v>0</v>
      </c>
      <c r="CQ164" s="172"/>
      <c r="CR164" s="172"/>
      <c r="CS164" s="172"/>
      <c r="CT164" s="172"/>
      <c r="CU164" s="172"/>
      <c r="CV164" s="172"/>
      <c r="CW164" s="172"/>
      <c r="CX164" s="172"/>
      <c r="CY164" s="176"/>
      <c r="CZ164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64" s="176">
        <f>+IF(BD_MO[[#This Row],[FECHA]]&lt;&gt;"",BD_MO[[#This Row],[DURMIENTE2]]*6.561+BD_MO[[#This Row],[LISTONES]]*4.921+BD_MO[[#This Row],[TABLA 1"x8"x3m]]*6.561+BD_MO[[#This Row],[TABLA 2"x8"x3m]]*13.122,"")</f>
        <v>0</v>
      </c>
      <c r="DB164" s="176">
        <f>+IF(BD_MO[[#This Row],[FECHA]]&lt;&gt;"",BD_MO[[#This Row],[PIE2 MADERA ASERRADA]]*1.95,"")</f>
        <v>0</v>
      </c>
      <c r="DC164" s="176">
        <f>+IF(BD_MO[[#This Row],[FECHA]]&lt;&gt;"",BD_MO[[#This Row],[KG. MADERA REDONDA]]+BD_MO[[#This Row],[KG MADERA ASERRADA]],"")</f>
        <v>0</v>
      </c>
      <c r="DD164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64" s="172"/>
      <c r="DF164" s="172"/>
      <c r="DG164" s="172" t="s">
        <v>12183</v>
      </c>
      <c r="DH164" s="172">
        <v>5</v>
      </c>
      <c r="DI164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64" s="180"/>
      <c r="DK164" s="180"/>
      <c r="DL164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64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64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64" s="181"/>
      <c r="DP164" s="180" t="str">
        <f>+IF(BD_MO[[#This Row],[M o D]]&lt;&gt;"",IF(BD_MO[[#This Row],[M o D]]="M",BD_MO[[#This Row],[ROTURA TMH]]/2.65,BD_MO[[#This Row],[ROTURA TMH]]/2.4),"")</f>
        <v/>
      </c>
      <c r="DQ164" s="180"/>
      <c r="DR164" s="116" t="str">
        <f>IF(BD_MO[[#This Row],[TIPO AVANCE]]="Avance",((BD_MO[[#This Row],[AVANCE (m)]]/BD_MO[[#This Row],[AVANCE TEÓRICO]]))," ")</f>
        <v xml:space="preserve"> </v>
      </c>
      <c r="DS164" s="134"/>
      <c r="DT164" s="134"/>
      <c r="DU164" s="134"/>
      <c r="DV164" s="134"/>
      <c r="DW164" s="134"/>
      <c r="DX164" s="135"/>
      <c r="DY164" s="135"/>
      <c r="DZ164" s="135"/>
    </row>
    <row r="165" spans="1:130" s="136" customFormat="1" ht="18" customHeight="1" thickBot="1" x14ac:dyDescent="0.3">
      <c r="A165" s="183">
        <v>44661</v>
      </c>
      <c r="B165" s="184" t="s">
        <v>10647</v>
      </c>
      <c r="C165" s="184" t="s">
        <v>10672</v>
      </c>
      <c r="D165" s="185" t="s">
        <v>10717</v>
      </c>
      <c r="E165" s="186" t="str">
        <f>LEFT(BD_MO[[#This Row],[LABOR]],2)</f>
        <v>BO</v>
      </c>
      <c r="F165" s="187"/>
      <c r="G165" s="187" t="s">
        <v>10669</v>
      </c>
      <c r="H165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65" s="186" t="str">
        <f>IF(BD_MO[FECHA]&lt;&gt;"",VLOOKUP(BD_MO[LABOR],TB_CECO[[LABOR]:[CECO_T]],3,FALSE),"")</f>
        <v>CACHORRO</v>
      </c>
      <c r="J165" s="186" t="str">
        <f>IF(BD_MO[FECHA]&lt;&gt;"",VLOOKUP(BD_MO[LABOR],D_CECO!B:H,7,FALSE),"")</f>
        <v>SERVICIOS</v>
      </c>
      <c r="K165" s="186" t="str">
        <f>IF(BD_MO[FECHA]&lt;&gt;"",VLOOKUP(BD_MO[LABOR],D_CECO!B:H,4,FALSE),"")</f>
        <v>SERVICIOS</v>
      </c>
      <c r="L165" s="186"/>
      <c r="M165" s="184"/>
      <c r="N165" s="187"/>
      <c r="O165" s="188" t="s">
        <v>12202</v>
      </c>
      <c r="P165" s="188"/>
      <c r="Q165" s="188"/>
      <c r="R165" s="189"/>
      <c r="S165" s="190" t="str">
        <f>IFERROR(VLOOKUP(BD_MO[DNI 4],#REF!,2,FALSE)," ")</f>
        <v xml:space="preserve"> </v>
      </c>
      <c r="T165" s="191">
        <f>+IF(BD_MO[[#This Row],[FECHA]]&lt;&gt;"",COUNTA(BD_MO[[#This Row],[DNI]],BD_MO[[#This Row],[DNI 2]],BD_MO[[#This Row],[DNI 3]],BD_MO[[#This Row],[DNI 4]]),"")</f>
        <v>1</v>
      </c>
      <c r="U165" s="191"/>
      <c r="V165" s="191"/>
      <c r="W165" s="191"/>
      <c r="X165" s="191">
        <v>1</v>
      </c>
      <c r="Y165" s="192">
        <f>SUM(BD_MO[[#This Row],[LIMP]:[SERV]])</f>
        <v>1</v>
      </c>
      <c r="Z165" s="187"/>
      <c r="AA165" s="187" t="str">
        <f>+IF(BD_MO[[#This Row],[N° VALE]]&lt;&gt;"",1,"")</f>
        <v/>
      </c>
      <c r="AB165" s="184"/>
      <c r="AC165" s="187"/>
      <c r="AD165" s="187" t="str">
        <f>+IF(BD_MO[[#This Row],[N° VALE]]&lt;&gt;"",BD_MO[[#This Row],[FULMINANTE N° 08]]+BD_MO[CARMEX 7''],"")</f>
        <v/>
      </c>
      <c r="AE165" s="187"/>
      <c r="AF165" s="187" t="str">
        <f>+IF(BD_MO[[#This Row],[N° VALE]]&lt;&gt;"",BD_MO[[#This Row],[N° TALADROS]]+BD_MO[[#This Row],[N° TAL. VACIOS]],"")</f>
        <v/>
      </c>
      <c r="AG165" s="193"/>
      <c r="AH165" s="193"/>
      <c r="AI165" s="193"/>
      <c r="AJ165" s="193"/>
      <c r="AK165" s="193"/>
      <c r="AL165" s="193"/>
      <c r="AM165" s="186"/>
      <c r="AN165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65" s="187" t="str">
        <f>+IF(BD_MO[[#This Row],[N° VALE]]&lt;&gt;"",IF(BD_MO[[#This Row],[FULMINANTE N° 08]]&lt;&gt;"",BD_MO[[#This Row],[FULMINANTE N° 08]],IF(BD_MO[[#This Row],[CARMEX 7'']]&lt;&gt;0,0,"")),"")</f>
        <v/>
      </c>
      <c r="AP165" s="191" t="str">
        <f>+IF(BD_MO[[#This Row],[N° VALE]]&lt;&gt;"",BD_MO[[#This Row],[N°  TOTAL TALADROS]]*BD_MO[[#This Row],[BARRA]]*0.95,"")</f>
        <v/>
      </c>
      <c r="AQ165" s="191" t="str">
        <f>+IF(BD_MO[[#This Row],[N° VALE]]&lt;&gt;"",BD_MO[[#This Row],[EMULNOR 1000 (N° CART.)]]*PE_EMUL_1000[PE],"")</f>
        <v/>
      </c>
      <c r="AR165" s="191" t="str">
        <f>+IF(BD_MO[[#This Row],[N° VALE]]&lt;&gt;"",BD_MO[[#This Row],[EMULNOR 3000 (N° CART.)]]*PE_EMUL_3000[PE],"")</f>
        <v/>
      </c>
      <c r="AS165" s="191" t="str">
        <f>+IF(BD_MO[[#This Row],[N° VALE]]&lt;&gt;"",BD_MO[[#This Row],[PULVERULENTA (N° CART.)]]*PE_PULV_65[PE],"")</f>
        <v/>
      </c>
      <c r="AT165" s="191" t="str">
        <f>+IF(BD_MO[[#This Row],[N° DISP]]&lt;&gt;"",BD_MO[[#This Row],[SEMIGELATINA (N° CART.)]]*PE_SEMIGEL_65[PE],"")</f>
        <v/>
      </c>
      <c r="AU165" s="191" t="str">
        <f>+IF(BD_MO[N° VALE]&lt;&gt;"",BD_MO[[#This Row],[KG EXPLO SEMIGEL]]+BD_MO[[#This Row],[KG EXPLO PULVE]]+BD_MO[[#This Row],[KG EXPLO EMULN 3000]]+BD_MO[[#This Row],[KG EXPLO EMULN 1000]],"")</f>
        <v/>
      </c>
      <c r="AV165" s="187"/>
      <c r="AW165" s="187"/>
      <c r="AX165" s="187" t="str">
        <f>+IF(BD_MO[[#This Row],[MINERAL (U-35)]]&lt;&gt;"",BD_MO[[#This Row],[MINERAL (U-35)]]*1.45,"-")</f>
        <v>-</v>
      </c>
      <c r="AY165" s="187" t="str">
        <f>+IF(BD_MO[[#This Row],[DESMONTE (U-35)]]&lt;&gt;"",BD_MO[[#This Row],[DESMONTE (U-35)]]*1.23,"-")</f>
        <v>-</v>
      </c>
      <c r="AZ165" s="187"/>
      <c r="BA165" s="187"/>
      <c r="BB165" s="187"/>
      <c r="BC165" s="187"/>
      <c r="BD165" s="187"/>
      <c r="BE165" s="187"/>
      <c r="BF165" s="187"/>
      <c r="BG165" s="187"/>
      <c r="BH165" s="187"/>
      <c r="BI165" s="187"/>
      <c r="BJ165" s="187"/>
      <c r="BK165" s="187"/>
      <c r="BL165" s="187"/>
      <c r="BM165" s="187"/>
      <c r="BN165" s="186"/>
      <c r="BO165" s="187"/>
      <c r="BP165" s="187"/>
      <c r="BQ165" s="186"/>
      <c r="BR165" s="187"/>
      <c r="BS165" s="186"/>
      <c r="BT165" s="191"/>
      <c r="BU165" s="187"/>
      <c r="BV165" s="187"/>
      <c r="BW165" s="187"/>
      <c r="BX165" s="187"/>
      <c r="BY165" s="187"/>
      <c r="BZ165" s="187"/>
      <c r="CA165" s="187"/>
      <c r="CB165" s="187"/>
      <c r="CC165" s="187"/>
      <c r="CD165" s="187"/>
      <c r="CE165" s="187"/>
      <c r="CF165" s="187"/>
      <c r="CG165" s="187"/>
      <c r="CH165" s="187"/>
      <c r="CI165" s="187"/>
      <c r="CJ165" s="187"/>
      <c r="CK165" s="187"/>
      <c r="CL165" s="187"/>
      <c r="CM165" s="187"/>
      <c r="CN165" s="187"/>
      <c r="CO165" s="187"/>
      <c r="CP165" s="191">
        <f>+IF(BD_MO[[#This Row],[FECHA]]&lt;&gt;"",BD_MO[[#This Row],[PUNTAL 4"]]+BD_MO[[#This Row],[PUNTAL 5"]]+BD_MO[[#This Row],[PUNTAL 6"]]+BD_MO[[#This Row],[PUNTAL 7"]]+BD_MO[[#This Row],[PUNTAL 8"]],"")</f>
        <v>0</v>
      </c>
      <c r="CQ165" s="187"/>
      <c r="CR165" s="187"/>
      <c r="CS165" s="187"/>
      <c r="CT165" s="187"/>
      <c r="CU165" s="187"/>
      <c r="CV165" s="187"/>
      <c r="CW165" s="187"/>
      <c r="CX165" s="187"/>
      <c r="CY165" s="191"/>
      <c r="CZ165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65" s="191">
        <f>+IF(BD_MO[[#This Row],[FECHA]]&lt;&gt;"",BD_MO[[#This Row],[DURMIENTE2]]*6.561+BD_MO[[#This Row],[LISTONES]]*4.921+BD_MO[[#This Row],[TABLA 1"x8"x3m]]*6.561+BD_MO[[#This Row],[TABLA 2"x8"x3m]]*13.122,"")</f>
        <v>0</v>
      </c>
      <c r="DB165" s="191">
        <f>+IF(BD_MO[[#This Row],[FECHA]]&lt;&gt;"",BD_MO[[#This Row],[PIE2 MADERA ASERRADA]]*1.95,"")</f>
        <v>0</v>
      </c>
      <c r="DC165" s="191">
        <f>+IF(BD_MO[[#This Row],[FECHA]]&lt;&gt;"",BD_MO[[#This Row],[KG. MADERA REDONDA]]+BD_MO[[#This Row],[KG MADERA ASERRADA]],"")</f>
        <v>0</v>
      </c>
      <c r="DD165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65" s="187"/>
      <c r="DF165" s="187"/>
      <c r="DG165" s="187"/>
      <c r="DH165" s="187"/>
      <c r="DI165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65" s="195"/>
      <c r="DK165" s="195"/>
      <c r="DL165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65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65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65" s="196"/>
      <c r="DP165" s="195" t="str">
        <f>+IF(BD_MO[[#This Row],[M o D]]&lt;&gt;"",IF(BD_MO[[#This Row],[M o D]]="M",BD_MO[[#This Row],[ROTURA TMH]]/2.65,BD_MO[[#This Row],[ROTURA TMH]]/2.4),"")</f>
        <v/>
      </c>
      <c r="DQ165" s="195"/>
      <c r="DR165" s="116" t="str">
        <f>IF(BD_MO[[#This Row],[TIPO AVANCE]]="Avance",((BD_MO[[#This Row],[AVANCE (m)]]/BD_MO[[#This Row],[AVANCE TEÓRICO]]))," ")</f>
        <v xml:space="preserve"> </v>
      </c>
      <c r="DS165" s="134"/>
      <c r="DT165" s="134"/>
      <c r="DU165" s="134"/>
      <c r="DV165" s="134"/>
      <c r="DW165" s="134"/>
      <c r="DX165" s="135"/>
      <c r="DY165" s="135"/>
      <c r="DZ165" s="135"/>
    </row>
    <row r="166" spans="1:130" s="232" customFormat="1" ht="18" customHeight="1" x14ac:dyDescent="0.25">
      <c r="A166" s="233">
        <v>44661</v>
      </c>
      <c r="B166" s="234" t="s">
        <v>10655</v>
      </c>
      <c r="C166" s="234" t="s">
        <v>10680</v>
      </c>
      <c r="D166" s="235" t="s">
        <v>11746</v>
      </c>
      <c r="E166" s="236" t="str">
        <f>LEFT(BD_MO[[#This Row],[LABOR]],2)</f>
        <v>Tj</v>
      </c>
      <c r="F166" s="246" t="s">
        <v>10950</v>
      </c>
      <c r="G166" s="237" t="s">
        <v>10648</v>
      </c>
      <c r="H166" s="23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66" s="236" t="str">
        <f>IF(BD_MO[FECHA]&lt;&gt;"",VLOOKUP(BD_MO[LABOR],TB_CECO[[LABOR]:[CECO_T]],3,FALSE),"")</f>
        <v>CACHORRO</v>
      </c>
      <c r="J166" s="236" t="str">
        <f>IF(BD_MO[FECHA]&lt;&gt;"",VLOOKUP(BD_MO[LABOR],D_CECO!B:H,7,FALSE),"")</f>
        <v>TAJO</v>
      </c>
      <c r="K166" s="236" t="str">
        <f>IF(BD_MO[FECHA]&lt;&gt;"",VLOOKUP(BD_MO[LABOR],D_CECO!B:H,4,FALSE),"")</f>
        <v>EXPLOTACION</v>
      </c>
      <c r="L166" s="236"/>
      <c r="M166" s="234" t="s">
        <v>10661</v>
      </c>
      <c r="N166" s="237"/>
      <c r="O166" s="238" t="s">
        <v>11976</v>
      </c>
      <c r="P166" s="238" t="s">
        <v>11924</v>
      </c>
      <c r="Q166" s="238"/>
      <c r="R166" s="239"/>
      <c r="S166" s="240" t="str">
        <f>IFERROR(VLOOKUP(BD_MO[DNI 4],#REF!,2,FALSE)," ")</f>
        <v xml:space="preserve"> </v>
      </c>
      <c r="T166" s="241">
        <f>+IF(BD_MO[[#This Row],[FECHA]]&lt;&gt;"",COUNTA(BD_MO[[#This Row],[DNI]],BD_MO[[#This Row],[DNI 2]],BD_MO[[#This Row],[DNI 3]],BD_MO[[#This Row],[DNI 4]]),"")</f>
        <v>2</v>
      </c>
      <c r="U166" s="241">
        <v>1</v>
      </c>
      <c r="V166" s="241">
        <v>0.4</v>
      </c>
      <c r="W166" s="241">
        <v>0.3</v>
      </c>
      <c r="X166" s="241">
        <v>0.3</v>
      </c>
      <c r="Y166" s="242">
        <f>SUM(BD_MO[[#This Row],[LIMP]:[SERV]])</f>
        <v>2</v>
      </c>
      <c r="Z166" s="246" t="s">
        <v>12229</v>
      </c>
      <c r="AA166" s="237">
        <f>+IF(BD_MO[[#This Row],[N° VALE]]&lt;&gt;"",1,"")</f>
        <v>1</v>
      </c>
      <c r="AB166" s="247" t="s">
        <v>10666</v>
      </c>
      <c r="AC166" s="237">
        <v>4</v>
      </c>
      <c r="AD166" s="237">
        <f>+IF(BD_MO[[#This Row],[N° VALE]]&lt;&gt;"",BD_MO[[#This Row],[FULMINANTE N° 08]]+BD_MO[CARMEX 7''],"")</f>
        <v>1</v>
      </c>
      <c r="AE166" s="237"/>
      <c r="AF166" s="237">
        <f>+IF(BD_MO[[#This Row],[N° VALE]]&lt;&gt;"",BD_MO[[#This Row],[N° TALADROS]]+BD_MO[[#This Row],[N° TAL. VACIOS]],"")</f>
        <v>1</v>
      </c>
      <c r="AG166" s="243"/>
      <c r="AH166" s="243">
        <v>4</v>
      </c>
      <c r="AI166" s="243"/>
      <c r="AJ166" s="243"/>
      <c r="AK166" s="243">
        <v>1</v>
      </c>
      <c r="AL166" s="243">
        <v>1</v>
      </c>
      <c r="AM166" s="236"/>
      <c r="AN166" s="237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66" s="237">
        <f>+IF(BD_MO[[#This Row],[N° VALE]]&lt;&gt;"",IF(BD_MO[[#This Row],[FULMINANTE N° 08]]&lt;&gt;"",BD_MO[[#This Row],[FULMINANTE N° 08]],IF(BD_MO[[#This Row],[CARMEX 7'']]&lt;&gt;0,0,"")),"")</f>
        <v>0</v>
      </c>
      <c r="AP166" s="241">
        <f>+IF(BD_MO[[#This Row],[N° VALE]]&lt;&gt;"",BD_MO[[#This Row],[N°  TOTAL TALADROS]]*BD_MO[[#This Row],[BARRA]]*0.95,"")</f>
        <v>3.8</v>
      </c>
      <c r="AQ166" s="241">
        <f>+IF(BD_MO[[#This Row],[N° VALE]]&lt;&gt;"",BD_MO[[#This Row],[EMULNOR 1000 (N° CART.)]]*PE_EMUL_1000[PE],"")</f>
        <v>0.37880000000000003</v>
      </c>
      <c r="AR166" s="241">
        <f>+IF(BD_MO[[#This Row],[N° VALE]]&lt;&gt;"",BD_MO[[#This Row],[EMULNOR 3000 (N° CART.)]]*PE_EMUL_3000[PE],"")</f>
        <v>0</v>
      </c>
      <c r="AS166" s="241">
        <f>+IF(BD_MO[[#This Row],[N° VALE]]&lt;&gt;"",BD_MO[[#This Row],[PULVERULENTA (N° CART.)]]*PE_PULV_65[PE],"")</f>
        <v>0</v>
      </c>
      <c r="AT166" s="241">
        <f>+IF(BD_MO[[#This Row],[N° DISP]]&lt;&gt;"",BD_MO[[#This Row],[SEMIGELATINA (N° CART.)]]*PE_SEMIGEL_65[PE],"")</f>
        <v>0</v>
      </c>
      <c r="AU166" s="241">
        <f>+IF(BD_MO[N° VALE]&lt;&gt;"",BD_MO[[#This Row],[KG EXPLO SEMIGEL]]+BD_MO[[#This Row],[KG EXPLO PULVE]]+BD_MO[[#This Row],[KG EXPLO EMULN 3000]]+BD_MO[[#This Row],[KG EXPLO EMULN 1000]],"")</f>
        <v>0.37880000000000003</v>
      </c>
      <c r="AV166" s="237">
        <v>5</v>
      </c>
      <c r="AW166" s="237"/>
      <c r="AX166" s="237">
        <f>+IF(BD_MO[[#This Row],[MINERAL (U-35)]]&lt;&gt;"",BD_MO[[#This Row],[MINERAL (U-35)]]*1.45,"-")</f>
        <v>7.25</v>
      </c>
      <c r="AY166" s="237" t="str">
        <f>+IF(BD_MO[[#This Row],[DESMONTE (U-35)]]&lt;&gt;"",BD_MO[[#This Row],[DESMONTE (U-35)]]*1.23,"-")</f>
        <v>-</v>
      </c>
      <c r="AZ166" s="237"/>
      <c r="BA166" s="237">
        <v>1</v>
      </c>
      <c r="BB166" s="237"/>
      <c r="BC166" s="237"/>
      <c r="BD166" s="237"/>
      <c r="BE166" s="237"/>
      <c r="BF166" s="237"/>
      <c r="BG166" s="237"/>
      <c r="BH166" s="237"/>
      <c r="BI166" s="237"/>
      <c r="BJ166" s="237">
        <v>3</v>
      </c>
      <c r="BK166" s="237"/>
      <c r="BL166" s="237"/>
      <c r="BM166" s="237"/>
      <c r="BN166" s="236"/>
      <c r="BO166" s="237"/>
      <c r="BP166" s="237"/>
      <c r="BQ166" s="236"/>
      <c r="BR166" s="237"/>
      <c r="BS166" s="236"/>
      <c r="BT166" s="241"/>
      <c r="BU166" s="237"/>
      <c r="BV166" s="237"/>
      <c r="BW166" s="237"/>
      <c r="BX166" s="237"/>
      <c r="BY166" s="237"/>
      <c r="BZ166" s="237"/>
      <c r="CA166" s="237"/>
      <c r="CB166" s="237"/>
      <c r="CC166" s="237"/>
      <c r="CD166" s="237"/>
      <c r="CE166" s="237"/>
      <c r="CF166" s="237"/>
      <c r="CG166" s="237"/>
      <c r="CH166" s="237"/>
      <c r="CI166" s="237"/>
      <c r="CJ166" s="237"/>
      <c r="CK166" s="237"/>
      <c r="CL166" s="237"/>
      <c r="CM166" s="237"/>
      <c r="CN166" s="237">
        <v>1</v>
      </c>
      <c r="CO166" s="237"/>
      <c r="CP166" s="241">
        <f>+IF(BD_MO[[#This Row],[FECHA]]&lt;&gt;"",BD_MO[[#This Row],[PUNTAL 4"]]+BD_MO[[#This Row],[PUNTAL 5"]]+BD_MO[[#This Row],[PUNTAL 6"]]+BD_MO[[#This Row],[PUNTAL 7"]]+BD_MO[[#This Row],[PUNTAL 8"]],"")</f>
        <v>1</v>
      </c>
      <c r="CQ166" s="237"/>
      <c r="CR166" s="237"/>
      <c r="CS166" s="237"/>
      <c r="CT166" s="237"/>
      <c r="CU166" s="237"/>
      <c r="CV166" s="237"/>
      <c r="CW166" s="237"/>
      <c r="CX166" s="237"/>
      <c r="CY166" s="241"/>
      <c r="CZ166" s="24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61.079000000000001</v>
      </c>
      <c r="DA166" s="241">
        <f>+IF(BD_MO[[#This Row],[FECHA]]&lt;&gt;"",BD_MO[[#This Row],[DURMIENTE2]]*6.561+BD_MO[[#This Row],[LISTONES]]*4.921+BD_MO[[#This Row],[TABLA 1"x8"x3m]]*6.561+BD_MO[[#This Row],[TABLA 2"x8"x3m]]*13.122,"")</f>
        <v>0</v>
      </c>
      <c r="DB166" s="241">
        <f>+IF(BD_MO[[#This Row],[FECHA]]&lt;&gt;"",BD_MO[[#This Row],[PIE2 MADERA ASERRADA]]*1.95,"")</f>
        <v>0</v>
      </c>
      <c r="DC166" s="241">
        <f>+IF(BD_MO[[#This Row],[FECHA]]&lt;&gt;"",BD_MO[[#This Row],[KG. MADERA REDONDA]]+BD_MO[[#This Row],[KG MADERA ASERRADA]],"")</f>
        <v>61.079000000000001</v>
      </c>
      <c r="DD166" s="24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166" s="237"/>
      <c r="DF166" s="237"/>
      <c r="DG166" s="237"/>
      <c r="DH166" s="237"/>
      <c r="DI166" s="245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66" s="245"/>
      <c r="DK166" s="245"/>
      <c r="DL166" s="245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0.23</v>
      </c>
      <c r="DM166" s="245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0.23920000000000002</v>
      </c>
      <c r="DN166" s="245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66" s="66">
        <f>1.76*BD_MO[[#This Row],[N° TALADROS]]</f>
        <v>1.76</v>
      </c>
      <c r="DP166" s="245"/>
      <c r="DQ166" s="245"/>
      <c r="DR166" s="116" t="str">
        <f>IF(BD_MO[[#This Row],[TIPO AVANCE]]="Avance",((BD_MO[[#This Row],[AVANCE (m)]]/BD_MO[[#This Row],[AVANCE TEÓRICO]]))," ")</f>
        <v xml:space="preserve"> </v>
      </c>
      <c r="DS166" s="230"/>
      <c r="DT166" s="230"/>
      <c r="DU166" s="230"/>
      <c r="DV166" s="230"/>
      <c r="DW166" s="230"/>
      <c r="DX166" s="231"/>
      <c r="DY166" s="231"/>
      <c r="DZ166" s="231"/>
    </row>
    <row r="167" spans="1:130" s="136" customFormat="1" ht="18" customHeight="1" x14ac:dyDescent="0.25">
      <c r="A167" s="168">
        <v>44661</v>
      </c>
      <c r="B167" s="169" t="s">
        <v>10655</v>
      </c>
      <c r="C167" s="169" t="s">
        <v>10680</v>
      </c>
      <c r="D167" s="170" t="s">
        <v>12164</v>
      </c>
      <c r="E167" s="171" t="str">
        <f>LEFT(BD_MO[[#This Row],[LABOR]],2)</f>
        <v>Tj</v>
      </c>
      <c r="F167" s="212" t="s">
        <v>10950</v>
      </c>
      <c r="G167" s="172" t="s">
        <v>10648</v>
      </c>
      <c r="H167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67" s="171" t="str">
        <f>IF(BD_MO[FECHA]&lt;&gt;"",VLOOKUP(BD_MO[LABOR],TB_CECO[[LABOR]:[CECO_T]],3,FALSE),"")</f>
        <v>VANESSA</v>
      </c>
      <c r="J167" s="171" t="str">
        <f>IF(BD_MO[FECHA]&lt;&gt;"",VLOOKUP(BD_MO[LABOR],D_CECO!B:H,7,FALSE),"")</f>
        <v>TAJO</v>
      </c>
      <c r="K167" s="171" t="str">
        <f>IF(BD_MO[FECHA]&lt;&gt;"",VLOOKUP(BD_MO[LABOR],D_CECO!B:H,4,FALSE),"")</f>
        <v>EXPLOTACION</v>
      </c>
      <c r="L167" s="171"/>
      <c r="M167" s="169" t="s">
        <v>10661</v>
      </c>
      <c r="N167" s="172"/>
      <c r="O167" s="173" t="s">
        <v>11910</v>
      </c>
      <c r="P167" s="93" t="s">
        <v>11912</v>
      </c>
      <c r="Q167" s="173"/>
      <c r="R167" s="174"/>
      <c r="S167" s="175" t="str">
        <f>IFERROR(VLOOKUP(BD_MO[DNI 4],#REF!,2,FALSE)," ")</f>
        <v xml:space="preserve"> </v>
      </c>
      <c r="T167" s="176">
        <f>+IF(BD_MO[[#This Row],[FECHA]]&lt;&gt;"",COUNTA(BD_MO[[#This Row],[DNI]],BD_MO[[#This Row],[DNI 2]],BD_MO[[#This Row],[DNI 3]],BD_MO[[#This Row],[DNI 4]]),"")</f>
        <v>2</v>
      </c>
      <c r="U167" s="176">
        <v>1</v>
      </c>
      <c r="V167" s="176">
        <v>0.2</v>
      </c>
      <c r="W167" s="176">
        <v>0.6</v>
      </c>
      <c r="X167" s="176">
        <v>0.2</v>
      </c>
      <c r="Y167" s="177">
        <f>SUM(BD_MO[[#This Row],[LIMP]:[SERV]])</f>
        <v>1.9999999999999998</v>
      </c>
      <c r="Z167" s="212" t="s">
        <v>12230</v>
      </c>
      <c r="AA167" s="172">
        <f>+IF(BD_MO[[#This Row],[N° VALE]]&lt;&gt;"",1,"")</f>
        <v>1</v>
      </c>
      <c r="AB167" s="40" t="s">
        <v>10644</v>
      </c>
      <c r="AC167" s="172">
        <v>4</v>
      </c>
      <c r="AD167" s="172">
        <f>+IF(BD_MO[[#This Row],[N° VALE]]&lt;&gt;"",BD_MO[[#This Row],[FULMINANTE N° 08]]+BD_MO[CARMEX 7''],"")</f>
        <v>2</v>
      </c>
      <c r="AE167" s="172"/>
      <c r="AF167" s="172">
        <f>+IF(BD_MO[[#This Row],[N° VALE]]&lt;&gt;"",BD_MO[[#This Row],[N° TALADROS]]+BD_MO[[#This Row],[N° TAL. VACIOS]],"")</f>
        <v>2</v>
      </c>
      <c r="AG167" s="178"/>
      <c r="AH167" s="178">
        <v>12</v>
      </c>
      <c r="AI167" s="178"/>
      <c r="AJ167" s="178"/>
      <c r="AK167" s="178">
        <v>2</v>
      </c>
      <c r="AL167" s="178">
        <v>3</v>
      </c>
      <c r="AM167" s="171"/>
      <c r="AN167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67" s="172">
        <f>+IF(BD_MO[[#This Row],[N° VALE]]&lt;&gt;"",IF(BD_MO[[#This Row],[FULMINANTE N° 08]]&lt;&gt;"",BD_MO[[#This Row],[FULMINANTE N° 08]],IF(BD_MO[[#This Row],[CARMEX 7'']]&lt;&gt;0,0,"")),"")</f>
        <v>0</v>
      </c>
      <c r="AP167" s="176">
        <f>+IF(BD_MO[[#This Row],[N° VALE]]&lt;&gt;"",BD_MO[[#This Row],[N°  TOTAL TALADROS]]*BD_MO[[#This Row],[BARRA]]*0.95,"")</f>
        <v>7.6</v>
      </c>
      <c r="AQ167" s="176">
        <f>+IF(BD_MO[[#This Row],[N° VALE]]&lt;&gt;"",BD_MO[[#This Row],[EMULNOR 1000 (N° CART.)]]*PE_EMUL_1000[PE],"")</f>
        <v>1.1364000000000001</v>
      </c>
      <c r="AR167" s="176">
        <f>+IF(BD_MO[[#This Row],[N° VALE]]&lt;&gt;"",BD_MO[[#This Row],[EMULNOR 3000 (N° CART.)]]*PE_EMUL_3000[PE],"")</f>
        <v>0</v>
      </c>
      <c r="AS167" s="176">
        <f>+IF(BD_MO[[#This Row],[N° VALE]]&lt;&gt;"",BD_MO[[#This Row],[PULVERULENTA (N° CART.)]]*PE_PULV_65[PE],"")</f>
        <v>0</v>
      </c>
      <c r="AT167" s="176">
        <f>+IF(BD_MO[[#This Row],[N° DISP]]&lt;&gt;"",BD_MO[[#This Row],[SEMIGELATINA (N° CART.)]]*PE_SEMIGEL_65[PE],"")</f>
        <v>0</v>
      </c>
      <c r="AU167" s="176">
        <f>+IF(BD_MO[N° VALE]&lt;&gt;"",BD_MO[[#This Row],[KG EXPLO SEMIGEL]]+BD_MO[[#This Row],[KG EXPLO PULVE]]+BD_MO[[#This Row],[KG EXPLO EMULN 3000]]+BD_MO[[#This Row],[KG EXPLO EMULN 1000]],"")</f>
        <v>1.1364000000000001</v>
      </c>
      <c r="AV167" s="172">
        <v>4</v>
      </c>
      <c r="AW167" s="172"/>
      <c r="AX167" s="172">
        <f>+IF(BD_MO[[#This Row],[MINERAL (U-35)]]&lt;&gt;"",BD_MO[[#This Row],[MINERAL (U-35)]]*1.45,"-")</f>
        <v>5.8</v>
      </c>
      <c r="AY167" s="172" t="str">
        <f>+IF(BD_MO[[#This Row],[DESMONTE (U-35)]]&lt;&gt;"",BD_MO[[#This Row],[DESMONTE (U-35)]]*1.23,"-")</f>
        <v>-</v>
      </c>
      <c r="AZ167" s="172"/>
      <c r="BA167" s="172"/>
      <c r="BB167" s="172"/>
      <c r="BC167" s="172"/>
      <c r="BD167" s="172"/>
      <c r="BE167" s="172"/>
      <c r="BF167" s="172"/>
      <c r="BG167" s="172"/>
      <c r="BH167" s="172"/>
      <c r="BI167" s="172">
        <v>1</v>
      </c>
      <c r="BJ167" s="172"/>
      <c r="BK167" s="172"/>
      <c r="BL167" s="172"/>
      <c r="BM167" s="172"/>
      <c r="BN167" s="171">
        <v>3</v>
      </c>
      <c r="BO167" s="172"/>
      <c r="BP167" s="172"/>
      <c r="BQ167" s="171">
        <v>2</v>
      </c>
      <c r="BR167" s="172"/>
      <c r="BS167" s="171"/>
      <c r="BT167" s="176"/>
      <c r="BU167" s="172"/>
      <c r="BV167" s="172">
        <v>1</v>
      </c>
      <c r="BW167" s="172">
        <v>2</v>
      </c>
      <c r="BX167" s="172"/>
      <c r="BY167" s="172"/>
      <c r="BZ167" s="172"/>
      <c r="CA167" s="172"/>
      <c r="CB167" s="172"/>
      <c r="CC167" s="172"/>
      <c r="CD167" s="172"/>
      <c r="CE167" s="172"/>
      <c r="CF167" s="172"/>
      <c r="CG167" s="172"/>
      <c r="CH167" s="172"/>
      <c r="CI167" s="172"/>
      <c r="CJ167" s="172"/>
      <c r="CK167" s="172"/>
      <c r="CL167" s="172">
        <v>2</v>
      </c>
      <c r="CM167" s="172">
        <v>2</v>
      </c>
      <c r="CN167" s="172">
        <v>4</v>
      </c>
      <c r="CO167" s="172"/>
      <c r="CP167" s="176">
        <f>+IF(BD_MO[[#This Row],[FECHA]]&lt;&gt;"",BD_MO[[#This Row],[PUNTAL 4"]]+BD_MO[[#This Row],[PUNTAL 5"]]+BD_MO[[#This Row],[PUNTAL 6"]]+BD_MO[[#This Row],[PUNTAL 7"]]+BD_MO[[#This Row],[PUNTAL 8"]],"")</f>
        <v>8</v>
      </c>
      <c r="CQ167" s="172"/>
      <c r="CR167" s="172"/>
      <c r="CS167" s="172">
        <v>2</v>
      </c>
      <c r="CT167" s="172"/>
      <c r="CU167" s="172"/>
      <c r="CV167" s="172"/>
      <c r="CW167" s="172"/>
      <c r="CX167" s="172"/>
      <c r="CY167" s="176"/>
      <c r="CZ167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445.59</v>
      </c>
      <c r="DA167" s="176">
        <f>+IF(BD_MO[[#This Row],[FECHA]]&lt;&gt;"",BD_MO[[#This Row],[DURMIENTE2]]*6.561+BD_MO[[#This Row],[LISTONES]]*4.921+BD_MO[[#This Row],[TABLA 1"x8"x3m]]*6.561+BD_MO[[#This Row],[TABLA 2"x8"x3m]]*13.122,"")</f>
        <v>0</v>
      </c>
      <c r="DB167" s="176">
        <f>+IF(BD_MO[[#This Row],[FECHA]]&lt;&gt;"",BD_MO[[#This Row],[PIE2 MADERA ASERRADA]]*1.95,"")</f>
        <v>0</v>
      </c>
      <c r="DC167" s="176">
        <f>+IF(BD_MO[[#This Row],[FECHA]]&lt;&gt;"",BD_MO[[#This Row],[KG. MADERA REDONDA]]+BD_MO[[#This Row],[KG MADERA ASERRADA]],"")</f>
        <v>445.59</v>
      </c>
      <c r="DD167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166.98000000000002</v>
      </c>
      <c r="DE167" s="172"/>
      <c r="DF167" s="172"/>
      <c r="DG167" s="172"/>
      <c r="DH167" s="172"/>
      <c r="DI167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67" s="180"/>
      <c r="DK167" s="180"/>
      <c r="DL167" s="18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0.47</v>
      </c>
      <c r="DM167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0.48880000000000001</v>
      </c>
      <c r="DN167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67" s="66">
        <f>0.83*BD_MO[[#This Row],[N° TALADROS]]</f>
        <v>1.66</v>
      </c>
      <c r="DP167" s="56">
        <f>+IF(BD_MO[[#This Row],[M o D]]&lt;&gt;"",IF(BD_MO[[#This Row],[M o D]]="M",BD_MO[[#This Row],[ROTURA TMH]]/2.65,BD_MO[[#This Row],[ROTURA TMH]]/2.4),"")</f>
        <v>0.62641509433962261</v>
      </c>
      <c r="DQ167" s="180"/>
      <c r="DR167" s="116" t="str">
        <f>IF(BD_MO[[#This Row],[TIPO AVANCE]]="Avance",((BD_MO[[#This Row],[AVANCE (m)]]/BD_MO[[#This Row],[AVANCE TEÓRICO]]))," ")</f>
        <v xml:space="preserve"> </v>
      </c>
      <c r="DS167" s="134"/>
      <c r="DT167" s="134"/>
      <c r="DU167" s="134"/>
      <c r="DV167" s="134"/>
      <c r="DW167" s="134"/>
      <c r="DX167" s="135"/>
      <c r="DY167" s="135"/>
      <c r="DZ167" s="135"/>
    </row>
    <row r="168" spans="1:130" s="136" customFormat="1" ht="18" customHeight="1" x14ac:dyDescent="0.25">
      <c r="A168" s="168">
        <v>44661</v>
      </c>
      <c r="B168" s="169" t="s">
        <v>10655</v>
      </c>
      <c r="C168" s="169" t="s">
        <v>10680</v>
      </c>
      <c r="D168" s="170" t="s">
        <v>12149</v>
      </c>
      <c r="E168" s="171" t="str">
        <f>LEFT(BD_MO[[#This Row],[LABOR]],2)</f>
        <v>Es</v>
      </c>
      <c r="F168" s="212" t="s">
        <v>10687</v>
      </c>
      <c r="G168" s="172" t="s">
        <v>10648</v>
      </c>
      <c r="H168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68" s="171" t="str">
        <f>IF(BD_MO[FECHA]&lt;&gt;"",VLOOKUP(BD_MO[LABOR],TB_CECO[[LABOR]:[CECO_T]],3,FALSE),"")</f>
        <v>VANESSA</v>
      </c>
      <c r="J168" s="171" t="str">
        <f>IF(BD_MO[FECHA]&lt;&gt;"",VLOOKUP(BD_MO[LABOR],D_CECO!B:H,7,FALSE),"")</f>
        <v>LINEAL</v>
      </c>
      <c r="K168" s="171" t="str">
        <f>IF(BD_MO[FECHA]&lt;&gt;"",VLOOKUP(BD_MO[LABOR],D_CECO!B:H,4,FALSE),"")</f>
        <v>EXPLORACION</v>
      </c>
      <c r="L168" s="171"/>
      <c r="M168" s="40" t="s">
        <v>10646</v>
      </c>
      <c r="N168" s="172"/>
      <c r="O168" s="93" t="s">
        <v>11904</v>
      </c>
      <c r="P168" s="93" t="s">
        <v>11926</v>
      </c>
      <c r="Q168" s="93" t="s">
        <v>12151</v>
      </c>
      <c r="R168" s="174"/>
      <c r="S168" s="175" t="str">
        <f>IFERROR(VLOOKUP(BD_MO[DNI 4],#REF!,2,FALSE)," ")</f>
        <v xml:space="preserve"> </v>
      </c>
      <c r="T168" s="176">
        <f>+IF(BD_MO[[#This Row],[FECHA]]&lt;&gt;"",COUNTA(BD_MO[[#This Row],[DNI]],BD_MO[[#This Row],[DNI 2]],BD_MO[[#This Row],[DNI 3]],BD_MO[[#This Row],[DNI 4]]),"")</f>
        <v>3</v>
      </c>
      <c r="U168" s="176"/>
      <c r="V168" s="176">
        <v>0.4</v>
      </c>
      <c r="W168" s="176">
        <v>1</v>
      </c>
      <c r="X168" s="176">
        <v>0.6</v>
      </c>
      <c r="Y168" s="177">
        <f>SUM(BD_MO[[#This Row],[LIMP]:[SERV]])</f>
        <v>2</v>
      </c>
      <c r="Z168" s="212" t="s">
        <v>12231</v>
      </c>
      <c r="AA168" s="172">
        <f>+IF(BD_MO[[#This Row],[N° VALE]]&lt;&gt;"",1,"")</f>
        <v>1</v>
      </c>
      <c r="AB168" s="169" t="s">
        <v>10709</v>
      </c>
      <c r="AC168" s="172">
        <v>5</v>
      </c>
      <c r="AD168" s="172">
        <f>+IF(BD_MO[[#This Row],[N° VALE]]&lt;&gt;"",BD_MO[[#This Row],[FULMINANTE N° 08]]+BD_MO[CARMEX 7''],"")</f>
        <v>22</v>
      </c>
      <c r="AE168" s="172"/>
      <c r="AF168" s="172">
        <f>+IF(BD_MO[[#This Row],[N° VALE]]&lt;&gt;"",BD_MO[[#This Row],[N° TALADROS]]+BD_MO[[#This Row],[N° TAL. VACIOS]],"")</f>
        <v>22</v>
      </c>
      <c r="AG168" s="178">
        <v>52</v>
      </c>
      <c r="AH168" s="178">
        <v>70</v>
      </c>
      <c r="AI168" s="178"/>
      <c r="AJ168" s="178"/>
      <c r="AK168" s="178">
        <v>22</v>
      </c>
      <c r="AL168" s="178">
        <v>4</v>
      </c>
      <c r="AM168" s="171"/>
      <c r="AN168" s="17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68" s="172">
        <f>+IF(BD_MO[[#This Row],[N° VALE]]&lt;&gt;"",IF(BD_MO[[#This Row],[FULMINANTE N° 08]]&lt;&gt;"",BD_MO[[#This Row],[FULMINANTE N° 08]],IF(BD_MO[[#This Row],[CARMEX 7'']]&lt;&gt;0,0,"")),"")</f>
        <v>0</v>
      </c>
      <c r="AP168" s="176">
        <f>+IF(BD_MO[[#This Row],[N° VALE]]&lt;&gt;"",BD_MO[[#This Row],[N°  TOTAL TALADROS]]*BD_MO[[#This Row],[BARRA]]*0.95,"")</f>
        <v>104.5</v>
      </c>
      <c r="AQ168" s="176">
        <f>+IF(BD_MO[[#This Row],[N° VALE]]&lt;&gt;"",BD_MO[[#This Row],[EMULNOR 1000 (N° CART.)]]*PE_EMUL_1000[PE],"")</f>
        <v>6.6290000000000004</v>
      </c>
      <c r="AR168" s="176">
        <f>+IF(BD_MO[[#This Row],[N° VALE]]&lt;&gt;"",BD_MO[[#This Row],[EMULNOR 3000 (N° CART.)]]*PE_EMUL_3000[PE],"")</f>
        <v>5.0000000000000027</v>
      </c>
      <c r="AS168" s="176">
        <f>+IF(BD_MO[[#This Row],[N° VALE]]&lt;&gt;"",BD_MO[[#This Row],[PULVERULENTA (N° CART.)]]*PE_PULV_65[PE],"")</f>
        <v>0</v>
      </c>
      <c r="AT168" s="176">
        <f>+IF(BD_MO[[#This Row],[N° DISP]]&lt;&gt;"",BD_MO[[#This Row],[SEMIGELATINA (N° CART.)]]*PE_SEMIGEL_65[PE],"")</f>
        <v>0</v>
      </c>
      <c r="AU168" s="176">
        <f>+IF(BD_MO[N° VALE]&lt;&gt;"",BD_MO[[#This Row],[KG EXPLO SEMIGEL]]+BD_MO[[#This Row],[KG EXPLO PULVE]]+BD_MO[[#This Row],[KG EXPLO EMULN 3000]]+BD_MO[[#This Row],[KG EXPLO EMULN 1000]],"")</f>
        <v>11.629000000000003</v>
      </c>
      <c r="AV168" s="172"/>
      <c r="AW168" s="172"/>
      <c r="AX168" s="172" t="str">
        <f>+IF(BD_MO[[#This Row],[MINERAL (U-35)]]&lt;&gt;"",BD_MO[[#This Row],[MINERAL (U-35)]]*1.45,"-")</f>
        <v>-</v>
      </c>
      <c r="AY168" s="172" t="str">
        <f>+IF(BD_MO[[#This Row],[DESMONTE (U-35)]]&lt;&gt;"",BD_MO[[#This Row],[DESMONTE (U-35)]]*1.23,"-")</f>
        <v>-</v>
      </c>
      <c r="AZ168" s="172"/>
      <c r="BA168" s="172"/>
      <c r="BB168" s="172"/>
      <c r="BC168" s="172"/>
      <c r="BD168" s="172"/>
      <c r="BE168" s="172"/>
      <c r="BF168" s="172"/>
      <c r="BG168" s="172"/>
      <c r="BH168" s="172"/>
      <c r="BI168" s="172"/>
      <c r="BJ168" s="172"/>
      <c r="BK168" s="172"/>
      <c r="BL168" s="172"/>
      <c r="BM168" s="172"/>
      <c r="BN168" s="171"/>
      <c r="BO168" s="172"/>
      <c r="BP168" s="172"/>
      <c r="BQ168" s="171"/>
      <c r="BR168" s="172"/>
      <c r="BS168" s="171"/>
      <c r="BT168" s="176"/>
      <c r="BU168" s="172"/>
      <c r="BV168" s="172"/>
      <c r="BW168" s="172"/>
      <c r="BX168" s="172">
        <v>15</v>
      </c>
      <c r="BY168" s="172"/>
      <c r="BZ168" s="172"/>
      <c r="CA168" s="172"/>
      <c r="CB168" s="172"/>
      <c r="CC168" s="172">
        <v>14</v>
      </c>
      <c r="CD168" s="172"/>
      <c r="CE168" s="172"/>
      <c r="CF168" s="172"/>
      <c r="CG168" s="172"/>
      <c r="CH168" s="172"/>
      <c r="CI168" s="172"/>
      <c r="CJ168" s="172"/>
      <c r="CK168" s="172"/>
      <c r="CL168" s="172"/>
      <c r="CM168" s="172"/>
      <c r="CN168" s="172"/>
      <c r="CO168" s="172"/>
      <c r="CP168" s="176">
        <f>+IF(BD_MO[[#This Row],[FECHA]]&lt;&gt;"",BD_MO[[#This Row],[PUNTAL 4"]]+BD_MO[[#This Row],[PUNTAL 5"]]+BD_MO[[#This Row],[PUNTAL 6"]]+BD_MO[[#This Row],[PUNTAL 7"]]+BD_MO[[#This Row],[PUNTAL 8"]],"")</f>
        <v>0</v>
      </c>
      <c r="CQ168" s="172"/>
      <c r="CR168" s="172"/>
      <c r="CS168" s="172"/>
      <c r="CT168" s="172"/>
      <c r="CU168" s="172"/>
      <c r="CV168" s="172"/>
      <c r="CW168" s="172"/>
      <c r="CX168" s="172"/>
      <c r="CY168" s="176"/>
      <c r="CZ168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68" s="176">
        <f>+IF(BD_MO[[#This Row],[FECHA]]&lt;&gt;"",BD_MO[[#This Row],[DURMIENTE2]]*6.561+BD_MO[[#This Row],[LISTONES]]*4.921+BD_MO[[#This Row],[TABLA 1"x8"x3m]]*6.561+BD_MO[[#This Row],[TABLA 2"x8"x3m]]*13.122,"")</f>
        <v>0</v>
      </c>
      <c r="DB168" s="176">
        <f>+IF(BD_MO[[#This Row],[FECHA]]&lt;&gt;"",BD_MO[[#This Row],[PIE2 MADERA ASERRADA]]*1.95,"")</f>
        <v>0</v>
      </c>
      <c r="DC168" s="176">
        <f>+IF(BD_MO[[#This Row],[FECHA]]&lt;&gt;"",BD_MO[[#This Row],[KG. MADERA REDONDA]]+BD_MO[[#This Row],[KG MADERA ASERRADA]],"")</f>
        <v>0</v>
      </c>
      <c r="DD168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68" s="172"/>
      <c r="DF168" s="172"/>
      <c r="DG168" s="172"/>
      <c r="DH168" s="172"/>
      <c r="DI168" s="18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168" s="180"/>
      <c r="DK168" s="180"/>
      <c r="DL168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68" s="18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168" s="18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68" s="181">
        <f>0.3154597*BD_MO[[#This Row],[N°  TOTAL TALADROS]]</f>
        <v>6.9401134000000004</v>
      </c>
      <c r="DP168" s="180">
        <f>+IF(BD_MO[[#This Row],[M o D]]&lt;&gt;"",IF(BD_MO[[#This Row],[M o D]]="M",BD_MO[[#This Row],[ROTURA TMH]]/2.65,BD_MO[[#This Row],[ROTURA TMH]]/2.4),"")</f>
        <v>2.8917139166666668</v>
      </c>
      <c r="DQ168" s="180">
        <v>1.34</v>
      </c>
      <c r="DR168" s="116">
        <f>IF(BD_MO[[#This Row],[TIPO AVANCE]]="Avance",((BD_MO[[#This Row],[AVANCE (m)]]/BD_MO[[#This Row],[AVANCE TEÓRICO]]))," ")</f>
        <v>0.99259259259259258</v>
      </c>
      <c r="DS168" s="134"/>
      <c r="DT168" s="134"/>
      <c r="DU168" s="134"/>
      <c r="DV168" s="134"/>
      <c r="DW168" s="134"/>
      <c r="DX168" s="135"/>
      <c r="DY168" s="135"/>
      <c r="DZ168" s="135"/>
    </row>
    <row r="169" spans="1:130" s="136" customFormat="1" ht="18" customHeight="1" x14ac:dyDescent="0.25">
      <c r="A169" s="168">
        <v>44661</v>
      </c>
      <c r="B169" s="169" t="s">
        <v>10655</v>
      </c>
      <c r="C169" s="169" t="s">
        <v>10680</v>
      </c>
      <c r="D169" s="170" t="s">
        <v>11806</v>
      </c>
      <c r="E169" s="171" t="str">
        <f>LEFT(BD_MO[[#This Row],[LABOR]],2)</f>
        <v>CX</v>
      </c>
      <c r="F169" s="172"/>
      <c r="G169" s="172" t="s">
        <v>10662</v>
      </c>
      <c r="H169" s="17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169" s="171" t="str">
        <f>IF(BD_MO[FECHA]&lt;&gt;"",VLOOKUP(BD_MO[LABOR],TB_CECO[[LABOR]:[CECO_T]],3,FALSE),"")</f>
        <v>CACHORRO</v>
      </c>
      <c r="J169" s="171" t="str">
        <f>IF(BD_MO[FECHA]&lt;&gt;"",VLOOKUP(BD_MO[LABOR],D_CECO!B:H,7,FALSE),"")</f>
        <v>LINEAL</v>
      </c>
      <c r="K169" s="171" t="str">
        <f>IF(BD_MO[FECHA]&lt;&gt;"",VLOOKUP(BD_MO[LABOR],D_CECO!B:H,4,FALSE),"")</f>
        <v>EXPLORACION</v>
      </c>
      <c r="L169" s="171"/>
      <c r="M169" s="169"/>
      <c r="N169" s="172"/>
      <c r="O169" s="93" t="s">
        <v>11911</v>
      </c>
      <c r="P169" s="93" t="s">
        <v>11913</v>
      </c>
      <c r="Q169" s="93"/>
      <c r="R169" s="174"/>
      <c r="S169" s="175" t="str">
        <f>IFERROR(VLOOKUP(BD_MO[DNI 4],#REF!,2,FALSE)," ")</f>
        <v xml:space="preserve"> </v>
      </c>
      <c r="T169" s="176">
        <f>+IF(BD_MO[[#This Row],[FECHA]]&lt;&gt;"",COUNTA(BD_MO[[#This Row],[DNI]],BD_MO[[#This Row],[DNI 2]],BD_MO[[#This Row],[DNI 3]],BD_MO[[#This Row],[DNI 4]]),"")</f>
        <v>2</v>
      </c>
      <c r="U169" s="176">
        <v>0.4</v>
      </c>
      <c r="V169" s="176"/>
      <c r="W169" s="176">
        <v>1</v>
      </c>
      <c r="X169" s="176">
        <v>0.6</v>
      </c>
      <c r="Y169" s="177">
        <f>SUM(BD_MO[[#This Row],[LIMP]:[SERV]])</f>
        <v>2</v>
      </c>
      <c r="Z169" s="172"/>
      <c r="AA169" s="172" t="str">
        <f>+IF(BD_MO[[#This Row],[N° VALE]]&lt;&gt;"",1,"")</f>
        <v/>
      </c>
      <c r="AB169" s="169"/>
      <c r="AC169" s="172"/>
      <c r="AD169" s="172" t="str">
        <f>+IF(BD_MO[[#This Row],[N° VALE]]&lt;&gt;"",BD_MO[[#This Row],[FULMINANTE N° 08]]+BD_MO[CARMEX 7''],"")</f>
        <v/>
      </c>
      <c r="AE169" s="172"/>
      <c r="AF169" s="172" t="str">
        <f>+IF(BD_MO[[#This Row],[N° VALE]]&lt;&gt;"",BD_MO[[#This Row],[N° TALADROS]]+BD_MO[[#This Row],[N° TAL. VACIOS]],"")</f>
        <v/>
      </c>
      <c r="AG169" s="178"/>
      <c r="AH169" s="178"/>
      <c r="AI169" s="178"/>
      <c r="AJ169" s="178"/>
      <c r="AK169" s="178"/>
      <c r="AL169" s="178"/>
      <c r="AM169" s="171"/>
      <c r="AN169" s="1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69" s="172" t="str">
        <f>+IF(BD_MO[[#This Row],[N° VALE]]&lt;&gt;"",IF(BD_MO[[#This Row],[FULMINANTE N° 08]]&lt;&gt;"",BD_MO[[#This Row],[FULMINANTE N° 08]],IF(BD_MO[[#This Row],[CARMEX 7'']]&lt;&gt;0,0,"")),"")</f>
        <v/>
      </c>
      <c r="AP169" s="176" t="str">
        <f>+IF(BD_MO[[#This Row],[N° VALE]]&lt;&gt;"",BD_MO[[#This Row],[N°  TOTAL TALADROS]]*BD_MO[[#This Row],[BARRA]]*0.95,"")</f>
        <v/>
      </c>
      <c r="AQ169" s="176" t="str">
        <f>+IF(BD_MO[[#This Row],[N° VALE]]&lt;&gt;"",BD_MO[[#This Row],[EMULNOR 1000 (N° CART.)]]*PE_EMUL_1000[PE],"")</f>
        <v/>
      </c>
      <c r="AR169" s="176" t="str">
        <f>+IF(BD_MO[[#This Row],[N° VALE]]&lt;&gt;"",BD_MO[[#This Row],[EMULNOR 3000 (N° CART.)]]*PE_EMUL_3000[PE],"")</f>
        <v/>
      </c>
      <c r="AS169" s="176" t="str">
        <f>+IF(BD_MO[[#This Row],[N° VALE]]&lt;&gt;"",BD_MO[[#This Row],[PULVERULENTA (N° CART.)]]*PE_PULV_65[PE],"")</f>
        <v/>
      </c>
      <c r="AT169" s="176" t="str">
        <f>+IF(BD_MO[[#This Row],[N° DISP]]&lt;&gt;"",BD_MO[[#This Row],[SEMIGELATINA (N° CART.)]]*PE_SEMIGEL_65[PE],"")</f>
        <v/>
      </c>
      <c r="AU169" s="176" t="str">
        <f>+IF(BD_MO[N° VALE]&lt;&gt;"",BD_MO[[#This Row],[KG EXPLO SEMIGEL]]+BD_MO[[#This Row],[KG EXPLO PULVE]]+BD_MO[[#This Row],[KG EXPLO EMULN 3000]]+BD_MO[[#This Row],[KG EXPLO EMULN 1000]],"")</f>
        <v/>
      </c>
      <c r="AV169" s="172"/>
      <c r="AW169" s="172">
        <v>2</v>
      </c>
      <c r="AX169" s="172" t="str">
        <f>+IF(BD_MO[[#This Row],[MINERAL (U-35)]]&lt;&gt;"",BD_MO[[#This Row],[MINERAL (U-35)]]*1.45,"-")</f>
        <v>-</v>
      </c>
      <c r="AY169" s="172">
        <f>+IF(BD_MO[[#This Row],[DESMONTE (U-35)]]&lt;&gt;"",BD_MO[[#This Row],[DESMONTE (U-35)]]*1.23,"-")</f>
        <v>2.46</v>
      </c>
      <c r="AZ169" s="172"/>
      <c r="BA169" s="172"/>
      <c r="BB169" s="172"/>
      <c r="BC169" s="172"/>
      <c r="BD169" s="172"/>
      <c r="BE169" s="172"/>
      <c r="BF169" s="172">
        <v>1</v>
      </c>
      <c r="BG169" s="172">
        <v>2</v>
      </c>
      <c r="BH169" s="172"/>
      <c r="BI169" s="172"/>
      <c r="BJ169" s="172"/>
      <c r="BK169" s="172"/>
      <c r="BL169" s="172"/>
      <c r="BM169" s="172"/>
      <c r="BN169" s="171"/>
      <c r="BO169" s="172"/>
      <c r="BP169" s="172"/>
      <c r="BQ169" s="171"/>
      <c r="BR169" s="172"/>
      <c r="BS169" s="171"/>
      <c r="BT169" s="176">
        <v>5</v>
      </c>
      <c r="BU169" s="172"/>
      <c r="BV169" s="172"/>
      <c r="BW169" s="172"/>
      <c r="BX169" s="172"/>
      <c r="BY169" s="172"/>
      <c r="BZ169" s="172"/>
      <c r="CA169" s="172"/>
      <c r="CB169" s="172"/>
      <c r="CC169" s="172"/>
      <c r="CD169" s="172"/>
      <c r="CE169" s="172"/>
      <c r="CF169" s="172"/>
      <c r="CG169" s="172"/>
      <c r="CH169" s="172"/>
      <c r="CI169" s="172"/>
      <c r="CJ169" s="172"/>
      <c r="CK169" s="172"/>
      <c r="CL169" s="172">
        <v>1</v>
      </c>
      <c r="CM169" s="172">
        <v>2</v>
      </c>
      <c r="CN169" s="172"/>
      <c r="CO169" s="172">
        <v>1</v>
      </c>
      <c r="CP169" s="176">
        <f>+IF(BD_MO[[#This Row],[FECHA]]&lt;&gt;"",BD_MO[[#This Row],[PUNTAL 4"]]+BD_MO[[#This Row],[PUNTAL 5"]]+BD_MO[[#This Row],[PUNTAL 6"]]+BD_MO[[#This Row],[PUNTAL 7"]]+BD_MO[[#This Row],[PUNTAL 8"]],"")</f>
        <v>4</v>
      </c>
      <c r="CQ169" s="172"/>
      <c r="CR169" s="172"/>
      <c r="CS169" s="172">
        <v>13</v>
      </c>
      <c r="CT169" s="172"/>
      <c r="CU169" s="172"/>
      <c r="CV169" s="172"/>
      <c r="CW169" s="172"/>
      <c r="CX169" s="172"/>
      <c r="CY169" s="176"/>
      <c r="CZ169" s="17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520.48700000000008</v>
      </c>
      <c r="DA169" s="176">
        <f>+IF(BD_MO[[#This Row],[FECHA]]&lt;&gt;"",BD_MO[[#This Row],[DURMIENTE2]]*6.561+BD_MO[[#This Row],[LISTONES]]*4.921+BD_MO[[#This Row],[TABLA 1"x8"x3m]]*6.561+BD_MO[[#This Row],[TABLA 2"x8"x3m]]*13.122,"")</f>
        <v>0</v>
      </c>
      <c r="DB169" s="176">
        <f>+IF(BD_MO[[#This Row],[FECHA]]&lt;&gt;"",BD_MO[[#This Row],[PIE2 MADERA ASERRADA]]*1.95,"")</f>
        <v>0</v>
      </c>
      <c r="DC169" s="176">
        <f>+IF(BD_MO[[#This Row],[FECHA]]&lt;&gt;"",BD_MO[[#This Row],[KG. MADERA REDONDA]]+BD_MO[[#This Row],[KG MADERA ASERRADA]],"")</f>
        <v>520.48700000000008</v>
      </c>
      <c r="DD169" s="17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230.96999999999997</v>
      </c>
      <c r="DE169" s="172"/>
      <c r="DF169" s="172"/>
      <c r="DG169" s="172"/>
      <c r="DH169" s="172"/>
      <c r="DI169" s="18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69" s="180"/>
      <c r="DK169" s="180"/>
      <c r="DL169" s="18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69" s="18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69" s="18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69" s="181"/>
      <c r="DP169" s="180" t="str">
        <f>+IF(BD_MO[[#This Row],[M o D]]&lt;&gt;"",IF(BD_MO[[#This Row],[M o D]]="M",BD_MO[[#This Row],[ROTURA TMH]]/2.65,BD_MO[[#This Row],[ROTURA TMH]]/2.4),"")</f>
        <v/>
      </c>
      <c r="DQ169" s="180"/>
      <c r="DR169" s="116" t="str">
        <f>IF(BD_MO[[#This Row],[TIPO AVANCE]]="Avance",((BD_MO[[#This Row],[AVANCE (m)]]/BD_MO[[#This Row],[AVANCE TEÓRICO]]))," ")</f>
        <v xml:space="preserve"> </v>
      </c>
      <c r="DS169" s="134"/>
      <c r="DT169" s="134"/>
      <c r="DU169" s="134"/>
      <c r="DV169" s="134"/>
      <c r="DW169" s="134"/>
      <c r="DX169" s="135"/>
      <c r="DY169" s="135"/>
      <c r="DZ169" s="135"/>
    </row>
    <row r="170" spans="1:130" ht="18" customHeight="1" x14ac:dyDescent="0.25">
      <c r="A170" s="168">
        <v>44661</v>
      </c>
      <c r="B170" s="169" t="s">
        <v>10655</v>
      </c>
      <c r="C170" s="169" t="s">
        <v>10680</v>
      </c>
      <c r="D170" s="213" t="s">
        <v>10952</v>
      </c>
      <c r="E170" s="214" t="str">
        <f>LEFT(BD_MO[[#This Row],[LABOR]],2)</f>
        <v>In</v>
      </c>
      <c r="F170" s="215"/>
      <c r="G170" s="215" t="s">
        <v>10669</v>
      </c>
      <c r="H170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70" s="214" t="str">
        <f>IF(BD_MO[FECHA]&lt;&gt;"",VLOOKUP(BD_MO[LABOR],TB_CECO[[LABOR]:[CECO_T]],3,FALSE),"")</f>
        <v>VANESSA</v>
      </c>
      <c r="J170" s="214" t="str">
        <f>IF(BD_MO[FECHA]&lt;&gt;"",VLOOKUP(BD_MO[LABOR],D_CECO!B:H,7,FALSE),"")</f>
        <v>LINEAL</v>
      </c>
      <c r="K170" s="214" t="str">
        <f>IF(BD_MO[FECHA]&lt;&gt;"",VLOOKUP(BD_MO[LABOR],D_CECO!B:H,4,FALSE),"")</f>
        <v>EXPLORACION</v>
      </c>
      <c r="L170" s="214"/>
      <c r="M170" s="216"/>
      <c r="N170" s="215"/>
      <c r="O170" s="93" t="s">
        <v>11925</v>
      </c>
      <c r="P170" s="93" t="s">
        <v>11906</v>
      </c>
      <c r="Q170" s="173"/>
      <c r="R170" s="217"/>
      <c r="S170" s="218" t="str">
        <f>IFERROR(VLOOKUP(BD_MO[DNI 4],#REF!,2,FALSE)," ")</f>
        <v xml:space="preserve"> </v>
      </c>
      <c r="T170" s="219">
        <f>+IF(BD_MO[[#This Row],[FECHA]]&lt;&gt;"",COUNTA(BD_MO[[#This Row],[DNI]],BD_MO[[#This Row],[DNI 2]],BD_MO[[#This Row],[DNI 3]],BD_MO[[#This Row],[DNI 4]]),"")</f>
        <v>2</v>
      </c>
      <c r="U170" s="219"/>
      <c r="V170" s="219"/>
      <c r="W170" s="219"/>
      <c r="X170" s="219">
        <v>2</v>
      </c>
      <c r="Y170" s="177">
        <f>SUM(BD_MO[[#This Row],[LIMP]:[SERV]])</f>
        <v>2</v>
      </c>
      <c r="Z170" s="215"/>
      <c r="AA170" s="215" t="str">
        <f>+IF(BD_MO[[#This Row],[N° VALE]]&lt;&gt;"",1,"")</f>
        <v/>
      </c>
      <c r="AB170" s="169"/>
      <c r="AC170" s="215"/>
      <c r="AD170" s="215" t="str">
        <f>+IF(BD_MO[[#This Row],[N° VALE]]&lt;&gt;"",BD_MO[[#This Row],[FULMINANTE N° 08]]+BD_MO[CARMEX 7''],"")</f>
        <v/>
      </c>
      <c r="AE170" s="215"/>
      <c r="AF170" s="215" t="str">
        <f>+IF(BD_MO[[#This Row],[N° VALE]]&lt;&gt;"",BD_MO[[#This Row],[N° TALADROS]]+BD_MO[[#This Row],[N° TAL. VACIOS]],"")</f>
        <v/>
      </c>
      <c r="AG170" s="220"/>
      <c r="AH170" s="220"/>
      <c r="AI170" s="220"/>
      <c r="AJ170" s="220"/>
      <c r="AK170" s="220"/>
      <c r="AL170" s="220"/>
      <c r="AM170" s="214"/>
      <c r="AN170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70" s="215" t="str">
        <f>+IF(BD_MO[[#This Row],[N° VALE]]&lt;&gt;"",IF(BD_MO[[#This Row],[FULMINANTE N° 08]]&lt;&gt;"",BD_MO[[#This Row],[FULMINANTE N° 08]],IF(BD_MO[[#This Row],[CARMEX 7'']]&lt;&gt;0,0,"")),"")</f>
        <v/>
      </c>
      <c r="AP170" s="219" t="str">
        <f>+IF(BD_MO[[#This Row],[N° VALE]]&lt;&gt;"",BD_MO[[#This Row],[N°  TOTAL TALADROS]]*BD_MO[[#This Row],[BARRA]]*0.95,"")</f>
        <v/>
      </c>
      <c r="AQ170" s="219" t="str">
        <f>+IF(BD_MO[[#This Row],[N° VALE]]&lt;&gt;"",BD_MO[[#This Row],[EMULNOR 1000 (N° CART.)]]*PE_EMUL_1000[PE],"")</f>
        <v/>
      </c>
      <c r="AR170" s="219" t="str">
        <f>+IF(BD_MO[[#This Row],[N° VALE]]&lt;&gt;"",BD_MO[[#This Row],[EMULNOR 3000 (N° CART.)]]*PE_EMUL_3000[PE],"")</f>
        <v/>
      </c>
      <c r="AS170" s="219" t="str">
        <f>+IF(BD_MO[[#This Row],[N° VALE]]&lt;&gt;"",BD_MO[[#This Row],[PULVERULENTA (N° CART.)]]*PE_PULV_65[PE],"")</f>
        <v/>
      </c>
      <c r="AT170" s="219" t="str">
        <f>+IF(BD_MO[[#This Row],[N° DISP]]&lt;&gt;"",BD_MO[[#This Row],[SEMIGELATINA (N° CART.)]]*PE_SEMIGEL_65[PE],"")</f>
        <v/>
      </c>
      <c r="AU170" s="219" t="str">
        <f>+IF(BD_MO[N° VALE]&lt;&gt;"",BD_MO[[#This Row],[KG EXPLO SEMIGEL]]+BD_MO[[#This Row],[KG EXPLO PULVE]]+BD_MO[[#This Row],[KG EXPLO EMULN 3000]]+BD_MO[[#This Row],[KG EXPLO EMULN 1000]],"")</f>
        <v/>
      </c>
      <c r="AV170" s="215"/>
      <c r="AW170" s="215"/>
      <c r="AX170" s="215" t="str">
        <f>+IF(BD_MO[[#This Row],[MINERAL (U-35)]]&lt;&gt;"",BD_MO[[#This Row],[MINERAL (U-35)]]*1.45,"-")</f>
        <v>-</v>
      </c>
      <c r="AY170" s="215" t="str">
        <f>+IF(BD_MO[[#This Row],[DESMONTE (U-35)]]&lt;&gt;"",BD_MO[[#This Row],[DESMONTE (U-35)]]*1.23,"-")</f>
        <v>-</v>
      </c>
      <c r="AZ170" s="215"/>
      <c r="BA170" s="215"/>
      <c r="BB170" s="215"/>
      <c r="BC170" s="215"/>
      <c r="BD170" s="215"/>
      <c r="BE170" s="215"/>
      <c r="BF170" s="215"/>
      <c r="BG170" s="215"/>
      <c r="BH170" s="215"/>
      <c r="BI170" s="215"/>
      <c r="BJ170" s="215"/>
      <c r="BK170" s="215"/>
      <c r="BL170" s="215"/>
      <c r="BM170" s="215"/>
      <c r="BN170" s="214"/>
      <c r="BO170" s="215"/>
      <c r="BP170" s="215"/>
      <c r="BQ170" s="214"/>
      <c r="BR170" s="215"/>
      <c r="BS170" s="214"/>
      <c r="BT170" s="219"/>
      <c r="BU170" s="215"/>
      <c r="BV170" s="215"/>
      <c r="BW170" s="215"/>
      <c r="BX170" s="215"/>
      <c r="BY170" s="215"/>
      <c r="BZ170" s="215"/>
      <c r="CA170" s="215"/>
      <c r="CB170" s="215"/>
      <c r="CC170" s="215"/>
      <c r="CD170" s="215"/>
      <c r="CE170" s="215"/>
      <c r="CF170" s="215"/>
      <c r="CG170" s="215"/>
      <c r="CH170" s="215"/>
      <c r="CI170" s="215"/>
      <c r="CJ170" s="215"/>
      <c r="CK170" s="215"/>
      <c r="CL170" s="215"/>
      <c r="CM170" s="215"/>
      <c r="CN170" s="215"/>
      <c r="CO170" s="215"/>
      <c r="CP170" s="219">
        <f>+IF(BD_MO[[#This Row],[FECHA]]&lt;&gt;"",BD_MO[[#This Row],[PUNTAL 4"]]+BD_MO[[#This Row],[PUNTAL 5"]]+BD_MO[[#This Row],[PUNTAL 6"]]+BD_MO[[#This Row],[PUNTAL 7"]]+BD_MO[[#This Row],[PUNTAL 8"]],"")</f>
        <v>0</v>
      </c>
      <c r="CQ170" s="215"/>
      <c r="CR170" s="215"/>
      <c r="CS170" s="215"/>
      <c r="CT170" s="215"/>
      <c r="CU170" s="215"/>
      <c r="CV170" s="215"/>
      <c r="CW170" s="215"/>
      <c r="CX170" s="215"/>
      <c r="CY170" s="219"/>
      <c r="CZ170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70" s="219">
        <f>+IF(BD_MO[[#This Row],[FECHA]]&lt;&gt;"",BD_MO[[#This Row],[DURMIENTE2]]*6.561+BD_MO[[#This Row],[LISTONES]]*4.921+BD_MO[[#This Row],[TABLA 1"x8"x3m]]*6.561+BD_MO[[#This Row],[TABLA 2"x8"x3m]]*13.122,"")</f>
        <v>0</v>
      </c>
      <c r="DB170" s="219">
        <f>+IF(BD_MO[[#This Row],[FECHA]]&lt;&gt;"",BD_MO[[#This Row],[PIE2 MADERA ASERRADA]]*1.95,"")</f>
        <v>0</v>
      </c>
      <c r="DC170" s="219">
        <f>+IF(BD_MO[[#This Row],[FECHA]]&lt;&gt;"",BD_MO[[#This Row],[KG. MADERA REDONDA]]+BD_MO[[#This Row],[KG MADERA ASERRADA]],"")</f>
        <v>0</v>
      </c>
      <c r="DD170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70" s="215"/>
      <c r="DF170" s="215"/>
      <c r="DG170" s="215"/>
      <c r="DH170" s="215"/>
      <c r="DI170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70" s="222"/>
      <c r="DK170" s="222"/>
      <c r="DL170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70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70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70" s="197"/>
      <c r="DP170" s="222" t="str">
        <f>+IF(BD_MO[[#This Row],[M o D]]&lt;&gt;"",IF(BD_MO[[#This Row],[M o D]]="M",BD_MO[[#This Row],[ROTURA TMH]]/2.65,BD_MO[[#This Row],[ROTURA TMH]]/2.4),"")</f>
        <v/>
      </c>
      <c r="DQ170" s="222"/>
      <c r="DR170" s="116" t="str">
        <f>IF(BD_MO[[#This Row],[TIPO AVANCE]]="Avance",((BD_MO[[#This Row],[AVANCE (m)]]/BD_MO[[#This Row],[AVANCE TEÓRICO]]))," ")</f>
        <v xml:space="preserve"> </v>
      </c>
    </row>
    <row r="171" spans="1:130" ht="18" customHeight="1" x14ac:dyDescent="0.25">
      <c r="A171" s="168">
        <v>44661</v>
      </c>
      <c r="B171" s="169" t="s">
        <v>10655</v>
      </c>
      <c r="C171" s="169" t="s">
        <v>10680</v>
      </c>
      <c r="D171" s="213" t="s">
        <v>11872</v>
      </c>
      <c r="E171" s="214" t="str">
        <f>LEFT(BD_MO[[#This Row],[LABOR]],2)</f>
        <v>PQ</v>
      </c>
      <c r="F171" s="215"/>
      <c r="G171" s="215" t="s">
        <v>10669</v>
      </c>
      <c r="H171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71" s="214" t="str">
        <f>IF(BD_MO[FECHA]&lt;&gt;"",VLOOKUP(BD_MO[LABOR],TB_CECO[[LABOR]:[CECO_T]],3,FALSE),"")</f>
        <v>ANDREA</v>
      </c>
      <c r="J171" s="214" t="str">
        <f>IF(BD_MO[FECHA]&lt;&gt;"",VLOOKUP(BD_MO[LABOR],D_CECO!B:H,7,FALSE),"")</f>
        <v>LINEAL</v>
      </c>
      <c r="K171" s="214" t="str">
        <f>IF(BD_MO[FECHA]&lt;&gt;"",VLOOKUP(BD_MO[LABOR],D_CECO!B:H,4,FALSE),"")</f>
        <v>EXPLOTACION</v>
      </c>
      <c r="L171" s="214"/>
      <c r="M171" s="216"/>
      <c r="N171" s="215"/>
      <c r="O171" s="93" t="s">
        <v>11908</v>
      </c>
      <c r="P171" s="93" t="s">
        <v>12228</v>
      </c>
      <c r="Q171" s="173"/>
      <c r="R171" s="217"/>
      <c r="S171" s="218" t="str">
        <f>IFERROR(VLOOKUP(BD_MO[DNI 4],#REF!,2,FALSE)," ")</f>
        <v xml:space="preserve"> </v>
      </c>
      <c r="T171" s="219">
        <f>+IF(BD_MO[[#This Row],[FECHA]]&lt;&gt;"",COUNTA(BD_MO[[#This Row],[DNI]],BD_MO[[#This Row],[DNI 2]],BD_MO[[#This Row],[DNI 3]],BD_MO[[#This Row],[DNI 4]]),"")</f>
        <v>2</v>
      </c>
      <c r="U171" s="219"/>
      <c r="V171" s="219"/>
      <c r="W171" s="219"/>
      <c r="X171" s="219">
        <v>2</v>
      </c>
      <c r="Y171" s="177">
        <f>SUM(BD_MO[[#This Row],[LIMP]:[SERV]])</f>
        <v>2</v>
      </c>
      <c r="Z171" s="215"/>
      <c r="AA171" s="215" t="str">
        <f>+IF(BD_MO[[#This Row],[N° VALE]]&lt;&gt;"",1,"")</f>
        <v/>
      </c>
      <c r="AB171" s="169"/>
      <c r="AC171" s="215"/>
      <c r="AD171" s="215" t="str">
        <f>+IF(BD_MO[[#This Row],[N° VALE]]&lt;&gt;"",BD_MO[[#This Row],[FULMINANTE N° 08]]+BD_MO[CARMEX 7''],"")</f>
        <v/>
      </c>
      <c r="AE171" s="215"/>
      <c r="AF171" s="215" t="str">
        <f>+IF(BD_MO[[#This Row],[N° VALE]]&lt;&gt;"",BD_MO[[#This Row],[N° TALADROS]]+BD_MO[[#This Row],[N° TAL. VACIOS]],"")</f>
        <v/>
      </c>
      <c r="AG171" s="220"/>
      <c r="AH171" s="220"/>
      <c r="AI171" s="220"/>
      <c r="AJ171" s="220"/>
      <c r="AK171" s="220"/>
      <c r="AL171" s="220"/>
      <c r="AM171" s="214"/>
      <c r="AN171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71" s="215" t="str">
        <f>+IF(BD_MO[[#This Row],[N° VALE]]&lt;&gt;"",IF(BD_MO[[#This Row],[FULMINANTE N° 08]]&lt;&gt;"",BD_MO[[#This Row],[FULMINANTE N° 08]],IF(BD_MO[[#This Row],[CARMEX 7'']]&lt;&gt;0,0,"")),"")</f>
        <v/>
      </c>
      <c r="AP171" s="219" t="str">
        <f>+IF(BD_MO[[#This Row],[N° VALE]]&lt;&gt;"",BD_MO[[#This Row],[N°  TOTAL TALADROS]]*BD_MO[[#This Row],[BARRA]]*0.95,"")</f>
        <v/>
      </c>
      <c r="AQ171" s="219" t="str">
        <f>+IF(BD_MO[[#This Row],[N° VALE]]&lt;&gt;"",BD_MO[[#This Row],[EMULNOR 1000 (N° CART.)]]*PE_EMUL_1000[PE],"")</f>
        <v/>
      </c>
      <c r="AR171" s="219" t="str">
        <f>+IF(BD_MO[[#This Row],[N° VALE]]&lt;&gt;"",BD_MO[[#This Row],[EMULNOR 3000 (N° CART.)]]*PE_EMUL_3000[PE],"")</f>
        <v/>
      </c>
      <c r="AS171" s="219" t="str">
        <f>+IF(BD_MO[[#This Row],[N° VALE]]&lt;&gt;"",BD_MO[[#This Row],[PULVERULENTA (N° CART.)]]*PE_PULV_65[PE],"")</f>
        <v/>
      </c>
      <c r="AT171" s="219" t="str">
        <f>+IF(BD_MO[[#This Row],[N° DISP]]&lt;&gt;"",BD_MO[[#This Row],[SEMIGELATINA (N° CART.)]]*PE_SEMIGEL_65[PE],"")</f>
        <v/>
      </c>
      <c r="AU171" s="219" t="str">
        <f>+IF(BD_MO[N° VALE]&lt;&gt;"",BD_MO[[#This Row],[KG EXPLO SEMIGEL]]+BD_MO[[#This Row],[KG EXPLO PULVE]]+BD_MO[[#This Row],[KG EXPLO EMULN 3000]]+BD_MO[[#This Row],[KG EXPLO EMULN 1000]],"")</f>
        <v/>
      </c>
      <c r="AV171" s="215"/>
      <c r="AW171" s="215"/>
      <c r="AX171" s="215" t="str">
        <f>+IF(BD_MO[[#This Row],[MINERAL (U-35)]]&lt;&gt;"",BD_MO[[#This Row],[MINERAL (U-35)]]*1.45,"-")</f>
        <v>-</v>
      </c>
      <c r="AY171" s="215" t="str">
        <f>+IF(BD_MO[[#This Row],[DESMONTE (U-35)]]&lt;&gt;"",BD_MO[[#This Row],[DESMONTE (U-35)]]*1.23,"-")</f>
        <v>-</v>
      </c>
      <c r="AZ171" s="215"/>
      <c r="BA171" s="215"/>
      <c r="BB171" s="215"/>
      <c r="BC171" s="215"/>
      <c r="BD171" s="215"/>
      <c r="BE171" s="215"/>
      <c r="BF171" s="215"/>
      <c r="BG171" s="215"/>
      <c r="BH171" s="215"/>
      <c r="BI171" s="215"/>
      <c r="BJ171" s="215"/>
      <c r="BK171" s="215"/>
      <c r="BL171" s="215"/>
      <c r="BM171" s="215"/>
      <c r="BN171" s="214"/>
      <c r="BO171" s="215"/>
      <c r="BP171" s="215"/>
      <c r="BQ171" s="214"/>
      <c r="BR171" s="215"/>
      <c r="BS171" s="214"/>
      <c r="BT171" s="219"/>
      <c r="BU171" s="215"/>
      <c r="BV171" s="215"/>
      <c r="BW171" s="215"/>
      <c r="BX171" s="215"/>
      <c r="BY171" s="215"/>
      <c r="BZ171" s="215"/>
      <c r="CA171" s="215"/>
      <c r="CB171" s="215"/>
      <c r="CC171" s="215"/>
      <c r="CD171" s="215"/>
      <c r="CE171" s="215"/>
      <c r="CF171" s="215"/>
      <c r="CG171" s="215"/>
      <c r="CH171" s="215"/>
      <c r="CI171" s="215"/>
      <c r="CJ171" s="215"/>
      <c r="CK171" s="215"/>
      <c r="CL171" s="215"/>
      <c r="CM171" s="215"/>
      <c r="CN171" s="215"/>
      <c r="CO171" s="215"/>
      <c r="CP171" s="219">
        <f>+IF(BD_MO[[#This Row],[FECHA]]&lt;&gt;"",BD_MO[[#This Row],[PUNTAL 4"]]+BD_MO[[#This Row],[PUNTAL 5"]]+BD_MO[[#This Row],[PUNTAL 6"]]+BD_MO[[#This Row],[PUNTAL 7"]]+BD_MO[[#This Row],[PUNTAL 8"]],"")</f>
        <v>0</v>
      </c>
      <c r="CQ171" s="215"/>
      <c r="CR171" s="215"/>
      <c r="CS171" s="215"/>
      <c r="CT171" s="215"/>
      <c r="CU171" s="215"/>
      <c r="CV171" s="215"/>
      <c r="CW171" s="215"/>
      <c r="CX171" s="215"/>
      <c r="CY171" s="219"/>
      <c r="CZ171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71" s="219">
        <f>+IF(BD_MO[[#This Row],[FECHA]]&lt;&gt;"",BD_MO[[#This Row],[DURMIENTE2]]*6.561+BD_MO[[#This Row],[LISTONES]]*4.921+BD_MO[[#This Row],[TABLA 1"x8"x3m]]*6.561+BD_MO[[#This Row],[TABLA 2"x8"x3m]]*13.122,"")</f>
        <v>0</v>
      </c>
      <c r="DB171" s="219">
        <f>+IF(BD_MO[[#This Row],[FECHA]]&lt;&gt;"",BD_MO[[#This Row],[PIE2 MADERA ASERRADA]]*1.95,"")</f>
        <v>0</v>
      </c>
      <c r="DC171" s="219">
        <f>+IF(BD_MO[[#This Row],[FECHA]]&lt;&gt;"",BD_MO[[#This Row],[KG. MADERA REDONDA]]+BD_MO[[#This Row],[KG MADERA ASERRADA]],"")</f>
        <v>0</v>
      </c>
      <c r="DD171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71" s="215"/>
      <c r="DF171" s="215"/>
      <c r="DG171" s="215"/>
      <c r="DH171" s="215"/>
      <c r="DI171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71" s="222"/>
      <c r="DK171" s="222"/>
      <c r="DL171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71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71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71" s="197"/>
      <c r="DP171" s="222" t="str">
        <f>+IF(BD_MO[[#This Row],[M o D]]&lt;&gt;"",IF(BD_MO[[#This Row],[M o D]]="M",BD_MO[[#This Row],[ROTURA TMH]]/2.65,BD_MO[[#This Row],[ROTURA TMH]]/2.4),"")</f>
        <v/>
      </c>
      <c r="DQ171" s="222"/>
      <c r="DR171" s="116" t="str">
        <f>IF(BD_MO[[#This Row],[TIPO AVANCE]]="Avance",((BD_MO[[#This Row],[AVANCE (m)]]/BD_MO[[#This Row],[AVANCE TEÓRICO]]))," ")</f>
        <v xml:space="preserve"> </v>
      </c>
    </row>
    <row r="172" spans="1:130" ht="18" customHeight="1" x14ac:dyDescent="0.25">
      <c r="A172" s="168">
        <v>44661</v>
      </c>
      <c r="B172" s="169" t="s">
        <v>10655</v>
      </c>
      <c r="C172" s="169" t="s">
        <v>10680</v>
      </c>
      <c r="D172" s="213" t="s">
        <v>10954</v>
      </c>
      <c r="E172" s="214" t="str">
        <f>LEFT(BD_MO[[#This Row],[LABOR]],2)</f>
        <v>MO</v>
      </c>
      <c r="F172" s="215"/>
      <c r="G172" s="215" t="s">
        <v>10669</v>
      </c>
      <c r="H172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72" s="214" t="str">
        <f>IF(BD_MO[FECHA]&lt;&gt;"",VLOOKUP(BD_MO[LABOR],TB_CECO[[LABOR]:[CECO_T]],3,FALSE),"")</f>
        <v>INCA</v>
      </c>
      <c r="J172" s="214" t="str">
        <f>IF(BD_MO[FECHA]&lt;&gt;"",VLOOKUP(BD_MO[LABOR],D_CECO!B:H,7,FALSE),"")</f>
        <v>SERVICIOS</v>
      </c>
      <c r="K172" s="214" t="str">
        <f>IF(BD_MO[FECHA]&lt;&gt;"",VLOOKUP(BD_MO[LABOR],D_CECO!B:H,4,FALSE),"")</f>
        <v>SERVICIOS</v>
      </c>
      <c r="L172" s="214"/>
      <c r="M172" s="216"/>
      <c r="N172" s="215"/>
      <c r="O172" s="93" t="s">
        <v>12117</v>
      </c>
      <c r="P172" s="93" t="s">
        <v>11907</v>
      </c>
      <c r="Q172" s="173"/>
      <c r="R172" s="217"/>
      <c r="S172" s="218" t="str">
        <f>IFERROR(VLOOKUP(BD_MO[DNI 4],#REF!,2,FALSE)," ")</f>
        <v xml:space="preserve"> </v>
      </c>
      <c r="T172" s="219">
        <f>+IF(BD_MO[[#This Row],[FECHA]]&lt;&gt;"",COUNTA(BD_MO[[#This Row],[DNI]],BD_MO[[#This Row],[DNI 2]],BD_MO[[#This Row],[DNI 3]],BD_MO[[#This Row],[DNI 4]]),"")</f>
        <v>2</v>
      </c>
      <c r="U172" s="219"/>
      <c r="V172" s="219"/>
      <c r="W172" s="219"/>
      <c r="X172" s="219">
        <v>1</v>
      </c>
      <c r="Y172" s="177">
        <f>SUM(BD_MO[[#This Row],[LIMP]:[SERV]])</f>
        <v>1</v>
      </c>
      <c r="Z172" s="215"/>
      <c r="AA172" s="215" t="str">
        <f>+IF(BD_MO[[#This Row],[N° VALE]]&lt;&gt;"",1,"")</f>
        <v/>
      </c>
      <c r="AB172" s="169"/>
      <c r="AC172" s="215"/>
      <c r="AD172" s="215" t="str">
        <f>+IF(BD_MO[[#This Row],[N° VALE]]&lt;&gt;"",BD_MO[[#This Row],[FULMINANTE N° 08]]+BD_MO[CARMEX 7''],"")</f>
        <v/>
      </c>
      <c r="AE172" s="215"/>
      <c r="AF172" s="215" t="str">
        <f>+IF(BD_MO[[#This Row],[N° VALE]]&lt;&gt;"",BD_MO[[#This Row],[N° TALADROS]]+BD_MO[[#This Row],[N° TAL. VACIOS]],"")</f>
        <v/>
      </c>
      <c r="AG172" s="220"/>
      <c r="AH172" s="220"/>
      <c r="AI172" s="220"/>
      <c r="AJ172" s="220"/>
      <c r="AK172" s="220"/>
      <c r="AL172" s="220"/>
      <c r="AM172" s="214"/>
      <c r="AN172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72" s="215" t="str">
        <f>+IF(BD_MO[[#This Row],[N° VALE]]&lt;&gt;"",IF(BD_MO[[#This Row],[FULMINANTE N° 08]]&lt;&gt;"",BD_MO[[#This Row],[FULMINANTE N° 08]],IF(BD_MO[[#This Row],[CARMEX 7'']]&lt;&gt;0,0,"")),"")</f>
        <v/>
      </c>
      <c r="AP172" s="219" t="str">
        <f>+IF(BD_MO[[#This Row],[N° VALE]]&lt;&gt;"",BD_MO[[#This Row],[N°  TOTAL TALADROS]]*BD_MO[[#This Row],[BARRA]]*0.95,"")</f>
        <v/>
      </c>
      <c r="AQ172" s="219" t="str">
        <f>+IF(BD_MO[[#This Row],[N° VALE]]&lt;&gt;"",BD_MO[[#This Row],[EMULNOR 1000 (N° CART.)]]*PE_EMUL_1000[PE],"")</f>
        <v/>
      </c>
      <c r="AR172" s="219" t="str">
        <f>+IF(BD_MO[[#This Row],[N° VALE]]&lt;&gt;"",BD_MO[[#This Row],[EMULNOR 3000 (N° CART.)]]*PE_EMUL_3000[PE],"")</f>
        <v/>
      </c>
      <c r="AS172" s="219" t="str">
        <f>+IF(BD_MO[[#This Row],[N° VALE]]&lt;&gt;"",BD_MO[[#This Row],[PULVERULENTA (N° CART.)]]*PE_PULV_65[PE],"")</f>
        <v/>
      </c>
      <c r="AT172" s="219" t="str">
        <f>+IF(BD_MO[[#This Row],[N° DISP]]&lt;&gt;"",BD_MO[[#This Row],[SEMIGELATINA (N° CART.)]]*PE_SEMIGEL_65[PE],"")</f>
        <v/>
      </c>
      <c r="AU172" s="219" t="str">
        <f>+IF(BD_MO[N° VALE]&lt;&gt;"",BD_MO[[#This Row],[KG EXPLO SEMIGEL]]+BD_MO[[#This Row],[KG EXPLO PULVE]]+BD_MO[[#This Row],[KG EXPLO EMULN 3000]]+BD_MO[[#This Row],[KG EXPLO EMULN 1000]],"")</f>
        <v/>
      </c>
      <c r="AV172" s="215"/>
      <c r="AW172" s="215"/>
      <c r="AX172" s="215" t="str">
        <f>+IF(BD_MO[[#This Row],[MINERAL (U-35)]]&lt;&gt;"",BD_MO[[#This Row],[MINERAL (U-35)]]*1.45,"-")</f>
        <v>-</v>
      </c>
      <c r="AY172" s="215" t="str">
        <f>+IF(BD_MO[[#This Row],[DESMONTE (U-35)]]&lt;&gt;"",BD_MO[[#This Row],[DESMONTE (U-35)]]*1.23,"-")</f>
        <v>-</v>
      </c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5"/>
      <c r="BN172" s="214"/>
      <c r="BO172" s="215"/>
      <c r="BP172" s="215"/>
      <c r="BQ172" s="214"/>
      <c r="BR172" s="215"/>
      <c r="BS172" s="214"/>
      <c r="BT172" s="219"/>
      <c r="BU172" s="215"/>
      <c r="BV172" s="215"/>
      <c r="BW172" s="215"/>
      <c r="BX172" s="215"/>
      <c r="BY172" s="215"/>
      <c r="BZ172" s="215"/>
      <c r="CA172" s="215"/>
      <c r="CB172" s="215"/>
      <c r="CC172" s="215"/>
      <c r="CD172" s="215"/>
      <c r="CE172" s="215"/>
      <c r="CF172" s="215"/>
      <c r="CG172" s="215"/>
      <c r="CH172" s="215"/>
      <c r="CI172" s="215"/>
      <c r="CJ172" s="215"/>
      <c r="CK172" s="215"/>
      <c r="CL172" s="215"/>
      <c r="CM172" s="215"/>
      <c r="CN172" s="215"/>
      <c r="CO172" s="215"/>
      <c r="CP172" s="219">
        <f>+IF(BD_MO[[#This Row],[FECHA]]&lt;&gt;"",BD_MO[[#This Row],[PUNTAL 4"]]+BD_MO[[#This Row],[PUNTAL 5"]]+BD_MO[[#This Row],[PUNTAL 6"]]+BD_MO[[#This Row],[PUNTAL 7"]]+BD_MO[[#This Row],[PUNTAL 8"]],"")</f>
        <v>0</v>
      </c>
      <c r="CQ172" s="215"/>
      <c r="CR172" s="215"/>
      <c r="CS172" s="215"/>
      <c r="CT172" s="215"/>
      <c r="CU172" s="215"/>
      <c r="CV172" s="215"/>
      <c r="CW172" s="215"/>
      <c r="CX172" s="215"/>
      <c r="CY172" s="219"/>
      <c r="CZ172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72" s="219">
        <f>+IF(BD_MO[[#This Row],[FECHA]]&lt;&gt;"",BD_MO[[#This Row],[DURMIENTE2]]*6.561+BD_MO[[#This Row],[LISTONES]]*4.921+BD_MO[[#This Row],[TABLA 1"x8"x3m]]*6.561+BD_MO[[#This Row],[TABLA 2"x8"x3m]]*13.122,"")</f>
        <v>0</v>
      </c>
      <c r="DB172" s="219">
        <f>+IF(BD_MO[[#This Row],[FECHA]]&lt;&gt;"",BD_MO[[#This Row],[PIE2 MADERA ASERRADA]]*1.95,"")</f>
        <v>0</v>
      </c>
      <c r="DC172" s="219">
        <f>+IF(BD_MO[[#This Row],[FECHA]]&lt;&gt;"",BD_MO[[#This Row],[KG. MADERA REDONDA]]+BD_MO[[#This Row],[KG MADERA ASERRADA]],"")</f>
        <v>0</v>
      </c>
      <c r="DD172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72" s="215"/>
      <c r="DF172" s="215"/>
      <c r="DG172" s="215"/>
      <c r="DH172" s="215"/>
      <c r="DI172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72" s="222"/>
      <c r="DK172" s="222"/>
      <c r="DL172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72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72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72" s="197"/>
      <c r="DP172" s="222" t="str">
        <f>+IF(BD_MO[[#This Row],[M o D]]&lt;&gt;"",IF(BD_MO[[#This Row],[M o D]]="M",BD_MO[[#This Row],[ROTURA TMH]]/2.65,BD_MO[[#This Row],[ROTURA TMH]]/2.4),"")</f>
        <v/>
      </c>
      <c r="DQ172" s="222"/>
      <c r="DR172" s="116" t="str">
        <f>IF(BD_MO[[#This Row],[TIPO AVANCE]]="Avance",((BD_MO[[#This Row],[AVANCE (m)]]/BD_MO[[#This Row],[AVANCE TEÓRICO]]))," ")</f>
        <v xml:space="preserve"> </v>
      </c>
    </row>
    <row r="173" spans="1:130" s="112" customFormat="1" ht="18.75" customHeight="1" thickBot="1" x14ac:dyDescent="0.3">
      <c r="A173" s="183">
        <v>44661</v>
      </c>
      <c r="B173" s="184" t="s">
        <v>10655</v>
      </c>
      <c r="C173" s="184" t="s">
        <v>10680</v>
      </c>
      <c r="D173" s="185" t="s">
        <v>10717</v>
      </c>
      <c r="E173" s="186" t="str">
        <f>LEFT(BD_MO[[#This Row],[LABOR]],2)</f>
        <v>BO</v>
      </c>
      <c r="F173" s="187"/>
      <c r="G173" s="187" t="s">
        <v>10669</v>
      </c>
      <c r="H173" s="186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73" s="186" t="str">
        <f>IF(BD_MO[FECHA]&lt;&gt;"",VLOOKUP(BD_MO[LABOR],TB_CECO[[LABOR]:[CECO_T]],3,FALSE),"")</f>
        <v>CACHORRO</v>
      </c>
      <c r="J173" s="186" t="str">
        <f>IF(BD_MO[FECHA]&lt;&gt;"",VLOOKUP(BD_MO[LABOR],D_CECO!B:H,7,FALSE),"")</f>
        <v>SERVICIOS</v>
      </c>
      <c r="K173" s="186" t="str">
        <f>IF(BD_MO[FECHA]&lt;&gt;"",VLOOKUP(BD_MO[LABOR],D_CECO!B:H,4,FALSE),"")</f>
        <v>SERVICIOS</v>
      </c>
      <c r="L173" s="186"/>
      <c r="M173" s="184"/>
      <c r="N173" s="187"/>
      <c r="O173" s="248" t="s">
        <v>11909</v>
      </c>
      <c r="P173" s="188"/>
      <c r="Q173" s="188"/>
      <c r="R173" s="189"/>
      <c r="S173" s="190" t="str">
        <f>IFERROR(VLOOKUP(BD_MO[DNI 4],#REF!,2,FALSE)," ")</f>
        <v xml:space="preserve"> </v>
      </c>
      <c r="T173" s="191">
        <f>+IF(BD_MO[[#This Row],[FECHA]]&lt;&gt;"",COUNTA(BD_MO[[#This Row],[DNI]],BD_MO[[#This Row],[DNI 2]],BD_MO[[#This Row],[DNI 3]],BD_MO[[#This Row],[DNI 4]]),"")</f>
        <v>1</v>
      </c>
      <c r="U173" s="191"/>
      <c r="V173" s="191"/>
      <c r="W173" s="191"/>
      <c r="X173" s="191">
        <v>1</v>
      </c>
      <c r="Y173" s="192">
        <f>SUM(BD_MO[[#This Row],[LIMP]:[SERV]])</f>
        <v>1</v>
      </c>
      <c r="Z173" s="187"/>
      <c r="AA173" s="187" t="str">
        <f>+IF(BD_MO[[#This Row],[N° VALE]]&lt;&gt;"",1,"")</f>
        <v/>
      </c>
      <c r="AB173" s="184"/>
      <c r="AC173" s="187"/>
      <c r="AD173" s="187" t="str">
        <f>+IF(BD_MO[[#This Row],[N° VALE]]&lt;&gt;"",BD_MO[[#This Row],[FULMINANTE N° 08]]+BD_MO[CARMEX 7''],"")</f>
        <v/>
      </c>
      <c r="AE173" s="187"/>
      <c r="AF173" s="187" t="str">
        <f>+IF(BD_MO[[#This Row],[N° VALE]]&lt;&gt;"",BD_MO[[#This Row],[N° TALADROS]]+BD_MO[[#This Row],[N° TAL. VACIOS]],"")</f>
        <v/>
      </c>
      <c r="AG173" s="193"/>
      <c r="AH173" s="193"/>
      <c r="AI173" s="193"/>
      <c r="AJ173" s="193"/>
      <c r="AK173" s="193"/>
      <c r="AL173" s="193"/>
      <c r="AM173" s="186"/>
      <c r="AN173" s="187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73" s="187" t="str">
        <f>+IF(BD_MO[[#This Row],[N° VALE]]&lt;&gt;"",IF(BD_MO[[#This Row],[FULMINANTE N° 08]]&lt;&gt;"",BD_MO[[#This Row],[FULMINANTE N° 08]],IF(BD_MO[[#This Row],[CARMEX 7'']]&lt;&gt;0,0,"")),"")</f>
        <v/>
      </c>
      <c r="AP173" s="191" t="str">
        <f>+IF(BD_MO[[#This Row],[N° VALE]]&lt;&gt;"",BD_MO[[#This Row],[N°  TOTAL TALADROS]]*BD_MO[[#This Row],[BARRA]]*0.95,"")</f>
        <v/>
      </c>
      <c r="AQ173" s="191" t="str">
        <f>+IF(BD_MO[[#This Row],[N° VALE]]&lt;&gt;"",BD_MO[[#This Row],[EMULNOR 1000 (N° CART.)]]*PE_EMUL_1000[PE],"")</f>
        <v/>
      </c>
      <c r="AR173" s="191" t="str">
        <f>+IF(BD_MO[[#This Row],[N° VALE]]&lt;&gt;"",BD_MO[[#This Row],[EMULNOR 3000 (N° CART.)]]*PE_EMUL_3000[PE],"")</f>
        <v/>
      </c>
      <c r="AS173" s="191" t="str">
        <f>+IF(BD_MO[[#This Row],[N° VALE]]&lt;&gt;"",BD_MO[[#This Row],[PULVERULENTA (N° CART.)]]*PE_PULV_65[PE],"")</f>
        <v/>
      </c>
      <c r="AT173" s="191" t="str">
        <f>+IF(BD_MO[[#This Row],[N° DISP]]&lt;&gt;"",BD_MO[[#This Row],[SEMIGELATINA (N° CART.)]]*PE_SEMIGEL_65[PE],"")</f>
        <v/>
      </c>
      <c r="AU173" s="191" t="str">
        <f>+IF(BD_MO[N° VALE]&lt;&gt;"",BD_MO[[#This Row],[KG EXPLO SEMIGEL]]+BD_MO[[#This Row],[KG EXPLO PULVE]]+BD_MO[[#This Row],[KG EXPLO EMULN 3000]]+BD_MO[[#This Row],[KG EXPLO EMULN 1000]],"")</f>
        <v/>
      </c>
      <c r="AV173" s="187"/>
      <c r="AW173" s="187"/>
      <c r="AX173" s="187" t="str">
        <f>+IF(BD_MO[[#This Row],[MINERAL (U-35)]]&lt;&gt;"",BD_MO[[#This Row],[MINERAL (U-35)]]*1.45,"-")</f>
        <v>-</v>
      </c>
      <c r="AY173" s="187" t="str">
        <f>+IF(BD_MO[[#This Row],[DESMONTE (U-35)]]&lt;&gt;"",BD_MO[[#This Row],[DESMONTE (U-35)]]*1.23,"-")</f>
        <v>-</v>
      </c>
      <c r="AZ173" s="187"/>
      <c r="BA173" s="187"/>
      <c r="BB173" s="187"/>
      <c r="BC173" s="187"/>
      <c r="BD173" s="187"/>
      <c r="BE173" s="187"/>
      <c r="BF173" s="187"/>
      <c r="BG173" s="187"/>
      <c r="BH173" s="187"/>
      <c r="BI173" s="187"/>
      <c r="BJ173" s="187"/>
      <c r="BK173" s="187"/>
      <c r="BL173" s="187"/>
      <c r="BM173" s="187"/>
      <c r="BN173" s="186"/>
      <c r="BO173" s="187"/>
      <c r="BP173" s="187"/>
      <c r="BQ173" s="186"/>
      <c r="BR173" s="187"/>
      <c r="BS173" s="186"/>
      <c r="BT173" s="191"/>
      <c r="BU173" s="187"/>
      <c r="BV173" s="187"/>
      <c r="BW173" s="187"/>
      <c r="BX173" s="187"/>
      <c r="BY173" s="187"/>
      <c r="BZ173" s="187"/>
      <c r="CA173" s="187"/>
      <c r="CB173" s="187"/>
      <c r="CC173" s="187"/>
      <c r="CD173" s="187"/>
      <c r="CE173" s="187"/>
      <c r="CF173" s="187"/>
      <c r="CG173" s="187"/>
      <c r="CH173" s="187"/>
      <c r="CI173" s="187"/>
      <c r="CJ173" s="187"/>
      <c r="CK173" s="187"/>
      <c r="CL173" s="187"/>
      <c r="CM173" s="187"/>
      <c r="CN173" s="187"/>
      <c r="CO173" s="187"/>
      <c r="CP173" s="191">
        <f>+IF(BD_MO[[#This Row],[FECHA]]&lt;&gt;"",BD_MO[[#This Row],[PUNTAL 4"]]+BD_MO[[#This Row],[PUNTAL 5"]]+BD_MO[[#This Row],[PUNTAL 6"]]+BD_MO[[#This Row],[PUNTAL 7"]]+BD_MO[[#This Row],[PUNTAL 8"]],"")</f>
        <v>0</v>
      </c>
      <c r="CQ173" s="187"/>
      <c r="CR173" s="187"/>
      <c r="CS173" s="187"/>
      <c r="CT173" s="187"/>
      <c r="CU173" s="187"/>
      <c r="CV173" s="187"/>
      <c r="CW173" s="187"/>
      <c r="CX173" s="187"/>
      <c r="CY173" s="191"/>
      <c r="CZ173" s="191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73" s="191">
        <f>+IF(BD_MO[[#This Row],[FECHA]]&lt;&gt;"",BD_MO[[#This Row],[DURMIENTE2]]*6.561+BD_MO[[#This Row],[LISTONES]]*4.921+BD_MO[[#This Row],[TABLA 1"x8"x3m]]*6.561+BD_MO[[#This Row],[TABLA 2"x8"x3m]]*13.122,"")</f>
        <v>0</v>
      </c>
      <c r="DB173" s="191">
        <f>+IF(BD_MO[[#This Row],[FECHA]]&lt;&gt;"",BD_MO[[#This Row],[PIE2 MADERA ASERRADA]]*1.95,"")</f>
        <v>0</v>
      </c>
      <c r="DC173" s="191">
        <f>+IF(BD_MO[[#This Row],[FECHA]]&lt;&gt;"",BD_MO[[#This Row],[KG. MADERA REDONDA]]+BD_MO[[#This Row],[KG MADERA ASERRADA]],"")</f>
        <v>0</v>
      </c>
      <c r="DD173" s="194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73" s="187"/>
      <c r="DF173" s="187"/>
      <c r="DG173" s="187"/>
      <c r="DH173" s="187"/>
      <c r="DI173" s="195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73" s="195"/>
      <c r="DK173" s="195"/>
      <c r="DL173" s="195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73" s="195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73" s="195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73" s="196"/>
      <c r="DP173" s="195" t="str">
        <f>+IF(BD_MO[[#This Row],[M o D]]&lt;&gt;"",IF(BD_MO[[#This Row],[M o D]]="M",BD_MO[[#This Row],[ROTURA TMH]]/2.65,BD_MO[[#This Row],[ROTURA TMH]]/2.4),"")</f>
        <v/>
      </c>
      <c r="DQ173" s="195"/>
      <c r="DR173" s="116" t="str">
        <f>IF(BD_MO[[#This Row],[TIPO AVANCE]]="Avance",((BD_MO[[#This Row],[AVANCE (m)]]/BD_MO[[#This Row],[AVANCE TEÓRICO]]))," ")</f>
        <v xml:space="preserve"> </v>
      </c>
      <c r="DS173" s="110"/>
      <c r="DT173" s="110"/>
      <c r="DU173" s="110"/>
      <c r="DV173" s="110"/>
      <c r="DW173" s="110"/>
      <c r="DX173" s="111"/>
      <c r="DY173" s="111"/>
      <c r="DZ173" s="111"/>
    </row>
    <row r="174" spans="1:130" ht="18.75" customHeight="1" x14ac:dyDescent="0.25">
      <c r="A174" s="168">
        <v>44662</v>
      </c>
      <c r="B174" s="169" t="s">
        <v>10647</v>
      </c>
      <c r="C174" s="169" t="s">
        <v>10672</v>
      </c>
      <c r="D174" s="213" t="s">
        <v>11746</v>
      </c>
      <c r="E174" s="214" t="str">
        <f>LEFT(BD_MO[[#This Row],[LABOR]],2)</f>
        <v>Tj</v>
      </c>
      <c r="F174" s="215"/>
      <c r="G174" s="215" t="s">
        <v>10656</v>
      </c>
      <c r="H174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174" s="214" t="str">
        <f>IF(BD_MO[FECHA]&lt;&gt;"",VLOOKUP(BD_MO[LABOR],TB_CECO[[LABOR]:[CECO_T]],3,FALSE),"")</f>
        <v>CACHORRO</v>
      </c>
      <c r="J174" s="214" t="str">
        <f>IF(BD_MO[FECHA]&lt;&gt;"",VLOOKUP(BD_MO[LABOR],D_CECO!B:H,7,FALSE),"")</f>
        <v>TAJO</v>
      </c>
      <c r="K174" s="214" t="str">
        <f>IF(BD_MO[FECHA]&lt;&gt;"",VLOOKUP(BD_MO[LABOR],D_CECO!B:H,4,FALSE),"")</f>
        <v>EXPLOTACION</v>
      </c>
      <c r="L174" s="214"/>
      <c r="M174" s="216"/>
      <c r="N174" s="215"/>
      <c r="O174" s="173" t="s">
        <v>12196</v>
      </c>
      <c r="P174" s="173" t="s">
        <v>12207</v>
      </c>
      <c r="Q174" s="173"/>
      <c r="R174" s="217"/>
      <c r="S174" s="218" t="str">
        <f>IFERROR(VLOOKUP(BD_MO[DNI 4],#REF!,2,FALSE)," ")</f>
        <v xml:space="preserve"> </v>
      </c>
      <c r="T174" s="219">
        <f>+IF(BD_MO[[#This Row],[FECHA]]&lt;&gt;"",COUNTA(BD_MO[[#This Row],[DNI]],BD_MO[[#This Row],[DNI 2]],BD_MO[[#This Row],[DNI 3]],BD_MO[[#This Row],[DNI 4]]),"")</f>
        <v>2</v>
      </c>
      <c r="U174" s="219">
        <v>1.04</v>
      </c>
      <c r="V174" s="219"/>
      <c r="W174" s="219"/>
      <c r="X174" s="219">
        <v>0.96</v>
      </c>
      <c r="Y174" s="177">
        <f>SUM(BD_MO[[#This Row],[LIMP]:[SERV]])</f>
        <v>2</v>
      </c>
      <c r="Z174" s="215"/>
      <c r="AA174" s="215" t="str">
        <f>+IF(BD_MO[[#This Row],[N° VALE]]&lt;&gt;"",1,"")</f>
        <v/>
      </c>
      <c r="AB174" s="169"/>
      <c r="AC174" s="215"/>
      <c r="AD174" s="215" t="str">
        <f>+IF(BD_MO[[#This Row],[N° VALE]]&lt;&gt;"",BD_MO[[#This Row],[FULMINANTE N° 08]]+BD_MO[CARMEX 7''],"")</f>
        <v/>
      </c>
      <c r="AE174" s="215"/>
      <c r="AF174" s="215" t="str">
        <f>+IF(BD_MO[[#This Row],[N° VALE]]&lt;&gt;"",BD_MO[[#This Row],[N° TALADROS]]+BD_MO[[#This Row],[N° TAL. VACIOS]],"")</f>
        <v/>
      </c>
      <c r="AG174" s="220"/>
      <c r="AH174" s="220"/>
      <c r="AI174" s="220"/>
      <c r="AJ174" s="220"/>
      <c r="AK174" s="220"/>
      <c r="AL174" s="220"/>
      <c r="AM174" s="214"/>
      <c r="AN174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74" s="215" t="str">
        <f>+IF(BD_MO[[#This Row],[N° VALE]]&lt;&gt;"",IF(BD_MO[[#This Row],[FULMINANTE N° 08]]&lt;&gt;"",BD_MO[[#This Row],[FULMINANTE N° 08]],IF(BD_MO[[#This Row],[CARMEX 7'']]&lt;&gt;0,0,"")),"")</f>
        <v/>
      </c>
      <c r="AP174" s="219" t="str">
        <f>+IF(BD_MO[[#This Row],[N° VALE]]&lt;&gt;"",BD_MO[[#This Row],[N°  TOTAL TALADROS]]*BD_MO[[#This Row],[BARRA]]*0.95,"")</f>
        <v/>
      </c>
      <c r="AQ174" s="219" t="str">
        <f>+IF(BD_MO[[#This Row],[N° VALE]]&lt;&gt;"",BD_MO[[#This Row],[EMULNOR 1000 (N° CART.)]]*PE_EMUL_1000[PE],"")</f>
        <v/>
      </c>
      <c r="AR174" s="219" t="str">
        <f>+IF(BD_MO[[#This Row],[N° VALE]]&lt;&gt;"",BD_MO[[#This Row],[EMULNOR 3000 (N° CART.)]]*PE_EMUL_3000[PE],"")</f>
        <v/>
      </c>
      <c r="AS174" s="219" t="str">
        <f>+IF(BD_MO[[#This Row],[N° VALE]]&lt;&gt;"",BD_MO[[#This Row],[PULVERULENTA (N° CART.)]]*PE_PULV_65[PE],"")</f>
        <v/>
      </c>
      <c r="AT174" s="219" t="str">
        <f>+IF(BD_MO[[#This Row],[N° DISP]]&lt;&gt;"",BD_MO[[#This Row],[SEMIGELATINA (N° CART.)]]*PE_SEMIGEL_65[PE],"")</f>
        <v/>
      </c>
      <c r="AU174" s="219" t="str">
        <f>+IF(BD_MO[N° VALE]&lt;&gt;"",BD_MO[[#This Row],[KG EXPLO SEMIGEL]]+BD_MO[[#This Row],[KG EXPLO PULVE]]+BD_MO[[#This Row],[KG EXPLO EMULN 3000]]+BD_MO[[#This Row],[KG EXPLO EMULN 1000]],"")</f>
        <v/>
      </c>
      <c r="AV174" s="215"/>
      <c r="AW174" s="215"/>
      <c r="AX174" s="215" t="str">
        <f>+IF(BD_MO[[#This Row],[MINERAL (U-35)]]&lt;&gt;"",BD_MO[[#This Row],[MINERAL (U-35)]]*1.45,"-")</f>
        <v>-</v>
      </c>
      <c r="AY174" s="215" t="str">
        <f>+IF(BD_MO[[#This Row],[DESMONTE (U-35)]]&lt;&gt;"",BD_MO[[#This Row],[DESMONTE (U-35)]]*1.23,"-")</f>
        <v>-</v>
      </c>
      <c r="AZ174" s="215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215"/>
      <c r="BN174" s="214"/>
      <c r="BO174" s="215"/>
      <c r="BP174" s="215"/>
      <c r="BQ174" s="214"/>
      <c r="BR174" s="215"/>
      <c r="BS174" s="214"/>
      <c r="BT174" s="219"/>
      <c r="BU174" s="215"/>
      <c r="BV174" s="215"/>
      <c r="BW174" s="215"/>
      <c r="BX174" s="215"/>
      <c r="BY174" s="215"/>
      <c r="BZ174" s="215"/>
      <c r="CA174" s="215"/>
      <c r="CB174" s="215"/>
      <c r="CC174" s="215"/>
      <c r="CD174" s="215"/>
      <c r="CE174" s="215"/>
      <c r="CF174" s="215"/>
      <c r="CG174" s="215"/>
      <c r="CH174" s="215"/>
      <c r="CI174" s="215"/>
      <c r="CJ174" s="215"/>
      <c r="CK174" s="215"/>
      <c r="CL174" s="215"/>
      <c r="CM174" s="215"/>
      <c r="CN174" s="215"/>
      <c r="CO174" s="215"/>
      <c r="CP174" s="219">
        <f>+IF(BD_MO[[#This Row],[FECHA]]&lt;&gt;"",BD_MO[[#This Row],[PUNTAL 4"]]+BD_MO[[#This Row],[PUNTAL 5"]]+BD_MO[[#This Row],[PUNTAL 6"]]+BD_MO[[#This Row],[PUNTAL 7"]]+BD_MO[[#This Row],[PUNTAL 8"]],"")</f>
        <v>0</v>
      </c>
      <c r="CQ174" s="215"/>
      <c r="CR174" s="215"/>
      <c r="CS174" s="215"/>
      <c r="CT174" s="215"/>
      <c r="CU174" s="215"/>
      <c r="CV174" s="215"/>
      <c r="CW174" s="215"/>
      <c r="CX174" s="215"/>
      <c r="CY174" s="219"/>
      <c r="CZ174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74" s="219">
        <f>+IF(BD_MO[[#This Row],[FECHA]]&lt;&gt;"",BD_MO[[#This Row],[DURMIENTE2]]*6.561+BD_MO[[#This Row],[LISTONES]]*4.921+BD_MO[[#This Row],[TABLA 1"x8"x3m]]*6.561+BD_MO[[#This Row],[TABLA 2"x8"x3m]]*13.122,"")</f>
        <v>0</v>
      </c>
      <c r="DB174" s="219">
        <f>+IF(BD_MO[[#This Row],[FECHA]]&lt;&gt;"",BD_MO[[#This Row],[PIE2 MADERA ASERRADA]]*1.95,"")</f>
        <v>0</v>
      </c>
      <c r="DC174" s="219">
        <f>+IF(BD_MO[[#This Row],[FECHA]]&lt;&gt;"",BD_MO[[#This Row],[KG. MADERA REDONDA]]+BD_MO[[#This Row],[KG MADERA ASERRADA]],"")</f>
        <v>0</v>
      </c>
      <c r="DD174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74" s="215"/>
      <c r="DF174" s="215"/>
      <c r="DG174" s="215"/>
      <c r="DH174" s="215"/>
      <c r="DI174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74" s="222"/>
      <c r="DK174" s="222"/>
      <c r="DL174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74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74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74" s="197"/>
      <c r="DP174" s="222" t="str">
        <f>+IF(BD_MO[[#This Row],[M o D]]&lt;&gt;"",IF(BD_MO[[#This Row],[M o D]]="M",BD_MO[[#This Row],[ROTURA TMH]]/2.65,BD_MO[[#This Row],[ROTURA TMH]]/2.4),"")</f>
        <v/>
      </c>
      <c r="DQ174" s="222"/>
      <c r="DR174" s="116" t="str">
        <f>IF(BD_MO[[#This Row],[TIPO AVANCE]]="Avance",((BD_MO[[#This Row],[AVANCE (m)]]/BD_MO[[#This Row],[AVANCE TEÓRICO]]))," ")</f>
        <v xml:space="preserve"> </v>
      </c>
    </row>
    <row r="175" spans="1:130" ht="18.75" customHeight="1" x14ac:dyDescent="0.25">
      <c r="A175" s="168">
        <v>44662</v>
      </c>
      <c r="B175" s="169" t="s">
        <v>10647</v>
      </c>
      <c r="C175" s="169" t="s">
        <v>10672</v>
      </c>
      <c r="D175" s="213" t="s">
        <v>12164</v>
      </c>
      <c r="E175" s="214" t="str">
        <f>LEFT(BD_MO[[#This Row],[LABOR]],2)</f>
        <v>Tj</v>
      </c>
      <c r="F175" s="215" t="s">
        <v>10950</v>
      </c>
      <c r="G175" s="215" t="s">
        <v>10648</v>
      </c>
      <c r="H175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75" s="214" t="str">
        <f>IF(BD_MO[FECHA]&lt;&gt;"",VLOOKUP(BD_MO[LABOR],TB_CECO[[LABOR]:[CECO_T]],3,FALSE),"")</f>
        <v>VANESSA</v>
      </c>
      <c r="J175" s="214" t="str">
        <f>IF(BD_MO[FECHA]&lt;&gt;"",VLOOKUP(BD_MO[LABOR],D_CECO!B:H,7,FALSE),"")</f>
        <v>TAJO</v>
      </c>
      <c r="K175" s="214" t="str">
        <f>IF(BD_MO[FECHA]&lt;&gt;"",VLOOKUP(BD_MO[LABOR],D_CECO!B:H,4,FALSE),"")</f>
        <v>EXPLOTACION</v>
      </c>
      <c r="L175" s="214"/>
      <c r="M175" s="216" t="s">
        <v>10661</v>
      </c>
      <c r="N175" s="215"/>
      <c r="O175" s="173" t="s">
        <v>12194</v>
      </c>
      <c r="P175" s="173" t="s">
        <v>12195</v>
      </c>
      <c r="Q175" s="173"/>
      <c r="R175" s="217"/>
      <c r="S175" s="218" t="str">
        <f>IFERROR(VLOOKUP(BD_MO[DNI 4],#REF!,2,FALSE)," ")</f>
        <v xml:space="preserve"> </v>
      </c>
      <c r="T175" s="219">
        <f>+IF(BD_MO[[#This Row],[FECHA]]&lt;&gt;"",COUNTA(BD_MO[[#This Row],[DNI]],BD_MO[[#This Row],[DNI 2]],BD_MO[[#This Row],[DNI 3]],BD_MO[[#This Row],[DNI 4]]),"")</f>
        <v>2</v>
      </c>
      <c r="U175" s="219">
        <v>0.57999999999999996</v>
      </c>
      <c r="V175" s="219">
        <v>0.28000000000000003</v>
      </c>
      <c r="W175" s="219">
        <v>0.76</v>
      </c>
      <c r="X175" s="219">
        <v>0.38</v>
      </c>
      <c r="Y175" s="177">
        <f>SUM(BD_MO[[#This Row],[LIMP]:[SERV]])</f>
        <v>2</v>
      </c>
      <c r="Z175" s="215" t="s">
        <v>12235</v>
      </c>
      <c r="AA175" s="215">
        <f>+IF(BD_MO[[#This Row],[N° VALE]]&lt;&gt;"",1,"")</f>
        <v>1</v>
      </c>
      <c r="AB175" s="169" t="s">
        <v>10709</v>
      </c>
      <c r="AC175" s="215">
        <v>1</v>
      </c>
      <c r="AD175" s="215">
        <f>+IF(BD_MO[[#This Row],[N° VALE]]&lt;&gt;"",BD_MO[[#This Row],[FULMINANTE N° 08]]+BD_MO[CARMEX 7''],"")</f>
        <v>2</v>
      </c>
      <c r="AE175" s="215"/>
      <c r="AF175" s="215">
        <f>+IF(BD_MO[[#This Row],[N° VALE]]&lt;&gt;"",BD_MO[[#This Row],[N° TALADROS]]+BD_MO[[#This Row],[N° TAL. VACIOS]],"")</f>
        <v>2</v>
      </c>
      <c r="AG175" s="220"/>
      <c r="AH175" s="220">
        <v>2</v>
      </c>
      <c r="AI175" s="220"/>
      <c r="AJ175" s="220"/>
      <c r="AK175" s="220">
        <v>2</v>
      </c>
      <c r="AL175" s="220">
        <v>1</v>
      </c>
      <c r="AM175" s="214"/>
      <c r="AN175" s="21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75" s="215">
        <f>+IF(BD_MO[[#This Row],[N° VALE]]&lt;&gt;"",IF(BD_MO[[#This Row],[FULMINANTE N° 08]]&lt;&gt;"",BD_MO[[#This Row],[FULMINANTE N° 08]],IF(BD_MO[[#This Row],[CARMEX 7'']]&lt;&gt;0,0,"")),"")</f>
        <v>0</v>
      </c>
      <c r="AP175" s="219">
        <f>+IF(BD_MO[[#This Row],[N° VALE]]&lt;&gt;"",BD_MO[[#This Row],[N°  TOTAL TALADROS]]*BD_MO[[#This Row],[BARRA]]*0.95,"")</f>
        <v>1.9</v>
      </c>
      <c r="AQ175" s="219">
        <f>+IF(BD_MO[[#This Row],[N° VALE]]&lt;&gt;"",BD_MO[[#This Row],[EMULNOR 1000 (N° CART.)]]*PE_EMUL_1000[PE],"")</f>
        <v>0.18940000000000001</v>
      </c>
      <c r="AR175" s="219">
        <f>+IF(BD_MO[[#This Row],[N° VALE]]&lt;&gt;"",BD_MO[[#This Row],[EMULNOR 3000 (N° CART.)]]*PE_EMUL_3000[PE],"")</f>
        <v>0</v>
      </c>
      <c r="AS175" s="219">
        <f>+IF(BD_MO[[#This Row],[N° VALE]]&lt;&gt;"",BD_MO[[#This Row],[PULVERULENTA (N° CART.)]]*PE_PULV_65[PE],"")</f>
        <v>0</v>
      </c>
      <c r="AT175" s="219">
        <f>+IF(BD_MO[[#This Row],[N° DISP]]&lt;&gt;"",BD_MO[[#This Row],[SEMIGELATINA (N° CART.)]]*PE_SEMIGEL_65[PE],"")</f>
        <v>0</v>
      </c>
      <c r="AU175" s="219">
        <f>+IF(BD_MO[N° VALE]&lt;&gt;"",BD_MO[[#This Row],[KG EXPLO SEMIGEL]]+BD_MO[[#This Row],[KG EXPLO PULVE]]+BD_MO[[#This Row],[KG EXPLO EMULN 3000]]+BD_MO[[#This Row],[KG EXPLO EMULN 1000]],"")</f>
        <v>0.18940000000000001</v>
      </c>
      <c r="AV175" s="215">
        <v>8</v>
      </c>
      <c r="AW175" s="215"/>
      <c r="AX175" s="215">
        <f>+IF(BD_MO[[#This Row],[MINERAL (U-35)]]&lt;&gt;"",BD_MO[[#This Row],[MINERAL (U-35)]]*1.45,"-")</f>
        <v>11.6</v>
      </c>
      <c r="AY175" s="215" t="str">
        <f>+IF(BD_MO[[#This Row],[DESMONTE (U-35)]]&lt;&gt;"",BD_MO[[#This Row],[DESMONTE (U-35)]]*1.23,"-")</f>
        <v>-</v>
      </c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15"/>
      <c r="BN175" s="214"/>
      <c r="BO175" s="215">
        <v>4</v>
      </c>
      <c r="BP175" s="215"/>
      <c r="BQ175" s="214"/>
      <c r="BR175" s="215"/>
      <c r="BS175" s="214"/>
      <c r="BT175" s="219">
        <v>3.27</v>
      </c>
      <c r="BU175" s="215"/>
      <c r="BV175" s="215"/>
      <c r="BW175" s="215"/>
      <c r="BX175" s="215"/>
      <c r="BY175" s="215"/>
      <c r="BZ175" s="215"/>
      <c r="CA175" s="215"/>
      <c r="CB175" s="215"/>
      <c r="CC175" s="215"/>
      <c r="CD175" s="215"/>
      <c r="CE175" s="215"/>
      <c r="CF175" s="215"/>
      <c r="CG175" s="215"/>
      <c r="CH175" s="215"/>
      <c r="CI175" s="215"/>
      <c r="CJ175" s="215"/>
      <c r="CK175" s="215"/>
      <c r="CL175" s="215">
        <v>4</v>
      </c>
      <c r="CM175" s="215"/>
      <c r="CN175" s="215">
        <v>4</v>
      </c>
      <c r="CO175" s="215"/>
      <c r="CP175" s="219">
        <f>+IF(BD_MO[[#This Row],[FECHA]]&lt;&gt;"",BD_MO[[#This Row],[PUNTAL 4"]]+BD_MO[[#This Row],[PUNTAL 5"]]+BD_MO[[#This Row],[PUNTAL 6"]]+BD_MO[[#This Row],[PUNTAL 7"]]+BD_MO[[#This Row],[PUNTAL 8"]],"")</f>
        <v>8</v>
      </c>
      <c r="CQ175" s="215"/>
      <c r="CR175" s="215"/>
      <c r="CS175" s="215">
        <v>4</v>
      </c>
      <c r="CT175" s="215"/>
      <c r="CU175" s="215"/>
      <c r="CV175" s="215"/>
      <c r="CW175" s="215"/>
      <c r="CX175" s="215"/>
      <c r="CY175" s="219"/>
      <c r="CZ175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467.36800000000005</v>
      </c>
      <c r="DA175" s="219">
        <f>+IF(BD_MO[[#This Row],[FECHA]]&lt;&gt;"",BD_MO[[#This Row],[DURMIENTE2]]*6.561+BD_MO[[#This Row],[LISTONES]]*4.921+BD_MO[[#This Row],[TABLA 1"x8"x3m]]*6.561+BD_MO[[#This Row],[TABLA 2"x8"x3m]]*13.122,"")</f>
        <v>0</v>
      </c>
      <c r="DB175" s="219">
        <f>+IF(BD_MO[[#This Row],[FECHA]]&lt;&gt;"",BD_MO[[#This Row],[PIE2 MADERA ASERRADA]]*1.95,"")</f>
        <v>0</v>
      </c>
      <c r="DC175" s="219">
        <f>+IF(BD_MO[[#This Row],[FECHA]]&lt;&gt;"",BD_MO[[#This Row],[KG. MADERA REDONDA]]+BD_MO[[#This Row],[KG MADERA ASERRADA]],"")</f>
        <v>467.36800000000005</v>
      </c>
      <c r="DD175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191.56</v>
      </c>
      <c r="DE175" s="215"/>
      <c r="DF175" s="215"/>
      <c r="DG175" s="215"/>
      <c r="DH175" s="215"/>
      <c r="DI175" s="222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0.26</v>
      </c>
      <c r="DJ175" s="222"/>
      <c r="DK175" s="222"/>
      <c r="DL175" s="222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0.47</v>
      </c>
      <c r="DM175" s="222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0.1222</v>
      </c>
      <c r="DN175" s="222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75" s="66">
        <f>0.83*BD_MO[[#This Row],[N° TALADROS]]</f>
        <v>1.66</v>
      </c>
      <c r="DP175" s="56">
        <f>+IF(BD_MO[[#This Row],[M o D]]&lt;&gt;"",IF(BD_MO[[#This Row],[M o D]]="M",BD_MO[[#This Row],[ROTURA TMH]]/2.65,BD_MO[[#This Row],[ROTURA TMH]]/2.4),"")</f>
        <v>0.62641509433962261</v>
      </c>
      <c r="DQ175" s="222"/>
      <c r="DR175" s="116" t="str">
        <f>IF(BD_MO[[#This Row],[TIPO AVANCE]]="Avance",((BD_MO[[#This Row],[AVANCE (m)]]/BD_MO[[#This Row],[AVANCE TEÓRICO]]))," ")</f>
        <v xml:space="preserve"> </v>
      </c>
    </row>
    <row r="176" spans="1:130" ht="18.75" customHeight="1" x14ac:dyDescent="0.25">
      <c r="A176" s="168">
        <v>44662</v>
      </c>
      <c r="B176" s="169" t="s">
        <v>10647</v>
      </c>
      <c r="C176" s="169" t="s">
        <v>10672</v>
      </c>
      <c r="D176" s="213" t="s">
        <v>12149</v>
      </c>
      <c r="E176" s="214" t="str">
        <f>LEFT(BD_MO[[#This Row],[LABOR]],2)</f>
        <v>Es</v>
      </c>
      <c r="F176" s="215" t="s">
        <v>10950</v>
      </c>
      <c r="G176" s="215" t="s">
        <v>10648</v>
      </c>
      <c r="H176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76" s="214" t="str">
        <f>IF(BD_MO[FECHA]&lt;&gt;"",VLOOKUP(BD_MO[LABOR],TB_CECO[[LABOR]:[CECO_T]],3,FALSE),"")</f>
        <v>VANESSA</v>
      </c>
      <c r="J176" s="214" t="str">
        <f>IF(BD_MO[FECHA]&lt;&gt;"",VLOOKUP(BD_MO[LABOR],D_CECO!B:H,7,FALSE),"")</f>
        <v>LINEAL</v>
      </c>
      <c r="K176" s="214" t="str">
        <f>IF(BD_MO[FECHA]&lt;&gt;"",VLOOKUP(BD_MO[LABOR],D_CECO!B:H,4,FALSE),"")</f>
        <v>EXPLORACION</v>
      </c>
      <c r="L176" s="214"/>
      <c r="M176" s="216" t="s">
        <v>10646</v>
      </c>
      <c r="N176" s="215"/>
      <c r="O176" s="173" t="s">
        <v>12192</v>
      </c>
      <c r="P176" s="173" t="s">
        <v>12205</v>
      </c>
      <c r="Q176" s="173"/>
      <c r="R176" s="217"/>
      <c r="S176" s="218" t="str">
        <f>IFERROR(VLOOKUP(BD_MO[DNI 4],#REF!,2,FALSE)," ")</f>
        <v xml:space="preserve"> </v>
      </c>
      <c r="T176" s="219">
        <f>+IF(BD_MO[[#This Row],[FECHA]]&lt;&gt;"",COUNTA(BD_MO[[#This Row],[DNI]],BD_MO[[#This Row],[DNI 2]],BD_MO[[#This Row],[DNI 3]],BD_MO[[#This Row],[DNI 4]]),"")</f>
        <v>2</v>
      </c>
      <c r="U176" s="219">
        <v>0.76</v>
      </c>
      <c r="V176" s="219">
        <v>0.57999999999999996</v>
      </c>
      <c r="W176" s="219">
        <v>0.37</v>
      </c>
      <c r="X176" s="219">
        <v>0.28999999999999998</v>
      </c>
      <c r="Y176" s="177">
        <f>SUM(BD_MO[[#This Row],[LIMP]:[SERV]])</f>
        <v>2</v>
      </c>
      <c r="Z176" s="215" t="s">
        <v>12237</v>
      </c>
      <c r="AA176" s="215">
        <f>+IF(BD_MO[[#This Row],[N° VALE]]&lt;&gt;"",1,"")</f>
        <v>1</v>
      </c>
      <c r="AB176" s="169" t="s">
        <v>10644</v>
      </c>
      <c r="AC176" s="215">
        <v>4</v>
      </c>
      <c r="AD176" s="215">
        <f>+IF(BD_MO[[#This Row],[N° VALE]]&lt;&gt;"",BD_MO[[#This Row],[FULMINANTE N° 08]]+BD_MO[CARMEX 7''],"")</f>
        <v>20</v>
      </c>
      <c r="AE176" s="215"/>
      <c r="AF176" s="215">
        <f>+IF(BD_MO[[#This Row],[N° VALE]]&lt;&gt;"",BD_MO[[#This Row],[N° TALADROS]]+BD_MO[[#This Row],[N° TAL. VACIOS]],"")</f>
        <v>20</v>
      </c>
      <c r="AG176" s="220">
        <v>52</v>
      </c>
      <c r="AH176" s="220"/>
      <c r="AI176" s="220"/>
      <c r="AJ176" s="220"/>
      <c r="AK176" s="220">
        <v>20</v>
      </c>
      <c r="AL176" s="220">
        <v>5</v>
      </c>
      <c r="AM176" s="214"/>
      <c r="AN176" s="21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76" s="215">
        <f>+IF(BD_MO[[#This Row],[N° VALE]]&lt;&gt;"",IF(BD_MO[[#This Row],[FULMINANTE N° 08]]&lt;&gt;"",BD_MO[[#This Row],[FULMINANTE N° 08]],IF(BD_MO[[#This Row],[CARMEX 7'']]&lt;&gt;0,0,"")),"")</f>
        <v>0</v>
      </c>
      <c r="AP176" s="219">
        <f>+IF(BD_MO[[#This Row],[N° VALE]]&lt;&gt;"",BD_MO[[#This Row],[N°  TOTAL TALADROS]]*BD_MO[[#This Row],[BARRA]]*0.95,"")</f>
        <v>76</v>
      </c>
      <c r="AQ176" s="219">
        <f>+IF(BD_MO[[#This Row],[N° VALE]]&lt;&gt;"",BD_MO[[#This Row],[EMULNOR 1000 (N° CART.)]]*PE_EMUL_1000[PE],"")</f>
        <v>0</v>
      </c>
      <c r="AR176" s="219">
        <f>+IF(BD_MO[[#This Row],[N° VALE]]&lt;&gt;"",BD_MO[[#This Row],[EMULNOR 3000 (N° CART.)]]*PE_EMUL_3000[PE],"")</f>
        <v>5.0000000000000027</v>
      </c>
      <c r="AS176" s="219">
        <f>+IF(BD_MO[[#This Row],[N° VALE]]&lt;&gt;"",BD_MO[[#This Row],[PULVERULENTA (N° CART.)]]*PE_PULV_65[PE],"")</f>
        <v>0</v>
      </c>
      <c r="AT176" s="219">
        <f>+IF(BD_MO[[#This Row],[N° DISP]]&lt;&gt;"",BD_MO[[#This Row],[SEMIGELATINA (N° CART.)]]*PE_SEMIGEL_65[PE],"")</f>
        <v>0</v>
      </c>
      <c r="AU176" s="219">
        <f>+IF(BD_MO[N° VALE]&lt;&gt;"",BD_MO[[#This Row],[KG EXPLO SEMIGEL]]+BD_MO[[#This Row],[KG EXPLO PULVE]]+BD_MO[[#This Row],[KG EXPLO EMULN 3000]]+BD_MO[[#This Row],[KG EXPLO EMULN 1000]],"")</f>
        <v>5.0000000000000027</v>
      </c>
      <c r="AV176" s="215">
        <v>7</v>
      </c>
      <c r="AW176" s="215"/>
      <c r="AX176" s="215">
        <f>+IF(BD_MO[[#This Row],[MINERAL (U-35)]]&lt;&gt;"",BD_MO[[#This Row],[MINERAL (U-35)]]*1.45,"-")</f>
        <v>10.15</v>
      </c>
      <c r="AY176" s="215" t="str">
        <f>+IF(BD_MO[[#This Row],[DESMONTE (U-35)]]&lt;&gt;"",BD_MO[[#This Row],[DESMONTE (U-35)]]*1.23,"-")</f>
        <v>-</v>
      </c>
      <c r="AZ176" s="215"/>
      <c r="BA176" s="215"/>
      <c r="BB176" s="215"/>
      <c r="BC176" s="215"/>
      <c r="BD176" s="215"/>
      <c r="BE176" s="215"/>
      <c r="BF176" s="215"/>
      <c r="BG176" s="215"/>
      <c r="BH176" s="215"/>
      <c r="BI176" s="215"/>
      <c r="BJ176" s="215"/>
      <c r="BK176" s="215"/>
      <c r="BL176" s="215"/>
      <c r="BM176" s="215"/>
      <c r="BN176" s="214"/>
      <c r="BO176" s="215"/>
      <c r="BP176" s="215"/>
      <c r="BQ176" s="214"/>
      <c r="BR176" s="215"/>
      <c r="BS176" s="214"/>
      <c r="BT176" s="219"/>
      <c r="BU176" s="215"/>
      <c r="BV176" s="215">
        <v>4</v>
      </c>
      <c r="BW176" s="215">
        <v>7</v>
      </c>
      <c r="BX176" s="215"/>
      <c r="BY176" s="215"/>
      <c r="BZ176" s="215"/>
      <c r="CA176" s="215"/>
      <c r="CB176" s="215"/>
      <c r="CC176" s="215">
        <v>7</v>
      </c>
      <c r="CD176" s="215"/>
      <c r="CE176" s="215"/>
      <c r="CF176" s="215"/>
      <c r="CG176" s="215"/>
      <c r="CH176" s="215"/>
      <c r="CI176" s="215"/>
      <c r="CJ176" s="215"/>
      <c r="CK176" s="215"/>
      <c r="CL176" s="215"/>
      <c r="CM176" s="215"/>
      <c r="CN176" s="215"/>
      <c r="CO176" s="215"/>
      <c r="CP176" s="219">
        <f>+IF(BD_MO[[#This Row],[FECHA]]&lt;&gt;"",BD_MO[[#This Row],[PUNTAL 4"]]+BD_MO[[#This Row],[PUNTAL 5"]]+BD_MO[[#This Row],[PUNTAL 6"]]+BD_MO[[#This Row],[PUNTAL 7"]]+BD_MO[[#This Row],[PUNTAL 8"]],"")</f>
        <v>0</v>
      </c>
      <c r="CQ176" s="215"/>
      <c r="CR176" s="215"/>
      <c r="CS176" s="215"/>
      <c r="CT176" s="215"/>
      <c r="CU176" s="215"/>
      <c r="CV176" s="215"/>
      <c r="CW176" s="215"/>
      <c r="CX176" s="215"/>
      <c r="CY176" s="219"/>
      <c r="CZ176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76" s="219">
        <f>+IF(BD_MO[[#This Row],[FECHA]]&lt;&gt;"",BD_MO[[#This Row],[DURMIENTE2]]*6.561+BD_MO[[#This Row],[LISTONES]]*4.921+BD_MO[[#This Row],[TABLA 1"x8"x3m]]*6.561+BD_MO[[#This Row],[TABLA 2"x8"x3m]]*13.122,"")</f>
        <v>0</v>
      </c>
      <c r="DB176" s="219">
        <f>+IF(BD_MO[[#This Row],[FECHA]]&lt;&gt;"",BD_MO[[#This Row],[PIE2 MADERA ASERRADA]]*1.95,"")</f>
        <v>0</v>
      </c>
      <c r="DC176" s="219">
        <f>+IF(BD_MO[[#This Row],[FECHA]]&lt;&gt;"",BD_MO[[#This Row],[KG. MADERA REDONDA]]+BD_MO[[#This Row],[KG MADERA ASERRADA]],"")</f>
        <v>0</v>
      </c>
      <c r="DD176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76" s="215"/>
      <c r="DF176" s="215"/>
      <c r="DG176" s="215"/>
      <c r="DH176" s="215"/>
      <c r="DI176" s="222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176" s="222"/>
      <c r="DK176" s="222"/>
      <c r="DL176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76" s="222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176" s="222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76" s="66">
        <v>5.31</v>
      </c>
      <c r="DP176" s="222">
        <f>+IF(BD_MO[[#This Row],[M o D]]&lt;&gt;"",IF(BD_MO[[#This Row],[M o D]]="M",BD_MO[[#This Row],[ROTURA TMH]]/2.65,BD_MO[[#This Row],[ROTURA TMH]]/2.4),"")</f>
        <v>2.0037735849056602</v>
      </c>
      <c r="DQ176" s="180">
        <v>1.1000000000000001</v>
      </c>
      <c r="DR176" s="116">
        <f>IF(BD_MO[[#This Row],[TIPO AVANCE]]="Avance",((BD_MO[[#This Row],[AVANCE (m)]]/BD_MO[[#This Row],[AVANCE TEÓRICO]]))," ")</f>
        <v>1.0185185185185186</v>
      </c>
    </row>
    <row r="177" spans="1:130" ht="18.75" customHeight="1" x14ac:dyDescent="0.25">
      <c r="A177" s="168">
        <v>44662</v>
      </c>
      <c r="B177" s="169" t="s">
        <v>10647</v>
      </c>
      <c r="C177" s="169" t="s">
        <v>10672</v>
      </c>
      <c r="D177" s="213" t="s">
        <v>12149</v>
      </c>
      <c r="E177" s="214" t="str">
        <f>LEFT(BD_MO[[#This Row],[LABOR]],2)</f>
        <v>Es</v>
      </c>
      <c r="F177" s="215" t="s">
        <v>10950</v>
      </c>
      <c r="G177" s="215" t="s">
        <v>10648</v>
      </c>
      <c r="H177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77" s="214" t="str">
        <f>IF(BD_MO[FECHA]&lt;&gt;"",VLOOKUP(BD_MO[LABOR],TB_CECO[[LABOR]:[CECO_T]],3,FALSE),"")</f>
        <v>VANESSA</v>
      </c>
      <c r="J177" s="214" t="str">
        <f>IF(BD_MO[FECHA]&lt;&gt;"",VLOOKUP(BD_MO[LABOR],D_CECO!B:H,7,FALSE),"")</f>
        <v>LINEAL</v>
      </c>
      <c r="K177" s="214" t="str">
        <f>IF(BD_MO[FECHA]&lt;&gt;"",VLOOKUP(BD_MO[LABOR],D_CECO!B:H,4,FALSE),"")</f>
        <v>EXPLORACION</v>
      </c>
      <c r="L177" s="214"/>
      <c r="M177" s="216" t="s">
        <v>10646</v>
      </c>
      <c r="N177" s="215"/>
      <c r="O177" s="173" t="s">
        <v>12197</v>
      </c>
      <c r="P177" s="173"/>
      <c r="Q177" s="249"/>
      <c r="R177" s="217"/>
      <c r="S177" s="218" t="str">
        <f>IFERROR(VLOOKUP(BD_MO[DNI 4],#REF!,2,FALSE)," ")</f>
        <v xml:space="preserve"> </v>
      </c>
      <c r="T177" s="219">
        <f>+IF(BD_MO[[#This Row],[FECHA]]&lt;&gt;"",COUNTA(BD_MO[[#This Row],[DNI]],BD_MO[[#This Row],[DNI 2]],BD_MO[[#This Row],[DNI 3]],BD_MO[[#This Row],[DNI 4]]),"")</f>
        <v>1</v>
      </c>
      <c r="U177" s="219">
        <v>0.38</v>
      </c>
      <c r="V177" s="219">
        <v>0.14000000000000001</v>
      </c>
      <c r="W177" s="219">
        <v>0.28999999999999998</v>
      </c>
      <c r="X177" s="219">
        <v>0.19</v>
      </c>
      <c r="Y177" s="177">
        <f>SUM(BD_MO[[#This Row],[LIMP]:[SERV]])</f>
        <v>1</v>
      </c>
      <c r="Z177" s="215" t="s">
        <v>12236</v>
      </c>
      <c r="AA177" s="215">
        <f>+IF(BD_MO[[#This Row],[N° VALE]]&lt;&gt;"",1,"")</f>
        <v>1</v>
      </c>
      <c r="AB177" s="169" t="s">
        <v>10644</v>
      </c>
      <c r="AC177" s="215">
        <v>4</v>
      </c>
      <c r="AD177" s="215">
        <f>+IF(BD_MO[[#This Row],[N° VALE]]&lt;&gt;"",BD_MO[[#This Row],[FULMINANTE N° 08]]+BD_MO[CARMEX 7''],"")</f>
        <v>20</v>
      </c>
      <c r="AE177" s="215"/>
      <c r="AF177" s="215">
        <f>+IF(BD_MO[[#This Row],[N° VALE]]&lt;&gt;"",BD_MO[[#This Row],[N° TALADROS]]+BD_MO[[#This Row],[N° TAL. VACIOS]],"")</f>
        <v>20</v>
      </c>
      <c r="AG177" s="220">
        <v>52</v>
      </c>
      <c r="AH177" s="220"/>
      <c r="AI177" s="220"/>
      <c r="AJ177" s="220"/>
      <c r="AK177" s="220">
        <v>20</v>
      </c>
      <c r="AL177" s="220">
        <v>5</v>
      </c>
      <c r="AM177" s="214"/>
      <c r="AN177" s="21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77" s="215">
        <f>+IF(BD_MO[[#This Row],[N° VALE]]&lt;&gt;"",IF(BD_MO[[#This Row],[FULMINANTE N° 08]]&lt;&gt;"",BD_MO[[#This Row],[FULMINANTE N° 08]],IF(BD_MO[[#This Row],[CARMEX 7'']]&lt;&gt;0,0,"")),"")</f>
        <v>0</v>
      </c>
      <c r="AP177" s="219">
        <f>+IF(BD_MO[[#This Row],[N° VALE]]&lt;&gt;"",BD_MO[[#This Row],[N°  TOTAL TALADROS]]*BD_MO[[#This Row],[BARRA]]*0.95,"")</f>
        <v>76</v>
      </c>
      <c r="AQ177" s="219">
        <f>+IF(BD_MO[[#This Row],[N° VALE]]&lt;&gt;"",BD_MO[[#This Row],[EMULNOR 1000 (N° CART.)]]*PE_EMUL_1000[PE],"")</f>
        <v>0</v>
      </c>
      <c r="AR177" s="219">
        <f>+IF(BD_MO[[#This Row],[N° VALE]]&lt;&gt;"",BD_MO[[#This Row],[EMULNOR 3000 (N° CART.)]]*PE_EMUL_3000[PE],"")</f>
        <v>5.0000000000000027</v>
      </c>
      <c r="AS177" s="219">
        <f>+IF(BD_MO[[#This Row],[N° VALE]]&lt;&gt;"",BD_MO[[#This Row],[PULVERULENTA (N° CART.)]]*PE_PULV_65[PE],"")</f>
        <v>0</v>
      </c>
      <c r="AT177" s="219">
        <f>+IF(BD_MO[[#This Row],[N° DISP]]&lt;&gt;"",BD_MO[[#This Row],[SEMIGELATINA (N° CART.)]]*PE_SEMIGEL_65[PE],"")</f>
        <v>0</v>
      </c>
      <c r="AU177" s="219">
        <f>+IF(BD_MO[N° VALE]&lt;&gt;"",BD_MO[[#This Row],[KG EXPLO SEMIGEL]]+BD_MO[[#This Row],[KG EXPLO PULVE]]+BD_MO[[#This Row],[KG EXPLO EMULN 3000]]+BD_MO[[#This Row],[KG EXPLO EMULN 1000]],"")</f>
        <v>5.0000000000000027</v>
      </c>
      <c r="AV177" s="215">
        <v>6</v>
      </c>
      <c r="AW177" s="215"/>
      <c r="AX177" s="215">
        <f>+IF(BD_MO[[#This Row],[MINERAL (U-35)]]&lt;&gt;"",BD_MO[[#This Row],[MINERAL (U-35)]]*1.45,"-")</f>
        <v>8.6999999999999993</v>
      </c>
      <c r="AY177" s="215" t="str">
        <f>+IF(BD_MO[[#This Row],[DESMONTE (U-35)]]&lt;&gt;"",BD_MO[[#This Row],[DESMONTE (U-35)]]*1.23,"-")</f>
        <v>-</v>
      </c>
      <c r="AZ177" s="215"/>
      <c r="BA177" s="215"/>
      <c r="BB177" s="215"/>
      <c r="BC177" s="215"/>
      <c r="BD177" s="215"/>
      <c r="BE177" s="215"/>
      <c r="BF177" s="215"/>
      <c r="BG177" s="215"/>
      <c r="BH177" s="215"/>
      <c r="BI177" s="215"/>
      <c r="BJ177" s="215"/>
      <c r="BK177" s="215"/>
      <c r="BL177" s="215"/>
      <c r="BM177" s="215"/>
      <c r="BN177" s="214"/>
      <c r="BO177" s="215"/>
      <c r="BP177" s="215"/>
      <c r="BQ177" s="214"/>
      <c r="BR177" s="215"/>
      <c r="BS177" s="214"/>
      <c r="BT177" s="219"/>
      <c r="BU177" s="215"/>
      <c r="BV177" s="215"/>
      <c r="BW177" s="215"/>
      <c r="BX177" s="215"/>
      <c r="BY177" s="215"/>
      <c r="BZ177" s="215"/>
      <c r="CA177" s="215"/>
      <c r="CB177" s="215"/>
      <c r="CC177" s="215"/>
      <c r="CD177" s="215"/>
      <c r="CE177" s="215"/>
      <c r="CF177" s="215"/>
      <c r="CG177" s="215"/>
      <c r="CH177" s="215"/>
      <c r="CI177" s="215"/>
      <c r="CJ177" s="215"/>
      <c r="CK177" s="215"/>
      <c r="CL177" s="215"/>
      <c r="CM177" s="215"/>
      <c r="CN177" s="215"/>
      <c r="CO177" s="215"/>
      <c r="CP177" s="219">
        <f>+IF(BD_MO[[#This Row],[FECHA]]&lt;&gt;"",BD_MO[[#This Row],[PUNTAL 4"]]+BD_MO[[#This Row],[PUNTAL 5"]]+BD_MO[[#This Row],[PUNTAL 6"]]+BD_MO[[#This Row],[PUNTAL 7"]]+BD_MO[[#This Row],[PUNTAL 8"]],"")</f>
        <v>0</v>
      </c>
      <c r="CQ177" s="215"/>
      <c r="CR177" s="215"/>
      <c r="CS177" s="215"/>
      <c r="CT177" s="215"/>
      <c r="CU177" s="215"/>
      <c r="CV177" s="215"/>
      <c r="CW177" s="215"/>
      <c r="CX177" s="215"/>
      <c r="CY177" s="219"/>
      <c r="CZ177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77" s="219">
        <f>+IF(BD_MO[[#This Row],[FECHA]]&lt;&gt;"",BD_MO[[#This Row],[DURMIENTE2]]*6.561+BD_MO[[#This Row],[LISTONES]]*4.921+BD_MO[[#This Row],[TABLA 1"x8"x3m]]*6.561+BD_MO[[#This Row],[TABLA 2"x8"x3m]]*13.122,"")</f>
        <v>0</v>
      </c>
      <c r="DB177" s="219">
        <f>+IF(BD_MO[[#This Row],[FECHA]]&lt;&gt;"",BD_MO[[#This Row],[PIE2 MADERA ASERRADA]]*1.95,"")</f>
        <v>0</v>
      </c>
      <c r="DC177" s="219">
        <f>+IF(BD_MO[[#This Row],[FECHA]]&lt;&gt;"",BD_MO[[#This Row],[KG. MADERA REDONDA]]+BD_MO[[#This Row],[KG MADERA ASERRADA]],"")</f>
        <v>0</v>
      </c>
      <c r="DD177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77" s="215"/>
      <c r="DF177" s="215"/>
      <c r="DG177" s="215"/>
      <c r="DH177" s="215"/>
      <c r="DI177" s="222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177" s="222"/>
      <c r="DK177" s="222"/>
      <c r="DL177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77" s="222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177" s="222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77" s="66">
        <f>0.3154597*BD_MO[[#This Row],[N° TALADROS]]</f>
        <v>6.3091939999999997</v>
      </c>
      <c r="DP177" s="222">
        <f>+IF(BD_MO[[#This Row],[M o D]]&lt;&gt;"",IF(BD_MO[[#This Row],[M o D]]="M",BD_MO[[#This Row],[ROTURA TMH]]/2.65,BD_MO[[#This Row],[ROTURA TMH]]/2.4),"")</f>
        <v>2.3808279245283019</v>
      </c>
      <c r="DQ177" s="180">
        <v>0.9</v>
      </c>
      <c r="DR177" s="116">
        <f>IF(BD_MO[[#This Row],[TIPO AVANCE]]="Avance",((BD_MO[[#This Row],[AVANCE (m)]]/BD_MO[[#This Row],[AVANCE TEÓRICO]]))," ")</f>
        <v>0.83333333333333326</v>
      </c>
    </row>
    <row r="178" spans="1:130" ht="18.75" customHeight="1" x14ac:dyDescent="0.25">
      <c r="A178" s="168">
        <v>44662</v>
      </c>
      <c r="B178" s="169" t="s">
        <v>10647</v>
      </c>
      <c r="C178" s="169" t="s">
        <v>10672</v>
      </c>
      <c r="D178" s="213" t="s">
        <v>11872</v>
      </c>
      <c r="E178" s="214" t="str">
        <f>LEFT(BD_MO[[#This Row],[LABOR]],2)</f>
        <v>PQ</v>
      </c>
      <c r="F178" s="215"/>
      <c r="G178" s="215" t="s">
        <v>10669</v>
      </c>
      <c r="H178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78" s="214" t="str">
        <f>IF(BD_MO[FECHA]&lt;&gt;"",VLOOKUP(BD_MO[LABOR],TB_CECO[[LABOR]:[CECO_T]],3,FALSE),"")</f>
        <v>ANDREA</v>
      </c>
      <c r="J178" s="214" t="str">
        <f>IF(BD_MO[FECHA]&lt;&gt;"",VLOOKUP(BD_MO[LABOR],D_CECO!B:H,7,FALSE),"")</f>
        <v>LINEAL</v>
      </c>
      <c r="K178" s="214" t="str">
        <f>IF(BD_MO[FECHA]&lt;&gt;"",VLOOKUP(BD_MO[LABOR],D_CECO!B:H,4,FALSE),"")</f>
        <v>EXPLOTACION</v>
      </c>
      <c r="L178" s="214"/>
      <c r="M178" s="216"/>
      <c r="N178" s="215"/>
      <c r="O178" s="173" t="s">
        <v>12198</v>
      </c>
      <c r="P178" s="173" t="s">
        <v>12220</v>
      </c>
      <c r="Q178" s="173" t="s">
        <v>12199</v>
      </c>
      <c r="R178" s="217"/>
      <c r="S178" s="218" t="str">
        <f>IFERROR(VLOOKUP(BD_MO[DNI 4],#REF!,2,FALSE)," ")</f>
        <v xml:space="preserve"> </v>
      </c>
      <c r="T178" s="219">
        <f>+IF(BD_MO[[#This Row],[FECHA]]&lt;&gt;"",COUNTA(BD_MO[[#This Row],[DNI]],BD_MO[[#This Row],[DNI 2]],BD_MO[[#This Row],[DNI 3]],BD_MO[[#This Row],[DNI 4]]),"")</f>
        <v>3</v>
      </c>
      <c r="U178" s="219"/>
      <c r="V178" s="219"/>
      <c r="W178" s="219"/>
      <c r="X178" s="219">
        <v>3</v>
      </c>
      <c r="Y178" s="177">
        <f>SUM(BD_MO[[#This Row],[LIMP]:[SERV]])</f>
        <v>3</v>
      </c>
      <c r="Z178" s="215"/>
      <c r="AA178" s="215" t="str">
        <f>+IF(BD_MO[[#This Row],[N° VALE]]&lt;&gt;"",1,"")</f>
        <v/>
      </c>
      <c r="AB178" s="169"/>
      <c r="AC178" s="215"/>
      <c r="AD178" s="215" t="str">
        <f>+IF(BD_MO[[#This Row],[N° VALE]]&lt;&gt;"",BD_MO[[#This Row],[FULMINANTE N° 08]]+BD_MO[CARMEX 7''],"")</f>
        <v/>
      </c>
      <c r="AE178" s="215"/>
      <c r="AF178" s="215" t="str">
        <f>+IF(BD_MO[[#This Row],[N° VALE]]&lt;&gt;"",BD_MO[[#This Row],[N° TALADROS]]+BD_MO[[#This Row],[N° TAL. VACIOS]],"")</f>
        <v/>
      </c>
      <c r="AG178" s="220"/>
      <c r="AH178" s="220"/>
      <c r="AI178" s="220"/>
      <c r="AJ178" s="220"/>
      <c r="AK178" s="220"/>
      <c r="AL178" s="220"/>
      <c r="AM178" s="214"/>
      <c r="AN178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78" s="215" t="str">
        <f>+IF(BD_MO[[#This Row],[N° VALE]]&lt;&gt;"",IF(BD_MO[[#This Row],[FULMINANTE N° 08]]&lt;&gt;"",BD_MO[[#This Row],[FULMINANTE N° 08]],IF(BD_MO[[#This Row],[CARMEX 7'']]&lt;&gt;0,0,"")),"")</f>
        <v/>
      </c>
      <c r="AP178" s="219" t="str">
        <f>+IF(BD_MO[[#This Row],[N° VALE]]&lt;&gt;"",BD_MO[[#This Row],[N°  TOTAL TALADROS]]*BD_MO[[#This Row],[BARRA]]*0.95,"")</f>
        <v/>
      </c>
      <c r="AQ178" s="219" t="str">
        <f>+IF(BD_MO[[#This Row],[N° VALE]]&lt;&gt;"",BD_MO[[#This Row],[EMULNOR 1000 (N° CART.)]]*PE_EMUL_1000[PE],"")</f>
        <v/>
      </c>
      <c r="AR178" s="219" t="str">
        <f>+IF(BD_MO[[#This Row],[N° VALE]]&lt;&gt;"",BD_MO[[#This Row],[EMULNOR 3000 (N° CART.)]]*PE_EMUL_3000[PE],"")</f>
        <v/>
      </c>
      <c r="AS178" s="219" t="str">
        <f>+IF(BD_MO[[#This Row],[N° VALE]]&lt;&gt;"",BD_MO[[#This Row],[PULVERULENTA (N° CART.)]]*PE_PULV_65[PE],"")</f>
        <v/>
      </c>
      <c r="AT178" s="219" t="str">
        <f>+IF(BD_MO[[#This Row],[N° DISP]]&lt;&gt;"",BD_MO[[#This Row],[SEMIGELATINA (N° CART.)]]*PE_SEMIGEL_65[PE],"")</f>
        <v/>
      </c>
      <c r="AU178" s="219" t="str">
        <f>+IF(BD_MO[N° VALE]&lt;&gt;"",BD_MO[[#This Row],[KG EXPLO SEMIGEL]]+BD_MO[[#This Row],[KG EXPLO PULVE]]+BD_MO[[#This Row],[KG EXPLO EMULN 3000]]+BD_MO[[#This Row],[KG EXPLO EMULN 1000]],"")</f>
        <v/>
      </c>
      <c r="AV178" s="215"/>
      <c r="AW178" s="215"/>
      <c r="AX178" s="215" t="str">
        <f>+IF(BD_MO[[#This Row],[MINERAL (U-35)]]&lt;&gt;"",BD_MO[[#This Row],[MINERAL (U-35)]]*1.45,"-")</f>
        <v>-</v>
      </c>
      <c r="AY178" s="215" t="str">
        <f>+IF(BD_MO[[#This Row],[DESMONTE (U-35)]]&lt;&gt;"",BD_MO[[#This Row],[DESMONTE (U-35)]]*1.23,"-")</f>
        <v>-</v>
      </c>
      <c r="AZ178" s="215"/>
      <c r="BA178" s="215"/>
      <c r="BB178" s="215"/>
      <c r="BC178" s="215"/>
      <c r="BD178" s="215"/>
      <c r="BE178" s="215"/>
      <c r="BF178" s="215"/>
      <c r="BG178" s="215"/>
      <c r="BH178" s="215"/>
      <c r="BI178" s="215"/>
      <c r="BJ178" s="215"/>
      <c r="BK178" s="215"/>
      <c r="BL178" s="215"/>
      <c r="BM178" s="215"/>
      <c r="BN178" s="214"/>
      <c r="BO178" s="215"/>
      <c r="BP178" s="215"/>
      <c r="BQ178" s="214"/>
      <c r="BR178" s="215"/>
      <c r="BS178" s="214"/>
      <c r="BT178" s="219"/>
      <c r="BU178" s="215"/>
      <c r="BV178" s="215"/>
      <c r="BW178" s="215"/>
      <c r="BX178" s="215"/>
      <c r="BY178" s="215"/>
      <c r="BZ178" s="215"/>
      <c r="CA178" s="215"/>
      <c r="CB178" s="215"/>
      <c r="CC178" s="215"/>
      <c r="CD178" s="215"/>
      <c r="CE178" s="215"/>
      <c r="CF178" s="215"/>
      <c r="CG178" s="215"/>
      <c r="CH178" s="215"/>
      <c r="CI178" s="215"/>
      <c r="CJ178" s="215"/>
      <c r="CK178" s="215"/>
      <c r="CL178" s="215"/>
      <c r="CM178" s="215"/>
      <c r="CN178" s="215"/>
      <c r="CO178" s="215"/>
      <c r="CP178" s="219">
        <f>+IF(BD_MO[[#This Row],[FECHA]]&lt;&gt;"",BD_MO[[#This Row],[PUNTAL 4"]]+BD_MO[[#This Row],[PUNTAL 5"]]+BD_MO[[#This Row],[PUNTAL 6"]]+BD_MO[[#This Row],[PUNTAL 7"]]+BD_MO[[#This Row],[PUNTAL 8"]],"")</f>
        <v>0</v>
      </c>
      <c r="CQ178" s="215"/>
      <c r="CR178" s="215"/>
      <c r="CS178" s="215"/>
      <c r="CT178" s="215"/>
      <c r="CU178" s="215"/>
      <c r="CV178" s="215"/>
      <c r="CW178" s="215"/>
      <c r="CX178" s="215"/>
      <c r="CY178" s="219"/>
      <c r="CZ178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78" s="219">
        <f>+IF(BD_MO[[#This Row],[FECHA]]&lt;&gt;"",BD_MO[[#This Row],[DURMIENTE2]]*6.561+BD_MO[[#This Row],[LISTONES]]*4.921+BD_MO[[#This Row],[TABLA 1"x8"x3m]]*6.561+BD_MO[[#This Row],[TABLA 2"x8"x3m]]*13.122,"")</f>
        <v>0</v>
      </c>
      <c r="DB178" s="219">
        <f>+IF(BD_MO[[#This Row],[FECHA]]&lt;&gt;"",BD_MO[[#This Row],[PIE2 MADERA ASERRADA]]*1.95,"")</f>
        <v>0</v>
      </c>
      <c r="DC178" s="219">
        <f>+IF(BD_MO[[#This Row],[FECHA]]&lt;&gt;"",BD_MO[[#This Row],[KG. MADERA REDONDA]]+BD_MO[[#This Row],[KG MADERA ASERRADA]],"")</f>
        <v>0</v>
      </c>
      <c r="DD178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78" s="215"/>
      <c r="DF178" s="215"/>
      <c r="DG178" s="215" t="s">
        <v>12238</v>
      </c>
      <c r="DH178" s="215">
        <v>7</v>
      </c>
      <c r="DI178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78" s="222"/>
      <c r="DK178" s="222"/>
      <c r="DL178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78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78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78" s="197"/>
      <c r="DP178" s="222" t="str">
        <f>+IF(BD_MO[[#This Row],[M o D]]&lt;&gt;"",IF(BD_MO[[#This Row],[M o D]]="M",BD_MO[[#This Row],[ROTURA TMH]]/2.65,BD_MO[[#This Row],[ROTURA TMH]]/2.4),"")</f>
        <v/>
      </c>
      <c r="DQ178" s="222"/>
      <c r="DR178" s="116" t="str">
        <f>IF(BD_MO[[#This Row],[TIPO AVANCE]]="Avance",((BD_MO[[#This Row],[AVANCE (m)]]/BD_MO[[#This Row],[AVANCE TEÓRICO]]))," ")</f>
        <v xml:space="preserve"> </v>
      </c>
    </row>
    <row r="179" spans="1:130" ht="18.75" customHeight="1" x14ac:dyDescent="0.25">
      <c r="A179" s="168">
        <v>44662</v>
      </c>
      <c r="B179" s="169" t="s">
        <v>10647</v>
      </c>
      <c r="C179" s="169" t="s">
        <v>10672</v>
      </c>
      <c r="D179" s="213" t="s">
        <v>10952</v>
      </c>
      <c r="E179" s="214" t="str">
        <f>LEFT(BD_MO[[#This Row],[LABOR]],2)</f>
        <v>In</v>
      </c>
      <c r="F179" s="215"/>
      <c r="G179" s="215" t="s">
        <v>10669</v>
      </c>
      <c r="H179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79" s="214" t="str">
        <f>IF(BD_MO[FECHA]&lt;&gt;"",VLOOKUP(BD_MO[LABOR],TB_CECO[[LABOR]:[CECO_T]],3,FALSE),"")</f>
        <v>VANESSA</v>
      </c>
      <c r="J179" s="214" t="str">
        <f>IF(BD_MO[FECHA]&lt;&gt;"",VLOOKUP(BD_MO[LABOR],D_CECO!B:H,7,FALSE),"")</f>
        <v>LINEAL</v>
      </c>
      <c r="K179" s="214" t="str">
        <f>IF(BD_MO[FECHA]&lt;&gt;"",VLOOKUP(BD_MO[LABOR],D_CECO!B:H,4,FALSE),"")</f>
        <v>EXPLORACION</v>
      </c>
      <c r="L179" s="214"/>
      <c r="M179" s="216"/>
      <c r="N179" s="215"/>
      <c r="O179" s="173" t="s">
        <v>12233</v>
      </c>
      <c r="P179" s="173" t="s">
        <v>12234</v>
      </c>
      <c r="Q179" s="173"/>
      <c r="R179" s="217"/>
      <c r="S179" s="218" t="str">
        <f>IFERROR(VLOOKUP(BD_MO[DNI 4],#REF!,2,FALSE)," ")</f>
        <v xml:space="preserve"> </v>
      </c>
      <c r="T179" s="219">
        <f>+IF(BD_MO[[#This Row],[FECHA]]&lt;&gt;"",COUNTA(BD_MO[[#This Row],[DNI]],BD_MO[[#This Row],[DNI 2]],BD_MO[[#This Row],[DNI 3]],BD_MO[[#This Row],[DNI 4]]),"")</f>
        <v>2</v>
      </c>
      <c r="U179" s="219"/>
      <c r="V179" s="219"/>
      <c r="W179" s="219"/>
      <c r="X179" s="219">
        <v>2</v>
      </c>
      <c r="Y179" s="177">
        <f>SUM(BD_MO[[#This Row],[LIMP]:[SERV]])</f>
        <v>2</v>
      </c>
      <c r="Z179" s="215"/>
      <c r="AA179" s="215" t="str">
        <f>+IF(BD_MO[[#This Row],[N° VALE]]&lt;&gt;"",1,"")</f>
        <v/>
      </c>
      <c r="AB179" s="169"/>
      <c r="AC179" s="215"/>
      <c r="AD179" s="215" t="str">
        <f>+IF(BD_MO[[#This Row],[N° VALE]]&lt;&gt;"",BD_MO[[#This Row],[FULMINANTE N° 08]]+BD_MO[CARMEX 7''],"")</f>
        <v/>
      </c>
      <c r="AE179" s="215"/>
      <c r="AF179" s="215" t="str">
        <f>+IF(BD_MO[[#This Row],[N° VALE]]&lt;&gt;"",BD_MO[[#This Row],[N° TALADROS]]+BD_MO[[#This Row],[N° TAL. VACIOS]],"")</f>
        <v/>
      </c>
      <c r="AG179" s="220"/>
      <c r="AH179" s="220"/>
      <c r="AI179" s="220"/>
      <c r="AJ179" s="220"/>
      <c r="AK179" s="220"/>
      <c r="AL179" s="220"/>
      <c r="AM179" s="214"/>
      <c r="AN179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79" s="215" t="str">
        <f>+IF(BD_MO[[#This Row],[N° VALE]]&lt;&gt;"",IF(BD_MO[[#This Row],[FULMINANTE N° 08]]&lt;&gt;"",BD_MO[[#This Row],[FULMINANTE N° 08]],IF(BD_MO[[#This Row],[CARMEX 7'']]&lt;&gt;0,0,"")),"")</f>
        <v/>
      </c>
      <c r="AP179" s="219" t="str">
        <f>+IF(BD_MO[[#This Row],[N° VALE]]&lt;&gt;"",BD_MO[[#This Row],[N°  TOTAL TALADROS]]*BD_MO[[#This Row],[BARRA]]*0.95,"")</f>
        <v/>
      </c>
      <c r="AQ179" s="219" t="str">
        <f>+IF(BD_MO[[#This Row],[N° VALE]]&lt;&gt;"",BD_MO[[#This Row],[EMULNOR 1000 (N° CART.)]]*PE_EMUL_1000[PE],"")</f>
        <v/>
      </c>
      <c r="AR179" s="219" t="str">
        <f>+IF(BD_MO[[#This Row],[N° VALE]]&lt;&gt;"",BD_MO[[#This Row],[EMULNOR 3000 (N° CART.)]]*PE_EMUL_3000[PE],"")</f>
        <v/>
      </c>
      <c r="AS179" s="219" t="str">
        <f>+IF(BD_MO[[#This Row],[N° VALE]]&lt;&gt;"",BD_MO[[#This Row],[PULVERULENTA (N° CART.)]]*PE_PULV_65[PE],"")</f>
        <v/>
      </c>
      <c r="AT179" s="219" t="str">
        <f>+IF(BD_MO[[#This Row],[N° DISP]]&lt;&gt;"",BD_MO[[#This Row],[SEMIGELATINA (N° CART.)]]*PE_SEMIGEL_65[PE],"")</f>
        <v/>
      </c>
      <c r="AU179" s="219" t="str">
        <f>+IF(BD_MO[N° VALE]&lt;&gt;"",BD_MO[[#This Row],[KG EXPLO SEMIGEL]]+BD_MO[[#This Row],[KG EXPLO PULVE]]+BD_MO[[#This Row],[KG EXPLO EMULN 3000]]+BD_MO[[#This Row],[KG EXPLO EMULN 1000]],"")</f>
        <v/>
      </c>
      <c r="AV179" s="215"/>
      <c r="AW179" s="215"/>
      <c r="AX179" s="215" t="str">
        <f>+IF(BD_MO[[#This Row],[MINERAL (U-35)]]&lt;&gt;"",BD_MO[[#This Row],[MINERAL (U-35)]]*1.45,"-")</f>
        <v>-</v>
      </c>
      <c r="AY179" s="215" t="str">
        <f>+IF(BD_MO[[#This Row],[DESMONTE (U-35)]]&lt;&gt;"",BD_MO[[#This Row],[DESMONTE (U-35)]]*1.23,"-")</f>
        <v>-</v>
      </c>
      <c r="AZ179" s="215"/>
      <c r="BA179" s="215"/>
      <c r="BB179" s="215"/>
      <c r="BC179" s="215"/>
      <c r="BD179" s="215"/>
      <c r="BE179" s="215"/>
      <c r="BF179" s="215"/>
      <c r="BG179" s="215"/>
      <c r="BH179" s="215"/>
      <c r="BI179" s="215"/>
      <c r="BJ179" s="215"/>
      <c r="BK179" s="215"/>
      <c r="BL179" s="215"/>
      <c r="BM179" s="215"/>
      <c r="BN179" s="214"/>
      <c r="BO179" s="215"/>
      <c r="BP179" s="215"/>
      <c r="BQ179" s="214"/>
      <c r="BR179" s="215"/>
      <c r="BS179" s="214"/>
      <c r="BT179" s="219"/>
      <c r="BU179" s="215"/>
      <c r="BV179" s="215"/>
      <c r="BW179" s="215"/>
      <c r="BX179" s="215"/>
      <c r="BY179" s="215"/>
      <c r="BZ179" s="215"/>
      <c r="CA179" s="215"/>
      <c r="CB179" s="215"/>
      <c r="CC179" s="215"/>
      <c r="CD179" s="215"/>
      <c r="CE179" s="215"/>
      <c r="CF179" s="215"/>
      <c r="CG179" s="215"/>
      <c r="CH179" s="215"/>
      <c r="CI179" s="215"/>
      <c r="CJ179" s="215"/>
      <c r="CK179" s="215"/>
      <c r="CL179" s="215"/>
      <c r="CM179" s="215"/>
      <c r="CN179" s="215"/>
      <c r="CO179" s="215"/>
      <c r="CP179" s="219">
        <f>+IF(BD_MO[[#This Row],[FECHA]]&lt;&gt;"",BD_MO[[#This Row],[PUNTAL 4"]]+BD_MO[[#This Row],[PUNTAL 5"]]+BD_MO[[#This Row],[PUNTAL 6"]]+BD_MO[[#This Row],[PUNTAL 7"]]+BD_MO[[#This Row],[PUNTAL 8"]],"")</f>
        <v>0</v>
      </c>
      <c r="CQ179" s="215"/>
      <c r="CR179" s="215"/>
      <c r="CS179" s="215"/>
      <c r="CT179" s="215"/>
      <c r="CU179" s="215"/>
      <c r="CV179" s="215"/>
      <c r="CW179" s="215"/>
      <c r="CX179" s="215"/>
      <c r="CY179" s="219"/>
      <c r="CZ179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79" s="219">
        <f>+IF(BD_MO[[#This Row],[FECHA]]&lt;&gt;"",BD_MO[[#This Row],[DURMIENTE2]]*6.561+BD_MO[[#This Row],[LISTONES]]*4.921+BD_MO[[#This Row],[TABLA 1"x8"x3m]]*6.561+BD_MO[[#This Row],[TABLA 2"x8"x3m]]*13.122,"")</f>
        <v>0</v>
      </c>
      <c r="DB179" s="219">
        <f>+IF(BD_MO[[#This Row],[FECHA]]&lt;&gt;"",BD_MO[[#This Row],[PIE2 MADERA ASERRADA]]*1.95,"")</f>
        <v>0</v>
      </c>
      <c r="DC179" s="219">
        <f>+IF(BD_MO[[#This Row],[FECHA]]&lt;&gt;"",BD_MO[[#This Row],[KG. MADERA REDONDA]]+BD_MO[[#This Row],[KG MADERA ASERRADA]],"")</f>
        <v>0</v>
      </c>
      <c r="DD179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79" s="215"/>
      <c r="DF179" s="215"/>
      <c r="DG179" s="215" t="s">
        <v>12239</v>
      </c>
      <c r="DH179" s="215">
        <v>8</v>
      </c>
      <c r="DI179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79" s="222"/>
      <c r="DK179" s="222"/>
      <c r="DL179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79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79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79" s="197"/>
      <c r="DP179" s="222" t="str">
        <f>+IF(BD_MO[[#This Row],[M o D]]&lt;&gt;"",IF(BD_MO[[#This Row],[M o D]]="M",BD_MO[[#This Row],[ROTURA TMH]]/2.65,BD_MO[[#This Row],[ROTURA TMH]]/2.4),"")</f>
        <v/>
      </c>
      <c r="DQ179" s="222"/>
      <c r="DR179" s="116" t="str">
        <f>IF(BD_MO[[#This Row],[TIPO AVANCE]]="Avance",((BD_MO[[#This Row],[AVANCE (m)]]/BD_MO[[#This Row],[AVANCE TEÓRICO]]))," ")</f>
        <v xml:space="preserve"> </v>
      </c>
    </row>
    <row r="180" spans="1:130" ht="18" customHeight="1" x14ac:dyDescent="0.25">
      <c r="A180" s="168">
        <v>44662</v>
      </c>
      <c r="B180" s="169" t="s">
        <v>10647</v>
      </c>
      <c r="C180" s="169" t="s">
        <v>10672</v>
      </c>
      <c r="D180" s="213" t="s">
        <v>10954</v>
      </c>
      <c r="E180" s="214" t="str">
        <f>LEFT(BD_MO[[#This Row],[LABOR]],2)</f>
        <v>MO</v>
      </c>
      <c r="F180" s="215"/>
      <c r="G180" s="215" t="s">
        <v>10669</v>
      </c>
      <c r="H180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80" s="214" t="str">
        <f>IF(BD_MO[FECHA]&lt;&gt;"",VLOOKUP(BD_MO[LABOR],TB_CECO[[LABOR]:[CECO_T]],3,FALSE),"")</f>
        <v>INCA</v>
      </c>
      <c r="J180" s="214" t="str">
        <f>IF(BD_MO[FECHA]&lt;&gt;"",VLOOKUP(BD_MO[LABOR],D_CECO!B:H,7,FALSE),"")</f>
        <v>SERVICIOS</v>
      </c>
      <c r="K180" s="214" t="str">
        <f>IF(BD_MO[FECHA]&lt;&gt;"",VLOOKUP(BD_MO[LABOR],D_CECO!B:H,4,FALSE),"")</f>
        <v>SERVICIOS</v>
      </c>
      <c r="L180" s="214"/>
      <c r="M180" s="216"/>
      <c r="N180" s="215"/>
      <c r="O180" s="173" t="s">
        <v>12221</v>
      </c>
      <c r="P180" s="173" t="s">
        <v>12209</v>
      </c>
      <c r="Q180" s="173"/>
      <c r="R180" s="217"/>
      <c r="S180" s="218" t="str">
        <f>IFERROR(VLOOKUP(BD_MO[DNI 4],#REF!,2,FALSE)," ")</f>
        <v xml:space="preserve"> </v>
      </c>
      <c r="T180" s="219">
        <f>+IF(BD_MO[[#This Row],[FECHA]]&lt;&gt;"",COUNTA(BD_MO[[#This Row],[DNI]],BD_MO[[#This Row],[DNI 2]],BD_MO[[#This Row],[DNI 3]],BD_MO[[#This Row],[DNI 4]]),"")</f>
        <v>2</v>
      </c>
      <c r="U180" s="219"/>
      <c r="V180" s="219"/>
      <c r="W180" s="219"/>
      <c r="X180" s="219">
        <v>2</v>
      </c>
      <c r="Y180" s="177">
        <f>SUM(BD_MO[[#This Row],[LIMP]:[SERV]])</f>
        <v>2</v>
      </c>
      <c r="Z180" s="215"/>
      <c r="AA180" s="215" t="str">
        <f>+IF(BD_MO[[#This Row],[N° VALE]]&lt;&gt;"",1,"")</f>
        <v/>
      </c>
      <c r="AB180" s="169"/>
      <c r="AC180" s="215"/>
      <c r="AD180" s="215" t="str">
        <f>+IF(BD_MO[[#This Row],[N° VALE]]&lt;&gt;"",BD_MO[[#This Row],[FULMINANTE N° 08]]+BD_MO[CARMEX 7''],"")</f>
        <v/>
      </c>
      <c r="AE180" s="215"/>
      <c r="AF180" s="215" t="str">
        <f>+IF(BD_MO[[#This Row],[N° VALE]]&lt;&gt;"",BD_MO[[#This Row],[N° TALADROS]]+BD_MO[[#This Row],[N° TAL. VACIOS]],"")</f>
        <v/>
      </c>
      <c r="AG180" s="220"/>
      <c r="AH180" s="220"/>
      <c r="AI180" s="220"/>
      <c r="AJ180" s="220"/>
      <c r="AK180" s="220"/>
      <c r="AL180" s="220"/>
      <c r="AM180" s="214"/>
      <c r="AN180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80" s="215" t="str">
        <f>+IF(BD_MO[[#This Row],[N° VALE]]&lt;&gt;"",IF(BD_MO[[#This Row],[FULMINANTE N° 08]]&lt;&gt;"",BD_MO[[#This Row],[FULMINANTE N° 08]],IF(BD_MO[[#This Row],[CARMEX 7'']]&lt;&gt;0,0,"")),"")</f>
        <v/>
      </c>
      <c r="AP180" s="219" t="str">
        <f>+IF(BD_MO[[#This Row],[N° VALE]]&lt;&gt;"",BD_MO[[#This Row],[N°  TOTAL TALADROS]]*BD_MO[[#This Row],[BARRA]]*0.95,"")</f>
        <v/>
      </c>
      <c r="AQ180" s="219" t="str">
        <f>+IF(BD_MO[[#This Row],[N° VALE]]&lt;&gt;"",BD_MO[[#This Row],[EMULNOR 1000 (N° CART.)]]*PE_EMUL_1000[PE],"")</f>
        <v/>
      </c>
      <c r="AR180" s="219" t="str">
        <f>+IF(BD_MO[[#This Row],[N° VALE]]&lt;&gt;"",BD_MO[[#This Row],[EMULNOR 3000 (N° CART.)]]*PE_EMUL_3000[PE],"")</f>
        <v/>
      </c>
      <c r="AS180" s="219" t="str">
        <f>+IF(BD_MO[[#This Row],[N° VALE]]&lt;&gt;"",BD_MO[[#This Row],[PULVERULENTA (N° CART.)]]*PE_PULV_65[PE],"")</f>
        <v/>
      </c>
      <c r="AT180" s="219" t="str">
        <f>+IF(BD_MO[[#This Row],[N° DISP]]&lt;&gt;"",BD_MO[[#This Row],[SEMIGELATINA (N° CART.)]]*PE_SEMIGEL_65[PE],"")</f>
        <v/>
      </c>
      <c r="AU180" s="219" t="str">
        <f>+IF(BD_MO[N° VALE]&lt;&gt;"",BD_MO[[#This Row],[KG EXPLO SEMIGEL]]+BD_MO[[#This Row],[KG EXPLO PULVE]]+BD_MO[[#This Row],[KG EXPLO EMULN 3000]]+BD_MO[[#This Row],[KG EXPLO EMULN 1000]],"")</f>
        <v/>
      </c>
      <c r="AV180" s="215"/>
      <c r="AW180" s="215"/>
      <c r="AX180" s="215" t="str">
        <f>+IF(BD_MO[[#This Row],[MINERAL (U-35)]]&lt;&gt;"",BD_MO[[#This Row],[MINERAL (U-35)]]*1.45,"-")</f>
        <v>-</v>
      </c>
      <c r="AY180" s="215" t="str">
        <f>+IF(BD_MO[[#This Row],[DESMONTE (U-35)]]&lt;&gt;"",BD_MO[[#This Row],[DESMONTE (U-35)]]*1.23,"-")</f>
        <v>-</v>
      </c>
      <c r="AZ180" s="215"/>
      <c r="BA180" s="215"/>
      <c r="BB180" s="215"/>
      <c r="BC180" s="215"/>
      <c r="BD180" s="215"/>
      <c r="BE180" s="215"/>
      <c r="BF180" s="215"/>
      <c r="BG180" s="215"/>
      <c r="BH180" s="215"/>
      <c r="BI180" s="215"/>
      <c r="BJ180" s="215"/>
      <c r="BK180" s="215"/>
      <c r="BL180" s="215"/>
      <c r="BM180" s="215"/>
      <c r="BN180" s="214"/>
      <c r="BO180" s="215"/>
      <c r="BP180" s="215"/>
      <c r="BQ180" s="214"/>
      <c r="BR180" s="215"/>
      <c r="BS180" s="214"/>
      <c r="BT180" s="219"/>
      <c r="BU180" s="215"/>
      <c r="BV180" s="215"/>
      <c r="BW180" s="215"/>
      <c r="BX180" s="215"/>
      <c r="BY180" s="215"/>
      <c r="BZ180" s="215"/>
      <c r="CA180" s="215"/>
      <c r="CB180" s="215"/>
      <c r="CC180" s="215"/>
      <c r="CD180" s="215"/>
      <c r="CE180" s="215"/>
      <c r="CF180" s="215"/>
      <c r="CG180" s="215"/>
      <c r="CH180" s="215"/>
      <c r="CI180" s="215"/>
      <c r="CJ180" s="215"/>
      <c r="CK180" s="215"/>
      <c r="CL180" s="215"/>
      <c r="CM180" s="215"/>
      <c r="CN180" s="215"/>
      <c r="CO180" s="215"/>
      <c r="CP180" s="219">
        <f>+IF(BD_MO[[#This Row],[FECHA]]&lt;&gt;"",BD_MO[[#This Row],[PUNTAL 4"]]+BD_MO[[#This Row],[PUNTAL 5"]]+BD_MO[[#This Row],[PUNTAL 6"]]+BD_MO[[#This Row],[PUNTAL 7"]]+BD_MO[[#This Row],[PUNTAL 8"]],"")</f>
        <v>0</v>
      </c>
      <c r="CQ180" s="215"/>
      <c r="CR180" s="215"/>
      <c r="CS180" s="215"/>
      <c r="CT180" s="215"/>
      <c r="CU180" s="215"/>
      <c r="CV180" s="215"/>
      <c r="CW180" s="215"/>
      <c r="CX180" s="215"/>
      <c r="CY180" s="219"/>
      <c r="CZ180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80" s="219">
        <f>+IF(BD_MO[[#This Row],[FECHA]]&lt;&gt;"",BD_MO[[#This Row],[DURMIENTE2]]*6.561+BD_MO[[#This Row],[LISTONES]]*4.921+BD_MO[[#This Row],[TABLA 1"x8"x3m]]*6.561+BD_MO[[#This Row],[TABLA 2"x8"x3m]]*13.122,"")</f>
        <v>0</v>
      </c>
      <c r="DB180" s="219">
        <f>+IF(BD_MO[[#This Row],[FECHA]]&lt;&gt;"",BD_MO[[#This Row],[PIE2 MADERA ASERRADA]]*1.95,"")</f>
        <v>0</v>
      </c>
      <c r="DC180" s="219">
        <f>+IF(BD_MO[[#This Row],[FECHA]]&lt;&gt;"",BD_MO[[#This Row],[KG. MADERA REDONDA]]+BD_MO[[#This Row],[KG MADERA ASERRADA]],"")</f>
        <v>0</v>
      </c>
      <c r="DD180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80" s="215"/>
      <c r="DF180" s="215"/>
      <c r="DG180" s="215"/>
      <c r="DH180" s="215"/>
      <c r="DI180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80" s="222"/>
      <c r="DK180" s="222"/>
      <c r="DL180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80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80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80" s="197"/>
      <c r="DP180" s="222" t="str">
        <f>+IF(BD_MO[[#This Row],[M o D]]&lt;&gt;"",IF(BD_MO[[#This Row],[M o D]]="M",BD_MO[[#This Row],[ROTURA TMH]]/2.65,BD_MO[[#This Row],[ROTURA TMH]]/2.4),"")</f>
        <v/>
      </c>
      <c r="DQ180" s="222"/>
      <c r="DR180" s="116" t="str">
        <f>IF(BD_MO[[#This Row],[TIPO AVANCE]]="Avance",((BD_MO[[#This Row],[AVANCE (m)]]/BD_MO[[#This Row],[AVANCE TEÓRICO]]))," ")</f>
        <v xml:space="preserve"> </v>
      </c>
    </row>
    <row r="181" spans="1:130" s="115" customFormat="1" ht="18" customHeight="1" thickBot="1" x14ac:dyDescent="0.3">
      <c r="A181" s="198">
        <v>44662</v>
      </c>
      <c r="B181" s="199" t="s">
        <v>10647</v>
      </c>
      <c r="C181" s="199" t="s">
        <v>10672</v>
      </c>
      <c r="D181" s="200" t="s">
        <v>10717</v>
      </c>
      <c r="E181" s="201" t="str">
        <f>LEFT(BD_MO[[#This Row],[LABOR]],2)</f>
        <v>BO</v>
      </c>
      <c r="F181" s="202"/>
      <c r="G181" s="202" t="s">
        <v>10669</v>
      </c>
      <c r="H181" s="20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81" s="201" t="str">
        <f>IF(BD_MO[FECHA]&lt;&gt;"",VLOOKUP(BD_MO[LABOR],TB_CECO[[LABOR]:[CECO_T]],3,FALSE),"")</f>
        <v>CACHORRO</v>
      </c>
      <c r="J181" s="201" t="str">
        <f>IF(BD_MO[FECHA]&lt;&gt;"",VLOOKUP(BD_MO[LABOR],D_CECO!B:H,7,FALSE),"")</f>
        <v>SERVICIOS</v>
      </c>
      <c r="K181" s="201" t="str">
        <f>IF(BD_MO[FECHA]&lt;&gt;"",VLOOKUP(BD_MO[LABOR],D_CECO!B:H,4,FALSE),"")</f>
        <v>SERVICIOS</v>
      </c>
      <c r="L181" s="201"/>
      <c r="M181" s="199"/>
      <c r="N181" s="202"/>
      <c r="O181" s="203" t="s">
        <v>12202</v>
      </c>
      <c r="P181" s="203"/>
      <c r="Q181" s="203"/>
      <c r="R181" s="204"/>
      <c r="S181" s="205" t="str">
        <f>IFERROR(VLOOKUP(BD_MO[DNI 4],#REF!,2,FALSE)," ")</f>
        <v xml:space="preserve"> </v>
      </c>
      <c r="T181" s="206">
        <f>+IF(BD_MO[[#This Row],[FECHA]]&lt;&gt;"",COUNTA(BD_MO[[#This Row],[DNI]],BD_MO[[#This Row],[DNI 2]],BD_MO[[#This Row],[DNI 3]],BD_MO[[#This Row],[DNI 4]]),"")</f>
        <v>1</v>
      </c>
      <c r="U181" s="206"/>
      <c r="V181" s="206"/>
      <c r="W181" s="206"/>
      <c r="X181" s="206">
        <v>1</v>
      </c>
      <c r="Y181" s="207">
        <f>SUM(BD_MO[[#This Row],[LIMP]:[SERV]])</f>
        <v>1</v>
      </c>
      <c r="Z181" s="202"/>
      <c r="AA181" s="202" t="str">
        <f>+IF(BD_MO[[#This Row],[N° VALE]]&lt;&gt;"",1,"")</f>
        <v/>
      </c>
      <c r="AB181" s="199"/>
      <c r="AC181" s="202"/>
      <c r="AD181" s="202" t="str">
        <f>+IF(BD_MO[[#This Row],[N° VALE]]&lt;&gt;"",BD_MO[[#This Row],[FULMINANTE N° 08]]+BD_MO[CARMEX 7''],"")</f>
        <v/>
      </c>
      <c r="AE181" s="202"/>
      <c r="AF181" s="202" t="str">
        <f>+IF(BD_MO[[#This Row],[N° VALE]]&lt;&gt;"",BD_MO[[#This Row],[N° TALADROS]]+BD_MO[[#This Row],[N° TAL. VACIOS]],"")</f>
        <v/>
      </c>
      <c r="AG181" s="208"/>
      <c r="AH181" s="208"/>
      <c r="AI181" s="208"/>
      <c r="AJ181" s="208"/>
      <c r="AK181" s="208"/>
      <c r="AL181" s="208"/>
      <c r="AM181" s="201"/>
      <c r="AN181" s="20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81" s="202" t="str">
        <f>+IF(BD_MO[[#This Row],[N° VALE]]&lt;&gt;"",IF(BD_MO[[#This Row],[FULMINANTE N° 08]]&lt;&gt;"",BD_MO[[#This Row],[FULMINANTE N° 08]],IF(BD_MO[[#This Row],[CARMEX 7'']]&lt;&gt;0,0,"")),"")</f>
        <v/>
      </c>
      <c r="AP181" s="206" t="str">
        <f>+IF(BD_MO[[#This Row],[N° VALE]]&lt;&gt;"",BD_MO[[#This Row],[N°  TOTAL TALADROS]]*BD_MO[[#This Row],[BARRA]]*0.95,"")</f>
        <v/>
      </c>
      <c r="AQ181" s="206" t="str">
        <f>+IF(BD_MO[[#This Row],[N° VALE]]&lt;&gt;"",BD_MO[[#This Row],[EMULNOR 1000 (N° CART.)]]*PE_EMUL_1000[PE],"")</f>
        <v/>
      </c>
      <c r="AR181" s="206" t="str">
        <f>+IF(BD_MO[[#This Row],[N° VALE]]&lt;&gt;"",BD_MO[[#This Row],[EMULNOR 3000 (N° CART.)]]*PE_EMUL_3000[PE],"")</f>
        <v/>
      </c>
      <c r="AS181" s="206" t="str">
        <f>+IF(BD_MO[[#This Row],[N° VALE]]&lt;&gt;"",BD_MO[[#This Row],[PULVERULENTA (N° CART.)]]*PE_PULV_65[PE],"")</f>
        <v/>
      </c>
      <c r="AT181" s="206" t="str">
        <f>+IF(BD_MO[[#This Row],[N° DISP]]&lt;&gt;"",BD_MO[[#This Row],[SEMIGELATINA (N° CART.)]]*PE_SEMIGEL_65[PE],"")</f>
        <v/>
      </c>
      <c r="AU181" s="206" t="str">
        <f>+IF(BD_MO[N° VALE]&lt;&gt;"",BD_MO[[#This Row],[KG EXPLO SEMIGEL]]+BD_MO[[#This Row],[KG EXPLO PULVE]]+BD_MO[[#This Row],[KG EXPLO EMULN 3000]]+BD_MO[[#This Row],[KG EXPLO EMULN 1000]],"")</f>
        <v/>
      </c>
      <c r="AV181" s="202"/>
      <c r="AW181" s="202"/>
      <c r="AX181" s="202" t="str">
        <f>+IF(BD_MO[[#This Row],[MINERAL (U-35)]]&lt;&gt;"",BD_MO[[#This Row],[MINERAL (U-35)]]*1.45,"-")</f>
        <v>-</v>
      </c>
      <c r="AY181" s="202" t="str">
        <f>+IF(BD_MO[[#This Row],[DESMONTE (U-35)]]&lt;&gt;"",BD_MO[[#This Row],[DESMONTE (U-35)]]*1.23,"-")</f>
        <v>-</v>
      </c>
      <c r="AZ181" s="202"/>
      <c r="BA181" s="202"/>
      <c r="BB181" s="202"/>
      <c r="BC181" s="202"/>
      <c r="BD181" s="202"/>
      <c r="BE181" s="202"/>
      <c r="BF181" s="202"/>
      <c r="BG181" s="202"/>
      <c r="BH181" s="202"/>
      <c r="BI181" s="202"/>
      <c r="BJ181" s="202"/>
      <c r="BK181" s="202"/>
      <c r="BL181" s="202"/>
      <c r="BM181" s="202"/>
      <c r="BN181" s="201"/>
      <c r="BO181" s="202"/>
      <c r="BP181" s="202"/>
      <c r="BQ181" s="201"/>
      <c r="BR181" s="202"/>
      <c r="BS181" s="201"/>
      <c r="BT181" s="206"/>
      <c r="BU181" s="202"/>
      <c r="BV181" s="202"/>
      <c r="BW181" s="202"/>
      <c r="BX181" s="202"/>
      <c r="BY181" s="202"/>
      <c r="BZ181" s="202"/>
      <c r="CA181" s="202"/>
      <c r="CB181" s="202"/>
      <c r="CC181" s="202"/>
      <c r="CD181" s="202"/>
      <c r="CE181" s="202"/>
      <c r="CF181" s="202"/>
      <c r="CG181" s="202"/>
      <c r="CH181" s="202"/>
      <c r="CI181" s="202"/>
      <c r="CJ181" s="202"/>
      <c r="CK181" s="202"/>
      <c r="CL181" s="202"/>
      <c r="CM181" s="202"/>
      <c r="CN181" s="202"/>
      <c r="CO181" s="202"/>
      <c r="CP181" s="206">
        <f>+IF(BD_MO[[#This Row],[FECHA]]&lt;&gt;"",BD_MO[[#This Row],[PUNTAL 4"]]+BD_MO[[#This Row],[PUNTAL 5"]]+BD_MO[[#This Row],[PUNTAL 6"]]+BD_MO[[#This Row],[PUNTAL 7"]]+BD_MO[[#This Row],[PUNTAL 8"]],"")</f>
        <v>0</v>
      </c>
      <c r="CQ181" s="202"/>
      <c r="CR181" s="202"/>
      <c r="CS181" s="202"/>
      <c r="CT181" s="202"/>
      <c r="CU181" s="202"/>
      <c r="CV181" s="202"/>
      <c r="CW181" s="202"/>
      <c r="CX181" s="202"/>
      <c r="CY181" s="206"/>
      <c r="CZ181" s="20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81" s="206">
        <f>+IF(BD_MO[[#This Row],[FECHA]]&lt;&gt;"",BD_MO[[#This Row],[DURMIENTE2]]*6.561+BD_MO[[#This Row],[LISTONES]]*4.921+BD_MO[[#This Row],[TABLA 1"x8"x3m]]*6.561+BD_MO[[#This Row],[TABLA 2"x8"x3m]]*13.122,"")</f>
        <v>0</v>
      </c>
      <c r="DB181" s="206">
        <f>+IF(BD_MO[[#This Row],[FECHA]]&lt;&gt;"",BD_MO[[#This Row],[PIE2 MADERA ASERRADA]]*1.95,"")</f>
        <v>0</v>
      </c>
      <c r="DC181" s="206">
        <f>+IF(BD_MO[[#This Row],[FECHA]]&lt;&gt;"",BD_MO[[#This Row],[KG. MADERA REDONDA]]+BD_MO[[#This Row],[KG MADERA ASERRADA]],"")</f>
        <v>0</v>
      </c>
      <c r="DD181" s="20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81" s="202"/>
      <c r="DF181" s="202"/>
      <c r="DG181" s="202"/>
      <c r="DH181" s="202"/>
      <c r="DI181" s="21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81" s="210"/>
      <c r="DK181" s="210"/>
      <c r="DL181" s="21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81" s="21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81" s="21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81" s="211"/>
      <c r="DP181" s="210" t="str">
        <f>+IF(BD_MO[[#This Row],[M o D]]&lt;&gt;"",IF(BD_MO[[#This Row],[M o D]]="M",BD_MO[[#This Row],[ROTURA TMH]]/2.65,BD_MO[[#This Row],[ROTURA TMH]]/2.4),"")</f>
        <v/>
      </c>
      <c r="DQ181" s="210"/>
      <c r="DR181" s="116" t="str">
        <f>IF(BD_MO[[#This Row],[TIPO AVANCE]]="Avance",((BD_MO[[#This Row],[AVANCE (m)]]/BD_MO[[#This Row],[AVANCE TEÓRICO]]))," ")</f>
        <v xml:space="preserve"> </v>
      </c>
      <c r="DS181" s="113"/>
      <c r="DT181" s="113"/>
      <c r="DU181" s="113"/>
      <c r="DV181" s="113"/>
      <c r="DW181" s="113"/>
      <c r="DX181" s="114"/>
      <c r="DY181" s="114"/>
      <c r="DZ181" s="114"/>
    </row>
    <row r="182" spans="1:130" ht="18" customHeight="1" x14ac:dyDescent="0.25">
      <c r="A182" s="92">
        <v>44662</v>
      </c>
      <c r="B182" s="40" t="s">
        <v>10655</v>
      </c>
      <c r="C182" s="40" t="s">
        <v>10680</v>
      </c>
      <c r="D182" s="61" t="s">
        <v>11685</v>
      </c>
      <c r="E182" s="42" t="str">
        <f>LEFT(BD_MO[[#This Row],[LABOR]],2)</f>
        <v>Tj</v>
      </c>
      <c r="F182" s="46" t="s">
        <v>10950</v>
      </c>
      <c r="G182" s="46" t="s">
        <v>10648</v>
      </c>
      <c r="H182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82" s="42" t="str">
        <f>IF(BD_MO[FECHA]&lt;&gt;"",VLOOKUP(BD_MO[LABOR],TB_CECO[[LABOR]:[CECO_T]],3,FALSE),"")</f>
        <v>CACHORRO</v>
      </c>
      <c r="J182" s="42" t="str">
        <f>IF(BD_MO[FECHA]&lt;&gt;"",VLOOKUP(BD_MO[LABOR],D_CECO!B:H,7,FALSE),"")</f>
        <v>TAJO</v>
      </c>
      <c r="K182" s="42" t="str">
        <f>IF(BD_MO[FECHA]&lt;&gt;"",VLOOKUP(BD_MO[LABOR],D_CECO!B:H,4,FALSE),"")</f>
        <v>EXPLOTACION</v>
      </c>
      <c r="L182" s="42"/>
      <c r="M182" s="48" t="s">
        <v>10661</v>
      </c>
      <c r="N182" s="46"/>
      <c r="O182" s="93" t="s">
        <v>11976</v>
      </c>
      <c r="P182" s="93" t="s">
        <v>11924</v>
      </c>
      <c r="Q182" s="93"/>
      <c r="R182" s="45"/>
      <c r="S182" s="54" t="str">
        <f>IFERROR(VLOOKUP(BD_MO[DNI 4],#REF!,2,FALSE)," ")</f>
        <v xml:space="preserve"> </v>
      </c>
      <c r="T182" s="24">
        <f>+IF(BD_MO[[#This Row],[FECHA]]&lt;&gt;"",COUNTA(BD_MO[[#This Row],[DNI]],BD_MO[[#This Row],[DNI 2]],BD_MO[[#This Row],[DNI 3]],BD_MO[[#This Row],[DNI 4]]),"")</f>
        <v>2</v>
      </c>
      <c r="U182" s="24">
        <v>0.5</v>
      </c>
      <c r="V182" s="24">
        <v>0.4</v>
      </c>
      <c r="W182" s="24">
        <v>0.6</v>
      </c>
      <c r="X182" s="24">
        <v>0.5</v>
      </c>
      <c r="Y182" s="86">
        <f>SUM(BD_MO[[#This Row],[LIMP]:[SERV]])</f>
        <v>2</v>
      </c>
      <c r="Z182" s="46" t="s">
        <v>12241</v>
      </c>
      <c r="AA182" s="46">
        <f>+IF(BD_MO[[#This Row],[N° VALE]]&lt;&gt;"",1,"")</f>
        <v>1</v>
      </c>
      <c r="AB182" s="40" t="s">
        <v>10666</v>
      </c>
      <c r="AC182" s="46">
        <v>4</v>
      </c>
      <c r="AD182" s="46">
        <f>+IF(BD_MO[[#This Row],[N° VALE]]&lt;&gt;"",BD_MO[[#This Row],[FULMINANTE N° 08]]+BD_MO[CARMEX 7''],"")</f>
        <v>14</v>
      </c>
      <c r="AE182" s="46"/>
      <c r="AF182" s="46">
        <f>+IF(BD_MO[[#This Row],[N° VALE]]&lt;&gt;"",BD_MO[[#This Row],[N° TALADROS]]+BD_MO[[#This Row],[N° TAL. VACIOS]],"")</f>
        <v>14</v>
      </c>
      <c r="AG182" s="55"/>
      <c r="AH182" s="55">
        <v>56</v>
      </c>
      <c r="AI182" s="55"/>
      <c r="AJ182" s="55"/>
      <c r="AK182" s="55">
        <v>14</v>
      </c>
      <c r="AL182" s="55">
        <v>4</v>
      </c>
      <c r="AM182" s="42"/>
      <c r="AN182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82" s="46">
        <f>+IF(BD_MO[[#This Row],[N° VALE]]&lt;&gt;"",IF(BD_MO[[#This Row],[FULMINANTE N° 08]]&lt;&gt;"",BD_MO[[#This Row],[FULMINANTE N° 08]],IF(BD_MO[[#This Row],[CARMEX 7'']]&lt;&gt;0,0,"")),"")</f>
        <v>0</v>
      </c>
      <c r="AP182" s="24">
        <f>+IF(BD_MO[[#This Row],[N° VALE]]&lt;&gt;"",BD_MO[[#This Row],[N°  TOTAL TALADROS]]*BD_MO[[#This Row],[BARRA]]*0.95,"")</f>
        <v>53.199999999999996</v>
      </c>
      <c r="AQ182" s="24">
        <f>+IF(BD_MO[[#This Row],[N° VALE]]&lt;&gt;"",BD_MO[[#This Row],[EMULNOR 1000 (N° CART.)]]*PE_EMUL_1000[PE],"")</f>
        <v>5.3032000000000004</v>
      </c>
      <c r="AR182" s="24">
        <f>+IF(BD_MO[[#This Row],[N° VALE]]&lt;&gt;"",BD_MO[[#This Row],[EMULNOR 3000 (N° CART.)]]*PE_EMUL_3000[PE],"")</f>
        <v>0</v>
      </c>
      <c r="AS182" s="24">
        <f>+IF(BD_MO[[#This Row],[N° VALE]]&lt;&gt;"",BD_MO[[#This Row],[PULVERULENTA (N° CART.)]]*PE_PULV_65[PE],"")</f>
        <v>0</v>
      </c>
      <c r="AT182" s="24">
        <f>+IF(BD_MO[[#This Row],[N° DISP]]&lt;&gt;"",BD_MO[[#This Row],[SEMIGELATINA (N° CART.)]]*PE_SEMIGEL_65[PE],"")</f>
        <v>0</v>
      </c>
      <c r="AU182" s="24">
        <f>+IF(BD_MO[N° VALE]&lt;&gt;"",BD_MO[[#This Row],[KG EXPLO SEMIGEL]]+BD_MO[[#This Row],[KG EXPLO PULVE]]+BD_MO[[#This Row],[KG EXPLO EMULN 3000]]+BD_MO[[#This Row],[KG EXPLO EMULN 1000]],"")</f>
        <v>5.3032000000000004</v>
      </c>
      <c r="AV182" s="46">
        <v>2</v>
      </c>
      <c r="AW182" s="46"/>
      <c r="AX182" s="46">
        <f>+IF(BD_MO[[#This Row],[MINERAL (U-35)]]&lt;&gt;"",BD_MO[[#This Row],[MINERAL (U-35)]]*1.45,"-")</f>
        <v>2.9</v>
      </c>
      <c r="AY182" s="46" t="str">
        <f>+IF(BD_MO[[#This Row],[DESMONTE (U-35)]]&lt;&gt;"",BD_MO[[#This Row],[DESMONTE (U-35)]]*1.23,"-")</f>
        <v>-</v>
      </c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2">
        <v>10</v>
      </c>
      <c r="BO182" s="46"/>
      <c r="BP182" s="46"/>
      <c r="BQ182" s="42"/>
      <c r="BR182" s="46"/>
      <c r="BS182" s="42"/>
      <c r="BT182" s="24"/>
      <c r="BU182" s="46"/>
      <c r="BV182" s="46"/>
      <c r="BW182" s="46"/>
      <c r="BX182" s="46"/>
      <c r="BY182" s="46"/>
      <c r="BZ182" s="46"/>
      <c r="CA182" s="46"/>
      <c r="CB182" s="46">
        <v>5</v>
      </c>
      <c r="CC182" s="46"/>
      <c r="CD182" s="46"/>
      <c r="CE182" s="46"/>
      <c r="CF182" s="46"/>
      <c r="CG182" s="46"/>
      <c r="CH182" s="46"/>
      <c r="CI182" s="46"/>
      <c r="CJ182" s="46"/>
      <c r="CK182" s="46"/>
      <c r="CL182" s="46">
        <v>2</v>
      </c>
      <c r="CM182" s="46">
        <v>2</v>
      </c>
      <c r="CN182" s="46">
        <v>6</v>
      </c>
      <c r="CO182" s="46"/>
      <c r="CP182" s="24">
        <f>+IF(BD_MO[[#This Row],[FECHA]]&lt;&gt;"",BD_MO[[#This Row],[PUNTAL 4"]]+BD_MO[[#This Row],[PUNTAL 5"]]+BD_MO[[#This Row],[PUNTAL 6"]]+BD_MO[[#This Row],[PUNTAL 7"]]+BD_MO[[#This Row],[PUNTAL 8"]],"")</f>
        <v>10</v>
      </c>
      <c r="CQ182" s="46"/>
      <c r="CR182" s="46"/>
      <c r="CS182" s="46"/>
      <c r="CT182" s="46"/>
      <c r="CU182" s="46"/>
      <c r="CV182" s="46"/>
      <c r="CW182" s="46"/>
      <c r="CX182" s="46">
        <v>7</v>
      </c>
      <c r="CY182" s="24"/>
      <c r="CZ182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518.548</v>
      </c>
      <c r="DA182" s="24">
        <f>+IF(BD_MO[[#This Row],[FECHA]]&lt;&gt;"",BD_MO[[#This Row],[DURMIENTE2]]*6.561+BD_MO[[#This Row],[LISTONES]]*4.921+BD_MO[[#This Row],[TABLA 1"x8"x3m]]*6.561+BD_MO[[#This Row],[TABLA 2"x8"x3m]]*13.122,"")</f>
        <v>91.853999999999999</v>
      </c>
      <c r="DB182" s="24">
        <f>+IF(BD_MO[[#This Row],[FECHA]]&lt;&gt;"",BD_MO[[#This Row],[PIE2 MADERA ASERRADA]]*1.95,"")</f>
        <v>179.11529999999999</v>
      </c>
      <c r="DC182" s="24">
        <f>+IF(BD_MO[[#This Row],[FECHA]]&lt;&gt;"",BD_MO[[#This Row],[KG. MADERA REDONDA]]+BD_MO[[#This Row],[KG MADERA ASERRADA]],"")</f>
        <v>697.66329999999994</v>
      </c>
      <c r="DD182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284.54000000000002</v>
      </c>
      <c r="DE182" s="46"/>
      <c r="DF182" s="46"/>
      <c r="DG182" s="46"/>
      <c r="DH182" s="46"/>
      <c r="DI182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82" s="56"/>
      <c r="DK182" s="56"/>
      <c r="DL182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3.27</v>
      </c>
      <c r="DM182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3.4008000000000003</v>
      </c>
      <c r="DN182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82" s="66">
        <f>3.752*14</f>
        <v>52.527999999999999</v>
      </c>
      <c r="DP182" s="56">
        <f>+IF(BD_MO[[#This Row],[M o D]]&lt;&gt;"",IF(BD_MO[[#This Row],[M o D]]="M",BD_MO[[#This Row],[ROTURA TMH]]/2.65,BD_MO[[#This Row],[ROTURA TMH]]/2.4),"")</f>
        <v>19.82188679245283</v>
      </c>
      <c r="DQ182" s="56"/>
      <c r="DR182" s="116" t="str">
        <f>IF(BD_MO[[#This Row],[TIPO AVANCE]]="Avance",((BD_MO[[#This Row],[AVANCE (m)]]/BD_MO[[#This Row],[AVANCE TEÓRICO]]))," ")</f>
        <v xml:space="preserve"> </v>
      </c>
    </row>
    <row r="183" spans="1:130" ht="18" customHeight="1" x14ac:dyDescent="0.25">
      <c r="A183" s="92">
        <v>44662</v>
      </c>
      <c r="B183" s="40" t="s">
        <v>10655</v>
      </c>
      <c r="C183" s="40" t="s">
        <v>10680</v>
      </c>
      <c r="D183" s="61" t="s">
        <v>12164</v>
      </c>
      <c r="E183" s="42" t="str">
        <f>LEFT(BD_MO[[#This Row],[LABOR]],2)</f>
        <v>Tj</v>
      </c>
      <c r="F183" s="46"/>
      <c r="G183" s="46" t="s">
        <v>10656</v>
      </c>
      <c r="H183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183" s="42" t="str">
        <f>IF(BD_MO[FECHA]&lt;&gt;"",VLOOKUP(BD_MO[LABOR],TB_CECO[[LABOR]:[CECO_T]],3,FALSE),"")</f>
        <v>VANESSA</v>
      </c>
      <c r="J183" s="42" t="str">
        <f>IF(BD_MO[FECHA]&lt;&gt;"",VLOOKUP(BD_MO[LABOR],D_CECO!B:H,7,FALSE),"")</f>
        <v>TAJO</v>
      </c>
      <c r="K183" s="42" t="str">
        <f>IF(BD_MO[FECHA]&lt;&gt;"",VLOOKUP(BD_MO[LABOR],D_CECO!B:H,4,FALSE),"")</f>
        <v>EXPLOTACION</v>
      </c>
      <c r="L183" s="42"/>
      <c r="M183" s="48"/>
      <c r="N183" s="46"/>
      <c r="O183" s="93" t="s">
        <v>11910</v>
      </c>
      <c r="P183" s="93" t="s">
        <v>11912</v>
      </c>
      <c r="Q183" s="93"/>
      <c r="R183" s="45"/>
      <c r="S183" s="54" t="str">
        <f>IFERROR(VLOOKUP(BD_MO[DNI 4],#REF!,2,FALSE)," ")</f>
        <v xml:space="preserve"> </v>
      </c>
      <c r="T183" s="24">
        <f>+IF(BD_MO[[#This Row],[FECHA]]&lt;&gt;"",COUNTA(BD_MO[[#This Row],[DNI]],BD_MO[[#This Row],[DNI 2]],BD_MO[[#This Row],[DNI 3]],BD_MO[[#This Row],[DNI 4]]),"")</f>
        <v>2</v>
      </c>
      <c r="U183" s="24">
        <v>1</v>
      </c>
      <c r="V183" s="24"/>
      <c r="W183" s="24">
        <v>0.6</v>
      </c>
      <c r="X183" s="24">
        <v>0.4</v>
      </c>
      <c r="Y183" s="86">
        <f>SUM(BD_MO[[#This Row],[LIMP]:[SERV]])</f>
        <v>2</v>
      </c>
      <c r="Z183" s="46"/>
      <c r="AA183" s="46" t="str">
        <f>+IF(BD_MO[[#This Row],[N° VALE]]&lt;&gt;"",1,"")</f>
        <v/>
      </c>
      <c r="AB183" s="40"/>
      <c r="AC183" s="46"/>
      <c r="AD183" s="46" t="str">
        <f>+IF(BD_MO[[#This Row],[N° VALE]]&lt;&gt;"",BD_MO[[#This Row],[FULMINANTE N° 08]]+BD_MO[CARMEX 7''],"")</f>
        <v/>
      </c>
      <c r="AE183" s="46"/>
      <c r="AF183" s="46" t="str">
        <f>+IF(BD_MO[[#This Row],[N° VALE]]&lt;&gt;"",BD_MO[[#This Row],[N° TALADROS]]+BD_MO[[#This Row],[N° TAL. VACIOS]],"")</f>
        <v/>
      </c>
      <c r="AG183" s="55"/>
      <c r="AH183" s="55"/>
      <c r="AI183" s="55"/>
      <c r="AJ183" s="55"/>
      <c r="AK183" s="55"/>
      <c r="AL183" s="55"/>
      <c r="AM183" s="42"/>
      <c r="AN183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83" s="46" t="str">
        <f>+IF(BD_MO[[#This Row],[N° VALE]]&lt;&gt;"",IF(BD_MO[[#This Row],[FULMINANTE N° 08]]&lt;&gt;"",BD_MO[[#This Row],[FULMINANTE N° 08]],IF(BD_MO[[#This Row],[CARMEX 7'']]&lt;&gt;0,0,"")),"")</f>
        <v/>
      </c>
      <c r="AP183" s="24" t="str">
        <f>+IF(BD_MO[[#This Row],[N° VALE]]&lt;&gt;"",BD_MO[[#This Row],[N°  TOTAL TALADROS]]*BD_MO[[#This Row],[BARRA]]*0.95,"")</f>
        <v/>
      </c>
      <c r="AQ183" s="24" t="str">
        <f>+IF(BD_MO[[#This Row],[N° VALE]]&lt;&gt;"",BD_MO[[#This Row],[EMULNOR 1000 (N° CART.)]]*PE_EMUL_1000[PE],"")</f>
        <v/>
      </c>
      <c r="AR183" s="24" t="str">
        <f>+IF(BD_MO[[#This Row],[N° VALE]]&lt;&gt;"",BD_MO[[#This Row],[EMULNOR 3000 (N° CART.)]]*PE_EMUL_3000[PE],"")</f>
        <v/>
      </c>
      <c r="AS183" s="24" t="str">
        <f>+IF(BD_MO[[#This Row],[N° VALE]]&lt;&gt;"",BD_MO[[#This Row],[PULVERULENTA (N° CART.)]]*PE_PULV_65[PE],"")</f>
        <v/>
      </c>
      <c r="AT183" s="24" t="str">
        <f>+IF(BD_MO[[#This Row],[N° DISP]]&lt;&gt;"",BD_MO[[#This Row],[SEMIGELATINA (N° CART.)]]*PE_SEMIGEL_65[PE],"")</f>
        <v/>
      </c>
      <c r="AU183" s="24" t="str">
        <f>+IF(BD_MO[N° VALE]&lt;&gt;"",BD_MO[[#This Row],[KG EXPLO SEMIGEL]]+BD_MO[[#This Row],[KG EXPLO PULVE]]+BD_MO[[#This Row],[KG EXPLO EMULN 3000]]+BD_MO[[#This Row],[KG EXPLO EMULN 1000]],"")</f>
        <v/>
      </c>
      <c r="AV183" s="46">
        <v>5</v>
      </c>
      <c r="AW183" s="46"/>
      <c r="AX183" s="46">
        <f>+IF(BD_MO[[#This Row],[MINERAL (U-35)]]&lt;&gt;"",BD_MO[[#This Row],[MINERAL (U-35)]]*1.45,"-")</f>
        <v>7.25</v>
      </c>
      <c r="AY183" s="46" t="str">
        <f>+IF(BD_MO[[#This Row],[DESMONTE (U-35)]]&lt;&gt;"",BD_MO[[#This Row],[DESMONTE (U-35)]]*1.23,"-")</f>
        <v>-</v>
      </c>
      <c r="AZ183" s="46"/>
      <c r="BA183" s="46"/>
      <c r="BB183" s="46"/>
      <c r="BC183" s="46"/>
      <c r="BD183" s="46"/>
      <c r="BE183" s="46"/>
      <c r="BF183" s="46"/>
      <c r="BG183" s="46"/>
      <c r="BH183" s="46"/>
      <c r="BI183" s="46">
        <v>2</v>
      </c>
      <c r="BJ183" s="46"/>
      <c r="BK183" s="46"/>
      <c r="BL183" s="46"/>
      <c r="BM183" s="46"/>
      <c r="BN183" s="42">
        <v>2</v>
      </c>
      <c r="BO183" s="46">
        <v>3</v>
      </c>
      <c r="BP183" s="46"/>
      <c r="BQ183" s="42"/>
      <c r="BR183" s="46"/>
      <c r="BS183" s="42"/>
      <c r="BT183" s="24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>
        <v>2</v>
      </c>
      <c r="CO183" s="46"/>
      <c r="CP183" s="24">
        <f>+IF(BD_MO[[#This Row],[FECHA]]&lt;&gt;"",BD_MO[[#This Row],[PUNTAL 4"]]+BD_MO[[#This Row],[PUNTAL 5"]]+BD_MO[[#This Row],[PUNTAL 6"]]+BD_MO[[#This Row],[PUNTAL 7"]]+BD_MO[[#This Row],[PUNTAL 8"]],"")</f>
        <v>2</v>
      </c>
      <c r="CQ183" s="46"/>
      <c r="CR183" s="46"/>
      <c r="CS183" s="46"/>
      <c r="CT183" s="46"/>
      <c r="CU183" s="46"/>
      <c r="CV183" s="46"/>
      <c r="CW183" s="46"/>
      <c r="CX183" s="46">
        <v>5</v>
      </c>
      <c r="CY183" s="24"/>
      <c r="CZ183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122.158</v>
      </c>
      <c r="DA183" s="24">
        <f>+IF(BD_MO[[#This Row],[FECHA]]&lt;&gt;"",BD_MO[[#This Row],[DURMIENTE2]]*6.561+BD_MO[[#This Row],[LISTONES]]*4.921+BD_MO[[#This Row],[TABLA 1"x8"x3m]]*6.561+BD_MO[[#This Row],[TABLA 2"x8"x3m]]*13.122,"")</f>
        <v>65.61</v>
      </c>
      <c r="DB183" s="24">
        <f>+IF(BD_MO[[#This Row],[FECHA]]&lt;&gt;"",BD_MO[[#This Row],[PIE2 MADERA ASERRADA]]*1.95,"")</f>
        <v>127.9395</v>
      </c>
      <c r="DC183" s="24">
        <f>+IF(BD_MO[[#This Row],[FECHA]]&lt;&gt;"",BD_MO[[#This Row],[KG. MADERA REDONDA]]+BD_MO[[#This Row],[KG MADERA ASERRADA]],"")</f>
        <v>250.0975</v>
      </c>
      <c r="DD183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111.70000000000002</v>
      </c>
      <c r="DE183" s="46"/>
      <c r="DF183" s="46"/>
      <c r="DG183" s="46"/>
      <c r="DH183" s="46"/>
      <c r="DI183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83" s="56"/>
      <c r="DK183" s="56"/>
      <c r="DL183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83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83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83" s="66"/>
      <c r="DP183" s="56" t="str">
        <f>+IF(BD_MO[[#This Row],[M o D]]&lt;&gt;"",IF(BD_MO[[#This Row],[M o D]]="M",BD_MO[[#This Row],[ROTURA TMH]]/2.65,BD_MO[[#This Row],[ROTURA TMH]]/2.4),"")</f>
        <v/>
      </c>
      <c r="DQ183" s="56"/>
      <c r="DR183" s="116" t="str">
        <f>IF(BD_MO[[#This Row],[TIPO AVANCE]]="Avance",((BD_MO[[#This Row],[AVANCE (m)]]/BD_MO[[#This Row],[AVANCE TEÓRICO]]))," ")</f>
        <v xml:space="preserve"> </v>
      </c>
    </row>
    <row r="184" spans="1:130" ht="18" customHeight="1" x14ac:dyDescent="0.25">
      <c r="A184" s="92">
        <v>44662</v>
      </c>
      <c r="B184" s="40" t="s">
        <v>10655</v>
      </c>
      <c r="C184" s="40" t="s">
        <v>10680</v>
      </c>
      <c r="D184" s="61" t="s">
        <v>12149</v>
      </c>
      <c r="E184" s="42" t="str">
        <f>LEFT(BD_MO[[#This Row],[LABOR]],2)</f>
        <v>Es</v>
      </c>
      <c r="F184" s="46" t="s">
        <v>10687</v>
      </c>
      <c r="G184" s="46" t="s">
        <v>10648</v>
      </c>
      <c r="H184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84" s="42" t="str">
        <f>IF(BD_MO[FECHA]&lt;&gt;"",VLOOKUP(BD_MO[LABOR],TB_CECO[[LABOR]:[CECO_T]],3,FALSE),"")</f>
        <v>VANESSA</v>
      </c>
      <c r="J184" s="42" t="str">
        <f>IF(BD_MO[FECHA]&lt;&gt;"",VLOOKUP(BD_MO[LABOR],D_CECO!B:H,7,FALSE),"")</f>
        <v>LINEAL</v>
      </c>
      <c r="K184" s="42" t="str">
        <f>IF(BD_MO[FECHA]&lt;&gt;"",VLOOKUP(BD_MO[LABOR],D_CECO!B:H,4,FALSE),"")</f>
        <v>EXPLORACION</v>
      </c>
      <c r="L184" s="42"/>
      <c r="M184" s="48" t="s">
        <v>10646</v>
      </c>
      <c r="N184" s="46"/>
      <c r="O184" s="93" t="s">
        <v>11904</v>
      </c>
      <c r="P184" s="93" t="s">
        <v>11926</v>
      </c>
      <c r="Q184" s="93"/>
      <c r="R184" s="45"/>
      <c r="S184" s="54" t="str">
        <f>IFERROR(VLOOKUP(BD_MO[DNI 4],#REF!,2,FALSE)," ")</f>
        <v xml:space="preserve"> </v>
      </c>
      <c r="T184" s="24">
        <f>+IF(BD_MO[[#This Row],[FECHA]]&lt;&gt;"",COUNTA(BD_MO[[#This Row],[DNI]],BD_MO[[#This Row],[DNI 2]],BD_MO[[#This Row],[DNI 3]],BD_MO[[#This Row],[DNI 4]]),"")</f>
        <v>2</v>
      </c>
      <c r="U184" s="24">
        <v>1</v>
      </c>
      <c r="V184" s="24">
        <v>0.3</v>
      </c>
      <c r="W184" s="24">
        <v>0.4</v>
      </c>
      <c r="X184" s="24">
        <v>0.3</v>
      </c>
      <c r="Y184" s="86">
        <f>SUM(BD_MO[[#This Row],[LIMP]:[SERV]])</f>
        <v>2</v>
      </c>
      <c r="Z184" s="46" t="s">
        <v>12242</v>
      </c>
      <c r="AA184" s="46">
        <f>+IF(BD_MO[[#This Row],[N° VALE]]&lt;&gt;"",1,"")</f>
        <v>1</v>
      </c>
      <c r="AB184" s="40" t="s">
        <v>10644</v>
      </c>
      <c r="AC184" s="46">
        <v>4</v>
      </c>
      <c r="AD184" s="46">
        <f>+IF(BD_MO[[#This Row],[N° VALE]]&lt;&gt;"",BD_MO[[#This Row],[FULMINANTE N° 08]]+BD_MO[CARMEX 7''],"")</f>
        <v>22</v>
      </c>
      <c r="AE184" s="46"/>
      <c r="AF184" s="46">
        <f>+IF(BD_MO[[#This Row],[N° VALE]]&lt;&gt;"",BD_MO[[#This Row],[N° TALADROS]]+BD_MO[[#This Row],[N° TAL. VACIOS]],"")</f>
        <v>22</v>
      </c>
      <c r="AG184" s="55">
        <v>22</v>
      </c>
      <c r="AH184" s="55">
        <v>43</v>
      </c>
      <c r="AI184" s="55"/>
      <c r="AJ184" s="55"/>
      <c r="AK184" s="55">
        <v>22</v>
      </c>
      <c r="AL184" s="55">
        <v>4</v>
      </c>
      <c r="AM184" s="42"/>
      <c r="AN184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84" s="46">
        <f>+IF(BD_MO[[#This Row],[N° VALE]]&lt;&gt;"",IF(BD_MO[[#This Row],[FULMINANTE N° 08]]&lt;&gt;"",BD_MO[[#This Row],[FULMINANTE N° 08]],IF(BD_MO[[#This Row],[CARMEX 7'']]&lt;&gt;0,0,"")),"")</f>
        <v>0</v>
      </c>
      <c r="AP184" s="24">
        <f>+IF(BD_MO[[#This Row],[N° VALE]]&lt;&gt;"",BD_MO[[#This Row],[N°  TOTAL TALADROS]]*BD_MO[[#This Row],[BARRA]]*0.95,"")</f>
        <v>83.6</v>
      </c>
      <c r="AQ184" s="24">
        <f>+IF(BD_MO[[#This Row],[N° VALE]]&lt;&gt;"",BD_MO[[#This Row],[EMULNOR 1000 (N° CART.)]]*PE_EMUL_1000[PE],"")</f>
        <v>4.0721000000000007</v>
      </c>
      <c r="AR184" s="24">
        <f>+IF(BD_MO[[#This Row],[N° VALE]]&lt;&gt;"",BD_MO[[#This Row],[EMULNOR 3000 (N° CART.)]]*PE_EMUL_3000[PE],"")</f>
        <v>2.1153846153846163</v>
      </c>
      <c r="AS184" s="24">
        <f>+IF(BD_MO[[#This Row],[N° VALE]]&lt;&gt;"",BD_MO[[#This Row],[PULVERULENTA (N° CART.)]]*PE_PULV_65[PE],"")</f>
        <v>0</v>
      </c>
      <c r="AT184" s="24">
        <f>+IF(BD_MO[[#This Row],[N° DISP]]&lt;&gt;"",BD_MO[[#This Row],[SEMIGELATINA (N° CART.)]]*PE_SEMIGEL_65[PE],"")</f>
        <v>0</v>
      </c>
      <c r="AU184" s="24">
        <f>+IF(BD_MO[N° VALE]&lt;&gt;"",BD_MO[[#This Row],[KG EXPLO SEMIGEL]]+BD_MO[[#This Row],[KG EXPLO PULVE]]+BD_MO[[#This Row],[KG EXPLO EMULN 3000]]+BD_MO[[#This Row],[KG EXPLO EMULN 1000]],"")</f>
        <v>6.1874846153846175</v>
      </c>
      <c r="AV184" s="46">
        <v>14</v>
      </c>
      <c r="AW184" s="46"/>
      <c r="AX184" s="46">
        <f>+IF(BD_MO[[#This Row],[MINERAL (U-35)]]&lt;&gt;"",BD_MO[[#This Row],[MINERAL (U-35)]]*1.45,"-")</f>
        <v>20.3</v>
      </c>
      <c r="AY184" s="46" t="str">
        <f>+IF(BD_MO[[#This Row],[DESMONTE (U-35)]]&lt;&gt;"",BD_MO[[#This Row],[DESMONTE (U-35)]]*1.23,"-")</f>
        <v>-</v>
      </c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2"/>
      <c r="BO184" s="46"/>
      <c r="BP184" s="46"/>
      <c r="BQ184" s="42"/>
      <c r="BR184" s="46"/>
      <c r="BS184" s="42"/>
      <c r="BT184" s="24"/>
      <c r="BU184" s="46"/>
      <c r="BV184" s="46">
        <v>4</v>
      </c>
      <c r="BW184" s="46"/>
      <c r="BX184" s="46">
        <v>8</v>
      </c>
      <c r="BY184" s="46"/>
      <c r="BZ184" s="46"/>
      <c r="CA184" s="46"/>
      <c r="CB184" s="46"/>
      <c r="CC184" s="46">
        <v>3.5</v>
      </c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24">
        <f>+IF(BD_MO[[#This Row],[FECHA]]&lt;&gt;"",BD_MO[[#This Row],[PUNTAL 4"]]+BD_MO[[#This Row],[PUNTAL 5"]]+BD_MO[[#This Row],[PUNTAL 6"]]+BD_MO[[#This Row],[PUNTAL 7"]]+BD_MO[[#This Row],[PUNTAL 8"]],"")</f>
        <v>0</v>
      </c>
      <c r="CQ184" s="46"/>
      <c r="CR184" s="46"/>
      <c r="CS184" s="46"/>
      <c r="CT184" s="46"/>
      <c r="CU184" s="46"/>
      <c r="CV184" s="46"/>
      <c r="CW184" s="46"/>
      <c r="CX184" s="46"/>
      <c r="CY184" s="24"/>
      <c r="CZ184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84" s="24">
        <f>+IF(BD_MO[[#This Row],[FECHA]]&lt;&gt;"",BD_MO[[#This Row],[DURMIENTE2]]*6.561+BD_MO[[#This Row],[LISTONES]]*4.921+BD_MO[[#This Row],[TABLA 1"x8"x3m]]*6.561+BD_MO[[#This Row],[TABLA 2"x8"x3m]]*13.122,"")</f>
        <v>0</v>
      </c>
      <c r="DB184" s="24">
        <f>+IF(BD_MO[[#This Row],[FECHA]]&lt;&gt;"",BD_MO[[#This Row],[PIE2 MADERA ASERRADA]]*1.95,"")</f>
        <v>0</v>
      </c>
      <c r="DC184" s="24">
        <f>+IF(BD_MO[[#This Row],[FECHA]]&lt;&gt;"",BD_MO[[#This Row],[KG. MADERA REDONDA]]+BD_MO[[#This Row],[KG MADERA ASERRADA]],"")</f>
        <v>0</v>
      </c>
      <c r="DD184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84" s="46"/>
      <c r="DF184" s="46"/>
      <c r="DG184" s="46"/>
      <c r="DH184" s="46"/>
      <c r="DI184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184" s="56"/>
      <c r="DK184" s="56"/>
      <c r="DL184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84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184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84" s="181">
        <f>0.3154597*BD_MO[[#This Row],[N°  TOTAL TALADROS]]</f>
        <v>6.9401134000000004</v>
      </c>
      <c r="DP184" s="56">
        <f>+IF(BD_MO[[#This Row],[M o D]]&lt;&gt;"",IF(BD_MO[[#This Row],[M o D]]="M",BD_MO[[#This Row],[ROTURA TMH]]/2.65,BD_MO[[#This Row],[ROTURA TMH]]/2.4),"")</f>
        <v>2.8917139166666668</v>
      </c>
      <c r="DQ184" s="180">
        <v>1.1000000000000001</v>
      </c>
      <c r="DR184" s="116">
        <f>IF(BD_MO[[#This Row],[TIPO AVANCE]]="Avance",((BD_MO[[#This Row],[AVANCE (m)]]/BD_MO[[#This Row],[AVANCE TEÓRICO]]))," ")</f>
        <v>1.0185185185185186</v>
      </c>
    </row>
    <row r="185" spans="1:130" ht="18" customHeight="1" x14ac:dyDescent="0.25">
      <c r="A185" s="92">
        <v>44662</v>
      </c>
      <c r="B185" s="40" t="s">
        <v>10655</v>
      </c>
      <c r="C185" s="40" t="s">
        <v>10680</v>
      </c>
      <c r="D185" s="61" t="s">
        <v>11806</v>
      </c>
      <c r="E185" s="42" t="str">
        <f>LEFT(BD_MO[[#This Row],[LABOR]],2)</f>
        <v>CX</v>
      </c>
      <c r="F185" s="46"/>
      <c r="G185" s="46" t="s">
        <v>10662</v>
      </c>
      <c r="H185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185" s="42" t="str">
        <f>IF(BD_MO[FECHA]&lt;&gt;"",VLOOKUP(BD_MO[LABOR],TB_CECO[[LABOR]:[CECO_T]],3,FALSE),"")</f>
        <v>CACHORRO</v>
      </c>
      <c r="J185" s="42" t="str">
        <f>IF(BD_MO[FECHA]&lt;&gt;"",VLOOKUP(BD_MO[LABOR],D_CECO!B:H,7,FALSE),"")</f>
        <v>LINEAL</v>
      </c>
      <c r="K185" s="42" t="str">
        <f>IF(BD_MO[FECHA]&lt;&gt;"",VLOOKUP(BD_MO[LABOR],D_CECO!B:H,4,FALSE),"")</f>
        <v>EXPLORACION</v>
      </c>
      <c r="L185" s="42"/>
      <c r="M185" s="48"/>
      <c r="N185" s="46"/>
      <c r="O185" s="93" t="s">
        <v>11911</v>
      </c>
      <c r="P185" s="93" t="s">
        <v>11913</v>
      </c>
      <c r="Q185" s="93"/>
      <c r="R185" s="45"/>
      <c r="S185" s="54" t="str">
        <f>IFERROR(VLOOKUP(BD_MO[DNI 4],#REF!,2,FALSE)," ")</f>
        <v xml:space="preserve"> </v>
      </c>
      <c r="T185" s="24">
        <f>+IF(BD_MO[[#This Row],[FECHA]]&lt;&gt;"",COUNTA(BD_MO[[#This Row],[DNI]],BD_MO[[#This Row],[DNI 2]],BD_MO[[#This Row],[DNI 3]],BD_MO[[#This Row],[DNI 4]]),"")</f>
        <v>2</v>
      </c>
      <c r="U185" s="24"/>
      <c r="V185" s="24"/>
      <c r="W185" s="24">
        <v>1</v>
      </c>
      <c r="X185" s="24">
        <v>1</v>
      </c>
      <c r="Y185" s="86">
        <f>SUM(BD_MO[[#This Row],[LIMP]:[SERV]])</f>
        <v>2</v>
      </c>
      <c r="Z185" s="46"/>
      <c r="AA185" s="46" t="str">
        <f>+IF(BD_MO[[#This Row],[N° VALE]]&lt;&gt;"",1,"")</f>
        <v/>
      </c>
      <c r="AB185" s="40"/>
      <c r="AC185" s="46"/>
      <c r="AD185" s="46" t="str">
        <f>+IF(BD_MO[[#This Row],[N° VALE]]&lt;&gt;"",BD_MO[[#This Row],[FULMINANTE N° 08]]+BD_MO[CARMEX 7''],"")</f>
        <v/>
      </c>
      <c r="AE185" s="46"/>
      <c r="AF185" s="46" t="str">
        <f>+IF(BD_MO[[#This Row],[N° VALE]]&lt;&gt;"",BD_MO[[#This Row],[N° TALADROS]]+BD_MO[[#This Row],[N° TAL. VACIOS]],"")</f>
        <v/>
      </c>
      <c r="AG185" s="55"/>
      <c r="AH185" s="55"/>
      <c r="AI185" s="55"/>
      <c r="AJ185" s="55"/>
      <c r="AK185" s="55"/>
      <c r="AL185" s="55"/>
      <c r="AM185" s="42"/>
      <c r="AN185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85" s="46" t="str">
        <f>+IF(BD_MO[[#This Row],[N° VALE]]&lt;&gt;"",IF(BD_MO[[#This Row],[FULMINANTE N° 08]]&lt;&gt;"",BD_MO[[#This Row],[FULMINANTE N° 08]],IF(BD_MO[[#This Row],[CARMEX 7'']]&lt;&gt;0,0,"")),"")</f>
        <v/>
      </c>
      <c r="AP185" s="24" t="str">
        <f>+IF(BD_MO[[#This Row],[N° VALE]]&lt;&gt;"",BD_MO[[#This Row],[N°  TOTAL TALADROS]]*BD_MO[[#This Row],[BARRA]]*0.95,"")</f>
        <v/>
      </c>
      <c r="AQ185" s="24" t="str">
        <f>+IF(BD_MO[[#This Row],[N° VALE]]&lt;&gt;"",BD_MO[[#This Row],[EMULNOR 1000 (N° CART.)]]*PE_EMUL_1000[PE],"")</f>
        <v/>
      </c>
      <c r="AR185" s="24" t="str">
        <f>+IF(BD_MO[[#This Row],[N° VALE]]&lt;&gt;"",BD_MO[[#This Row],[EMULNOR 3000 (N° CART.)]]*PE_EMUL_3000[PE],"")</f>
        <v/>
      </c>
      <c r="AS185" s="24" t="str">
        <f>+IF(BD_MO[[#This Row],[N° VALE]]&lt;&gt;"",BD_MO[[#This Row],[PULVERULENTA (N° CART.)]]*PE_PULV_65[PE],"")</f>
        <v/>
      </c>
      <c r="AT185" s="24" t="str">
        <f>+IF(BD_MO[[#This Row],[N° DISP]]&lt;&gt;"",BD_MO[[#This Row],[SEMIGELATINA (N° CART.)]]*PE_SEMIGEL_65[PE],"")</f>
        <v/>
      </c>
      <c r="AU185" s="24" t="str">
        <f>+IF(BD_MO[N° VALE]&lt;&gt;"",BD_MO[[#This Row],[KG EXPLO SEMIGEL]]+BD_MO[[#This Row],[KG EXPLO PULVE]]+BD_MO[[#This Row],[KG EXPLO EMULN 3000]]+BD_MO[[#This Row],[KG EXPLO EMULN 1000]],"")</f>
        <v/>
      </c>
      <c r="AV185" s="46"/>
      <c r="AW185" s="46"/>
      <c r="AX185" s="46" t="str">
        <f>+IF(BD_MO[[#This Row],[MINERAL (U-35)]]&lt;&gt;"",BD_MO[[#This Row],[MINERAL (U-35)]]*1.45,"-")</f>
        <v>-</v>
      </c>
      <c r="AY185" s="46" t="str">
        <f>+IF(BD_MO[[#This Row],[DESMONTE (U-35)]]&lt;&gt;"",BD_MO[[#This Row],[DESMONTE (U-35)]]*1.23,"-")</f>
        <v>-</v>
      </c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2"/>
      <c r="BO185" s="46"/>
      <c r="BP185" s="46"/>
      <c r="BQ185" s="42"/>
      <c r="BR185" s="46"/>
      <c r="BS185" s="42"/>
      <c r="BT185" s="24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>
        <v>2</v>
      </c>
      <c r="CM185" s="46"/>
      <c r="CN185" s="46"/>
      <c r="CO185" s="46"/>
      <c r="CP185" s="24">
        <f>+IF(BD_MO[[#This Row],[FECHA]]&lt;&gt;"",BD_MO[[#This Row],[PUNTAL 4"]]+BD_MO[[#This Row],[PUNTAL 5"]]+BD_MO[[#This Row],[PUNTAL 6"]]+BD_MO[[#This Row],[PUNTAL 7"]]+BD_MO[[#This Row],[PUNTAL 8"]],"")</f>
        <v>2</v>
      </c>
      <c r="CQ185" s="46"/>
      <c r="CR185" s="46"/>
      <c r="CS185" s="46"/>
      <c r="CT185" s="46"/>
      <c r="CU185" s="46"/>
      <c r="CV185" s="46"/>
      <c r="CW185" s="46">
        <v>4</v>
      </c>
      <c r="CX185" s="46"/>
      <c r="CY185" s="24"/>
      <c r="CZ185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62.326000000000001</v>
      </c>
      <c r="DA185" s="24">
        <f>+IF(BD_MO[[#This Row],[FECHA]]&lt;&gt;"",BD_MO[[#This Row],[DURMIENTE2]]*6.561+BD_MO[[#This Row],[LISTONES]]*4.921+BD_MO[[#This Row],[TABLA 1"x8"x3m]]*6.561+BD_MO[[#This Row],[TABLA 2"x8"x3m]]*13.122,"")</f>
        <v>26.244</v>
      </c>
      <c r="DB185" s="24">
        <f>+IF(BD_MO[[#This Row],[FECHA]]&lt;&gt;"",BD_MO[[#This Row],[PIE2 MADERA ASERRADA]]*1.95,"")</f>
        <v>51.175799999999995</v>
      </c>
      <c r="DC185" s="24">
        <f>+IF(BD_MO[[#This Row],[FECHA]]&lt;&gt;"",BD_MO[[#This Row],[KG. MADERA REDONDA]]+BD_MO[[#This Row],[KG MADERA ASERRADA]],"")</f>
        <v>113.5018</v>
      </c>
      <c r="DD185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86.44</v>
      </c>
      <c r="DE185" s="46"/>
      <c r="DF185" s="46"/>
      <c r="DG185" s="46"/>
      <c r="DH185" s="46"/>
      <c r="DI185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85" s="56"/>
      <c r="DK185" s="56"/>
      <c r="DL185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85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85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85" s="66"/>
      <c r="DP185" s="56" t="str">
        <f>+IF(BD_MO[[#This Row],[M o D]]&lt;&gt;"",IF(BD_MO[[#This Row],[M o D]]="M",BD_MO[[#This Row],[ROTURA TMH]]/2.65,BD_MO[[#This Row],[ROTURA TMH]]/2.4),"")</f>
        <v/>
      </c>
      <c r="DQ185" s="56"/>
      <c r="DR185" s="116" t="str">
        <f>IF(BD_MO[[#This Row],[TIPO AVANCE]]="Avance",((BD_MO[[#This Row],[AVANCE (m)]]/BD_MO[[#This Row],[AVANCE TEÓRICO]]))," ")</f>
        <v xml:space="preserve"> </v>
      </c>
    </row>
    <row r="186" spans="1:130" ht="18" customHeight="1" x14ac:dyDescent="0.25">
      <c r="A186" s="92">
        <v>44662</v>
      </c>
      <c r="B186" s="40" t="s">
        <v>10655</v>
      </c>
      <c r="C186" s="40" t="s">
        <v>10680</v>
      </c>
      <c r="D186" s="61" t="s">
        <v>12149</v>
      </c>
      <c r="E186" s="42" t="str">
        <f>LEFT(BD_MO[[#This Row],[LABOR]],2)</f>
        <v>Es</v>
      </c>
      <c r="F186" s="46" t="s">
        <v>10687</v>
      </c>
      <c r="G186" s="46" t="s">
        <v>10648</v>
      </c>
      <c r="H186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86" s="42" t="str">
        <f>IF(BD_MO[FECHA]&lt;&gt;"",VLOOKUP(BD_MO[LABOR],TB_CECO[[LABOR]:[CECO_T]],3,FALSE),"")</f>
        <v>VANESSA</v>
      </c>
      <c r="J186" s="42" t="str">
        <f>IF(BD_MO[FECHA]&lt;&gt;"",VLOOKUP(BD_MO[LABOR],D_CECO!B:H,7,FALSE),"")</f>
        <v>LINEAL</v>
      </c>
      <c r="K186" s="42" t="str">
        <f>IF(BD_MO[FECHA]&lt;&gt;"",VLOOKUP(BD_MO[LABOR],D_CECO!B:H,4,FALSE),"")</f>
        <v>EXPLORACION</v>
      </c>
      <c r="L186" s="42"/>
      <c r="M186" s="48" t="s">
        <v>10646</v>
      </c>
      <c r="N186" s="46"/>
      <c r="O186" s="93" t="s">
        <v>12151</v>
      </c>
      <c r="P186" s="93"/>
      <c r="Q186" s="93"/>
      <c r="R186" s="45"/>
      <c r="S186" s="54" t="str">
        <f>IFERROR(VLOOKUP(BD_MO[DNI 4],#REF!,2,FALSE)," ")</f>
        <v xml:space="preserve"> </v>
      </c>
      <c r="T186" s="24">
        <f>+IF(BD_MO[[#This Row],[FECHA]]&lt;&gt;"",COUNTA(BD_MO[[#This Row],[DNI]],BD_MO[[#This Row],[DNI 2]],BD_MO[[#This Row],[DNI 3]],BD_MO[[#This Row],[DNI 4]]),"")</f>
        <v>1</v>
      </c>
      <c r="U186" s="24"/>
      <c r="V186" s="24"/>
      <c r="W186" s="24"/>
      <c r="X186" s="24">
        <v>1</v>
      </c>
      <c r="Y186" s="86">
        <f>SUM(BD_MO[[#This Row],[LIMP]:[SERV]])</f>
        <v>1</v>
      </c>
      <c r="Z186" s="46" t="s">
        <v>12243</v>
      </c>
      <c r="AA186" s="46">
        <f>+IF(BD_MO[[#This Row],[N° VALE]]&lt;&gt;"",1,"")</f>
        <v>1</v>
      </c>
      <c r="AB186" s="40" t="s">
        <v>10644</v>
      </c>
      <c r="AC186" s="46">
        <v>4</v>
      </c>
      <c r="AD186" s="46">
        <f>+IF(BD_MO[[#This Row],[N° VALE]]&lt;&gt;"",BD_MO[[#This Row],[FULMINANTE N° 08]]+BD_MO[CARMEX 7''],"")</f>
        <v>22</v>
      </c>
      <c r="AE186" s="46"/>
      <c r="AF186" s="46">
        <f>+IF(BD_MO[[#This Row],[N° VALE]]&lt;&gt;"",BD_MO[[#This Row],[N° TALADROS]]+BD_MO[[#This Row],[N° TAL. VACIOS]],"")</f>
        <v>22</v>
      </c>
      <c r="AG186" s="55">
        <v>40</v>
      </c>
      <c r="AH186" s="55">
        <v>60</v>
      </c>
      <c r="AI186" s="55"/>
      <c r="AJ186" s="55"/>
      <c r="AK186" s="55">
        <v>22</v>
      </c>
      <c r="AL186" s="55">
        <v>3</v>
      </c>
      <c r="AM186" s="42"/>
      <c r="AN186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86" s="46">
        <f>+IF(BD_MO[[#This Row],[N° VALE]]&lt;&gt;"",IF(BD_MO[[#This Row],[FULMINANTE N° 08]]&lt;&gt;"",BD_MO[[#This Row],[FULMINANTE N° 08]],IF(BD_MO[[#This Row],[CARMEX 7'']]&lt;&gt;0,0,"")),"")</f>
        <v>0</v>
      </c>
      <c r="AP186" s="24">
        <f>+IF(BD_MO[[#This Row],[N° VALE]]&lt;&gt;"",BD_MO[[#This Row],[N°  TOTAL TALADROS]]*BD_MO[[#This Row],[BARRA]]*0.95,"")</f>
        <v>83.6</v>
      </c>
      <c r="AQ186" s="24">
        <f>+IF(BD_MO[[#This Row],[N° VALE]]&lt;&gt;"",BD_MO[[#This Row],[EMULNOR 1000 (N° CART.)]]*PE_EMUL_1000[PE],"")</f>
        <v>5.6820000000000004</v>
      </c>
      <c r="AR186" s="24">
        <f>+IF(BD_MO[[#This Row],[N° VALE]]&lt;&gt;"",BD_MO[[#This Row],[EMULNOR 3000 (N° CART.)]]*PE_EMUL_3000[PE],"")</f>
        <v>3.846153846153848</v>
      </c>
      <c r="AS186" s="24">
        <f>+IF(BD_MO[[#This Row],[N° VALE]]&lt;&gt;"",BD_MO[[#This Row],[PULVERULENTA (N° CART.)]]*PE_PULV_65[PE],"")</f>
        <v>0</v>
      </c>
      <c r="AT186" s="24">
        <f>+IF(BD_MO[[#This Row],[N° DISP]]&lt;&gt;"",BD_MO[[#This Row],[SEMIGELATINA (N° CART.)]]*PE_SEMIGEL_65[PE],"")</f>
        <v>0</v>
      </c>
      <c r="AU186" s="24">
        <f>+IF(BD_MO[N° VALE]&lt;&gt;"",BD_MO[[#This Row],[KG EXPLO SEMIGEL]]+BD_MO[[#This Row],[KG EXPLO PULVE]]+BD_MO[[#This Row],[KG EXPLO EMULN 3000]]+BD_MO[[#This Row],[KG EXPLO EMULN 1000]],"")</f>
        <v>9.5281538461538489</v>
      </c>
      <c r="AV186" s="46"/>
      <c r="AW186" s="46"/>
      <c r="AX186" s="46" t="str">
        <f>+IF(BD_MO[[#This Row],[MINERAL (U-35)]]&lt;&gt;"",BD_MO[[#This Row],[MINERAL (U-35)]]*1.45,"-")</f>
        <v>-</v>
      </c>
      <c r="AY186" s="46" t="str">
        <f>+IF(BD_MO[[#This Row],[DESMONTE (U-35)]]&lt;&gt;"",BD_MO[[#This Row],[DESMONTE (U-35)]]*1.23,"-")</f>
        <v>-</v>
      </c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2"/>
      <c r="BO186" s="46"/>
      <c r="BP186" s="46"/>
      <c r="BQ186" s="42"/>
      <c r="BR186" s="46"/>
      <c r="BS186" s="42"/>
      <c r="BT186" s="24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24">
        <f>+IF(BD_MO[[#This Row],[FECHA]]&lt;&gt;"",BD_MO[[#This Row],[PUNTAL 4"]]+BD_MO[[#This Row],[PUNTAL 5"]]+BD_MO[[#This Row],[PUNTAL 6"]]+BD_MO[[#This Row],[PUNTAL 7"]]+BD_MO[[#This Row],[PUNTAL 8"]],"")</f>
        <v>0</v>
      </c>
      <c r="CQ186" s="46"/>
      <c r="CR186" s="46"/>
      <c r="CS186" s="46"/>
      <c r="CT186" s="46"/>
      <c r="CU186" s="46"/>
      <c r="CV186" s="46"/>
      <c r="CW186" s="46"/>
      <c r="CX186" s="46"/>
      <c r="CY186" s="24"/>
      <c r="CZ186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86" s="24">
        <f>+IF(BD_MO[[#This Row],[FECHA]]&lt;&gt;"",BD_MO[[#This Row],[DURMIENTE2]]*6.561+BD_MO[[#This Row],[LISTONES]]*4.921+BD_MO[[#This Row],[TABLA 1"x8"x3m]]*6.561+BD_MO[[#This Row],[TABLA 2"x8"x3m]]*13.122,"")</f>
        <v>0</v>
      </c>
      <c r="DB186" s="24">
        <f>+IF(BD_MO[[#This Row],[FECHA]]&lt;&gt;"",BD_MO[[#This Row],[PIE2 MADERA ASERRADA]]*1.95,"")</f>
        <v>0</v>
      </c>
      <c r="DC186" s="24">
        <f>+IF(BD_MO[[#This Row],[FECHA]]&lt;&gt;"",BD_MO[[#This Row],[KG. MADERA REDONDA]]+BD_MO[[#This Row],[KG MADERA ASERRADA]],"")</f>
        <v>0</v>
      </c>
      <c r="DD186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86" s="46"/>
      <c r="DF186" s="46"/>
      <c r="DG186" s="46"/>
      <c r="DH186" s="46"/>
      <c r="DI186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186" s="56"/>
      <c r="DK186" s="56"/>
      <c r="DL186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86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186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86" s="181">
        <f>0.3154597*BD_MO[[#This Row],[N°  TOTAL TALADROS]]</f>
        <v>6.9401134000000004</v>
      </c>
      <c r="DP186" s="56">
        <f>+IF(BD_MO[[#This Row],[M o D]]&lt;&gt;"",IF(BD_MO[[#This Row],[M o D]]="M",BD_MO[[#This Row],[ROTURA TMH]]/2.65,BD_MO[[#This Row],[ROTURA TMH]]/2.4),"")</f>
        <v>2.8917139166666668</v>
      </c>
      <c r="DQ186" s="180">
        <v>0.6</v>
      </c>
      <c r="DR186" s="116">
        <f>IF(BD_MO[[#This Row],[TIPO AVANCE]]="Avance",((BD_MO[[#This Row],[AVANCE (m)]]/BD_MO[[#This Row],[AVANCE TEÓRICO]]))," ")</f>
        <v>0.55555555555555547</v>
      </c>
    </row>
    <row r="187" spans="1:130" ht="18" customHeight="1" x14ac:dyDescent="0.25">
      <c r="A187" s="92">
        <v>44662</v>
      </c>
      <c r="B187" s="40" t="s">
        <v>10655</v>
      </c>
      <c r="C187" s="40" t="s">
        <v>10680</v>
      </c>
      <c r="D187" s="61" t="s">
        <v>10952</v>
      </c>
      <c r="E187" s="42" t="str">
        <f>LEFT(BD_MO[[#This Row],[LABOR]],2)</f>
        <v>In</v>
      </c>
      <c r="F187" s="46"/>
      <c r="G187" s="46" t="s">
        <v>10669</v>
      </c>
      <c r="H187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87" s="42" t="str">
        <f>IF(BD_MO[FECHA]&lt;&gt;"",VLOOKUP(BD_MO[LABOR],TB_CECO[[LABOR]:[CECO_T]],3,FALSE),"")</f>
        <v>VANESSA</v>
      </c>
      <c r="J187" s="42" t="str">
        <f>IF(BD_MO[FECHA]&lt;&gt;"",VLOOKUP(BD_MO[LABOR],D_CECO!B:H,7,FALSE),"")</f>
        <v>LINEAL</v>
      </c>
      <c r="K187" s="42" t="str">
        <f>IF(BD_MO[FECHA]&lt;&gt;"",VLOOKUP(BD_MO[LABOR],D_CECO!B:H,4,FALSE),"")</f>
        <v>EXPLORACION</v>
      </c>
      <c r="L187" s="42"/>
      <c r="M187" s="48"/>
      <c r="N187" s="46"/>
      <c r="O187" s="93" t="s">
        <v>11925</v>
      </c>
      <c r="P187" s="93" t="s">
        <v>11906</v>
      </c>
      <c r="Q187" s="93"/>
      <c r="R187" s="45"/>
      <c r="S187" s="54" t="str">
        <f>IFERROR(VLOOKUP(BD_MO[DNI 4],#REF!,2,FALSE)," ")</f>
        <v xml:space="preserve"> </v>
      </c>
      <c r="T187" s="24">
        <f>+IF(BD_MO[[#This Row],[FECHA]]&lt;&gt;"",COUNTA(BD_MO[[#This Row],[DNI]],BD_MO[[#This Row],[DNI 2]],BD_MO[[#This Row],[DNI 3]],BD_MO[[#This Row],[DNI 4]]),"")</f>
        <v>2</v>
      </c>
      <c r="U187" s="24"/>
      <c r="V187" s="24"/>
      <c r="W187" s="24"/>
      <c r="X187" s="24">
        <v>2</v>
      </c>
      <c r="Y187" s="86">
        <f>SUM(BD_MO[[#This Row],[LIMP]:[SERV]])</f>
        <v>2</v>
      </c>
      <c r="Z187" s="46"/>
      <c r="AA187" s="46" t="str">
        <f>+IF(BD_MO[[#This Row],[N° VALE]]&lt;&gt;"",1,"")</f>
        <v/>
      </c>
      <c r="AB187" s="40"/>
      <c r="AC187" s="46"/>
      <c r="AD187" s="46" t="str">
        <f>+IF(BD_MO[[#This Row],[N° VALE]]&lt;&gt;"",BD_MO[[#This Row],[FULMINANTE N° 08]]+BD_MO[CARMEX 7''],"")</f>
        <v/>
      </c>
      <c r="AE187" s="46"/>
      <c r="AF187" s="46" t="str">
        <f>+IF(BD_MO[[#This Row],[N° VALE]]&lt;&gt;"",BD_MO[[#This Row],[N° TALADROS]]+BD_MO[[#This Row],[N° TAL. VACIOS]],"")</f>
        <v/>
      </c>
      <c r="AG187" s="55"/>
      <c r="AH187" s="55"/>
      <c r="AI187" s="55"/>
      <c r="AJ187" s="55"/>
      <c r="AK187" s="55"/>
      <c r="AL187" s="55"/>
      <c r="AM187" s="42"/>
      <c r="AN187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87" s="46" t="str">
        <f>+IF(BD_MO[[#This Row],[N° VALE]]&lt;&gt;"",IF(BD_MO[[#This Row],[FULMINANTE N° 08]]&lt;&gt;"",BD_MO[[#This Row],[FULMINANTE N° 08]],IF(BD_MO[[#This Row],[CARMEX 7'']]&lt;&gt;0,0,"")),"")</f>
        <v/>
      </c>
      <c r="AP187" s="24" t="str">
        <f>+IF(BD_MO[[#This Row],[N° VALE]]&lt;&gt;"",BD_MO[[#This Row],[N°  TOTAL TALADROS]]*BD_MO[[#This Row],[BARRA]]*0.95,"")</f>
        <v/>
      </c>
      <c r="AQ187" s="24" t="str">
        <f>+IF(BD_MO[[#This Row],[N° VALE]]&lt;&gt;"",BD_MO[[#This Row],[EMULNOR 1000 (N° CART.)]]*PE_EMUL_1000[PE],"")</f>
        <v/>
      </c>
      <c r="AR187" s="24" t="str">
        <f>+IF(BD_MO[[#This Row],[N° VALE]]&lt;&gt;"",BD_MO[[#This Row],[EMULNOR 3000 (N° CART.)]]*PE_EMUL_3000[PE],"")</f>
        <v/>
      </c>
      <c r="AS187" s="24" t="str">
        <f>+IF(BD_MO[[#This Row],[N° VALE]]&lt;&gt;"",BD_MO[[#This Row],[PULVERULENTA (N° CART.)]]*PE_PULV_65[PE],"")</f>
        <v/>
      </c>
      <c r="AT187" s="24" t="str">
        <f>+IF(BD_MO[[#This Row],[N° DISP]]&lt;&gt;"",BD_MO[[#This Row],[SEMIGELATINA (N° CART.)]]*PE_SEMIGEL_65[PE],"")</f>
        <v/>
      </c>
      <c r="AU187" s="24" t="str">
        <f>+IF(BD_MO[N° VALE]&lt;&gt;"",BD_MO[[#This Row],[KG EXPLO SEMIGEL]]+BD_MO[[#This Row],[KG EXPLO PULVE]]+BD_MO[[#This Row],[KG EXPLO EMULN 3000]]+BD_MO[[#This Row],[KG EXPLO EMULN 1000]],"")</f>
        <v/>
      </c>
      <c r="AV187" s="46"/>
      <c r="AW187" s="46"/>
      <c r="AX187" s="46" t="str">
        <f>+IF(BD_MO[[#This Row],[MINERAL (U-35)]]&lt;&gt;"",BD_MO[[#This Row],[MINERAL (U-35)]]*1.45,"-")</f>
        <v>-</v>
      </c>
      <c r="AY187" s="46" t="str">
        <f>+IF(BD_MO[[#This Row],[DESMONTE (U-35)]]&lt;&gt;"",BD_MO[[#This Row],[DESMONTE (U-35)]]*1.23,"-")</f>
        <v>-</v>
      </c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2"/>
      <c r="BO187" s="46"/>
      <c r="BP187" s="46"/>
      <c r="BQ187" s="42"/>
      <c r="BR187" s="46"/>
      <c r="BS187" s="42"/>
      <c r="BT187" s="24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24">
        <f>+IF(BD_MO[[#This Row],[FECHA]]&lt;&gt;"",BD_MO[[#This Row],[PUNTAL 4"]]+BD_MO[[#This Row],[PUNTAL 5"]]+BD_MO[[#This Row],[PUNTAL 6"]]+BD_MO[[#This Row],[PUNTAL 7"]]+BD_MO[[#This Row],[PUNTAL 8"]],"")</f>
        <v>0</v>
      </c>
      <c r="CQ187" s="46"/>
      <c r="CR187" s="46"/>
      <c r="CS187" s="46"/>
      <c r="CT187" s="46"/>
      <c r="CU187" s="46"/>
      <c r="CV187" s="46"/>
      <c r="CW187" s="46"/>
      <c r="CX187" s="46"/>
      <c r="CY187" s="24"/>
      <c r="CZ187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87" s="24">
        <f>+IF(BD_MO[[#This Row],[FECHA]]&lt;&gt;"",BD_MO[[#This Row],[DURMIENTE2]]*6.561+BD_MO[[#This Row],[LISTONES]]*4.921+BD_MO[[#This Row],[TABLA 1"x8"x3m]]*6.561+BD_MO[[#This Row],[TABLA 2"x8"x3m]]*13.122,"")</f>
        <v>0</v>
      </c>
      <c r="DB187" s="24">
        <f>+IF(BD_MO[[#This Row],[FECHA]]&lt;&gt;"",BD_MO[[#This Row],[PIE2 MADERA ASERRADA]]*1.95,"")</f>
        <v>0</v>
      </c>
      <c r="DC187" s="24">
        <f>+IF(BD_MO[[#This Row],[FECHA]]&lt;&gt;"",BD_MO[[#This Row],[KG. MADERA REDONDA]]+BD_MO[[#This Row],[KG MADERA ASERRADA]],"")</f>
        <v>0</v>
      </c>
      <c r="DD187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87" s="46"/>
      <c r="DF187" s="46"/>
      <c r="DG187" s="46" t="s">
        <v>12239</v>
      </c>
      <c r="DH187" s="46">
        <v>7</v>
      </c>
      <c r="DI187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87" s="56"/>
      <c r="DK187" s="56"/>
      <c r="DL187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87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87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87" s="66"/>
      <c r="DP187" s="56" t="str">
        <f>+IF(BD_MO[[#This Row],[M o D]]&lt;&gt;"",IF(BD_MO[[#This Row],[M o D]]="M",BD_MO[[#This Row],[ROTURA TMH]]/2.65,BD_MO[[#This Row],[ROTURA TMH]]/2.4),"")</f>
        <v/>
      </c>
      <c r="DQ187" s="56"/>
      <c r="DR187" s="116" t="str">
        <f>IF(BD_MO[[#This Row],[TIPO AVANCE]]="Avance",((BD_MO[[#This Row],[AVANCE (m)]]/BD_MO[[#This Row],[AVANCE TEÓRICO]]))," ")</f>
        <v xml:space="preserve"> </v>
      </c>
    </row>
    <row r="188" spans="1:130" ht="18" customHeight="1" x14ac:dyDescent="0.25">
      <c r="A188" s="92">
        <v>44662</v>
      </c>
      <c r="B188" s="40" t="s">
        <v>10655</v>
      </c>
      <c r="C188" s="40" t="s">
        <v>10680</v>
      </c>
      <c r="D188" s="61" t="s">
        <v>11872</v>
      </c>
      <c r="E188" s="42" t="str">
        <f>LEFT(BD_MO[[#This Row],[LABOR]],2)</f>
        <v>PQ</v>
      </c>
      <c r="F188" s="46"/>
      <c r="G188" s="46" t="s">
        <v>10669</v>
      </c>
      <c r="H188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88" s="42" t="str">
        <f>IF(BD_MO[FECHA]&lt;&gt;"",VLOOKUP(BD_MO[LABOR],TB_CECO[[LABOR]:[CECO_T]],3,FALSE),"")</f>
        <v>ANDREA</v>
      </c>
      <c r="J188" s="42" t="str">
        <f>IF(BD_MO[FECHA]&lt;&gt;"",VLOOKUP(BD_MO[LABOR],D_CECO!B:H,7,FALSE),"")</f>
        <v>LINEAL</v>
      </c>
      <c r="K188" s="42" t="str">
        <f>IF(BD_MO[FECHA]&lt;&gt;"",VLOOKUP(BD_MO[LABOR],D_CECO!B:H,4,FALSE),"")</f>
        <v>EXPLOTACION</v>
      </c>
      <c r="L188" s="42"/>
      <c r="M188" s="48"/>
      <c r="N188" s="46"/>
      <c r="O188" s="93" t="s">
        <v>11908</v>
      </c>
      <c r="P188" s="93" t="s">
        <v>12240</v>
      </c>
      <c r="Q188" s="93" t="s">
        <v>12211</v>
      </c>
      <c r="R188" s="45"/>
      <c r="S188" s="54" t="str">
        <f>IFERROR(VLOOKUP(BD_MO[DNI 4],#REF!,2,FALSE)," ")</f>
        <v xml:space="preserve"> </v>
      </c>
      <c r="T188" s="24">
        <f>+IF(BD_MO[[#This Row],[FECHA]]&lt;&gt;"",COUNTA(BD_MO[[#This Row],[DNI]],BD_MO[[#This Row],[DNI 2]],BD_MO[[#This Row],[DNI 3]],BD_MO[[#This Row],[DNI 4]]),"")</f>
        <v>3</v>
      </c>
      <c r="U188" s="24"/>
      <c r="V188" s="24"/>
      <c r="W188" s="24"/>
      <c r="X188" s="24">
        <v>3</v>
      </c>
      <c r="Y188" s="86">
        <f>SUM(BD_MO[[#This Row],[LIMP]:[SERV]])</f>
        <v>3</v>
      </c>
      <c r="Z188" s="46"/>
      <c r="AA188" s="46" t="str">
        <f>+IF(BD_MO[[#This Row],[N° VALE]]&lt;&gt;"",1,"")</f>
        <v/>
      </c>
      <c r="AB188" s="40"/>
      <c r="AC188" s="46"/>
      <c r="AD188" s="46" t="str">
        <f>+IF(BD_MO[[#This Row],[N° VALE]]&lt;&gt;"",BD_MO[[#This Row],[FULMINANTE N° 08]]+BD_MO[CARMEX 7''],"")</f>
        <v/>
      </c>
      <c r="AE188" s="46"/>
      <c r="AF188" s="46" t="str">
        <f>+IF(BD_MO[[#This Row],[N° VALE]]&lt;&gt;"",BD_MO[[#This Row],[N° TALADROS]]+BD_MO[[#This Row],[N° TAL. VACIOS]],"")</f>
        <v/>
      </c>
      <c r="AG188" s="55"/>
      <c r="AH188" s="55"/>
      <c r="AI188" s="55"/>
      <c r="AJ188" s="55"/>
      <c r="AK188" s="55"/>
      <c r="AL188" s="55"/>
      <c r="AM188" s="42"/>
      <c r="AN188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88" s="46" t="str">
        <f>+IF(BD_MO[[#This Row],[N° VALE]]&lt;&gt;"",IF(BD_MO[[#This Row],[FULMINANTE N° 08]]&lt;&gt;"",BD_MO[[#This Row],[FULMINANTE N° 08]],IF(BD_MO[[#This Row],[CARMEX 7'']]&lt;&gt;0,0,"")),"")</f>
        <v/>
      </c>
      <c r="AP188" s="24" t="str">
        <f>+IF(BD_MO[[#This Row],[N° VALE]]&lt;&gt;"",BD_MO[[#This Row],[N°  TOTAL TALADROS]]*BD_MO[[#This Row],[BARRA]]*0.95,"")</f>
        <v/>
      </c>
      <c r="AQ188" s="24" t="str">
        <f>+IF(BD_MO[[#This Row],[N° VALE]]&lt;&gt;"",BD_MO[[#This Row],[EMULNOR 1000 (N° CART.)]]*PE_EMUL_1000[PE],"")</f>
        <v/>
      </c>
      <c r="AR188" s="24" t="str">
        <f>+IF(BD_MO[[#This Row],[N° VALE]]&lt;&gt;"",BD_MO[[#This Row],[EMULNOR 3000 (N° CART.)]]*PE_EMUL_3000[PE],"")</f>
        <v/>
      </c>
      <c r="AS188" s="24" t="str">
        <f>+IF(BD_MO[[#This Row],[N° VALE]]&lt;&gt;"",BD_MO[[#This Row],[PULVERULENTA (N° CART.)]]*PE_PULV_65[PE],"")</f>
        <v/>
      </c>
      <c r="AT188" s="24" t="str">
        <f>+IF(BD_MO[[#This Row],[N° DISP]]&lt;&gt;"",BD_MO[[#This Row],[SEMIGELATINA (N° CART.)]]*PE_SEMIGEL_65[PE],"")</f>
        <v/>
      </c>
      <c r="AU188" s="24" t="str">
        <f>+IF(BD_MO[N° VALE]&lt;&gt;"",BD_MO[[#This Row],[KG EXPLO SEMIGEL]]+BD_MO[[#This Row],[KG EXPLO PULVE]]+BD_MO[[#This Row],[KG EXPLO EMULN 3000]]+BD_MO[[#This Row],[KG EXPLO EMULN 1000]],"")</f>
        <v/>
      </c>
      <c r="AV188" s="46"/>
      <c r="AW188" s="46"/>
      <c r="AX188" s="46" t="str">
        <f>+IF(BD_MO[[#This Row],[MINERAL (U-35)]]&lt;&gt;"",BD_MO[[#This Row],[MINERAL (U-35)]]*1.45,"-")</f>
        <v>-</v>
      </c>
      <c r="AY188" s="46" t="str">
        <f>+IF(BD_MO[[#This Row],[DESMONTE (U-35)]]&lt;&gt;"",BD_MO[[#This Row],[DESMONTE (U-35)]]*1.23,"-")</f>
        <v>-</v>
      </c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2"/>
      <c r="BO188" s="46"/>
      <c r="BP188" s="46"/>
      <c r="BQ188" s="42"/>
      <c r="BR188" s="46"/>
      <c r="BS188" s="42"/>
      <c r="BT188" s="24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24">
        <f>+IF(BD_MO[[#This Row],[FECHA]]&lt;&gt;"",BD_MO[[#This Row],[PUNTAL 4"]]+BD_MO[[#This Row],[PUNTAL 5"]]+BD_MO[[#This Row],[PUNTAL 6"]]+BD_MO[[#This Row],[PUNTAL 7"]]+BD_MO[[#This Row],[PUNTAL 8"]],"")</f>
        <v>0</v>
      </c>
      <c r="CQ188" s="46"/>
      <c r="CR188" s="46"/>
      <c r="CS188" s="46"/>
      <c r="CT188" s="46"/>
      <c r="CU188" s="46"/>
      <c r="CV188" s="46"/>
      <c r="CW188" s="46"/>
      <c r="CX188" s="46"/>
      <c r="CY188" s="24"/>
      <c r="CZ188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88" s="24">
        <f>+IF(BD_MO[[#This Row],[FECHA]]&lt;&gt;"",BD_MO[[#This Row],[DURMIENTE2]]*6.561+BD_MO[[#This Row],[LISTONES]]*4.921+BD_MO[[#This Row],[TABLA 1"x8"x3m]]*6.561+BD_MO[[#This Row],[TABLA 2"x8"x3m]]*13.122,"")</f>
        <v>0</v>
      </c>
      <c r="DB188" s="24">
        <f>+IF(BD_MO[[#This Row],[FECHA]]&lt;&gt;"",BD_MO[[#This Row],[PIE2 MADERA ASERRADA]]*1.95,"")</f>
        <v>0</v>
      </c>
      <c r="DC188" s="24">
        <f>+IF(BD_MO[[#This Row],[FECHA]]&lt;&gt;"",BD_MO[[#This Row],[KG. MADERA REDONDA]]+BD_MO[[#This Row],[KG MADERA ASERRADA]],"")</f>
        <v>0</v>
      </c>
      <c r="DD188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88" s="46"/>
      <c r="DF188" s="46"/>
      <c r="DG188" s="46" t="s">
        <v>12238</v>
      </c>
      <c r="DH188" s="46">
        <v>6</v>
      </c>
      <c r="DI188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88" s="56"/>
      <c r="DK188" s="56"/>
      <c r="DL188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88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88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88" s="66"/>
      <c r="DP188" s="56" t="str">
        <f>+IF(BD_MO[[#This Row],[M o D]]&lt;&gt;"",IF(BD_MO[[#This Row],[M o D]]="M",BD_MO[[#This Row],[ROTURA TMH]]/2.65,BD_MO[[#This Row],[ROTURA TMH]]/2.4),"")</f>
        <v/>
      </c>
      <c r="DQ188" s="56"/>
      <c r="DR188" s="116" t="str">
        <f>IF(BD_MO[[#This Row],[TIPO AVANCE]]="Avance",((BD_MO[[#This Row],[AVANCE (m)]]/BD_MO[[#This Row],[AVANCE TEÓRICO]]))," ")</f>
        <v xml:space="preserve"> </v>
      </c>
    </row>
    <row r="189" spans="1:130" ht="18" customHeight="1" x14ac:dyDescent="0.25">
      <c r="A189" s="92">
        <v>44662</v>
      </c>
      <c r="B189" s="40" t="s">
        <v>10655</v>
      </c>
      <c r="C189" s="40" t="s">
        <v>10680</v>
      </c>
      <c r="D189" s="61" t="s">
        <v>10954</v>
      </c>
      <c r="E189" s="42" t="str">
        <f>LEFT(BD_MO[[#This Row],[LABOR]],2)</f>
        <v>MO</v>
      </c>
      <c r="F189" s="46"/>
      <c r="G189" s="46" t="s">
        <v>10669</v>
      </c>
      <c r="H189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89" s="42" t="str">
        <f>IF(BD_MO[FECHA]&lt;&gt;"",VLOOKUP(BD_MO[LABOR],TB_CECO[[LABOR]:[CECO_T]],3,FALSE),"")</f>
        <v>INCA</v>
      </c>
      <c r="J189" s="42" t="str">
        <f>IF(BD_MO[FECHA]&lt;&gt;"",VLOOKUP(BD_MO[LABOR],D_CECO!B:H,7,FALSE),"")</f>
        <v>SERVICIOS</v>
      </c>
      <c r="K189" s="42" t="str">
        <f>IF(BD_MO[FECHA]&lt;&gt;"",VLOOKUP(BD_MO[LABOR],D_CECO!B:H,4,FALSE),"")</f>
        <v>SERVICIOS</v>
      </c>
      <c r="L189" s="42"/>
      <c r="M189" s="48"/>
      <c r="N189" s="46"/>
      <c r="O189" s="93" t="s">
        <v>12117</v>
      </c>
      <c r="P189" s="93" t="s">
        <v>11907</v>
      </c>
      <c r="Q189" s="93"/>
      <c r="R189" s="45"/>
      <c r="S189" s="54" t="str">
        <f>IFERROR(VLOOKUP(BD_MO[DNI 4],#REF!,2,FALSE)," ")</f>
        <v xml:space="preserve"> </v>
      </c>
      <c r="T189" s="24">
        <f>+IF(BD_MO[[#This Row],[FECHA]]&lt;&gt;"",COUNTA(BD_MO[[#This Row],[DNI]],BD_MO[[#This Row],[DNI 2]],BD_MO[[#This Row],[DNI 3]],BD_MO[[#This Row],[DNI 4]]),"")</f>
        <v>2</v>
      </c>
      <c r="U189" s="24"/>
      <c r="V189" s="24"/>
      <c r="W189" s="24"/>
      <c r="X189" s="24">
        <v>2</v>
      </c>
      <c r="Y189" s="86">
        <f>SUM(BD_MO[[#This Row],[LIMP]:[SERV]])</f>
        <v>2</v>
      </c>
      <c r="Z189" s="46"/>
      <c r="AA189" s="46" t="str">
        <f>+IF(BD_MO[[#This Row],[N° VALE]]&lt;&gt;"",1,"")</f>
        <v/>
      </c>
      <c r="AB189" s="40"/>
      <c r="AC189" s="46"/>
      <c r="AD189" s="46" t="str">
        <f>+IF(BD_MO[[#This Row],[N° VALE]]&lt;&gt;"",BD_MO[[#This Row],[FULMINANTE N° 08]]+BD_MO[CARMEX 7''],"")</f>
        <v/>
      </c>
      <c r="AE189" s="46"/>
      <c r="AF189" s="46" t="str">
        <f>+IF(BD_MO[[#This Row],[N° VALE]]&lt;&gt;"",BD_MO[[#This Row],[N° TALADROS]]+BD_MO[[#This Row],[N° TAL. VACIOS]],"")</f>
        <v/>
      </c>
      <c r="AG189" s="55"/>
      <c r="AH189" s="55"/>
      <c r="AI189" s="55"/>
      <c r="AJ189" s="55"/>
      <c r="AK189" s="55"/>
      <c r="AL189" s="55"/>
      <c r="AM189" s="42"/>
      <c r="AN189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89" s="46" t="str">
        <f>+IF(BD_MO[[#This Row],[N° VALE]]&lt;&gt;"",IF(BD_MO[[#This Row],[FULMINANTE N° 08]]&lt;&gt;"",BD_MO[[#This Row],[FULMINANTE N° 08]],IF(BD_MO[[#This Row],[CARMEX 7'']]&lt;&gt;0,0,"")),"")</f>
        <v/>
      </c>
      <c r="AP189" s="24" t="str">
        <f>+IF(BD_MO[[#This Row],[N° VALE]]&lt;&gt;"",BD_MO[[#This Row],[N°  TOTAL TALADROS]]*BD_MO[[#This Row],[BARRA]]*0.95,"")</f>
        <v/>
      </c>
      <c r="AQ189" s="24" t="str">
        <f>+IF(BD_MO[[#This Row],[N° VALE]]&lt;&gt;"",BD_MO[[#This Row],[EMULNOR 1000 (N° CART.)]]*PE_EMUL_1000[PE],"")</f>
        <v/>
      </c>
      <c r="AR189" s="24" t="str">
        <f>+IF(BD_MO[[#This Row],[N° VALE]]&lt;&gt;"",BD_MO[[#This Row],[EMULNOR 3000 (N° CART.)]]*PE_EMUL_3000[PE],"")</f>
        <v/>
      </c>
      <c r="AS189" s="24" t="str">
        <f>+IF(BD_MO[[#This Row],[N° VALE]]&lt;&gt;"",BD_MO[[#This Row],[PULVERULENTA (N° CART.)]]*PE_PULV_65[PE],"")</f>
        <v/>
      </c>
      <c r="AT189" s="24" t="str">
        <f>+IF(BD_MO[[#This Row],[N° DISP]]&lt;&gt;"",BD_MO[[#This Row],[SEMIGELATINA (N° CART.)]]*PE_SEMIGEL_65[PE],"")</f>
        <v/>
      </c>
      <c r="AU189" s="24" t="str">
        <f>+IF(BD_MO[N° VALE]&lt;&gt;"",BD_MO[[#This Row],[KG EXPLO SEMIGEL]]+BD_MO[[#This Row],[KG EXPLO PULVE]]+BD_MO[[#This Row],[KG EXPLO EMULN 3000]]+BD_MO[[#This Row],[KG EXPLO EMULN 1000]],"")</f>
        <v/>
      </c>
      <c r="AV189" s="46"/>
      <c r="AW189" s="46"/>
      <c r="AX189" s="46" t="str">
        <f>+IF(BD_MO[[#This Row],[MINERAL (U-35)]]&lt;&gt;"",BD_MO[[#This Row],[MINERAL (U-35)]]*1.45,"-")</f>
        <v>-</v>
      </c>
      <c r="AY189" s="46" t="str">
        <f>+IF(BD_MO[[#This Row],[DESMONTE (U-35)]]&lt;&gt;"",BD_MO[[#This Row],[DESMONTE (U-35)]]*1.23,"-")</f>
        <v>-</v>
      </c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2"/>
      <c r="BO189" s="46"/>
      <c r="BP189" s="46"/>
      <c r="BQ189" s="42"/>
      <c r="BR189" s="46"/>
      <c r="BS189" s="42"/>
      <c r="BT189" s="24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24">
        <f>+IF(BD_MO[[#This Row],[FECHA]]&lt;&gt;"",BD_MO[[#This Row],[PUNTAL 4"]]+BD_MO[[#This Row],[PUNTAL 5"]]+BD_MO[[#This Row],[PUNTAL 6"]]+BD_MO[[#This Row],[PUNTAL 7"]]+BD_MO[[#This Row],[PUNTAL 8"]],"")</f>
        <v>0</v>
      </c>
      <c r="CQ189" s="46"/>
      <c r="CR189" s="46"/>
      <c r="CS189" s="46"/>
      <c r="CT189" s="46"/>
      <c r="CU189" s="46"/>
      <c r="CV189" s="46"/>
      <c r="CW189" s="46"/>
      <c r="CX189" s="46"/>
      <c r="CY189" s="24"/>
      <c r="CZ189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89" s="24">
        <f>+IF(BD_MO[[#This Row],[FECHA]]&lt;&gt;"",BD_MO[[#This Row],[DURMIENTE2]]*6.561+BD_MO[[#This Row],[LISTONES]]*4.921+BD_MO[[#This Row],[TABLA 1"x8"x3m]]*6.561+BD_MO[[#This Row],[TABLA 2"x8"x3m]]*13.122,"")</f>
        <v>0</v>
      </c>
      <c r="DB189" s="24">
        <f>+IF(BD_MO[[#This Row],[FECHA]]&lt;&gt;"",BD_MO[[#This Row],[PIE2 MADERA ASERRADA]]*1.95,"")</f>
        <v>0</v>
      </c>
      <c r="DC189" s="24">
        <f>+IF(BD_MO[[#This Row],[FECHA]]&lt;&gt;"",BD_MO[[#This Row],[KG. MADERA REDONDA]]+BD_MO[[#This Row],[KG MADERA ASERRADA]],"")</f>
        <v>0</v>
      </c>
      <c r="DD189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89" s="46"/>
      <c r="DF189" s="46"/>
      <c r="DG189" s="46"/>
      <c r="DH189" s="46"/>
      <c r="DI189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89" s="56"/>
      <c r="DK189" s="56"/>
      <c r="DL189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89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89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89" s="66"/>
      <c r="DP189" s="56" t="str">
        <f>+IF(BD_MO[[#This Row],[M o D]]&lt;&gt;"",IF(BD_MO[[#This Row],[M o D]]="M",BD_MO[[#This Row],[ROTURA TMH]]/2.65,BD_MO[[#This Row],[ROTURA TMH]]/2.4),"")</f>
        <v/>
      </c>
      <c r="DQ189" s="56"/>
      <c r="DR189" s="116" t="str">
        <f>IF(BD_MO[[#This Row],[TIPO AVANCE]]="Avance",((BD_MO[[#This Row],[AVANCE (m)]]/BD_MO[[#This Row],[AVANCE TEÓRICO]]))," ")</f>
        <v xml:space="preserve"> </v>
      </c>
    </row>
    <row r="190" spans="1:130" s="115" customFormat="1" ht="18" customHeight="1" thickBot="1" x14ac:dyDescent="0.3">
      <c r="A190" s="130">
        <v>44662</v>
      </c>
      <c r="B190" s="117" t="s">
        <v>10655</v>
      </c>
      <c r="C190" s="117" t="s">
        <v>10680</v>
      </c>
      <c r="D190" s="118" t="s">
        <v>10717</v>
      </c>
      <c r="E190" s="119" t="str">
        <f>LEFT(BD_MO[[#This Row],[LABOR]],2)</f>
        <v>BO</v>
      </c>
      <c r="F190" s="120"/>
      <c r="G190" s="120" t="s">
        <v>10669</v>
      </c>
      <c r="H190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90" s="119" t="str">
        <f>IF(BD_MO[FECHA]&lt;&gt;"",VLOOKUP(BD_MO[LABOR],TB_CECO[[LABOR]:[CECO_T]],3,FALSE),"")</f>
        <v>CACHORRO</v>
      </c>
      <c r="J190" s="119" t="str">
        <f>IF(BD_MO[FECHA]&lt;&gt;"",VLOOKUP(BD_MO[LABOR],D_CECO!B:H,7,FALSE),"")</f>
        <v>SERVICIOS</v>
      </c>
      <c r="K190" s="119" t="str">
        <f>IF(BD_MO[FECHA]&lt;&gt;"",VLOOKUP(BD_MO[LABOR],D_CECO!B:H,4,FALSE),"")</f>
        <v>SERVICIOS</v>
      </c>
      <c r="L190" s="119"/>
      <c r="M190" s="117"/>
      <c r="N190" s="120"/>
      <c r="O190" s="121" t="s">
        <v>11909</v>
      </c>
      <c r="P190" s="121"/>
      <c r="Q190" s="121"/>
      <c r="R190" s="122"/>
      <c r="S190" s="123" t="str">
        <f>IFERROR(VLOOKUP(BD_MO[DNI 4],#REF!,2,FALSE)," ")</f>
        <v xml:space="preserve"> </v>
      </c>
      <c r="T190" s="124">
        <f>+IF(BD_MO[[#This Row],[FECHA]]&lt;&gt;"",COUNTA(BD_MO[[#This Row],[DNI]],BD_MO[[#This Row],[DNI 2]],BD_MO[[#This Row],[DNI 3]],BD_MO[[#This Row],[DNI 4]]),"")</f>
        <v>1</v>
      </c>
      <c r="U190" s="124"/>
      <c r="V190" s="124"/>
      <c r="W190" s="124"/>
      <c r="X190" s="124">
        <v>1</v>
      </c>
      <c r="Y190" s="125">
        <f>SUM(BD_MO[[#This Row],[LIMP]:[SERV]])</f>
        <v>1</v>
      </c>
      <c r="Z190" s="120"/>
      <c r="AA190" s="120" t="str">
        <f>+IF(BD_MO[[#This Row],[N° VALE]]&lt;&gt;"",1,"")</f>
        <v/>
      </c>
      <c r="AB190" s="117"/>
      <c r="AC190" s="120"/>
      <c r="AD190" s="120" t="str">
        <f>+IF(BD_MO[[#This Row],[N° VALE]]&lt;&gt;"",BD_MO[[#This Row],[FULMINANTE N° 08]]+BD_MO[CARMEX 7''],"")</f>
        <v/>
      </c>
      <c r="AE190" s="120"/>
      <c r="AF190" s="120" t="str">
        <f>+IF(BD_MO[[#This Row],[N° VALE]]&lt;&gt;"",BD_MO[[#This Row],[N° TALADROS]]+BD_MO[[#This Row],[N° TAL. VACIOS]],"")</f>
        <v/>
      </c>
      <c r="AG190" s="126"/>
      <c r="AH190" s="126"/>
      <c r="AI190" s="126"/>
      <c r="AJ190" s="126"/>
      <c r="AK190" s="126"/>
      <c r="AL190" s="126"/>
      <c r="AM190" s="119"/>
      <c r="AN190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90" s="120" t="str">
        <f>+IF(BD_MO[[#This Row],[N° VALE]]&lt;&gt;"",IF(BD_MO[[#This Row],[FULMINANTE N° 08]]&lt;&gt;"",BD_MO[[#This Row],[FULMINANTE N° 08]],IF(BD_MO[[#This Row],[CARMEX 7'']]&lt;&gt;0,0,"")),"")</f>
        <v/>
      </c>
      <c r="AP190" s="124" t="str">
        <f>+IF(BD_MO[[#This Row],[N° VALE]]&lt;&gt;"",BD_MO[[#This Row],[N°  TOTAL TALADROS]]*BD_MO[[#This Row],[BARRA]]*0.95,"")</f>
        <v/>
      </c>
      <c r="AQ190" s="124" t="str">
        <f>+IF(BD_MO[[#This Row],[N° VALE]]&lt;&gt;"",BD_MO[[#This Row],[EMULNOR 1000 (N° CART.)]]*PE_EMUL_1000[PE],"")</f>
        <v/>
      </c>
      <c r="AR190" s="124" t="str">
        <f>+IF(BD_MO[[#This Row],[N° VALE]]&lt;&gt;"",BD_MO[[#This Row],[EMULNOR 3000 (N° CART.)]]*PE_EMUL_3000[PE],"")</f>
        <v/>
      </c>
      <c r="AS190" s="124" t="str">
        <f>+IF(BD_MO[[#This Row],[N° VALE]]&lt;&gt;"",BD_MO[[#This Row],[PULVERULENTA (N° CART.)]]*PE_PULV_65[PE],"")</f>
        <v/>
      </c>
      <c r="AT190" s="124" t="str">
        <f>+IF(BD_MO[[#This Row],[N° DISP]]&lt;&gt;"",BD_MO[[#This Row],[SEMIGELATINA (N° CART.)]]*PE_SEMIGEL_65[PE],"")</f>
        <v/>
      </c>
      <c r="AU190" s="124" t="str">
        <f>+IF(BD_MO[N° VALE]&lt;&gt;"",BD_MO[[#This Row],[KG EXPLO SEMIGEL]]+BD_MO[[#This Row],[KG EXPLO PULVE]]+BD_MO[[#This Row],[KG EXPLO EMULN 3000]]+BD_MO[[#This Row],[KG EXPLO EMULN 1000]],"")</f>
        <v/>
      </c>
      <c r="AV190" s="120"/>
      <c r="AW190" s="120"/>
      <c r="AX190" s="120" t="str">
        <f>+IF(BD_MO[[#This Row],[MINERAL (U-35)]]&lt;&gt;"",BD_MO[[#This Row],[MINERAL (U-35)]]*1.45,"-")</f>
        <v>-</v>
      </c>
      <c r="AY190" s="120" t="str">
        <f>+IF(BD_MO[[#This Row],[DESMONTE (U-35)]]&lt;&gt;"",BD_MO[[#This Row],[DESMONTE (U-35)]]*1.23,"-")</f>
        <v>-</v>
      </c>
      <c r="AZ190" s="120"/>
      <c r="BA190" s="120"/>
      <c r="BB190" s="120"/>
      <c r="BC190" s="120"/>
      <c r="BD190" s="120"/>
      <c r="BE190" s="120"/>
      <c r="BF190" s="120"/>
      <c r="BG190" s="120"/>
      <c r="BH190" s="120"/>
      <c r="BI190" s="120"/>
      <c r="BJ190" s="120"/>
      <c r="BK190" s="120"/>
      <c r="BL190" s="120"/>
      <c r="BM190" s="120"/>
      <c r="BN190" s="119"/>
      <c r="BO190" s="120"/>
      <c r="BP190" s="120"/>
      <c r="BQ190" s="119"/>
      <c r="BR190" s="120"/>
      <c r="BS190" s="119"/>
      <c r="BT190" s="124"/>
      <c r="BU190" s="120"/>
      <c r="BV190" s="120"/>
      <c r="BW190" s="120"/>
      <c r="BX190" s="120"/>
      <c r="BY190" s="120"/>
      <c r="BZ190" s="120"/>
      <c r="CA190" s="120"/>
      <c r="CB190" s="120"/>
      <c r="CC190" s="120"/>
      <c r="CD190" s="120"/>
      <c r="CE190" s="120"/>
      <c r="CF190" s="120"/>
      <c r="CG190" s="120"/>
      <c r="CH190" s="120"/>
      <c r="CI190" s="120"/>
      <c r="CJ190" s="120"/>
      <c r="CK190" s="120"/>
      <c r="CL190" s="120"/>
      <c r="CM190" s="120"/>
      <c r="CN190" s="120"/>
      <c r="CO190" s="120"/>
      <c r="CP190" s="124">
        <f>+IF(BD_MO[[#This Row],[FECHA]]&lt;&gt;"",BD_MO[[#This Row],[PUNTAL 4"]]+BD_MO[[#This Row],[PUNTAL 5"]]+BD_MO[[#This Row],[PUNTAL 6"]]+BD_MO[[#This Row],[PUNTAL 7"]]+BD_MO[[#This Row],[PUNTAL 8"]],"")</f>
        <v>0</v>
      </c>
      <c r="CQ190" s="120"/>
      <c r="CR190" s="120"/>
      <c r="CS190" s="120"/>
      <c r="CT190" s="120"/>
      <c r="CU190" s="120"/>
      <c r="CV190" s="120"/>
      <c r="CW190" s="120"/>
      <c r="CX190" s="120"/>
      <c r="CY190" s="124"/>
      <c r="CZ190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90" s="124">
        <f>+IF(BD_MO[[#This Row],[FECHA]]&lt;&gt;"",BD_MO[[#This Row],[DURMIENTE2]]*6.561+BD_MO[[#This Row],[LISTONES]]*4.921+BD_MO[[#This Row],[TABLA 1"x8"x3m]]*6.561+BD_MO[[#This Row],[TABLA 2"x8"x3m]]*13.122,"")</f>
        <v>0</v>
      </c>
      <c r="DB190" s="124">
        <f>+IF(BD_MO[[#This Row],[FECHA]]&lt;&gt;"",BD_MO[[#This Row],[PIE2 MADERA ASERRADA]]*1.95,"")</f>
        <v>0</v>
      </c>
      <c r="DC190" s="124">
        <f>+IF(BD_MO[[#This Row],[FECHA]]&lt;&gt;"",BD_MO[[#This Row],[KG. MADERA REDONDA]]+BD_MO[[#This Row],[KG MADERA ASERRADA]],"")</f>
        <v>0</v>
      </c>
      <c r="DD190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90" s="120"/>
      <c r="DF190" s="120"/>
      <c r="DG190" s="120"/>
      <c r="DH190" s="120"/>
      <c r="DI190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90" s="128"/>
      <c r="DK190" s="128"/>
      <c r="DL190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90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90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90" s="129"/>
      <c r="DP190" s="128" t="str">
        <f>+IF(BD_MO[[#This Row],[M o D]]&lt;&gt;"",IF(BD_MO[[#This Row],[M o D]]="M",BD_MO[[#This Row],[ROTURA TMH]]/2.65,BD_MO[[#This Row],[ROTURA TMH]]/2.4),"")</f>
        <v/>
      </c>
      <c r="DQ190" s="128"/>
      <c r="DR190" s="116" t="str">
        <f>IF(BD_MO[[#This Row],[TIPO AVANCE]]="Avance",((BD_MO[[#This Row],[AVANCE (m)]]/BD_MO[[#This Row],[AVANCE TEÓRICO]]))," ")</f>
        <v xml:space="preserve"> </v>
      </c>
      <c r="DS190" s="113"/>
      <c r="DT190" s="113"/>
      <c r="DU190" s="113"/>
      <c r="DV190" s="113"/>
      <c r="DW190" s="113"/>
      <c r="DX190" s="114"/>
      <c r="DY190" s="114"/>
      <c r="DZ190" s="114"/>
    </row>
    <row r="191" spans="1:130" ht="18" customHeight="1" x14ac:dyDescent="0.25">
      <c r="A191" s="168">
        <v>44663</v>
      </c>
      <c r="B191" s="169" t="s">
        <v>10647</v>
      </c>
      <c r="C191" s="169" t="s">
        <v>10672</v>
      </c>
      <c r="D191" s="213" t="s">
        <v>12245</v>
      </c>
      <c r="E191" s="214" t="str">
        <f>LEFT(BD_MO[[#This Row],[LABOR]],2)</f>
        <v>Tj</v>
      </c>
      <c r="F191" s="215"/>
      <c r="G191" s="215" t="s">
        <v>10656</v>
      </c>
      <c r="H191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191" s="42" t="s">
        <v>12244</v>
      </c>
      <c r="J191" s="42" t="s">
        <v>10502</v>
      </c>
      <c r="K191" s="42" t="s">
        <v>12249</v>
      </c>
      <c r="L191" s="214"/>
      <c r="M191" s="216"/>
      <c r="N191" s="215"/>
      <c r="O191" s="93" t="s">
        <v>12196</v>
      </c>
      <c r="P191" s="93" t="s">
        <v>12207</v>
      </c>
      <c r="Q191" s="173"/>
      <c r="R191" s="217"/>
      <c r="S191" s="218" t="str">
        <f>IFERROR(VLOOKUP(BD_MO[DNI 4],#REF!,2,FALSE)," ")</f>
        <v xml:space="preserve"> </v>
      </c>
      <c r="T191" s="219">
        <f>+IF(BD_MO[[#This Row],[FECHA]]&lt;&gt;"",COUNTA(BD_MO[[#This Row],[DNI]],BD_MO[[#This Row],[DNI 2]],BD_MO[[#This Row],[DNI 3]],BD_MO[[#This Row],[DNI 4]]),"")</f>
        <v>2</v>
      </c>
      <c r="U191" s="219">
        <v>1.04</v>
      </c>
      <c r="V191" s="219"/>
      <c r="W191" s="219">
        <v>0.48</v>
      </c>
      <c r="X191" s="219">
        <v>0.48</v>
      </c>
      <c r="Y191" s="177">
        <f>SUM(BD_MO[[#This Row],[LIMP]:[SERV]])</f>
        <v>2</v>
      </c>
      <c r="Z191" s="215"/>
      <c r="AA191" s="215" t="str">
        <f>+IF(BD_MO[[#This Row],[N° VALE]]&lt;&gt;"",1,"")</f>
        <v/>
      </c>
      <c r="AB191" s="169"/>
      <c r="AC191" s="215"/>
      <c r="AD191" s="215" t="str">
        <f>+IF(BD_MO[[#This Row],[N° VALE]]&lt;&gt;"",BD_MO[[#This Row],[FULMINANTE N° 08]]+BD_MO[CARMEX 7''],"")</f>
        <v/>
      </c>
      <c r="AE191" s="215"/>
      <c r="AF191" s="215" t="str">
        <f>+IF(BD_MO[[#This Row],[N° VALE]]&lt;&gt;"",BD_MO[[#This Row],[N° TALADROS]]+BD_MO[[#This Row],[N° TAL. VACIOS]],"")</f>
        <v/>
      </c>
      <c r="AG191" s="220"/>
      <c r="AH191" s="220"/>
      <c r="AI191" s="220"/>
      <c r="AJ191" s="220"/>
      <c r="AK191" s="220"/>
      <c r="AL191" s="220"/>
      <c r="AM191" s="214"/>
      <c r="AN191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91" s="215" t="str">
        <f>+IF(BD_MO[[#This Row],[N° VALE]]&lt;&gt;"",IF(BD_MO[[#This Row],[FULMINANTE N° 08]]&lt;&gt;"",BD_MO[[#This Row],[FULMINANTE N° 08]],IF(BD_MO[[#This Row],[CARMEX 7'']]&lt;&gt;0,0,"")),"")</f>
        <v/>
      </c>
      <c r="AP191" s="219" t="str">
        <f>+IF(BD_MO[[#This Row],[N° VALE]]&lt;&gt;"",BD_MO[[#This Row],[N°  TOTAL TALADROS]]*BD_MO[[#This Row],[BARRA]]*0.95,"")</f>
        <v/>
      </c>
      <c r="AQ191" s="219" t="str">
        <f>+IF(BD_MO[[#This Row],[N° VALE]]&lt;&gt;"",BD_MO[[#This Row],[EMULNOR 1000 (N° CART.)]]*PE_EMUL_1000[PE],"")</f>
        <v/>
      </c>
      <c r="AR191" s="219" t="str">
        <f>+IF(BD_MO[[#This Row],[N° VALE]]&lt;&gt;"",BD_MO[[#This Row],[EMULNOR 3000 (N° CART.)]]*PE_EMUL_3000[PE],"")</f>
        <v/>
      </c>
      <c r="AS191" s="219" t="str">
        <f>+IF(BD_MO[[#This Row],[N° VALE]]&lt;&gt;"",BD_MO[[#This Row],[PULVERULENTA (N° CART.)]]*PE_PULV_65[PE],"")</f>
        <v/>
      </c>
      <c r="AT191" s="219" t="str">
        <f>+IF(BD_MO[[#This Row],[N° DISP]]&lt;&gt;"",BD_MO[[#This Row],[SEMIGELATINA (N° CART.)]]*PE_SEMIGEL_65[PE],"")</f>
        <v/>
      </c>
      <c r="AU191" s="219" t="str">
        <f>+IF(BD_MO[N° VALE]&lt;&gt;"",BD_MO[[#This Row],[KG EXPLO SEMIGEL]]+BD_MO[[#This Row],[KG EXPLO PULVE]]+BD_MO[[#This Row],[KG EXPLO EMULN 3000]]+BD_MO[[#This Row],[KG EXPLO EMULN 1000]],"")</f>
        <v/>
      </c>
      <c r="AV191" s="215">
        <v>6</v>
      </c>
      <c r="AW191" s="215"/>
      <c r="AX191" s="215">
        <f>+IF(BD_MO[[#This Row],[MINERAL (U-35)]]&lt;&gt;"",BD_MO[[#This Row],[MINERAL (U-35)]]*1.45,"-")</f>
        <v>8.6999999999999993</v>
      </c>
      <c r="AY191" s="215" t="str">
        <f>+IF(BD_MO[[#This Row],[DESMONTE (U-35)]]&lt;&gt;"",BD_MO[[#This Row],[DESMONTE (U-35)]]*1.23,"-")</f>
        <v>-</v>
      </c>
      <c r="AZ191" s="215"/>
      <c r="BA191" s="215"/>
      <c r="BB191" s="215"/>
      <c r="BC191" s="215"/>
      <c r="BD191" s="215"/>
      <c r="BE191" s="215"/>
      <c r="BF191" s="215"/>
      <c r="BG191" s="215"/>
      <c r="BH191" s="215"/>
      <c r="BI191" s="215"/>
      <c r="BJ191" s="215"/>
      <c r="BK191" s="215"/>
      <c r="BL191" s="215"/>
      <c r="BM191" s="215"/>
      <c r="BN191" s="214"/>
      <c r="BO191" s="215"/>
      <c r="BP191" s="215"/>
      <c r="BQ191" s="214">
        <v>3</v>
      </c>
      <c r="BR191" s="215"/>
      <c r="BS191" s="214"/>
      <c r="BT191" s="219"/>
      <c r="BU191" s="215"/>
      <c r="BV191" s="215"/>
      <c r="BW191" s="215"/>
      <c r="BX191" s="215"/>
      <c r="BY191" s="215"/>
      <c r="BZ191" s="215"/>
      <c r="CA191" s="215"/>
      <c r="CB191" s="215"/>
      <c r="CC191" s="215"/>
      <c r="CD191" s="215"/>
      <c r="CE191" s="215"/>
      <c r="CF191" s="215"/>
      <c r="CG191" s="215"/>
      <c r="CH191" s="215"/>
      <c r="CI191" s="215"/>
      <c r="CJ191" s="215"/>
      <c r="CK191" s="215"/>
      <c r="CL191" s="215"/>
      <c r="CM191" s="215"/>
      <c r="CN191" s="215"/>
      <c r="CO191" s="215"/>
      <c r="CP191" s="219">
        <f>+IF(BD_MO[[#This Row],[FECHA]]&lt;&gt;"",BD_MO[[#This Row],[PUNTAL 4"]]+BD_MO[[#This Row],[PUNTAL 5"]]+BD_MO[[#This Row],[PUNTAL 6"]]+BD_MO[[#This Row],[PUNTAL 7"]]+BD_MO[[#This Row],[PUNTAL 8"]],"")</f>
        <v>0</v>
      </c>
      <c r="CQ191" s="215"/>
      <c r="CR191" s="215"/>
      <c r="CS191" s="215">
        <v>5</v>
      </c>
      <c r="CT191" s="215"/>
      <c r="CU191" s="215"/>
      <c r="CV191" s="215"/>
      <c r="CW191" s="215"/>
      <c r="CX191" s="215"/>
      <c r="CY191" s="219"/>
      <c r="CZ191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123</v>
      </c>
      <c r="DA191" s="219">
        <f>+IF(BD_MO[[#This Row],[FECHA]]&lt;&gt;"",BD_MO[[#This Row],[DURMIENTE2]]*6.561+BD_MO[[#This Row],[LISTONES]]*4.921+BD_MO[[#This Row],[TABLA 1"x8"x3m]]*6.561+BD_MO[[#This Row],[TABLA 2"x8"x3m]]*13.122,"")</f>
        <v>0</v>
      </c>
      <c r="DB191" s="219">
        <f>+IF(BD_MO[[#This Row],[FECHA]]&lt;&gt;"",BD_MO[[#This Row],[PIE2 MADERA ASERRADA]]*1.95,"")</f>
        <v>0</v>
      </c>
      <c r="DC191" s="219">
        <f>+IF(BD_MO[[#This Row],[FECHA]]&lt;&gt;"",BD_MO[[#This Row],[KG. MADERA REDONDA]]+BD_MO[[#This Row],[KG MADERA ASERRADA]],"")</f>
        <v>123</v>
      </c>
      <c r="DD191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61.449999999999996</v>
      </c>
      <c r="DE191" s="215"/>
      <c r="DF191" s="215"/>
      <c r="DG191" s="215"/>
      <c r="DH191" s="215"/>
      <c r="DI191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91" s="222"/>
      <c r="DK191" s="222"/>
      <c r="DL191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91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91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91" s="197"/>
      <c r="DP191" s="222" t="str">
        <f>+IF(BD_MO[[#This Row],[M o D]]&lt;&gt;"",IF(BD_MO[[#This Row],[M o D]]="M",BD_MO[[#This Row],[ROTURA TMH]]/2.65,BD_MO[[#This Row],[ROTURA TMH]]/2.4),"")</f>
        <v/>
      </c>
      <c r="DQ191" s="222"/>
      <c r="DR191" s="116" t="str">
        <f>IF(BD_MO[[#This Row],[TIPO AVANCE]]="Avance",((BD_MO[[#This Row],[AVANCE (m)]]/BD_MO[[#This Row],[AVANCE TEÓRICO]]))," ")</f>
        <v xml:space="preserve"> </v>
      </c>
    </row>
    <row r="192" spans="1:130" ht="18" customHeight="1" x14ac:dyDescent="0.25">
      <c r="A192" s="168">
        <v>44663</v>
      </c>
      <c r="B192" s="169" t="s">
        <v>10647</v>
      </c>
      <c r="C192" s="169" t="s">
        <v>10672</v>
      </c>
      <c r="D192" s="213" t="s">
        <v>12164</v>
      </c>
      <c r="E192" s="214" t="str">
        <f>LEFT(BD_MO[[#This Row],[LABOR]],2)</f>
        <v>Tj</v>
      </c>
      <c r="F192" s="215"/>
      <c r="G192" s="46" t="s">
        <v>10656</v>
      </c>
      <c r="H192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192" s="214" t="str">
        <f>IF(BD_MO[FECHA]&lt;&gt;"",VLOOKUP(BD_MO[LABOR],TB_CECO[[LABOR]:[CECO_T]],3,FALSE),"")</f>
        <v>VANESSA</v>
      </c>
      <c r="J192" s="214" t="str">
        <f>IF(BD_MO[FECHA]&lt;&gt;"",VLOOKUP(BD_MO[LABOR],D_CECO!B:H,7,FALSE),"")</f>
        <v>TAJO</v>
      </c>
      <c r="K192" s="214" t="str">
        <f>IF(BD_MO[FECHA]&lt;&gt;"",VLOOKUP(BD_MO[LABOR],D_CECO!B:H,4,FALSE),"")</f>
        <v>EXPLOTACION</v>
      </c>
      <c r="L192" s="214"/>
      <c r="M192" s="216"/>
      <c r="N192" s="215"/>
      <c r="O192" s="93" t="s">
        <v>12194</v>
      </c>
      <c r="P192" s="93" t="s">
        <v>12195</v>
      </c>
      <c r="Q192" s="173"/>
      <c r="R192" s="217"/>
      <c r="S192" s="218" t="str">
        <f>IFERROR(VLOOKUP(BD_MO[DNI 4],#REF!,2,FALSE)," ")</f>
        <v xml:space="preserve"> </v>
      </c>
      <c r="T192" s="219">
        <f>+IF(BD_MO[[#This Row],[FECHA]]&lt;&gt;"",COUNTA(BD_MO[[#This Row],[DNI]],BD_MO[[#This Row],[DNI 2]],BD_MO[[#This Row],[DNI 3]],BD_MO[[#This Row],[DNI 4]]),"")</f>
        <v>2</v>
      </c>
      <c r="U192" s="219">
        <v>1.04</v>
      </c>
      <c r="V192" s="219"/>
      <c r="W192" s="219">
        <v>0.38</v>
      </c>
      <c r="X192" s="219">
        <v>0.57999999999999996</v>
      </c>
      <c r="Y192" s="177">
        <f>SUM(BD_MO[[#This Row],[LIMP]:[SERV]])</f>
        <v>2</v>
      </c>
      <c r="Z192" s="215"/>
      <c r="AA192" s="215" t="str">
        <f>+IF(BD_MO[[#This Row],[N° VALE]]&lt;&gt;"",1,"")</f>
        <v/>
      </c>
      <c r="AB192" s="169"/>
      <c r="AC192" s="215"/>
      <c r="AD192" s="215" t="str">
        <f>+IF(BD_MO[[#This Row],[N° VALE]]&lt;&gt;"",BD_MO[[#This Row],[FULMINANTE N° 08]]+BD_MO[CARMEX 7''],"")</f>
        <v/>
      </c>
      <c r="AE192" s="215"/>
      <c r="AF192" s="215" t="str">
        <f>+IF(BD_MO[[#This Row],[N° VALE]]&lt;&gt;"",BD_MO[[#This Row],[N° TALADROS]]+BD_MO[[#This Row],[N° TAL. VACIOS]],"")</f>
        <v/>
      </c>
      <c r="AG192" s="220"/>
      <c r="AH192" s="220"/>
      <c r="AI192" s="220"/>
      <c r="AJ192" s="220"/>
      <c r="AK192" s="220"/>
      <c r="AL192" s="220"/>
      <c r="AM192" s="214"/>
      <c r="AN192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92" s="215" t="str">
        <f>+IF(BD_MO[[#This Row],[N° VALE]]&lt;&gt;"",IF(BD_MO[[#This Row],[FULMINANTE N° 08]]&lt;&gt;"",BD_MO[[#This Row],[FULMINANTE N° 08]],IF(BD_MO[[#This Row],[CARMEX 7'']]&lt;&gt;0,0,"")),"")</f>
        <v/>
      </c>
      <c r="AP192" s="219" t="str">
        <f>+IF(BD_MO[[#This Row],[N° VALE]]&lt;&gt;"",BD_MO[[#This Row],[N°  TOTAL TALADROS]]*BD_MO[[#This Row],[BARRA]]*0.95,"")</f>
        <v/>
      </c>
      <c r="AQ192" s="219" t="str">
        <f>+IF(BD_MO[[#This Row],[N° VALE]]&lt;&gt;"",BD_MO[[#This Row],[EMULNOR 1000 (N° CART.)]]*PE_EMUL_1000[PE],"")</f>
        <v/>
      </c>
      <c r="AR192" s="219" t="str">
        <f>+IF(BD_MO[[#This Row],[N° VALE]]&lt;&gt;"",BD_MO[[#This Row],[EMULNOR 3000 (N° CART.)]]*PE_EMUL_3000[PE],"")</f>
        <v/>
      </c>
      <c r="AS192" s="219" t="str">
        <f>+IF(BD_MO[[#This Row],[N° VALE]]&lt;&gt;"",BD_MO[[#This Row],[PULVERULENTA (N° CART.)]]*PE_PULV_65[PE],"")</f>
        <v/>
      </c>
      <c r="AT192" s="219" t="str">
        <f>+IF(BD_MO[[#This Row],[N° DISP]]&lt;&gt;"",BD_MO[[#This Row],[SEMIGELATINA (N° CART.)]]*PE_SEMIGEL_65[PE],"")</f>
        <v/>
      </c>
      <c r="AU192" s="219" t="str">
        <f>+IF(BD_MO[N° VALE]&lt;&gt;"",BD_MO[[#This Row],[KG EXPLO SEMIGEL]]+BD_MO[[#This Row],[KG EXPLO PULVE]]+BD_MO[[#This Row],[KG EXPLO EMULN 3000]]+BD_MO[[#This Row],[KG EXPLO EMULN 1000]],"")</f>
        <v/>
      </c>
      <c r="AV192" s="215">
        <v>5</v>
      </c>
      <c r="AW192" s="215"/>
      <c r="AX192" s="215">
        <f>+IF(BD_MO[[#This Row],[MINERAL (U-35)]]&lt;&gt;"",BD_MO[[#This Row],[MINERAL (U-35)]]*1.45,"-")</f>
        <v>7.25</v>
      </c>
      <c r="AY192" s="215" t="str">
        <f>+IF(BD_MO[[#This Row],[DESMONTE (U-35)]]&lt;&gt;"",BD_MO[[#This Row],[DESMONTE (U-35)]]*1.23,"-")</f>
        <v>-</v>
      </c>
      <c r="AZ192" s="215"/>
      <c r="BA192" s="215"/>
      <c r="BB192" s="215"/>
      <c r="BC192" s="215"/>
      <c r="BD192" s="215"/>
      <c r="BE192" s="215"/>
      <c r="BF192" s="215"/>
      <c r="BG192" s="215"/>
      <c r="BH192" s="215"/>
      <c r="BI192" s="215"/>
      <c r="BJ192" s="215"/>
      <c r="BK192" s="215"/>
      <c r="BL192" s="215"/>
      <c r="BM192" s="215"/>
      <c r="BN192" s="214">
        <v>3.6</v>
      </c>
      <c r="BO192" s="215"/>
      <c r="BP192" s="215"/>
      <c r="BQ192" s="214"/>
      <c r="BR192" s="215"/>
      <c r="BS192" s="214"/>
      <c r="BT192" s="219"/>
      <c r="BU192" s="215"/>
      <c r="BV192" s="215"/>
      <c r="BW192" s="215"/>
      <c r="BX192" s="215"/>
      <c r="BY192" s="215"/>
      <c r="BZ192" s="215"/>
      <c r="CA192" s="215"/>
      <c r="CB192" s="215"/>
      <c r="CC192" s="215"/>
      <c r="CD192" s="215"/>
      <c r="CE192" s="215"/>
      <c r="CF192" s="215"/>
      <c r="CG192" s="215"/>
      <c r="CH192" s="215"/>
      <c r="CI192" s="215"/>
      <c r="CJ192" s="215"/>
      <c r="CK192" s="215"/>
      <c r="CL192" s="215"/>
      <c r="CM192" s="215"/>
      <c r="CN192" s="215"/>
      <c r="CO192" s="215"/>
      <c r="CP192" s="219">
        <f>+IF(BD_MO[[#This Row],[FECHA]]&lt;&gt;"",BD_MO[[#This Row],[PUNTAL 4"]]+BD_MO[[#This Row],[PUNTAL 5"]]+BD_MO[[#This Row],[PUNTAL 6"]]+BD_MO[[#This Row],[PUNTAL 7"]]+BD_MO[[#This Row],[PUNTAL 8"]],"")</f>
        <v>0</v>
      </c>
      <c r="CQ192" s="215"/>
      <c r="CR192" s="215"/>
      <c r="CS192" s="215"/>
      <c r="CT192" s="215"/>
      <c r="CU192" s="215"/>
      <c r="CV192" s="215"/>
      <c r="CW192" s="215"/>
      <c r="CX192" s="215">
        <v>5</v>
      </c>
      <c r="CY192" s="219"/>
      <c r="CZ192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92" s="219">
        <f>+IF(BD_MO[[#This Row],[FECHA]]&lt;&gt;"",BD_MO[[#This Row],[DURMIENTE2]]*6.561+BD_MO[[#This Row],[LISTONES]]*4.921+BD_MO[[#This Row],[TABLA 1"x8"x3m]]*6.561+BD_MO[[#This Row],[TABLA 2"x8"x3m]]*13.122,"")</f>
        <v>65.61</v>
      </c>
      <c r="DB192" s="219">
        <f>+IF(BD_MO[[#This Row],[FECHA]]&lt;&gt;"",BD_MO[[#This Row],[PIE2 MADERA ASERRADA]]*1.95,"")</f>
        <v>127.9395</v>
      </c>
      <c r="DC192" s="219">
        <f>+IF(BD_MO[[#This Row],[FECHA]]&lt;&gt;"",BD_MO[[#This Row],[KG. MADERA REDONDA]]+BD_MO[[#This Row],[KG MADERA ASERRADA]],"")</f>
        <v>127.9395</v>
      </c>
      <c r="DD192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76.100000000000009</v>
      </c>
      <c r="DE192" s="215"/>
      <c r="DF192" s="215"/>
      <c r="DG192" s="215"/>
      <c r="DH192" s="215"/>
      <c r="DI192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92" s="222"/>
      <c r="DK192" s="222"/>
      <c r="DL192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92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92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92" s="197"/>
      <c r="DP192" s="222" t="str">
        <f>+IF(BD_MO[[#This Row],[M o D]]&lt;&gt;"",IF(BD_MO[[#This Row],[M o D]]="M",BD_MO[[#This Row],[ROTURA TMH]]/2.65,BD_MO[[#This Row],[ROTURA TMH]]/2.4),"")</f>
        <v/>
      </c>
      <c r="DQ192" s="222"/>
      <c r="DR192" s="116" t="str">
        <f>IF(BD_MO[[#This Row],[TIPO AVANCE]]="Avance",((BD_MO[[#This Row],[AVANCE (m)]]/BD_MO[[#This Row],[AVANCE TEÓRICO]]))," ")</f>
        <v xml:space="preserve"> </v>
      </c>
    </row>
    <row r="193" spans="1:130" ht="18" customHeight="1" x14ac:dyDescent="0.25">
      <c r="A193" s="168">
        <v>44663</v>
      </c>
      <c r="B193" s="169" t="s">
        <v>10647</v>
      </c>
      <c r="C193" s="169" t="s">
        <v>10672</v>
      </c>
      <c r="D193" s="61" t="s">
        <v>12248</v>
      </c>
      <c r="E193" s="214" t="str">
        <f>LEFT(BD_MO[[#This Row],[LABOR]],2)</f>
        <v>Sn</v>
      </c>
      <c r="F193" s="46" t="s">
        <v>10950</v>
      </c>
      <c r="G193" s="46" t="s">
        <v>10648</v>
      </c>
      <c r="H193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93" s="42" t="s">
        <v>12246</v>
      </c>
      <c r="J193" s="42" t="s">
        <v>10525</v>
      </c>
      <c r="K193" s="42" t="s">
        <v>12247</v>
      </c>
      <c r="L193" s="214"/>
      <c r="M193" s="216" t="s">
        <v>10646</v>
      </c>
      <c r="N193" s="215"/>
      <c r="O193" s="93" t="s">
        <v>12192</v>
      </c>
      <c r="P193" s="93"/>
      <c r="Q193" s="173"/>
      <c r="R193" s="217"/>
      <c r="S193" s="218" t="str">
        <f>IFERROR(VLOOKUP(BD_MO[DNI 4],#REF!,2,FALSE)," ")</f>
        <v xml:space="preserve"> </v>
      </c>
      <c r="T193" s="219">
        <f>+IF(BD_MO[[#This Row],[FECHA]]&lt;&gt;"",COUNTA(BD_MO[[#This Row],[DNI]],BD_MO[[#This Row],[DNI 2]],BD_MO[[#This Row],[DNI 3]],BD_MO[[#This Row],[DNI 4]]),"")</f>
        <v>1</v>
      </c>
      <c r="U193" s="219">
        <v>0.76</v>
      </c>
      <c r="V193" s="219"/>
      <c r="W193" s="219">
        <v>0.38</v>
      </c>
      <c r="X193" s="219">
        <v>0.57999999999999996</v>
      </c>
      <c r="Y193" s="177">
        <f>SUM(BD_MO[[#This Row],[LIMP]:[SERV]])</f>
        <v>1.7200000000000002</v>
      </c>
      <c r="Z193" s="46" t="s">
        <v>12250</v>
      </c>
      <c r="AA193" s="215">
        <f>+IF(BD_MO[[#This Row],[N° VALE]]&lt;&gt;"",1,"")</f>
        <v>1</v>
      </c>
      <c r="AB193" s="169" t="s">
        <v>10709</v>
      </c>
      <c r="AC193" s="215">
        <v>4</v>
      </c>
      <c r="AD193" s="215">
        <f>+IF(BD_MO[[#This Row],[N° VALE]]&lt;&gt;"",BD_MO[[#This Row],[FULMINANTE N° 08]]+BD_MO[CARMEX 7''],"")</f>
        <v>20</v>
      </c>
      <c r="AE193" s="215"/>
      <c r="AF193" s="215">
        <f>+IF(BD_MO[[#This Row],[N° VALE]]&lt;&gt;"",BD_MO[[#This Row],[N° TALADROS]]+BD_MO[[#This Row],[N° TAL. VACIOS]],"")</f>
        <v>20</v>
      </c>
      <c r="AG193" s="220">
        <v>50</v>
      </c>
      <c r="AH193" s="220">
        <v>40</v>
      </c>
      <c r="AI193" s="220"/>
      <c r="AJ193" s="220"/>
      <c r="AK193" s="220">
        <v>20</v>
      </c>
      <c r="AL193" s="220">
        <v>5</v>
      </c>
      <c r="AM193" s="214"/>
      <c r="AN193" s="21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93" s="215">
        <f>+IF(BD_MO[[#This Row],[N° VALE]]&lt;&gt;"",IF(BD_MO[[#This Row],[FULMINANTE N° 08]]&lt;&gt;"",BD_MO[[#This Row],[FULMINANTE N° 08]],IF(BD_MO[[#This Row],[CARMEX 7'']]&lt;&gt;0,0,"")),"")</f>
        <v>0</v>
      </c>
      <c r="AP193" s="219">
        <f>+IF(BD_MO[[#This Row],[N° VALE]]&lt;&gt;"",BD_MO[[#This Row],[N°  TOTAL TALADROS]]*BD_MO[[#This Row],[BARRA]]*0.95,"")</f>
        <v>76</v>
      </c>
      <c r="AQ193" s="219">
        <f>+IF(BD_MO[[#This Row],[N° VALE]]&lt;&gt;"",BD_MO[[#This Row],[EMULNOR 1000 (N° CART.)]]*PE_EMUL_1000[PE],"")</f>
        <v>3.7880000000000003</v>
      </c>
      <c r="AR193" s="219">
        <f>+IF(BD_MO[[#This Row],[N° VALE]]&lt;&gt;"",BD_MO[[#This Row],[EMULNOR 3000 (N° CART.)]]*PE_EMUL_3000[PE],"")</f>
        <v>4.8076923076923102</v>
      </c>
      <c r="AS193" s="219">
        <f>+IF(BD_MO[[#This Row],[N° VALE]]&lt;&gt;"",BD_MO[[#This Row],[PULVERULENTA (N° CART.)]]*PE_PULV_65[PE],"")</f>
        <v>0</v>
      </c>
      <c r="AT193" s="219">
        <f>+IF(BD_MO[[#This Row],[N° DISP]]&lt;&gt;"",BD_MO[[#This Row],[SEMIGELATINA (N° CART.)]]*PE_SEMIGEL_65[PE],"")</f>
        <v>0</v>
      </c>
      <c r="AU193" s="219">
        <f>+IF(BD_MO[N° VALE]&lt;&gt;"",BD_MO[[#This Row],[KG EXPLO SEMIGEL]]+BD_MO[[#This Row],[KG EXPLO PULVE]]+BD_MO[[#This Row],[KG EXPLO EMULN 3000]]+BD_MO[[#This Row],[KG EXPLO EMULN 1000]],"")</f>
        <v>8.5956923076923104</v>
      </c>
      <c r="AV193" s="215">
        <v>6</v>
      </c>
      <c r="AW193" s="215"/>
      <c r="AX193" s="215">
        <f>+IF(BD_MO[[#This Row],[MINERAL (U-35)]]&lt;&gt;"",BD_MO[[#This Row],[MINERAL (U-35)]]*1.45,"-")</f>
        <v>8.6999999999999993</v>
      </c>
      <c r="AY193" s="215" t="str">
        <f>+IF(BD_MO[[#This Row],[DESMONTE (U-35)]]&lt;&gt;"",BD_MO[[#This Row],[DESMONTE (U-35)]]*1.23,"-")</f>
        <v>-</v>
      </c>
      <c r="AZ193" s="215"/>
      <c r="BA193" s="215"/>
      <c r="BB193" s="215"/>
      <c r="BC193" s="215"/>
      <c r="BD193" s="215"/>
      <c r="BE193" s="215"/>
      <c r="BF193" s="215"/>
      <c r="BG193" s="215"/>
      <c r="BH193" s="215"/>
      <c r="BI193" s="215"/>
      <c r="BJ193" s="215"/>
      <c r="BK193" s="215"/>
      <c r="BL193" s="215"/>
      <c r="BM193" s="215"/>
      <c r="BN193" s="214"/>
      <c r="BO193" s="215"/>
      <c r="BP193" s="215"/>
      <c r="BQ193" s="214"/>
      <c r="BR193" s="215"/>
      <c r="BS193" s="214"/>
      <c r="BT193" s="219"/>
      <c r="BU193" s="215"/>
      <c r="BV193" s="215">
        <v>4</v>
      </c>
      <c r="BW193" s="215">
        <v>5</v>
      </c>
      <c r="BX193" s="215"/>
      <c r="BY193" s="215"/>
      <c r="BZ193" s="215"/>
      <c r="CA193" s="215"/>
      <c r="CB193" s="215"/>
      <c r="CC193" s="215">
        <v>6</v>
      </c>
      <c r="CD193" s="215"/>
      <c r="CE193" s="215"/>
      <c r="CF193" s="215"/>
      <c r="CG193" s="215"/>
      <c r="CH193" s="215"/>
      <c r="CI193" s="215"/>
      <c r="CJ193" s="215"/>
      <c r="CK193" s="215"/>
      <c r="CL193" s="215"/>
      <c r="CM193" s="215"/>
      <c r="CN193" s="215"/>
      <c r="CO193" s="215"/>
      <c r="CP193" s="219">
        <f>+IF(BD_MO[[#This Row],[FECHA]]&lt;&gt;"",BD_MO[[#This Row],[PUNTAL 4"]]+BD_MO[[#This Row],[PUNTAL 5"]]+BD_MO[[#This Row],[PUNTAL 6"]]+BD_MO[[#This Row],[PUNTAL 7"]]+BD_MO[[#This Row],[PUNTAL 8"]],"")</f>
        <v>0</v>
      </c>
      <c r="CQ193" s="215"/>
      <c r="CR193" s="215"/>
      <c r="CS193" s="215"/>
      <c r="CT193" s="215"/>
      <c r="CU193" s="215"/>
      <c r="CV193" s="215"/>
      <c r="CW193" s="215"/>
      <c r="CX193" s="215"/>
      <c r="CY193" s="219"/>
      <c r="CZ193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93" s="219">
        <f>+IF(BD_MO[[#This Row],[FECHA]]&lt;&gt;"",BD_MO[[#This Row],[DURMIENTE2]]*6.561+BD_MO[[#This Row],[LISTONES]]*4.921+BD_MO[[#This Row],[TABLA 1"x8"x3m]]*6.561+BD_MO[[#This Row],[TABLA 2"x8"x3m]]*13.122,"")</f>
        <v>0</v>
      </c>
      <c r="DB193" s="219">
        <f>+IF(BD_MO[[#This Row],[FECHA]]&lt;&gt;"",BD_MO[[#This Row],[PIE2 MADERA ASERRADA]]*1.95,"")</f>
        <v>0</v>
      </c>
      <c r="DC193" s="219">
        <f>+IF(BD_MO[[#This Row],[FECHA]]&lt;&gt;"",BD_MO[[#This Row],[KG. MADERA REDONDA]]+BD_MO[[#This Row],[KG MADERA ASERRADA]],"")</f>
        <v>0</v>
      </c>
      <c r="DD193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93" s="215"/>
      <c r="DF193" s="215"/>
      <c r="DG193" s="215"/>
      <c r="DH193" s="215"/>
      <c r="DI193" s="222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193" s="222"/>
      <c r="DK193" s="222"/>
      <c r="DL193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93" s="222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193" s="222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93" s="197">
        <v>28.31</v>
      </c>
      <c r="DP193" s="222">
        <f>+IF(BD_MO[[#This Row],[M o D]]&lt;&gt;"",IF(BD_MO[[#This Row],[M o D]]="M",BD_MO[[#This Row],[ROTURA TMH]]/2.65,BD_MO[[#This Row],[ROTURA TMH]]/2.4),"")</f>
        <v>10.683018867924527</v>
      </c>
      <c r="DQ193" s="222">
        <v>2</v>
      </c>
      <c r="DR193" s="116">
        <f>IF(BD_MO[[#This Row],[TIPO AVANCE]]="Avance",((BD_MO[[#This Row],[AVANCE (m)]]/BD_MO[[#This Row],[AVANCE TEÓRICO]]))," ")</f>
        <v>1.8518518518518516</v>
      </c>
    </row>
    <row r="194" spans="1:130" ht="18" customHeight="1" x14ac:dyDescent="0.25">
      <c r="A194" s="168">
        <v>44663</v>
      </c>
      <c r="B194" s="169" t="s">
        <v>10647</v>
      </c>
      <c r="C194" s="169" t="s">
        <v>10672</v>
      </c>
      <c r="D194" s="61" t="s">
        <v>12248</v>
      </c>
      <c r="E194" s="214" t="str">
        <f>LEFT(BD_MO[[#This Row],[LABOR]],2)</f>
        <v>Sn</v>
      </c>
      <c r="F194" s="46" t="s">
        <v>10950</v>
      </c>
      <c r="G194" s="46" t="s">
        <v>10648</v>
      </c>
      <c r="H194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94" s="42" t="s">
        <v>12246</v>
      </c>
      <c r="J194" s="42" t="s">
        <v>10525</v>
      </c>
      <c r="K194" s="42" t="s">
        <v>12247</v>
      </c>
      <c r="L194" s="214"/>
      <c r="M194" s="216" t="s">
        <v>10646</v>
      </c>
      <c r="N194" s="215"/>
      <c r="O194" s="173" t="s">
        <v>12205</v>
      </c>
      <c r="P194" s="173"/>
      <c r="Q194" s="173"/>
      <c r="R194" s="217"/>
      <c r="S194" s="218" t="str">
        <f>IFERROR(VLOOKUP(BD_MO[DNI 4],#REF!,2,FALSE)," ")</f>
        <v xml:space="preserve"> </v>
      </c>
      <c r="T194" s="219">
        <f>+IF(BD_MO[[#This Row],[FECHA]]&lt;&gt;"",COUNTA(BD_MO[[#This Row],[DNI]],BD_MO[[#This Row],[DNI 2]],BD_MO[[#This Row],[DNI 3]],BD_MO[[#This Row],[DNI 4]]),"")</f>
        <v>1</v>
      </c>
      <c r="U194" s="219"/>
      <c r="V194" s="219"/>
      <c r="W194" s="219"/>
      <c r="X194" s="219">
        <v>1</v>
      </c>
      <c r="Y194" s="177">
        <f>SUM(BD_MO[[#This Row],[LIMP]:[SERV]])</f>
        <v>1</v>
      </c>
      <c r="Z194" s="46" t="s">
        <v>12251</v>
      </c>
      <c r="AA194" s="215">
        <f>+IF(BD_MO[[#This Row],[N° VALE]]&lt;&gt;"",1,"")</f>
        <v>1</v>
      </c>
      <c r="AB194" s="169" t="s">
        <v>10709</v>
      </c>
      <c r="AC194" s="215">
        <v>4</v>
      </c>
      <c r="AD194" s="215">
        <f>+IF(BD_MO[[#This Row],[N° VALE]]&lt;&gt;"",BD_MO[[#This Row],[FULMINANTE N° 08]]+BD_MO[CARMEX 7''],"")</f>
        <v>20</v>
      </c>
      <c r="AE194" s="215"/>
      <c r="AF194" s="215">
        <f>+IF(BD_MO[[#This Row],[N° VALE]]&lt;&gt;"",BD_MO[[#This Row],[N° TALADROS]]+BD_MO[[#This Row],[N° TAL. VACIOS]],"")</f>
        <v>20</v>
      </c>
      <c r="AG194" s="220">
        <v>50</v>
      </c>
      <c r="AH194" s="220">
        <v>40</v>
      </c>
      <c r="AI194" s="220"/>
      <c r="AJ194" s="220"/>
      <c r="AK194" s="220">
        <v>20</v>
      </c>
      <c r="AL194" s="220">
        <v>5</v>
      </c>
      <c r="AM194" s="214"/>
      <c r="AN194" s="21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94" s="215">
        <f>+IF(BD_MO[[#This Row],[N° VALE]]&lt;&gt;"",IF(BD_MO[[#This Row],[FULMINANTE N° 08]]&lt;&gt;"",BD_MO[[#This Row],[FULMINANTE N° 08]],IF(BD_MO[[#This Row],[CARMEX 7'']]&lt;&gt;0,0,"")),"")</f>
        <v>0</v>
      </c>
      <c r="AP194" s="219">
        <f>+IF(BD_MO[[#This Row],[N° VALE]]&lt;&gt;"",BD_MO[[#This Row],[N°  TOTAL TALADROS]]*BD_MO[[#This Row],[BARRA]]*0.95,"")</f>
        <v>76</v>
      </c>
      <c r="AQ194" s="219">
        <f>+IF(BD_MO[[#This Row],[N° VALE]]&lt;&gt;"",BD_MO[[#This Row],[EMULNOR 1000 (N° CART.)]]*PE_EMUL_1000[PE],"")</f>
        <v>3.7880000000000003</v>
      </c>
      <c r="AR194" s="219">
        <f>+IF(BD_MO[[#This Row],[N° VALE]]&lt;&gt;"",BD_MO[[#This Row],[EMULNOR 3000 (N° CART.)]]*PE_EMUL_3000[PE],"")</f>
        <v>4.8076923076923102</v>
      </c>
      <c r="AS194" s="219">
        <f>+IF(BD_MO[[#This Row],[N° VALE]]&lt;&gt;"",BD_MO[[#This Row],[PULVERULENTA (N° CART.)]]*PE_PULV_65[PE],"")</f>
        <v>0</v>
      </c>
      <c r="AT194" s="219">
        <f>+IF(BD_MO[[#This Row],[N° DISP]]&lt;&gt;"",BD_MO[[#This Row],[SEMIGELATINA (N° CART.)]]*PE_SEMIGEL_65[PE],"")</f>
        <v>0</v>
      </c>
      <c r="AU194" s="219">
        <f>+IF(BD_MO[N° VALE]&lt;&gt;"",BD_MO[[#This Row],[KG EXPLO SEMIGEL]]+BD_MO[[#This Row],[KG EXPLO PULVE]]+BD_MO[[#This Row],[KG EXPLO EMULN 3000]]+BD_MO[[#This Row],[KG EXPLO EMULN 1000]],"")</f>
        <v>8.5956923076923104</v>
      </c>
      <c r="AV194" s="215">
        <v>6</v>
      </c>
      <c r="AW194" s="215"/>
      <c r="AX194" s="215">
        <f>+IF(BD_MO[[#This Row],[MINERAL (U-35)]]&lt;&gt;"",BD_MO[[#This Row],[MINERAL (U-35)]]*1.45,"-")</f>
        <v>8.6999999999999993</v>
      </c>
      <c r="AY194" s="215" t="str">
        <f>+IF(BD_MO[[#This Row],[DESMONTE (U-35)]]&lt;&gt;"",BD_MO[[#This Row],[DESMONTE (U-35)]]*1.23,"-")</f>
        <v>-</v>
      </c>
      <c r="AZ194" s="215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215"/>
      <c r="BN194" s="214"/>
      <c r="BO194" s="215"/>
      <c r="BP194" s="215"/>
      <c r="BQ194" s="214"/>
      <c r="BR194" s="215"/>
      <c r="BS194" s="214"/>
      <c r="BT194" s="219"/>
      <c r="BU194" s="215"/>
      <c r="BV194" s="215"/>
      <c r="BW194" s="215"/>
      <c r="BX194" s="215"/>
      <c r="BY194" s="215"/>
      <c r="BZ194" s="215"/>
      <c r="CA194" s="215"/>
      <c r="CB194" s="215"/>
      <c r="CC194" s="215"/>
      <c r="CD194" s="215"/>
      <c r="CE194" s="215"/>
      <c r="CF194" s="215"/>
      <c r="CG194" s="215"/>
      <c r="CH194" s="215"/>
      <c r="CI194" s="215"/>
      <c r="CJ194" s="215"/>
      <c r="CK194" s="215"/>
      <c r="CL194" s="215"/>
      <c r="CM194" s="215"/>
      <c r="CN194" s="215"/>
      <c r="CO194" s="215"/>
      <c r="CP194" s="219">
        <f>+IF(BD_MO[[#This Row],[FECHA]]&lt;&gt;"",BD_MO[[#This Row],[PUNTAL 4"]]+BD_MO[[#This Row],[PUNTAL 5"]]+BD_MO[[#This Row],[PUNTAL 6"]]+BD_MO[[#This Row],[PUNTAL 7"]]+BD_MO[[#This Row],[PUNTAL 8"]],"")</f>
        <v>0</v>
      </c>
      <c r="CQ194" s="215"/>
      <c r="CR194" s="215"/>
      <c r="CS194" s="215"/>
      <c r="CT194" s="215"/>
      <c r="CU194" s="215"/>
      <c r="CV194" s="215"/>
      <c r="CW194" s="215"/>
      <c r="CX194" s="215"/>
      <c r="CY194" s="219"/>
      <c r="CZ194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94" s="219">
        <f>+IF(BD_MO[[#This Row],[FECHA]]&lt;&gt;"",BD_MO[[#This Row],[DURMIENTE2]]*6.561+BD_MO[[#This Row],[LISTONES]]*4.921+BD_MO[[#This Row],[TABLA 1"x8"x3m]]*6.561+BD_MO[[#This Row],[TABLA 2"x8"x3m]]*13.122,"")</f>
        <v>0</v>
      </c>
      <c r="DB194" s="219">
        <f>+IF(BD_MO[[#This Row],[FECHA]]&lt;&gt;"",BD_MO[[#This Row],[PIE2 MADERA ASERRADA]]*1.95,"")</f>
        <v>0</v>
      </c>
      <c r="DC194" s="219">
        <f>+IF(BD_MO[[#This Row],[FECHA]]&lt;&gt;"",BD_MO[[#This Row],[KG. MADERA REDONDA]]+BD_MO[[#This Row],[KG MADERA ASERRADA]],"")</f>
        <v>0</v>
      </c>
      <c r="DD194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94" s="215"/>
      <c r="DF194" s="215"/>
      <c r="DG194" s="215"/>
      <c r="DH194" s="215"/>
      <c r="DI194" s="222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194" s="222"/>
      <c r="DK194" s="222"/>
      <c r="DL194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94" s="222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194" s="222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94" s="197">
        <v>28.31</v>
      </c>
      <c r="DP194" s="222">
        <f>+IF(BD_MO[[#This Row],[M o D]]&lt;&gt;"",IF(BD_MO[[#This Row],[M o D]]="M",BD_MO[[#This Row],[ROTURA TMH]]/2.65,BD_MO[[#This Row],[ROTURA TMH]]/2.4),"")</f>
        <v>10.683018867924527</v>
      </c>
      <c r="DQ194" s="222">
        <v>2</v>
      </c>
      <c r="DR194" s="116">
        <f>IF(BD_MO[[#This Row],[TIPO AVANCE]]="Avance",((BD_MO[[#This Row],[AVANCE (m)]]/BD_MO[[#This Row],[AVANCE TEÓRICO]]))," ")</f>
        <v>1.8518518518518516</v>
      </c>
    </row>
    <row r="195" spans="1:130" ht="18" customHeight="1" x14ac:dyDescent="0.25">
      <c r="A195" s="168">
        <v>44663</v>
      </c>
      <c r="B195" s="169" t="s">
        <v>10647</v>
      </c>
      <c r="C195" s="169" t="s">
        <v>10672</v>
      </c>
      <c r="D195" s="213" t="s">
        <v>11872</v>
      </c>
      <c r="E195" s="214" t="str">
        <f>LEFT(BD_MO[[#This Row],[LABOR]],2)</f>
        <v>PQ</v>
      </c>
      <c r="F195" s="215"/>
      <c r="G195" s="215" t="s">
        <v>10669</v>
      </c>
      <c r="H195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95" s="214" t="str">
        <f>IF(BD_MO[FECHA]&lt;&gt;"",VLOOKUP(BD_MO[LABOR],TB_CECO[[LABOR]:[CECO_T]],3,FALSE),"")</f>
        <v>ANDREA</v>
      </c>
      <c r="J195" s="214" t="str">
        <f>IF(BD_MO[FECHA]&lt;&gt;"",VLOOKUP(BD_MO[LABOR],D_CECO!B:H,7,FALSE),"")</f>
        <v>LINEAL</v>
      </c>
      <c r="K195" s="214" t="str">
        <f>IF(BD_MO[FECHA]&lt;&gt;"",VLOOKUP(BD_MO[LABOR],D_CECO!B:H,4,FALSE),"")</f>
        <v>EXPLOTACION</v>
      </c>
      <c r="L195" s="214"/>
      <c r="M195" s="216"/>
      <c r="N195" s="215"/>
      <c r="O195" s="93" t="s">
        <v>12198</v>
      </c>
      <c r="P195" s="93" t="s">
        <v>12220</v>
      </c>
      <c r="Q195" s="93" t="s">
        <v>12199</v>
      </c>
      <c r="R195" s="217"/>
      <c r="S195" s="218" t="str">
        <f>IFERROR(VLOOKUP(BD_MO[DNI 4],#REF!,2,FALSE)," ")</f>
        <v xml:space="preserve"> </v>
      </c>
      <c r="T195" s="219">
        <f>+IF(BD_MO[[#This Row],[FECHA]]&lt;&gt;"",COUNTA(BD_MO[[#This Row],[DNI]],BD_MO[[#This Row],[DNI 2]],BD_MO[[#This Row],[DNI 3]],BD_MO[[#This Row],[DNI 4]]),"")</f>
        <v>3</v>
      </c>
      <c r="U195" s="219"/>
      <c r="V195" s="219"/>
      <c r="W195" s="219"/>
      <c r="X195" s="219">
        <v>3</v>
      </c>
      <c r="Y195" s="177">
        <f>SUM(BD_MO[[#This Row],[LIMP]:[SERV]])</f>
        <v>3</v>
      </c>
      <c r="Z195" s="215"/>
      <c r="AA195" s="215" t="str">
        <f>+IF(BD_MO[[#This Row],[N° VALE]]&lt;&gt;"",1,"")</f>
        <v/>
      </c>
      <c r="AB195" s="169"/>
      <c r="AC195" s="215"/>
      <c r="AD195" s="215" t="str">
        <f>+IF(BD_MO[[#This Row],[N° VALE]]&lt;&gt;"",BD_MO[[#This Row],[FULMINANTE N° 08]]+BD_MO[CARMEX 7''],"")</f>
        <v/>
      </c>
      <c r="AE195" s="215"/>
      <c r="AF195" s="215" t="str">
        <f>+IF(BD_MO[[#This Row],[N° VALE]]&lt;&gt;"",BD_MO[[#This Row],[N° TALADROS]]+BD_MO[[#This Row],[N° TAL. VACIOS]],"")</f>
        <v/>
      </c>
      <c r="AG195" s="220"/>
      <c r="AH195" s="220"/>
      <c r="AI195" s="220"/>
      <c r="AJ195" s="220"/>
      <c r="AK195" s="220"/>
      <c r="AL195" s="220"/>
      <c r="AM195" s="214"/>
      <c r="AN195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95" s="215" t="str">
        <f>+IF(BD_MO[[#This Row],[N° VALE]]&lt;&gt;"",IF(BD_MO[[#This Row],[FULMINANTE N° 08]]&lt;&gt;"",BD_MO[[#This Row],[FULMINANTE N° 08]],IF(BD_MO[[#This Row],[CARMEX 7'']]&lt;&gt;0,0,"")),"")</f>
        <v/>
      </c>
      <c r="AP195" s="219" t="str">
        <f>+IF(BD_MO[[#This Row],[N° VALE]]&lt;&gt;"",BD_MO[[#This Row],[N°  TOTAL TALADROS]]*BD_MO[[#This Row],[BARRA]]*0.95,"")</f>
        <v/>
      </c>
      <c r="AQ195" s="219" t="str">
        <f>+IF(BD_MO[[#This Row],[N° VALE]]&lt;&gt;"",BD_MO[[#This Row],[EMULNOR 1000 (N° CART.)]]*PE_EMUL_1000[PE],"")</f>
        <v/>
      </c>
      <c r="AR195" s="219" t="str">
        <f>+IF(BD_MO[[#This Row],[N° VALE]]&lt;&gt;"",BD_MO[[#This Row],[EMULNOR 3000 (N° CART.)]]*PE_EMUL_3000[PE],"")</f>
        <v/>
      </c>
      <c r="AS195" s="219" t="str">
        <f>+IF(BD_MO[[#This Row],[N° VALE]]&lt;&gt;"",BD_MO[[#This Row],[PULVERULENTA (N° CART.)]]*PE_PULV_65[PE],"")</f>
        <v/>
      </c>
      <c r="AT195" s="219" t="str">
        <f>+IF(BD_MO[[#This Row],[N° DISP]]&lt;&gt;"",BD_MO[[#This Row],[SEMIGELATINA (N° CART.)]]*PE_SEMIGEL_65[PE],"")</f>
        <v/>
      </c>
      <c r="AU195" s="219" t="str">
        <f>+IF(BD_MO[N° VALE]&lt;&gt;"",BD_MO[[#This Row],[KG EXPLO SEMIGEL]]+BD_MO[[#This Row],[KG EXPLO PULVE]]+BD_MO[[#This Row],[KG EXPLO EMULN 3000]]+BD_MO[[#This Row],[KG EXPLO EMULN 1000]],"")</f>
        <v/>
      </c>
      <c r="AV195" s="215"/>
      <c r="AW195" s="215"/>
      <c r="AX195" s="215" t="str">
        <f>+IF(BD_MO[[#This Row],[MINERAL (U-35)]]&lt;&gt;"",BD_MO[[#This Row],[MINERAL (U-35)]]*1.45,"-")</f>
        <v>-</v>
      </c>
      <c r="AY195" s="215" t="str">
        <f>+IF(BD_MO[[#This Row],[DESMONTE (U-35)]]&lt;&gt;"",BD_MO[[#This Row],[DESMONTE (U-35)]]*1.23,"-")</f>
        <v>-</v>
      </c>
      <c r="AZ195" s="215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215"/>
      <c r="BN195" s="214"/>
      <c r="BO195" s="215"/>
      <c r="BP195" s="215"/>
      <c r="BQ195" s="214"/>
      <c r="BR195" s="215"/>
      <c r="BS195" s="214"/>
      <c r="BT195" s="219"/>
      <c r="BU195" s="215"/>
      <c r="BV195" s="215"/>
      <c r="BW195" s="215"/>
      <c r="BX195" s="215"/>
      <c r="BY195" s="215"/>
      <c r="BZ195" s="215"/>
      <c r="CA195" s="215"/>
      <c r="CB195" s="215"/>
      <c r="CC195" s="215"/>
      <c r="CD195" s="215"/>
      <c r="CE195" s="215"/>
      <c r="CF195" s="215"/>
      <c r="CG195" s="215"/>
      <c r="CH195" s="215"/>
      <c r="CI195" s="215"/>
      <c r="CJ195" s="215"/>
      <c r="CK195" s="215"/>
      <c r="CL195" s="215"/>
      <c r="CM195" s="215"/>
      <c r="CN195" s="215"/>
      <c r="CO195" s="215"/>
      <c r="CP195" s="219">
        <f>+IF(BD_MO[[#This Row],[FECHA]]&lt;&gt;"",BD_MO[[#This Row],[PUNTAL 4"]]+BD_MO[[#This Row],[PUNTAL 5"]]+BD_MO[[#This Row],[PUNTAL 6"]]+BD_MO[[#This Row],[PUNTAL 7"]]+BD_MO[[#This Row],[PUNTAL 8"]],"")</f>
        <v>0</v>
      </c>
      <c r="CQ195" s="215"/>
      <c r="CR195" s="215"/>
      <c r="CS195" s="215"/>
      <c r="CT195" s="215"/>
      <c r="CU195" s="215"/>
      <c r="CV195" s="215"/>
      <c r="CW195" s="215"/>
      <c r="CX195" s="215"/>
      <c r="CY195" s="219"/>
      <c r="CZ195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95" s="219">
        <f>+IF(BD_MO[[#This Row],[FECHA]]&lt;&gt;"",BD_MO[[#This Row],[DURMIENTE2]]*6.561+BD_MO[[#This Row],[LISTONES]]*4.921+BD_MO[[#This Row],[TABLA 1"x8"x3m]]*6.561+BD_MO[[#This Row],[TABLA 2"x8"x3m]]*13.122,"")</f>
        <v>0</v>
      </c>
      <c r="DB195" s="219">
        <f>+IF(BD_MO[[#This Row],[FECHA]]&lt;&gt;"",BD_MO[[#This Row],[PIE2 MADERA ASERRADA]]*1.95,"")</f>
        <v>0</v>
      </c>
      <c r="DC195" s="219">
        <f>+IF(BD_MO[[#This Row],[FECHA]]&lt;&gt;"",BD_MO[[#This Row],[KG. MADERA REDONDA]]+BD_MO[[#This Row],[KG MADERA ASERRADA]],"")</f>
        <v>0</v>
      </c>
      <c r="DD195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95" s="215"/>
      <c r="DF195" s="215"/>
      <c r="DG195" s="46" t="s">
        <v>12238</v>
      </c>
      <c r="DH195" s="215">
        <v>8</v>
      </c>
      <c r="DI195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95" s="222"/>
      <c r="DK195" s="222"/>
      <c r="DL195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95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95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95" s="197"/>
      <c r="DP195" s="222" t="str">
        <f>+IF(BD_MO[[#This Row],[M o D]]&lt;&gt;"",IF(BD_MO[[#This Row],[M o D]]="M",BD_MO[[#This Row],[ROTURA TMH]]/2.65,BD_MO[[#This Row],[ROTURA TMH]]/2.4),"")</f>
        <v/>
      </c>
      <c r="DQ195" s="222"/>
      <c r="DR195" s="116" t="str">
        <f>IF(BD_MO[[#This Row],[TIPO AVANCE]]="Avance",((BD_MO[[#This Row],[AVANCE (m)]]/BD_MO[[#This Row],[AVANCE TEÓRICO]]))," ")</f>
        <v xml:space="preserve"> </v>
      </c>
    </row>
    <row r="196" spans="1:130" ht="18" customHeight="1" x14ac:dyDescent="0.25">
      <c r="A196" s="168">
        <v>44663</v>
      </c>
      <c r="B196" s="169" t="s">
        <v>10647</v>
      </c>
      <c r="C196" s="169" t="s">
        <v>10672</v>
      </c>
      <c r="D196" s="213" t="s">
        <v>10952</v>
      </c>
      <c r="E196" s="214" t="str">
        <f>LEFT(BD_MO[[#This Row],[LABOR]],2)</f>
        <v>In</v>
      </c>
      <c r="F196" s="215"/>
      <c r="G196" s="215" t="s">
        <v>10669</v>
      </c>
      <c r="H196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96" s="214" t="str">
        <f>IF(BD_MO[FECHA]&lt;&gt;"",VLOOKUP(BD_MO[LABOR],TB_CECO[[LABOR]:[CECO_T]],3,FALSE),"")</f>
        <v>VANESSA</v>
      </c>
      <c r="J196" s="214" t="str">
        <f>IF(BD_MO[FECHA]&lt;&gt;"",VLOOKUP(BD_MO[LABOR],D_CECO!B:H,7,FALSE),"")</f>
        <v>LINEAL</v>
      </c>
      <c r="K196" s="214" t="str">
        <f>IF(BD_MO[FECHA]&lt;&gt;"",VLOOKUP(BD_MO[LABOR],D_CECO!B:H,4,FALSE),"")</f>
        <v>EXPLORACION</v>
      </c>
      <c r="L196" s="214"/>
      <c r="M196" s="216"/>
      <c r="N196" s="215"/>
      <c r="O196" s="93" t="s">
        <v>12233</v>
      </c>
      <c r="P196" s="93" t="s">
        <v>12234</v>
      </c>
      <c r="Q196" s="173"/>
      <c r="R196" s="217"/>
      <c r="S196" s="218" t="str">
        <f>IFERROR(VLOOKUP(BD_MO[DNI 4],#REF!,2,FALSE)," ")</f>
        <v xml:space="preserve"> </v>
      </c>
      <c r="T196" s="219">
        <f>+IF(BD_MO[[#This Row],[FECHA]]&lt;&gt;"",COUNTA(BD_MO[[#This Row],[DNI]],BD_MO[[#This Row],[DNI 2]],BD_MO[[#This Row],[DNI 3]],BD_MO[[#This Row],[DNI 4]]),"")</f>
        <v>2</v>
      </c>
      <c r="U196" s="219"/>
      <c r="V196" s="219"/>
      <c r="W196" s="219"/>
      <c r="X196" s="219">
        <v>2</v>
      </c>
      <c r="Y196" s="177">
        <f>SUM(BD_MO[[#This Row],[LIMP]:[SERV]])</f>
        <v>2</v>
      </c>
      <c r="Z196" s="215"/>
      <c r="AA196" s="215" t="str">
        <f>+IF(BD_MO[[#This Row],[N° VALE]]&lt;&gt;"",1,"")</f>
        <v/>
      </c>
      <c r="AB196" s="169"/>
      <c r="AC196" s="215"/>
      <c r="AD196" s="215" t="str">
        <f>+IF(BD_MO[[#This Row],[N° VALE]]&lt;&gt;"",BD_MO[[#This Row],[FULMINANTE N° 08]]+BD_MO[CARMEX 7''],"")</f>
        <v/>
      </c>
      <c r="AE196" s="215"/>
      <c r="AF196" s="215" t="str">
        <f>+IF(BD_MO[[#This Row],[N° VALE]]&lt;&gt;"",BD_MO[[#This Row],[N° TALADROS]]+BD_MO[[#This Row],[N° TAL. VACIOS]],"")</f>
        <v/>
      </c>
      <c r="AG196" s="220"/>
      <c r="AH196" s="220"/>
      <c r="AI196" s="220"/>
      <c r="AJ196" s="220"/>
      <c r="AK196" s="220"/>
      <c r="AL196" s="220"/>
      <c r="AM196" s="214"/>
      <c r="AN196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96" s="215" t="str">
        <f>+IF(BD_MO[[#This Row],[N° VALE]]&lt;&gt;"",IF(BD_MO[[#This Row],[FULMINANTE N° 08]]&lt;&gt;"",BD_MO[[#This Row],[FULMINANTE N° 08]],IF(BD_MO[[#This Row],[CARMEX 7'']]&lt;&gt;0,0,"")),"")</f>
        <v/>
      </c>
      <c r="AP196" s="219" t="str">
        <f>+IF(BD_MO[[#This Row],[N° VALE]]&lt;&gt;"",BD_MO[[#This Row],[N°  TOTAL TALADROS]]*BD_MO[[#This Row],[BARRA]]*0.95,"")</f>
        <v/>
      </c>
      <c r="AQ196" s="219" t="str">
        <f>+IF(BD_MO[[#This Row],[N° VALE]]&lt;&gt;"",BD_MO[[#This Row],[EMULNOR 1000 (N° CART.)]]*PE_EMUL_1000[PE],"")</f>
        <v/>
      </c>
      <c r="AR196" s="219" t="str">
        <f>+IF(BD_MO[[#This Row],[N° VALE]]&lt;&gt;"",BD_MO[[#This Row],[EMULNOR 3000 (N° CART.)]]*PE_EMUL_3000[PE],"")</f>
        <v/>
      </c>
      <c r="AS196" s="219" t="str">
        <f>+IF(BD_MO[[#This Row],[N° VALE]]&lt;&gt;"",BD_MO[[#This Row],[PULVERULENTA (N° CART.)]]*PE_PULV_65[PE],"")</f>
        <v/>
      </c>
      <c r="AT196" s="219" t="str">
        <f>+IF(BD_MO[[#This Row],[N° DISP]]&lt;&gt;"",BD_MO[[#This Row],[SEMIGELATINA (N° CART.)]]*PE_SEMIGEL_65[PE],"")</f>
        <v/>
      </c>
      <c r="AU196" s="219" t="str">
        <f>+IF(BD_MO[N° VALE]&lt;&gt;"",BD_MO[[#This Row],[KG EXPLO SEMIGEL]]+BD_MO[[#This Row],[KG EXPLO PULVE]]+BD_MO[[#This Row],[KG EXPLO EMULN 3000]]+BD_MO[[#This Row],[KG EXPLO EMULN 1000]],"")</f>
        <v/>
      </c>
      <c r="AV196" s="215"/>
      <c r="AW196" s="215"/>
      <c r="AX196" s="215" t="str">
        <f>+IF(BD_MO[[#This Row],[MINERAL (U-35)]]&lt;&gt;"",BD_MO[[#This Row],[MINERAL (U-35)]]*1.45,"-")</f>
        <v>-</v>
      </c>
      <c r="AY196" s="215" t="str">
        <f>+IF(BD_MO[[#This Row],[DESMONTE (U-35)]]&lt;&gt;"",BD_MO[[#This Row],[DESMONTE (U-35)]]*1.23,"-")</f>
        <v>-</v>
      </c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4"/>
      <c r="BO196" s="215"/>
      <c r="BP196" s="215"/>
      <c r="BQ196" s="214"/>
      <c r="BR196" s="215"/>
      <c r="BS196" s="214"/>
      <c r="BT196" s="219"/>
      <c r="BU196" s="215"/>
      <c r="BV196" s="215"/>
      <c r="BW196" s="215"/>
      <c r="BX196" s="215"/>
      <c r="BY196" s="215"/>
      <c r="BZ196" s="215"/>
      <c r="CA196" s="215"/>
      <c r="CB196" s="215"/>
      <c r="CC196" s="215"/>
      <c r="CD196" s="215"/>
      <c r="CE196" s="215"/>
      <c r="CF196" s="215"/>
      <c r="CG196" s="215"/>
      <c r="CH196" s="215"/>
      <c r="CI196" s="215"/>
      <c r="CJ196" s="215"/>
      <c r="CK196" s="215"/>
      <c r="CL196" s="215"/>
      <c r="CM196" s="215"/>
      <c r="CN196" s="215"/>
      <c r="CO196" s="215"/>
      <c r="CP196" s="219">
        <f>+IF(BD_MO[[#This Row],[FECHA]]&lt;&gt;"",BD_MO[[#This Row],[PUNTAL 4"]]+BD_MO[[#This Row],[PUNTAL 5"]]+BD_MO[[#This Row],[PUNTAL 6"]]+BD_MO[[#This Row],[PUNTAL 7"]]+BD_MO[[#This Row],[PUNTAL 8"]],"")</f>
        <v>0</v>
      </c>
      <c r="CQ196" s="215"/>
      <c r="CR196" s="215"/>
      <c r="CS196" s="215"/>
      <c r="CT196" s="215"/>
      <c r="CU196" s="215"/>
      <c r="CV196" s="215"/>
      <c r="CW196" s="215"/>
      <c r="CX196" s="215"/>
      <c r="CY196" s="219"/>
      <c r="CZ196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96" s="219">
        <f>+IF(BD_MO[[#This Row],[FECHA]]&lt;&gt;"",BD_MO[[#This Row],[DURMIENTE2]]*6.561+BD_MO[[#This Row],[LISTONES]]*4.921+BD_MO[[#This Row],[TABLA 1"x8"x3m]]*6.561+BD_MO[[#This Row],[TABLA 2"x8"x3m]]*13.122,"")</f>
        <v>0</v>
      </c>
      <c r="DB196" s="219">
        <f>+IF(BD_MO[[#This Row],[FECHA]]&lt;&gt;"",BD_MO[[#This Row],[PIE2 MADERA ASERRADA]]*1.95,"")</f>
        <v>0</v>
      </c>
      <c r="DC196" s="219">
        <f>+IF(BD_MO[[#This Row],[FECHA]]&lt;&gt;"",BD_MO[[#This Row],[KG. MADERA REDONDA]]+BD_MO[[#This Row],[KG MADERA ASERRADA]],"")</f>
        <v>0</v>
      </c>
      <c r="DD196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96" s="215"/>
      <c r="DF196" s="215"/>
      <c r="DG196" s="46" t="s">
        <v>12239</v>
      </c>
      <c r="DH196" s="215">
        <v>6</v>
      </c>
      <c r="DI196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96" s="222"/>
      <c r="DK196" s="222"/>
      <c r="DL196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96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96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96" s="197"/>
      <c r="DP196" s="222" t="str">
        <f>+IF(BD_MO[[#This Row],[M o D]]&lt;&gt;"",IF(BD_MO[[#This Row],[M o D]]="M",BD_MO[[#This Row],[ROTURA TMH]]/2.65,BD_MO[[#This Row],[ROTURA TMH]]/2.4),"")</f>
        <v/>
      </c>
      <c r="DQ196" s="222"/>
      <c r="DR196" s="116" t="str">
        <f>IF(BD_MO[[#This Row],[TIPO AVANCE]]="Avance",((BD_MO[[#This Row],[AVANCE (m)]]/BD_MO[[#This Row],[AVANCE TEÓRICO]]))," ")</f>
        <v xml:space="preserve"> </v>
      </c>
    </row>
    <row r="197" spans="1:130" ht="18" customHeight="1" x14ac:dyDescent="0.25">
      <c r="A197" s="168">
        <v>44663</v>
      </c>
      <c r="B197" s="169" t="s">
        <v>10647</v>
      </c>
      <c r="C197" s="169" t="s">
        <v>10672</v>
      </c>
      <c r="D197" s="61" t="s">
        <v>10954</v>
      </c>
      <c r="E197" s="214" t="str">
        <f>LEFT(BD_MO[[#This Row],[LABOR]],2)</f>
        <v>MO</v>
      </c>
      <c r="F197" s="215"/>
      <c r="G197" s="215" t="s">
        <v>10669</v>
      </c>
      <c r="H197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97" s="214" t="str">
        <f>IF(BD_MO[FECHA]&lt;&gt;"",VLOOKUP(BD_MO[LABOR],TB_CECO[[LABOR]:[CECO_T]],3,FALSE),"")</f>
        <v>INCA</v>
      </c>
      <c r="J197" s="214" t="str">
        <f>IF(BD_MO[FECHA]&lt;&gt;"",VLOOKUP(BD_MO[LABOR],D_CECO!B:H,7,FALSE),"")</f>
        <v>SERVICIOS</v>
      </c>
      <c r="K197" s="214" t="str">
        <f>IF(BD_MO[FECHA]&lt;&gt;"",VLOOKUP(BD_MO[LABOR],D_CECO!B:H,4,FALSE),"")</f>
        <v>SERVICIOS</v>
      </c>
      <c r="L197" s="214"/>
      <c r="M197" s="216"/>
      <c r="N197" s="215"/>
      <c r="O197" s="93" t="s">
        <v>12221</v>
      </c>
      <c r="P197" s="93" t="s">
        <v>12209</v>
      </c>
      <c r="Q197" s="93" t="s">
        <v>12197</v>
      </c>
      <c r="R197" s="217"/>
      <c r="S197" s="218" t="str">
        <f>IFERROR(VLOOKUP(BD_MO[DNI 4],#REF!,2,FALSE)," ")</f>
        <v xml:space="preserve"> </v>
      </c>
      <c r="T197" s="219">
        <f>+IF(BD_MO[[#This Row],[FECHA]]&lt;&gt;"",COUNTA(BD_MO[[#This Row],[DNI]],BD_MO[[#This Row],[DNI 2]],BD_MO[[#This Row],[DNI 3]],BD_MO[[#This Row],[DNI 4]]),"")</f>
        <v>3</v>
      </c>
      <c r="U197" s="219"/>
      <c r="V197" s="219"/>
      <c r="W197" s="219"/>
      <c r="X197" s="219">
        <v>3</v>
      </c>
      <c r="Y197" s="177">
        <f>SUM(BD_MO[[#This Row],[LIMP]:[SERV]])</f>
        <v>3</v>
      </c>
      <c r="Z197" s="215"/>
      <c r="AA197" s="215" t="str">
        <f>+IF(BD_MO[[#This Row],[N° VALE]]&lt;&gt;"",1,"")</f>
        <v/>
      </c>
      <c r="AB197" s="169"/>
      <c r="AC197" s="215"/>
      <c r="AD197" s="215" t="str">
        <f>+IF(BD_MO[[#This Row],[N° VALE]]&lt;&gt;"",BD_MO[[#This Row],[FULMINANTE N° 08]]+BD_MO[CARMEX 7''],"")</f>
        <v/>
      </c>
      <c r="AE197" s="215"/>
      <c r="AF197" s="215" t="str">
        <f>+IF(BD_MO[[#This Row],[N° VALE]]&lt;&gt;"",BD_MO[[#This Row],[N° TALADROS]]+BD_MO[[#This Row],[N° TAL. VACIOS]],"")</f>
        <v/>
      </c>
      <c r="AG197" s="220"/>
      <c r="AH197" s="220"/>
      <c r="AI197" s="220"/>
      <c r="AJ197" s="220"/>
      <c r="AK197" s="220"/>
      <c r="AL197" s="220"/>
      <c r="AM197" s="214"/>
      <c r="AN197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97" s="215" t="str">
        <f>+IF(BD_MO[[#This Row],[N° VALE]]&lt;&gt;"",IF(BD_MO[[#This Row],[FULMINANTE N° 08]]&lt;&gt;"",BD_MO[[#This Row],[FULMINANTE N° 08]],IF(BD_MO[[#This Row],[CARMEX 7'']]&lt;&gt;0,0,"")),"")</f>
        <v/>
      </c>
      <c r="AP197" s="219" t="str">
        <f>+IF(BD_MO[[#This Row],[N° VALE]]&lt;&gt;"",BD_MO[[#This Row],[N°  TOTAL TALADROS]]*BD_MO[[#This Row],[BARRA]]*0.95,"")</f>
        <v/>
      </c>
      <c r="AQ197" s="219" t="str">
        <f>+IF(BD_MO[[#This Row],[N° VALE]]&lt;&gt;"",BD_MO[[#This Row],[EMULNOR 1000 (N° CART.)]]*PE_EMUL_1000[PE],"")</f>
        <v/>
      </c>
      <c r="AR197" s="219" t="str">
        <f>+IF(BD_MO[[#This Row],[N° VALE]]&lt;&gt;"",BD_MO[[#This Row],[EMULNOR 3000 (N° CART.)]]*PE_EMUL_3000[PE],"")</f>
        <v/>
      </c>
      <c r="AS197" s="219" t="str">
        <f>+IF(BD_MO[[#This Row],[N° VALE]]&lt;&gt;"",BD_MO[[#This Row],[PULVERULENTA (N° CART.)]]*PE_PULV_65[PE],"")</f>
        <v/>
      </c>
      <c r="AT197" s="219" t="str">
        <f>+IF(BD_MO[[#This Row],[N° DISP]]&lt;&gt;"",BD_MO[[#This Row],[SEMIGELATINA (N° CART.)]]*PE_SEMIGEL_65[PE],"")</f>
        <v/>
      </c>
      <c r="AU197" s="219" t="str">
        <f>+IF(BD_MO[N° VALE]&lt;&gt;"",BD_MO[[#This Row],[KG EXPLO SEMIGEL]]+BD_MO[[#This Row],[KG EXPLO PULVE]]+BD_MO[[#This Row],[KG EXPLO EMULN 3000]]+BD_MO[[#This Row],[KG EXPLO EMULN 1000]],"")</f>
        <v/>
      </c>
      <c r="AV197" s="215"/>
      <c r="AW197" s="215"/>
      <c r="AX197" s="215" t="str">
        <f>+IF(BD_MO[[#This Row],[MINERAL (U-35)]]&lt;&gt;"",BD_MO[[#This Row],[MINERAL (U-35)]]*1.45,"-")</f>
        <v>-</v>
      </c>
      <c r="AY197" s="215" t="str">
        <f>+IF(BD_MO[[#This Row],[DESMONTE (U-35)]]&lt;&gt;"",BD_MO[[#This Row],[DESMONTE (U-35)]]*1.23,"-")</f>
        <v>-</v>
      </c>
      <c r="AZ197" s="215"/>
      <c r="BA197" s="215"/>
      <c r="BB197" s="215"/>
      <c r="BC197" s="215"/>
      <c r="BD197" s="215"/>
      <c r="BE197" s="215"/>
      <c r="BF197" s="215"/>
      <c r="BG197" s="215"/>
      <c r="BH197" s="215"/>
      <c r="BI197" s="215"/>
      <c r="BJ197" s="215"/>
      <c r="BK197" s="215"/>
      <c r="BL197" s="215"/>
      <c r="BM197" s="215"/>
      <c r="BN197" s="214"/>
      <c r="BO197" s="215"/>
      <c r="BP197" s="215"/>
      <c r="BQ197" s="214"/>
      <c r="BR197" s="215"/>
      <c r="BS197" s="214"/>
      <c r="BT197" s="219"/>
      <c r="BU197" s="215"/>
      <c r="BV197" s="215"/>
      <c r="BW197" s="215"/>
      <c r="BX197" s="215"/>
      <c r="BY197" s="215"/>
      <c r="BZ197" s="215"/>
      <c r="CA197" s="215"/>
      <c r="CB197" s="215"/>
      <c r="CC197" s="215"/>
      <c r="CD197" s="215"/>
      <c r="CE197" s="215"/>
      <c r="CF197" s="215"/>
      <c r="CG197" s="215"/>
      <c r="CH197" s="215"/>
      <c r="CI197" s="215"/>
      <c r="CJ197" s="215"/>
      <c r="CK197" s="215"/>
      <c r="CL197" s="215"/>
      <c r="CM197" s="215"/>
      <c r="CN197" s="215"/>
      <c r="CO197" s="215"/>
      <c r="CP197" s="219">
        <f>+IF(BD_MO[[#This Row],[FECHA]]&lt;&gt;"",BD_MO[[#This Row],[PUNTAL 4"]]+BD_MO[[#This Row],[PUNTAL 5"]]+BD_MO[[#This Row],[PUNTAL 6"]]+BD_MO[[#This Row],[PUNTAL 7"]]+BD_MO[[#This Row],[PUNTAL 8"]],"")</f>
        <v>0</v>
      </c>
      <c r="CQ197" s="215"/>
      <c r="CR197" s="215"/>
      <c r="CS197" s="215"/>
      <c r="CT197" s="215"/>
      <c r="CU197" s="215"/>
      <c r="CV197" s="215"/>
      <c r="CW197" s="215"/>
      <c r="CX197" s="215"/>
      <c r="CY197" s="219"/>
      <c r="CZ197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97" s="219">
        <f>+IF(BD_MO[[#This Row],[FECHA]]&lt;&gt;"",BD_MO[[#This Row],[DURMIENTE2]]*6.561+BD_MO[[#This Row],[LISTONES]]*4.921+BD_MO[[#This Row],[TABLA 1"x8"x3m]]*6.561+BD_MO[[#This Row],[TABLA 2"x8"x3m]]*13.122,"")</f>
        <v>0</v>
      </c>
      <c r="DB197" s="219">
        <f>+IF(BD_MO[[#This Row],[FECHA]]&lt;&gt;"",BD_MO[[#This Row],[PIE2 MADERA ASERRADA]]*1.95,"")</f>
        <v>0</v>
      </c>
      <c r="DC197" s="219">
        <f>+IF(BD_MO[[#This Row],[FECHA]]&lt;&gt;"",BD_MO[[#This Row],[KG. MADERA REDONDA]]+BD_MO[[#This Row],[KG MADERA ASERRADA]],"")</f>
        <v>0</v>
      </c>
      <c r="DD197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97" s="215"/>
      <c r="DF197" s="215"/>
      <c r="DG197" s="46" t="s">
        <v>12252</v>
      </c>
      <c r="DH197" s="215">
        <v>2</v>
      </c>
      <c r="DI197" s="222"/>
      <c r="DJ197" s="222"/>
      <c r="DK197" s="222"/>
      <c r="DL197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97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97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97" s="197"/>
      <c r="DP197" s="222" t="str">
        <f>+IF(BD_MO[[#This Row],[M o D]]&lt;&gt;"",IF(BD_MO[[#This Row],[M o D]]="M",BD_MO[[#This Row],[ROTURA TMH]]/2.65,BD_MO[[#This Row],[ROTURA TMH]]/2.4),"")</f>
        <v/>
      </c>
      <c r="DQ197" s="222"/>
      <c r="DR197" s="116" t="str">
        <f>IF(BD_MO[[#This Row],[TIPO AVANCE]]="Avance",((BD_MO[[#This Row],[AVANCE (m)]]/BD_MO[[#This Row],[AVANCE TEÓRICO]]))," ")</f>
        <v xml:space="preserve"> </v>
      </c>
    </row>
    <row r="198" spans="1:130" s="115" customFormat="1" ht="18" customHeight="1" thickBot="1" x14ac:dyDescent="0.3">
      <c r="A198" s="198">
        <v>44663</v>
      </c>
      <c r="B198" s="199" t="s">
        <v>10647</v>
      </c>
      <c r="C198" s="199" t="s">
        <v>10672</v>
      </c>
      <c r="D198" s="200" t="s">
        <v>10717</v>
      </c>
      <c r="E198" s="201" t="str">
        <f>LEFT(BD_MO[[#This Row],[LABOR]],2)</f>
        <v>BO</v>
      </c>
      <c r="F198" s="202"/>
      <c r="G198" s="202" t="s">
        <v>10669</v>
      </c>
      <c r="H198" s="20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198" s="201" t="str">
        <f>IF(BD_MO[FECHA]&lt;&gt;"",VLOOKUP(BD_MO[LABOR],TB_CECO[[LABOR]:[CECO_T]],3,FALSE),"")</f>
        <v>CACHORRO</v>
      </c>
      <c r="J198" s="201" t="str">
        <f>IF(BD_MO[FECHA]&lt;&gt;"",VLOOKUP(BD_MO[LABOR],D_CECO!B:H,7,FALSE),"")</f>
        <v>SERVICIOS</v>
      </c>
      <c r="K198" s="201" t="str">
        <f>IF(BD_MO[FECHA]&lt;&gt;"",VLOOKUP(BD_MO[LABOR],D_CECO!B:H,4,FALSE),"")</f>
        <v>SERVICIOS</v>
      </c>
      <c r="L198" s="201"/>
      <c r="M198" s="199"/>
      <c r="N198" s="202"/>
      <c r="O198" s="121" t="s">
        <v>12202</v>
      </c>
      <c r="P198" s="203"/>
      <c r="Q198" s="203"/>
      <c r="R198" s="204"/>
      <c r="S198" s="205" t="str">
        <f>IFERROR(VLOOKUP(BD_MO[DNI 4],#REF!,2,FALSE)," ")</f>
        <v xml:space="preserve"> </v>
      </c>
      <c r="T198" s="206">
        <f>+IF(BD_MO[[#This Row],[FECHA]]&lt;&gt;"",COUNTA(BD_MO[[#This Row],[DNI]],BD_MO[[#This Row],[DNI 2]],BD_MO[[#This Row],[DNI 3]],BD_MO[[#This Row],[DNI 4]]),"")</f>
        <v>1</v>
      </c>
      <c r="U198" s="206"/>
      <c r="V198" s="206"/>
      <c r="W198" s="206"/>
      <c r="X198" s="206">
        <v>1</v>
      </c>
      <c r="Y198" s="207">
        <f>SUM(BD_MO[[#This Row],[LIMP]:[SERV]])</f>
        <v>1</v>
      </c>
      <c r="Z198" s="202"/>
      <c r="AA198" s="202" t="str">
        <f>+IF(BD_MO[[#This Row],[N° VALE]]&lt;&gt;"",1,"")</f>
        <v/>
      </c>
      <c r="AB198" s="199"/>
      <c r="AC198" s="202"/>
      <c r="AD198" s="202" t="str">
        <f>+IF(BD_MO[[#This Row],[N° VALE]]&lt;&gt;"",BD_MO[[#This Row],[FULMINANTE N° 08]]+BD_MO[CARMEX 7''],"")</f>
        <v/>
      </c>
      <c r="AE198" s="202"/>
      <c r="AF198" s="202" t="str">
        <f>+IF(BD_MO[[#This Row],[N° VALE]]&lt;&gt;"",BD_MO[[#This Row],[N° TALADROS]]+BD_MO[[#This Row],[N° TAL. VACIOS]],"")</f>
        <v/>
      </c>
      <c r="AG198" s="208"/>
      <c r="AH198" s="208"/>
      <c r="AI198" s="208"/>
      <c r="AJ198" s="208"/>
      <c r="AK198" s="208"/>
      <c r="AL198" s="208"/>
      <c r="AM198" s="201"/>
      <c r="AN198" s="20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198" s="202" t="str">
        <f>+IF(BD_MO[[#This Row],[N° VALE]]&lt;&gt;"",IF(BD_MO[[#This Row],[FULMINANTE N° 08]]&lt;&gt;"",BD_MO[[#This Row],[FULMINANTE N° 08]],IF(BD_MO[[#This Row],[CARMEX 7'']]&lt;&gt;0,0,"")),"")</f>
        <v/>
      </c>
      <c r="AP198" s="206" t="str">
        <f>+IF(BD_MO[[#This Row],[N° VALE]]&lt;&gt;"",BD_MO[[#This Row],[N°  TOTAL TALADROS]]*BD_MO[[#This Row],[BARRA]]*0.95,"")</f>
        <v/>
      </c>
      <c r="AQ198" s="206" t="str">
        <f>+IF(BD_MO[[#This Row],[N° VALE]]&lt;&gt;"",BD_MO[[#This Row],[EMULNOR 1000 (N° CART.)]]*PE_EMUL_1000[PE],"")</f>
        <v/>
      </c>
      <c r="AR198" s="206" t="str">
        <f>+IF(BD_MO[[#This Row],[N° VALE]]&lt;&gt;"",BD_MO[[#This Row],[EMULNOR 3000 (N° CART.)]]*PE_EMUL_3000[PE],"")</f>
        <v/>
      </c>
      <c r="AS198" s="206" t="str">
        <f>+IF(BD_MO[[#This Row],[N° VALE]]&lt;&gt;"",BD_MO[[#This Row],[PULVERULENTA (N° CART.)]]*PE_PULV_65[PE],"")</f>
        <v/>
      </c>
      <c r="AT198" s="206" t="str">
        <f>+IF(BD_MO[[#This Row],[N° DISP]]&lt;&gt;"",BD_MO[[#This Row],[SEMIGELATINA (N° CART.)]]*PE_SEMIGEL_65[PE],"")</f>
        <v/>
      </c>
      <c r="AU198" s="206" t="str">
        <f>+IF(BD_MO[N° VALE]&lt;&gt;"",BD_MO[[#This Row],[KG EXPLO SEMIGEL]]+BD_MO[[#This Row],[KG EXPLO PULVE]]+BD_MO[[#This Row],[KG EXPLO EMULN 3000]]+BD_MO[[#This Row],[KG EXPLO EMULN 1000]],"")</f>
        <v/>
      </c>
      <c r="AV198" s="202"/>
      <c r="AW198" s="202"/>
      <c r="AX198" s="202" t="str">
        <f>+IF(BD_MO[[#This Row],[MINERAL (U-35)]]&lt;&gt;"",BD_MO[[#This Row],[MINERAL (U-35)]]*1.45,"-")</f>
        <v>-</v>
      </c>
      <c r="AY198" s="202" t="str">
        <f>+IF(BD_MO[[#This Row],[DESMONTE (U-35)]]&lt;&gt;"",BD_MO[[#This Row],[DESMONTE (U-35)]]*1.23,"-")</f>
        <v>-</v>
      </c>
      <c r="AZ198" s="202"/>
      <c r="BA198" s="202"/>
      <c r="BB198" s="202"/>
      <c r="BC198" s="202"/>
      <c r="BD198" s="202"/>
      <c r="BE198" s="202"/>
      <c r="BF198" s="202"/>
      <c r="BG198" s="202"/>
      <c r="BH198" s="202"/>
      <c r="BI198" s="202"/>
      <c r="BJ198" s="202"/>
      <c r="BK198" s="202"/>
      <c r="BL198" s="202"/>
      <c r="BM198" s="202"/>
      <c r="BN198" s="201"/>
      <c r="BO198" s="202"/>
      <c r="BP198" s="202"/>
      <c r="BQ198" s="201"/>
      <c r="BR198" s="202"/>
      <c r="BS198" s="201"/>
      <c r="BT198" s="206"/>
      <c r="BU198" s="202"/>
      <c r="BV198" s="202"/>
      <c r="BW198" s="202"/>
      <c r="BX198" s="202"/>
      <c r="BY198" s="202"/>
      <c r="BZ198" s="202"/>
      <c r="CA198" s="202"/>
      <c r="CB198" s="202"/>
      <c r="CC198" s="202"/>
      <c r="CD198" s="202"/>
      <c r="CE198" s="202"/>
      <c r="CF198" s="202"/>
      <c r="CG198" s="202"/>
      <c r="CH198" s="202"/>
      <c r="CI198" s="202"/>
      <c r="CJ198" s="202"/>
      <c r="CK198" s="202"/>
      <c r="CL198" s="202"/>
      <c r="CM198" s="202"/>
      <c r="CN198" s="202"/>
      <c r="CO198" s="202"/>
      <c r="CP198" s="206">
        <f>+IF(BD_MO[[#This Row],[FECHA]]&lt;&gt;"",BD_MO[[#This Row],[PUNTAL 4"]]+BD_MO[[#This Row],[PUNTAL 5"]]+BD_MO[[#This Row],[PUNTAL 6"]]+BD_MO[[#This Row],[PUNTAL 7"]]+BD_MO[[#This Row],[PUNTAL 8"]],"")</f>
        <v>0</v>
      </c>
      <c r="CQ198" s="202"/>
      <c r="CR198" s="202"/>
      <c r="CS198" s="202"/>
      <c r="CT198" s="202"/>
      <c r="CU198" s="202"/>
      <c r="CV198" s="202"/>
      <c r="CW198" s="202"/>
      <c r="CX198" s="202"/>
      <c r="CY198" s="206"/>
      <c r="CZ198" s="20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98" s="206">
        <f>+IF(BD_MO[[#This Row],[FECHA]]&lt;&gt;"",BD_MO[[#This Row],[DURMIENTE2]]*6.561+BD_MO[[#This Row],[LISTONES]]*4.921+BD_MO[[#This Row],[TABLA 1"x8"x3m]]*6.561+BD_MO[[#This Row],[TABLA 2"x8"x3m]]*13.122,"")</f>
        <v>0</v>
      </c>
      <c r="DB198" s="206">
        <f>+IF(BD_MO[[#This Row],[FECHA]]&lt;&gt;"",BD_MO[[#This Row],[PIE2 MADERA ASERRADA]]*1.95,"")</f>
        <v>0</v>
      </c>
      <c r="DC198" s="206">
        <f>+IF(BD_MO[[#This Row],[FECHA]]&lt;&gt;"",BD_MO[[#This Row],[KG. MADERA REDONDA]]+BD_MO[[#This Row],[KG MADERA ASERRADA]],"")</f>
        <v>0</v>
      </c>
      <c r="DD198" s="20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198" s="202"/>
      <c r="DF198" s="202"/>
      <c r="DG198" s="202"/>
      <c r="DH198" s="202"/>
      <c r="DI198" s="21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198" s="210"/>
      <c r="DK198" s="210"/>
      <c r="DL198" s="21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198" s="21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198" s="21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198" s="211"/>
      <c r="DP198" s="210" t="str">
        <f>+IF(BD_MO[[#This Row],[M o D]]&lt;&gt;"",IF(BD_MO[[#This Row],[M o D]]="M",BD_MO[[#This Row],[ROTURA TMH]]/2.65,BD_MO[[#This Row],[ROTURA TMH]]/2.4),"")</f>
        <v/>
      </c>
      <c r="DQ198" s="210"/>
      <c r="DR198" s="116" t="str">
        <f>IF(BD_MO[[#This Row],[TIPO AVANCE]]="Avance",((BD_MO[[#This Row],[AVANCE (m)]]/BD_MO[[#This Row],[AVANCE TEÓRICO]]))," ")</f>
        <v xml:space="preserve"> </v>
      </c>
      <c r="DS198" s="113"/>
      <c r="DT198" s="113"/>
      <c r="DU198" s="113"/>
      <c r="DV198" s="113"/>
      <c r="DW198" s="113"/>
      <c r="DX198" s="114"/>
      <c r="DY198" s="114"/>
      <c r="DZ198" s="114"/>
    </row>
    <row r="199" spans="1:130" ht="18" customHeight="1" x14ac:dyDescent="0.25">
      <c r="A199" s="168">
        <v>44663</v>
      </c>
      <c r="B199" s="40" t="s">
        <v>10655</v>
      </c>
      <c r="C199" s="40" t="s">
        <v>10680</v>
      </c>
      <c r="D199" s="61" t="s">
        <v>11595</v>
      </c>
      <c r="E199" s="214" t="str">
        <f>LEFT(BD_MO[[#This Row],[LABOR]],2)</f>
        <v>Tj</v>
      </c>
      <c r="F199" s="46" t="s">
        <v>10950</v>
      </c>
      <c r="G199" s="215" t="s">
        <v>10648</v>
      </c>
      <c r="H199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199" s="42" t="s">
        <v>12254</v>
      </c>
      <c r="J199" s="42" t="s">
        <v>10502</v>
      </c>
      <c r="K199" s="42" t="s">
        <v>12247</v>
      </c>
      <c r="L199" s="214"/>
      <c r="M199" s="216" t="s">
        <v>10654</v>
      </c>
      <c r="N199" s="215"/>
      <c r="O199" s="93" t="s">
        <v>11976</v>
      </c>
      <c r="P199" s="93" t="s">
        <v>11924</v>
      </c>
      <c r="Q199" s="173"/>
      <c r="R199" s="217"/>
      <c r="S199" s="218" t="str">
        <f>IFERROR(VLOOKUP(BD_MO[DNI 4],#REF!,2,FALSE)," ")</f>
        <v xml:space="preserve"> </v>
      </c>
      <c r="T199" s="219">
        <f>+IF(BD_MO[[#This Row],[FECHA]]&lt;&gt;"",COUNTA(BD_MO[[#This Row],[DNI]],BD_MO[[#This Row],[DNI 2]],BD_MO[[#This Row],[DNI 3]],BD_MO[[#This Row],[DNI 4]]),"")</f>
        <v>2</v>
      </c>
      <c r="U199" s="219">
        <v>0.6</v>
      </c>
      <c r="V199" s="219">
        <v>1</v>
      </c>
      <c r="W199" s="219"/>
      <c r="X199" s="219">
        <v>0.4</v>
      </c>
      <c r="Y199" s="177">
        <f>SUM(BD_MO[[#This Row],[LIMP]:[SERV]])</f>
        <v>2</v>
      </c>
      <c r="Z199" s="46" t="s">
        <v>12257</v>
      </c>
      <c r="AA199" s="215">
        <f>+IF(BD_MO[[#This Row],[N° VALE]]&lt;&gt;"",1,"")</f>
        <v>1</v>
      </c>
      <c r="AB199" s="169" t="s">
        <v>10666</v>
      </c>
      <c r="AC199" s="215">
        <v>4</v>
      </c>
      <c r="AD199" s="215">
        <f>+IF(BD_MO[[#This Row],[N° VALE]]&lt;&gt;"",BD_MO[[#This Row],[FULMINANTE N° 08]]+BD_MO[CARMEX 7''],"")</f>
        <v>75</v>
      </c>
      <c r="AE199" s="215"/>
      <c r="AF199" s="215">
        <f>+IF(BD_MO[[#This Row],[N° VALE]]&lt;&gt;"",BD_MO[[#This Row],[N° TALADROS]]+BD_MO[[#This Row],[N° TAL. VACIOS]],"")</f>
        <v>75</v>
      </c>
      <c r="AG199" s="220">
        <v>25</v>
      </c>
      <c r="AH199" s="220">
        <v>75</v>
      </c>
      <c r="AI199" s="220"/>
      <c r="AJ199" s="220"/>
      <c r="AK199" s="220">
        <v>75</v>
      </c>
      <c r="AL199" s="220">
        <v>5</v>
      </c>
      <c r="AM199" s="214"/>
      <c r="AN199" s="21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199" s="215">
        <f>+IF(BD_MO[[#This Row],[N° VALE]]&lt;&gt;"",IF(BD_MO[[#This Row],[FULMINANTE N° 08]]&lt;&gt;"",BD_MO[[#This Row],[FULMINANTE N° 08]],IF(BD_MO[[#This Row],[CARMEX 7'']]&lt;&gt;0,0,"")),"")</f>
        <v>0</v>
      </c>
      <c r="AP199" s="219">
        <f>+IF(BD_MO[[#This Row],[N° VALE]]&lt;&gt;"",BD_MO[[#This Row],[N°  TOTAL TALADROS]]*BD_MO[[#This Row],[BARRA]]*0.95,"")</f>
        <v>285</v>
      </c>
      <c r="AQ199" s="219">
        <f>+IF(BD_MO[[#This Row],[N° VALE]]&lt;&gt;"",BD_MO[[#This Row],[EMULNOR 1000 (N° CART.)]]*PE_EMUL_1000[PE],"")</f>
        <v>7.1025000000000009</v>
      </c>
      <c r="AR199" s="219">
        <f>+IF(BD_MO[[#This Row],[N° VALE]]&lt;&gt;"",BD_MO[[#This Row],[EMULNOR 3000 (N° CART.)]]*PE_EMUL_3000[PE],"")</f>
        <v>2.4038461538461551</v>
      </c>
      <c r="AS199" s="219">
        <f>+IF(BD_MO[[#This Row],[N° VALE]]&lt;&gt;"",BD_MO[[#This Row],[PULVERULENTA (N° CART.)]]*PE_PULV_65[PE],"")</f>
        <v>0</v>
      </c>
      <c r="AT199" s="219">
        <f>+IF(BD_MO[[#This Row],[N° DISP]]&lt;&gt;"",BD_MO[[#This Row],[SEMIGELATINA (N° CART.)]]*PE_SEMIGEL_65[PE],"")</f>
        <v>0</v>
      </c>
      <c r="AU199" s="219">
        <f>+IF(BD_MO[N° VALE]&lt;&gt;"",BD_MO[[#This Row],[KG EXPLO SEMIGEL]]+BD_MO[[#This Row],[KG EXPLO PULVE]]+BD_MO[[#This Row],[KG EXPLO EMULN 3000]]+BD_MO[[#This Row],[KG EXPLO EMULN 1000]],"")</f>
        <v>9.506346153846156</v>
      </c>
      <c r="AV199" s="215">
        <v>5</v>
      </c>
      <c r="AW199" s="215"/>
      <c r="AX199" s="215">
        <f>+IF(BD_MO[[#This Row],[MINERAL (U-35)]]&lt;&gt;"",BD_MO[[#This Row],[MINERAL (U-35)]]*1.45,"-")</f>
        <v>7.25</v>
      </c>
      <c r="AY199" s="215" t="str">
        <f>+IF(BD_MO[[#This Row],[DESMONTE (U-35)]]&lt;&gt;"",BD_MO[[#This Row],[DESMONTE (U-35)]]*1.23,"-")</f>
        <v>-</v>
      </c>
      <c r="AZ199" s="215"/>
      <c r="BA199" s="215"/>
      <c r="BB199" s="215"/>
      <c r="BC199" s="215"/>
      <c r="BD199" s="215"/>
      <c r="BE199" s="215"/>
      <c r="BF199" s="215"/>
      <c r="BG199" s="215"/>
      <c r="BH199" s="215"/>
      <c r="BI199" s="215"/>
      <c r="BJ199" s="215"/>
      <c r="BK199" s="215"/>
      <c r="BL199" s="215"/>
      <c r="BM199" s="215"/>
      <c r="BN199" s="214"/>
      <c r="BO199" s="215"/>
      <c r="BP199" s="215"/>
      <c r="BQ199" s="214"/>
      <c r="BR199" s="215"/>
      <c r="BS199" s="214"/>
      <c r="BT199" s="219"/>
      <c r="BU199" s="215"/>
      <c r="BV199" s="215"/>
      <c r="BW199" s="215"/>
      <c r="BX199" s="215"/>
      <c r="BY199" s="215"/>
      <c r="BZ199" s="215"/>
      <c r="CA199" s="215"/>
      <c r="CB199" s="215"/>
      <c r="CC199" s="215"/>
      <c r="CD199" s="215"/>
      <c r="CE199" s="215"/>
      <c r="CF199" s="215"/>
      <c r="CG199" s="215"/>
      <c r="CH199" s="215"/>
      <c r="CI199" s="215"/>
      <c r="CJ199" s="215"/>
      <c r="CK199" s="215"/>
      <c r="CL199" s="215"/>
      <c r="CM199" s="215"/>
      <c r="CN199" s="215"/>
      <c r="CO199" s="215"/>
      <c r="CP199" s="219">
        <f>+IF(BD_MO[[#This Row],[FECHA]]&lt;&gt;"",BD_MO[[#This Row],[PUNTAL 4"]]+BD_MO[[#This Row],[PUNTAL 5"]]+BD_MO[[#This Row],[PUNTAL 6"]]+BD_MO[[#This Row],[PUNTAL 7"]]+BD_MO[[#This Row],[PUNTAL 8"]],"")</f>
        <v>0</v>
      </c>
      <c r="CQ199" s="215"/>
      <c r="CR199" s="215"/>
      <c r="CS199" s="215"/>
      <c r="CT199" s="215"/>
      <c r="CU199" s="215"/>
      <c r="CV199" s="215"/>
      <c r="CW199" s="215"/>
      <c r="CX199" s="215">
        <v>2</v>
      </c>
      <c r="CY199" s="219"/>
      <c r="CZ199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199" s="219">
        <f>+IF(BD_MO[[#This Row],[FECHA]]&lt;&gt;"",BD_MO[[#This Row],[DURMIENTE2]]*6.561+BD_MO[[#This Row],[LISTONES]]*4.921+BD_MO[[#This Row],[TABLA 1"x8"x3m]]*6.561+BD_MO[[#This Row],[TABLA 2"x8"x3m]]*13.122,"")</f>
        <v>26.244</v>
      </c>
      <c r="DB199" s="219">
        <f>+IF(BD_MO[[#This Row],[FECHA]]&lt;&gt;"",BD_MO[[#This Row],[PIE2 MADERA ASERRADA]]*1.95,"")</f>
        <v>51.175799999999995</v>
      </c>
      <c r="DC199" s="219">
        <f>+IF(BD_MO[[#This Row],[FECHA]]&lt;&gt;"",BD_MO[[#This Row],[KG. MADERA REDONDA]]+BD_MO[[#This Row],[KG MADERA ASERRADA]],"")</f>
        <v>51.175799999999995</v>
      </c>
      <c r="DD199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30.44</v>
      </c>
      <c r="DE199" s="215"/>
      <c r="DF199" s="215"/>
      <c r="DG199" s="215"/>
      <c r="DH199" s="215"/>
      <c r="DI199" s="222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199" s="222"/>
      <c r="DK199" s="222"/>
      <c r="DL199" s="222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17.5</v>
      </c>
      <c r="DM199" s="222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18.2</v>
      </c>
      <c r="DN199" s="222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199" s="197">
        <f>0.24*BD_MO[[#This Row],[N° TALADROS]]</f>
        <v>18</v>
      </c>
      <c r="DP199" s="222">
        <f>+IF(BD_MO[[#This Row],[M o D]]&lt;&gt;"",IF(BD_MO[[#This Row],[M o D]]="M",BD_MO[[#This Row],[ROTURA TMH]]/2.65,BD_MO[[#This Row],[ROTURA TMH]]/2.4),"")</f>
        <v>6.7924528301886795</v>
      </c>
      <c r="DQ199" s="222">
        <v>0</v>
      </c>
      <c r="DR199" s="116" t="str">
        <f>IF(BD_MO[[#This Row],[TIPO AVANCE]]="Avance",((BD_MO[[#This Row],[AVANCE (m)]]/BD_MO[[#This Row],[AVANCE TEÓRICO]]))," ")</f>
        <v xml:space="preserve"> </v>
      </c>
    </row>
    <row r="200" spans="1:130" ht="18" customHeight="1" x14ac:dyDescent="0.25">
      <c r="A200" s="168">
        <v>44663</v>
      </c>
      <c r="B200" s="40" t="s">
        <v>10655</v>
      </c>
      <c r="C200" s="40" t="s">
        <v>10680</v>
      </c>
      <c r="D200" s="61" t="s">
        <v>12253</v>
      </c>
      <c r="E200" s="214" t="str">
        <f>LEFT(BD_MO[[#This Row],[LABOR]],2)</f>
        <v>Sn</v>
      </c>
      <c r="F200" s="46" t="s">
        <v>10950</v>
      </c>
      <c r="G200" s="215" t="s">
        <v>10648</v>
      </c>
      <c r="H200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00" s="42" t="s">
        <v>12256</v>
      </c>
      <c r="J200" s="42" t="s">
        <v>10525</v>
      </c>
      <c r="K200" s="42" t="s">
        <v>12255</v>
      </c>
      <c r="L200" s="214"/>
      <c r="M200" s="216" t="s">
        <v>10646</v>
      </c>
      <c r="N200" s="215"/>
      <c r="O200" s="93" t="s">
        <v>11910</v>
      </c>
      <c r="P200" s="93" t="s">
        <v>11912</v>
      </c>
      <c r="Q200" s="173"/>
      <c r="R200" s="217"/>
      <c r="S200" s="218" t="str">
        <f>IFERROR(VLOOKUP(BD_MO[DNI 4],#REF!,2,FALSE)," ")</f>
        <v xml:space="preserve"> </v>
      </c>
      <c r="T200" s="219">
        <f>+IF(BD_MO[[#This Row],[FECHA]]&lt;&gt;"",COUNTA(BD_MO[[#This Row],[DNI]],BD_MO[[#This Row],[DNI 2]],BD_MO[[#This Row],[DNI 3]],BD_MO[[#This Row],[DNI 4]]),"")</f>
        <v>2</v>
      </c>
      <c r="U200" s="219">
        <v>0.5</v>
      </c>
      <c r="V200" s="219">
        <v>0.5</v>
      </c>
      <c r="W200" s="219">
        <v>0.4</v>
      </c>
      <c r="X200" s="219">
        <v>0.6</v>
      </c>
      <c r="Y200" s="177">
        <f>SUM(BD_MO[[#This Row],[LIMP]:[SERV]])</f>
        <v>2</v>
      </c>
      <c r="Z200" s="46" t="s">
        <v>12258</v>
      </c>
      <c r="AA200" s="215">
        <f>+IF(BD_MO[[#This Row],[N° VALE]]&lt;&gt;"",1,"")</f>
        <v>1</v>
      </c>
      <c r="AB200" s="169" t="s">
        <v>10709</v>
      </c>
      <c r="AC200" s="215">
        <v>5</v>
      </c>
      <c r="AD200" s="215">
        <f>+IF(BD_MO[[#This Row],[N° VALE]]&lt;&gt;"",BD_MO[[#This Row],[FULMINANTE N° 08]]+BD_MO[CARMEX 7''],"")</f>
        <v>55</v>
      </c>
      <c r="AE200" s="215">
        <v>3</v>
      </c>
      <c r="AF200" s="215">
        <f>+IF(BD_MO[[#This Row],[N° VALE]]&lt;&gt;"",BD_MO[[#This Row],[N° TALADROS]]+BD_MO[[#This Row],[N° TAL. VACIOS]],"")</f>
        <v>58</v>
      </c>
      <c r="AG200" s="220">
        <v>65</v>
      </c>
      <c r="AH200" s="220">
        <v>55</v>
      </c>
      <c r="AI200" s="220"/>
      <c r="AJ200" s="220"/>
      <c r="AK200" s="220">
        <v>55</v>
      </c>
      <c r="AL200" s="220">
        <v>5</v>
      </c>
      <c r="AM200" s="214"/>
      <c r="AN200" s="21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00" s="215">
        <f>+IF(BD_MO[[#This Row],[N° VALE]]&lt;&gt;"",IF(BD_MO[[#This Row],[FULMINANTE N° 08]]&lt;&gt;"",BD_MO[[#This Row],[FULMINANTE N° 08]],IF(BD_MO[[#This Row],[CARMEX 7'']]&lt;&gt;0,0,"")),"")</f>
        <v>0</v>
      </c>
      <c r="AP200" s="219">
        <f>+IF(BD_MO[[#This Row],[N° VALE]]&lt;&gt;"",BD_MO[[#This Row],[N°  TOTAL TALADROS]]*BD_MO[[#This Row],[BARRA]]*0.95,"")</f>
        <v>275.5</v>
      </c>
      <c r="AQ200" s="219">
        <f>+IF(BD_MO[[#This Row],[N° VALE]]&lt;&gt;"",BD_MO[[#This Row],[EMULNOR 1000 (N° CART.)]]*PE_EMUL_1000[PE],"")</f>
        <v>5.2085000000000008</v>
      </c>
      <c r="AR200" s="219">
        <f>+IF(BD_MO[[#This Row],[N° VALE]]&lt;&gt;"",BD_MO[[#This Row],[EMULNOR 3000 (N° CART.)]]*PE_EMUL_3000[PE],"")</f>
        <v>6.2500000000000027</v>
      </c>
      <c r="AS200" s="219">
        <f>+IF(BD_MO[[#This Row],[N° VALE]]&lt;&gt;"",BD_MO[[#This Row],[PULVERULENTA (N° CART.)]]*PE_PULV_65[PE],"")</f>
        <v>0</v>
      </c>
      <c r="AT200" s="219">
        <f>+IF(BD_MO[[#This Row],[N° DISP]]&lt;&gt;"",BD_MO[[#This Row],[SEMIGELATINA (N° CART.)]]*PE_SEMIGEL_65[PE],"")</f>
        <v>0</v>
      </c>
      <c r="AU200" s="219">
        <f>+IF(BD_MO[N° VALE]&lt;&gt;"",BD_MO[[#This Row],[KG EXPLO SEMIGEL]]+BD_MO[[#This Row],[KG EXPLO PULVE]]+BD_MO[[#This Row],[KG EXPLO EMULN 3000]]+BD_MO[[#This Row],[KG EXPLO EMULN 1000]],"")</f>
        <v>11.458500000000004</v>
      </c>
      <c r="AV200" s="215"/>
      <c r="AW200" s="215"/>
      <c r="AX200" s="215" t="str">
        <f>+IF(BD_MO[[#This Row],[MINERAL (U-35)]]&lt;&gt;"",BD_MO[[#This Row],[MINERAL (U-35)]]*1.45,"-")</f>
        <v>-</v>
      </c>
      <c r="AY200" s="215" t="str">
        <f>+IF(BD_MO[[#This Row],[DESMONTE (U-35)]]&lt;&gt;"",BD_MO[[#This Row],[DESMONTE (U-35)]]*1.23,"-")</f>
        <v>-</v>
      </c>
      <c r="AZ200" s="215"/>
      <c r="BA200" s="215"/>
      <c r="BB200" s="215"/>
      <c r="BC200" s="215"/>
      <c r="BD200" s="215"/>
      <c r="BE200" s="215"/>
      <c r="BF200" s="215"/>
      <c r="BG200" s="215"/>
      <c r="BH200" s="215"/>
      <c r="BI200" s="215">
        <v>1</v>
      </c>
      <c r="BJ200" s="215"/>
      <c r="BK200" s="215"/>
      <c r="BL200" s="215"/>
      <c r="BM200" s="215"/>
      <c r="BN200" s="214">
        <v>3</v>
      </c>
      <c r="BO200" s="215"/>
      <c r="BP200" s="215"/>
      <c r="BQ200" s="214"/>
      <c r="BR200" s="215"/>
      <c r="BS200" s="214"/>
      <c r="BT200" s="219"/>
      <c r="BU200" s="215"/>
      <c r="BV200" s="215"/>
      <c r="BW200" s="215"/>
      <c r="BX200" s="215"/>
      <c r="BY200" s="215"/>
      <c r="BZ200" s="215"/>
      <c r="CA200" s="215"/>
      <c r="CB200" s="215"/>
      <c r="CC200" s="215"/>
      <c r="CD200" s="215"/>
      <c r="CE200" s="215">
        <v>1</v>
      </c>
      <c r="CF200" s="215"/>
      <c r="CG200" s="215"/>
      <c r="CH200" s="215"/>
      <c r="CI200" s="215"/>
      <c r="CJ200" s="215"/>
      <c r="CK200" s="215"/>
      <c r="CL200" s="215"/>
      <c r="CM200" s="215"/>
      <c r="CN200" s="215"/>
      <c r="CO200" s="215"/>
      <c r="CP200" s="219">
        <f>+IF(BD_MO[[#This Row],[FECHA]]&lt;&gt;"",BD_MO[[#This Row],[PUNTAL 4"]]+BD_MO[[#This Row],[PUNTAL 5"]]+BD_MO[[#This Row],[PUNTAL 6"]]+BD_MO[[#This Row],[PUNTAL 7"]]+BD_MO[[#This Row],[PUNTAL 8"]],"")</f>
        <v>0</v>
      </c>
      <c r="CQ200" s="215"/>
      <c r="CR200" s="215"/>
      <c r="CS200" s="215"/>
      <c r="CT200" s="215"/>
      <c r="CU200" s="215">
        <v>1</v>
      </c>
      <c r="CV200" s="215"/>
      <c r="CW200" s="215"/>
      <c r="CX200" s="215">
        <v>7</v>
      </c>
      <c r="CY200" s="219"/>
      <c r="CZ200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00" s="219">
        <f>+IF(BD_MO[[#This Row],[FECHA]]&lt;&gt;"",BD_MO[[#This Row],[DURMIENTE2]]*6.561+BD_MO[[#This Row],[LISTONES]]*4.921+BD_MO[[#This Row],[TABLA 1"x8"x3m]]*6.561+BD_MO[[#This Row],[TABLA 2"x8"x3m]]*13.122,"")</f>
        <v>91.853999999999999</v>
      </c>
      <c r="DB200" s="219">
        <f>+IF(BD_MO[[#This Row],[FECHA]]&lt;&gt;"",BD_MO[[#This Row],[PIE2 MADERA ASERRADA]]*1.95,"")</f>
        <v>179.11529999999999</v>
      </c>
      <c r="DC200" s="219">
        <f>+IF(BD_MO[[#This Row],[FECHA]]&lt;&gt;"",BD_MO[[#This Row],[KG. MADERA REDONDA]]+BD_MO[[#This Row],[KG MADERA ASERRADA]],"")</f>
        <v>179.11529999999999</v>
      </c>
      <c r="DD200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144.68</v>
      </c>
      <c r="DE200" s="215"/>
      <c r="DF200" s="215"/>
      <c r="DG200" s="215"/>
      <c r="DH200" s="215"/>
      <c r="DI200" s="222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200" s="222"/>
      <c r="DK200" s="222"/>
      <c r="DL200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00" s="222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00" s="222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00" s="197">
        <v>24.75</v>
      </c>
      <c r="DP200" s="222">
        <f>+IF(BD_MO[[#This Row],[M o D]]&lt;&gt;"",IF(BD_MO[[#This Row],[M o D]]="M",BD_MO[[#This Row],[ROTURA TMH]]/2.65,BD_MO[[#This Row],[ROTURA TMH]]/2.4),"")</f>
        <v>9.3396226415094343</v>
      </c>
      <c r="DQ200" s="222">
        <v>1.516</v>
      </c>
      <c r="DR200" s="116">
        <f>IF(BD_MO[[#This Row],[TIPO AVANCE]]="Avance",((BD_MO[[#This Row],[AVANCE (m)]]/BD_MO[[#This Row],[AVANCE TEÓRICO]]))," ")</f>
        <v>1.1229629629629629</v>
      </c>
    </row>
    <row r="201" spans="1:130" ht="18" customHeight="1" x14ac:dyDescent="0.25">
      <c r="A201" s="168">
        <v>44663</v>
      </c>
      <c r="B201" s="40" t="s">
        <v>10655</v>
      </c>
      <c r="C201" s="40" t="s">
        <v>10680</v>
      </c>
      <c r="D201" s="61" t="s">
        <v>11928</v>
      </c>
      <c r="E201" s="214" t="str">
        <f>LEFT(BD_MO[[#This Row],[LABOR]],2)</f>
        <v>Tj</v>
      </c>
      <c r="F201" s="215"/>
      <c r="G201" s="215" t="s">
        <v>10656</v>
      </c>
      <c r="H201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201" s="214" t="str">
        <f>IF(BD_MO[FECHA]&lt;&gt;"",VLOOKUP(BD_MO[LABOR],TB_CECO[[LABOR]:[CECO_T]],3,FALSE),"")</f>
        <v>ESCONDIDA</v>
      </c>
      <c r="J201" s="214" t="str">
        <f>IF(BD_MO[FECHA]&lt;&gt;"",VLOOKUP(BD_MO[LABOR],D_CECO!B:H,7,FALSE),"")</f>
        <v>TAJO</v>
      </c>
      <c r="K201" s="214" t="str">
        <f>IF(BD_MO[FECHA]&lt;&gt;"",VLOOKUP(BD_MO[LABOR],D_CECO!B:H,4,FALSE),"")</f>
        <v>EXPLOTACION</v>
      </c>
      <c r="L201" s="214"/>
      <c r="M201" s="216"/>
      <c r="N201" s="215"/>
      <c r="O201" s="93" t="s">
        <v>11911</v>
      </c>
      <c r="P201" s="93" t="s">
        <v>11913</v>
      </c>
      <c r="Q201" s="173"/>
      <c r="R201" s="217"/>
      <c r="S201" s="218" t="str">
        <f>IFERROR(VLOOKUP(BD_MO[DNI 4],#REF!,2,FALSE)," ")</f>
        <v xml:space="preserve"> </v>
      </c>
      <c r="T201" s="219">
        <f>+IF(BD_MO[[#This Row],[FECHA]]&lt;&gt;"",COUNTA(BD_MO[[#This Row],[DNI]],BD_MO[[#This Row],[DNI 2]],BD_MO[[#This Row],[DNI 3]],BD_MO[[#This Row],[DNI 4]]),"")</f>
        <v>2</v>
      </c>
      <c r="U201" s="219">
        <v>1.4</v>
      </c>
      <c r="V201" s="219"/>
      <c r="W201" s="219"/>
      <c r="X201" s="219">
        <v>0.6</v>
      </c>
      <c r="Y201" s="177">
        <f>SUM(BD_MO[[#This Row],[LIMP]:[SERV]])</f>
        <v>2</v>
      </c>
      <c r="Z201" s="215"/>
      <c r="AA201" s="215" t="str">
        <f>+IF(BD_MO[[#This Row],[N° VALE]]&lt;&gt;"",1,"")</f>
        <v/>
      </c>
      <c r="AB201" s="169"/>
      <c r="AC201" s="215"/>
      <c r="AD201" s="215" t="str">
        <f>+IF(BD_MO[[#This Row],[N° VALE]]&lt;&gt;"",BD_MO[[#This Row],[FULMINANTE N° 08]]+BD_MO[CARMEX 7''],"")</f>
        <v/>
      </c>
      <c r="AE201" s="215"/>
      <c r="AF201" s="215" t="str">
        <f>+IF(BD_MO[[#This Row],[N° VALE]]&lt;&gt;"",BD_MO[[#This Row],[N° TALADROS]]+BD_MO[[#This Row],[N° TAL. VACIOS]],"")</f>
        <v/>
      </c>
      <c r="AG201" s="220"/>
      <c r="AH201" s="220"/>
      <c r="AI201" s="220"/>
      <c r="AJ201" s="220"/>
      <c r="AK201" s="220"/>
      <c r="AL201" s="220"/>
      <c r="AM201" s="214"/>
      <c r="AN201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01" s="215" t="str">
        <f>+IF(BD_MO[[#This Row],[N° VALE]]&lt;&gt;"",IF(BD_MO[[#This Row],[FULMINANTE N° 08]]&lt;&gt;"",BD_MO[[#This Row],[FULMINANTE N° 08]],IF(BD_MO[[#This Row],[CARMEX 7'']]&lt;&gt;0,0,"")),"")</f>
        <v/>
      </c>
      <c r="AP201" s="219" t="str">
        <f>+IF(BD_MO[[#This Row],[N° VALE]]&lt;&gt;"",BD_MO[[#This Row],[N°  TOTAL TALADROS]]*BD_MO[[#This Row],[BARRA]]*0.95,"")</f>
        <v/>
      </c>
      <c r="AQ201" s="219" t="str">
        <f>+IF(BD_MO[[#This Row],[N° VALE]]&lt;&gt;"",BD_MO[[#This Row],[EMULNOR 1000 (N° CART.)]]*PE_EMUL_1000[PE],"")</f>
        <v/>
      </c>
      <c r="AR201" s="219" t="str">
        <f>+IF(BD_MO[[#This Row],[N° VALE]]&lt;&gt;"",BD_MO[[#This Row],[EMULNOR 3000 (N° CART.)]]*PE_EMUL_3000[PE],"")</f>
        <v/>
      </c>
      <c r="AS201" s="219" t="str">
        <f>+IF(BD_MO[[#This Row],[N° VALE]]&lt;&gt;"",BD_MO[[#This Row],[PULVERULENTA (N° CART.)]]*PE_PULV_65[PE],"")</f>
        <v/>
      </c>
      <c r="AT201" s="219" t="str">
        <f>+IF(BD_MO[[#This Row],[N° DISP]]&lt;&gt;"",BD_MO[[#This Row],[SEMIGELATINA (N° CART.)]]*PE_SEMIGEL_65[PE],"")</f>
        <v/>
      </c>
      <c r="AU201" s="219" t="str">
        <f>+IF(BD_MO[N° VALE]&lt;&gt;"",BD_MO[[#This Row],[KG EXPLO SEMIGEL]]+BD_MO[[#This Row],[KG EXPLO PULVE]]+BD_MO[[#This Row],[KG EXPLO EMULN 3000]]+BD_MO[[#This Row],[KG EXPLO EMULN 1000]],"")</f>
        <v/>
      </c>
      <c r="AV201" s="215">
        <v>7</v>
      </c>
      <c r="AW201" s="215"/>
      <c r="AX201" s="215">
        <f>+IF(BD_MO[[#This Row],[MINERAL (U-35)]]&lt;&gt;"",BD_MO[[#This Row],[MINERAL (U-35)]]*1.45,"-")</f>
        <v>10.15</v>
      </c>
      <c r="AY201" s="215" t="str">
        <f>+IF(BD_MO[[#This Row],[DESMONTE (U-35)]]&lt;&gt;"",BD_MO[[#This Row],[DESMONTE (U-35)]]*1.23,"-")</f>
        <v>-</v>
      </c>
      <c r="AZ201" s="215"/>
      <c r="BA201" s="215"/>
      <c r="BB201" s="215"/>
      <c r="BC201" s="215"/>
      <c r="BD201" s="215"/>
      <c r="BE201" s="215"/>
      <c r="BF201" s="215"/>
      <c r="BG201" s="215"/>
      <c r="BH201" s="215"/>
      <c r="BI201" s="215"/>
      <c r="BJ201" s="215"/>
      <c r="BK201" s="215"/>
      <c r="BL201" s="215"/>
      <c r="BM201" s="215"/>
      <c r="BN201" s="214"/>
      <c r="BO201" s="215"/>
      <c r="BP201" s="215"/>
      <c r="BQ201" s="214"/>
      <c r="BR201" s="215"/>
      <c r="BS201" s="214"/>
      <c r="BT201" s="219"/>
      <c r="BU201" s="215"/>
      <c r="BV201" s="215"/>
      <c r="BW201" s="215"/>
      <c r="BX201" s="215"/>
      <c r="BY201" s="215"/>
      <c r="BZ201" s="215"/>
      <c r="CA201" s="215"/>
      <c r="CB201" s="215"/>
      <c r="CC201" s="215"/>
      <c r="CD201" s="215"/>
      <c r="CE201" s="215"/>
      <c r="CF201" s="215"/>
      <c r="CG201" s="215"/>
      <c r="CH201" s="215"/>
      <c r="CI201" s="215"/>
      <c r="CJ201" s="215"/>
      <c r="CK201" s="215"/>
      <c r="CL201" s="215"/>
      <c r="CM201" s="215"/>
      <c r="CN201" s="215"/>
      <c r="CO201" s="215"/>
      <c r="CP201" s="219">
        <f>+IF(BD_MO[[#This Row],[FECHA]]&lt;&gt;"",BD_MO[[#This Row],[PUNTAL 4"]]+BD_MO[[#This Row],[PUNTAL 5"]]+BD_MO[[#This Row],[PUNTAL 6"]]+BD_MO[[#This Row],[PUNTAL 7"]]+BD_MO[[#This Row],[PUNTAL 8"]],"")</f>
        <v>0</v>
      </c>
      <c r="CQ201" s="215">
        <v>1</v>
      </c>
      <c r="CR201" s="215"/>
      <c r="CS201" s="215">
        <v>4</v>
      </c>
      <c r="CT201" s="215"/>
      <c r="CU201" s="215"/>
      <c r="CV201" s="215"/>
      <c r="CW201" s="215"/>
      <c r="CX201" s="215"/>
      <c r="CY201" s="219"/>
      <c r="CZ201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179.83800000000002</v>
      </c>
      <c r="DA201" s="219">
        <f>+IF(BD_MO[[#This Row],[FECHA]]&lt;&gt;"",BD_MO[[#This Row],[DURMIENTE2]]*6.561+BD_MO[[#This Row],[LISTONES]]*4.921+BD_MO[[#This Row],[TABLA 1"x8"x3m]]*6.561+BD_MO[[#This Row],[TABLA 2"x8"x3m]]*13.122,"")</f>
        <v>0</v>
      </c>
      <c r="DB201" s="219">
        <f>+IF(BD_MO[[#This Row],[FECHA]]&lt;&gt;"",BD_MO[[#This Row],[PIE2 MADERA ASERRADA]]*1.95,"")</f>
        <v>0</v>
      </c>
      <c r="DC201" s="219">
        <f>+IF(BD_MO[[#This Row],[FECHA]]&lt;&gt;"",BD_MO[[#This Row],[KG. MADERA REDONDA]]+BD_MO[[#This Row],[KG MADERA ASERRADA]],"")</f>
        <v>179.83800000000002</v>
      </c>
      <c r="DD201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95.46</v>
      </c>
      <c r="DE201" s="215"/>
      <c r="DF201" s="215"/>
      <c r="DG201" s="215"/>
      <c r="DH201" s="215"/>
      <c r="DI201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01" s="222"/>
      <c r="DK201" s="222"/>
      <c r="DL201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01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01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01" s="197"/>
      <c r="DP201" s="222" t="str">
        <f>+IF(BD_MO[[#This Row],[M o D]]&lt;&gt;"",IF(BD_MO[[#This Row],[M o D]]="M",BD_MO[[#This Row],[ROTURA TMH]]/2.65,BD_MO[[#This Row],[ROTURA TMH]]/2.4),"")</f>
        <v/>
      </c>
      <c r="DQ201" s="222"/>
      <c r="DR201" s="116" t="str">
        <f>IF(BD_MO[[#This Row],[TIPO AVANCE]]="Avance",((BD_MO[[#This Row],[AVANCE (m)]]/BD_MO[[#This Row],[AVANCE TEÓRICO]]))," ")</f>
        <v xml:space="preserve"> </v>
      </c>
    </row>
    <row r="202" spans="1:130" ht="18" customHeight="1" x14ac:dyDescent="0.25">
      <c r="A202" s="168">
        <v>44663</v>
      </c>
      <c r="B202" s="40" t="s">
        <v>10655</v>
      </c>
      <c r="C202" s="40" t="s">
        <v>10680</v>
      </c>
      <c r="D202" s="61" t="s">
        <v>12149</v>
      </c>
      <c r="E202" s="214" t="str">
        <f>LEFT(BD_MO[[#This Row],[LABOR]],2)</f>
        <v>Es</v>
      </c>
      <c r="F202" s="46" t="s">
        <v>10687</v>
      </c>
      <c r="G202" s="215" t="s">
        <v>10648</v>
      </c>
      <c r="H202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02" s="214" t="str">
        <f>IF(BD_MO[FECHA]&lt;&gt;"",VLOOKUP(BD_MO[LABOR],TB_CECO[[LABOR]:[CECO_T]],3,FALSE),"")</f>
        <v>VANESSA</v>
      </c>
      <c r="J202" s="214" t="str">
        <f>IF(BD_MO[FECHA]&lt;&gt;"",VLOOKUP(BD_MO[LABOR],D_CECO!B:H,7,FALSE),"")</f>
        <v>LINEAL</v>
      </c>
      <c r="K202" s="214" t="str">
        <f>IF(BD_MO[FECHA]&lt;&gt;"",VLOOKUP(BD_MO[LABOR],D_CECO!B:H,4,FALSE),"")</f>
        <v>EXPLORACION</v>
      </c>
      <c r="L202" s="214"/>
      <c r="M202" s="216" t="s">
        <v>10646</v>
      </c>
      <c r="N202" s="215"/>
      <c r="O202" s="93" t="s">
        <v>11904</v>
      </c>
      <c r="P202" s="173"/>
      <c r="Q202" s="173"/>
      <c r="R202" s="217"/>
      <c r="S202" s="218" t="str">
        <f>IFERROR(VLOOKUP(BD_MO[DNI 4],#REF!,2,FALSE)," ")</f>
        <v xml:space="preserve"> </v>
      </c>
      <c r="T202" s="219">
        <f>+IF(BD_MO[[#This Row],[FECHA]]&lt;&gt;"",COUNTA(BD_MO[[#This Row],[DNI]],BD_MO[[#This Row],[DNI 2]],BD_MO[[#This Row],[DNI 3]],BD_MO[[#This Row],[DNI 4]]),"")</f>
        <v>1</v>
      </c>
      <c r="U202" s="219">
        <v>1</v>
      </c>
      <c r="V202" s="219">
        <v>0.6</v>
      </c>
      <c r="W202" s="219"/>
      <c r="X202" s="219">
        <v>0.4</v>
      </c>
      <c r="Y202" s="177">
        <f>SUM(BD_MO[[#This Row],[LIMP]:[SERV]])</f>
        <v>2</v>
      </c>
      <c r="Z202" s="46" t="s">
        <v>12259</v>
      </c>
      <c r="AA202" s="215">
        <f>+IF(BD_MO[[#This Row],[N° VALE]]&lt;&gt;"",1,"")</f>
        <v>1</v>
      </c>
      <c r="AB202" s="169" t="s">
        <v>10644</v>
      </c>
      <c r="AC202" s="215">
        <v>4</v>
      </c>
      <c r="AD202" s="215">
        <f>+IF(BD_MO[[#This Row],[N° VALE]]&lt;&gt;"",BD_MO[[#This Row],[FULMINANTE N° 08]]+BD_MO[CARMEX 7''],"")</f>
        <v>6</v>
      </c>
      <c r="AE202" s="215">
        <v>3</v>
      </c>
      <c r="AF202" s="215">
        <f>+IF(BD_MO[[#This Row],[N° VALE]]&lt;&gt;"",BD_MO[[#This Row],[N° TALADROS]]+BD_MO[[#This Row],[N° TAL. VACIOS]],"")</f>
        <v>9</v>
      </c>
      <c r="AG202" s="220">
        <v>23</v>
      </c>
      <c r="AH202" s="220">
        <v>24</v>
      </c>
      <c r="AI202" s="220"/>
      <c r="AJ202" s="220"/>
      <c r="AK202" s="220">
        <v>6</v>
      </c>
      <c r="AL202" s="220">
        <v>4</v>
      </c>
      <c r="AM202" s="214"/>
      <c r="AN202" s="21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02" s="215">
        <f>+IF(BD_MO[[#This Row],[N° VALE]]&lt;&gt;"",IF(BD_MO[[#This Row],[FULMINANTE N° 08]]&lt;&gt;"",BD_MO[[#This Row],[FULMINANTE N° 08]],IF(BD_MO[[#This Row],[CARMEX 7'']]&lt;&gt;0,0,"")),"")</f>
        <v>0</v>
      </c>
      <c r="AP202" s="219">
        <f>+IF(BD_MO[[#This Row],[N° VALE]]&lt;&gt;"",BD_MO[[#This Row],[N°  TOTAL TALADROS]]*BD_MO[[#This Row],[BARRA]]*0.95,"")</f>
        <v>34.199999999999996</v>
      </c>
      <c r="AQ202" s="219">
        <f>+IF(BD_MO[[#This Row],[N° VALE]]&lt;&gt;"",BD_MO[[#This Row],[EMULNOR 1000 (N° CART.)]]*PE_EMUL_1000[PE],"")</f>
        <v>2.2728000000000002</v>
      </c>
      <c r="AR202" s="219">
        <f>+IF(BD_MO[[#This Row],[N° VALE]]&lt;&gt;"",BD_MO[[#This Row],[EMULNOR 3000 (N° CART.)]]*PE_EMUL_3000[PE],"")</f>
        <v>2.2115384615384626</v>
      </c>
      <c r="AS202" s="219">
        <f>+IF(BD_MO[[#This Row],[N° VALE]]&lt;&gt;"",BD_MO[[#This Row],[PULVERULENTA (N° CART.)]]*PE_PULV_65[PE],"")</f>
        <v>0</v>
      </c>
      <c r="AT202" s="219">
        <f>+IF(BD_MO[[#This Row],[N° DISP]]&lt;&gt;"",BD_MO[[#This Row],[SEMIGELATINA (N° CART.)]]*PE_SEMIGEL_65[PE],"")</f>
        <v>0</v>
      </c>
      <c r="AU202" s="219">
        <f>+IF(BD_MO[N° VALE]&lt;&gt;"",BD_MO[[#This Row],[KG EXPLO SEMIGEL]]+BD_MO[[#This Row],[KG EXPLO PULVE]]+BD_MO[[#This Row],[KG EXPLO EMULN 3000]]+BD_MO[[#This Row],[KG EXPLO EMULN 1000]],"")</f>
        <v>4.4843384615384627</v>
      </c>
      <c r="AV202" s="215"/>
      <c r="AW202" s="215">
        <v>8</v>
      </c>
      <c r="AX202" s="215" t="str">
        <f>+IF(BD_MO[[#This Row],[MINERAL (U-35)]]&lt;&gt;"",BD_MO[[#This Row],[MINERAL (U-35)]]*1.45,"-")</f>
        <v>-</v>
      </c>
      <c r="AY202" s="215">
        <f>+IF(BD_MO[[#This Row],[DESMONTE (U-35)]]&lt;&gt;"",BD_MO[[#This Row],[DESMONTE (U-35)]]*1.23,"-")</f>
        <v>9.84</v>
      </c>
      <c r="AZ202" s="215"/>
      <c r="BA202" s="215"/>
      <c r="BB202" s="215"/>
      <c r="BC202" s="215"/>
      <c r="BD202" s="215"/>
      <c r="BE202" s="215"/>
      <c r="BF202" s="215"/>
      <c r="BG202" s="215"/>
      <c r="BH202" s="215"/>
      <c r="BI202" s="215"/>
      <c r="BJ202" s="215"/>
      <c r="BK202" s="215"/>
      <c r="BL202" s="215"/>
      <c r="BM202" s="215"/>
      <c r="BN202" s="214"/>
      <c r="BO202" s="215"/>
      <c r="BP202" s="215"/>
      <c r="BQ202" s="214"/>
      <c r="BR202" s="215"/>
      <c r="BS202" s="214"/>
      <c r="BT202" s="219"/>
      <c r="BU202" s="215"/>
      <c r="BV202" s="215"/>
      <c r="BW202" s="215"/>
      <c r="BX202" s="215"/>
      <c r="BY202" s="215"/>
      <c r="BZ202" s="215"/>
      <c r="CA202" s="215"/>
      <c r="CB202" s="215"/>
      <c r="CC202" s="215"/>
      <c r="CD202" s="215"/>
      <c r="CE202" s="215"/>
      <c r="CF202" s="215"/>
      <c r="CG202" s="215"/>
      <c r="CH202" s="215"/>
      <c r="CI202" s="215"/>
      <c r="CJ202" s="215"/>
      <c r="CK202" s="215"/>
      <c r="CL202" s="215"/>
      <c r="CM202" s="215"/>
      <c r="CN202" s="215"/>
      <c r="CO202" s="215"/>
      <c r="CP202" s="219">
        <f>+IF(BD_MO[[#This Row],[FECHA]]&lt;&gt;"",BD_MO[[#This Row],[PUNTAL 4"]]+BD_MO[[#This Row],[PUNTAL 5"]]+BD_MO[[#This Row],[PUNTAL 6"]]+BD_MO[[#This Row],[PUNTAL 7"]]+BD_MO[[#This Row],[PUNTAL 8"]],"")</f>
        <v>0</v>
      </c>
      <c r="CQ202" s="215"/>
      <c r="CR202" s="215"/>
      <c r="CS202" s="215"/>
      <c r="CT202" s="215"/>
      <c r="CU202" s="215"/>
      <c r="CV202" s="215"/>
      <c r="CW202" s="215"/>
      <c r="CX202" s="215"/>
      <c r="CY202" s="219"/>
      <c r="CZ202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02" s="219">
        <f>+IF(BD_MO[[#This Row],[FECHA]]&lt;&gt;"",BD_MO[[#This Row],[DURMIENTE2]]*6.561+BD_MO[[#This Row],[LISTONES]]*4.921+BD_MO[[#This Row],[TABLA 1"x8"x3m]]*6.561+BD_MO[[#This Row],[TABLA 2"x8"x3m]]*13.122,"")</f>
        <v>0</v>
      </c>
      <c r="DB202" s="219">
        <f>+IF(BD_MO[[#This Row],[FECHA]]&lt;&gt;"",BD_MO[[#This Row],[PIE2 MADERA ASERRADA]]*1.95,"")</f>
        <v>0</v>
      </c>
      <c r="DC202" s="219">
        <f>+IF(BD_MO[[#This Row],[FECHA]]&lt;&gt;"",BD_MO[[#This Row],[KG. MADERA REDONDA]]+BD_MO[[#This Row],[KG MADERA ASERRADA]],"")</f>
        <v>0</v>
      </c>
      <c r="DD202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02" s="215"/>
      <c r="DF202" s="215"/>
      <c r="DG202" s="215"/>
      <c r="DH202" s="215"/>
      <c r="DI202" s="222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02" s="222"/>
      <c r="DK202" s="222"/>
      <c r="DL202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02" s="222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02" s="222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02" s="181">
        <f>0.3154597*BD_MO[[#This Row],[N°  TOTAL TALADROS]]</f>
        <v>2.8391373</v>
      </c>
      <c r="DP202" s="222">
        <f>+IF(BD_MO[[#This Row],[M o D]]&lt;&gt;"",IF(BD_MO[[#This Row],[M o D]]="M",BD_MO[[#This Row],[ROTURA TMH]]/2.65,BD_MO[[#This Row],[ROTURA TMH]]/2.4),"")</f>
        <v>1.1829738750000001</v>
      </c>
      <c r="DQ202" s="180">
        <v>1.1200000000000001</v>
      </c>
      <c r="DR202" s="116">
        <f>IF(BD_MO[[#This Row],[TIPO AVANCE]]="Avance",((BD_MO[[#This Row],[AVANCE (m)]]/BD_MO[[#This Row],[AVANCE TEÓRICO]]))," ")</f>
        <v>1.037037037037037</v>
      </c>
    </row>
    <row r="203" spans="1:130" ht="18" customHeight="1" x14ac:dyDescent="0.25">
      <c r="A203" s="168">
        <v>44663</v>
      </c>
      <c r="B203" s="40" t="s">
        <v>10655</v>
      </c>
      <c r="C203" s="40" t="s">
        <v>10680</v>
      </c>
      <c r="D203" s="61" t="s">
        <v>12149</v>
      </c>
      <c r="E203" s="214" t="str">
        <f>LEFT(BD_MO[[#This Row],[LABOR]],2)</f>
        <v>Es</v>
      </c>
      <c r="F203" s="46" t="s">
        <v>10687</v>
      </c>
      <c r="G203" s="215" t="s">
        <v>10648</v>
      </c>
      <c r="H203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03" s="214" t="str">
        <f>IF(BD_MO[FECHA]&lt;&gt;"",VLOOKUP(BD_MO[LABOR],TB_CECO[[LABOR]:[CECO_T]],3,FALSE),"")</f>
        <v>VANESSA</v>
      </c>
      <c r="J203" s="214" t="str">
        <f>IF(BD_MO[FECHA]&lt;&gt;"",VLOOKUP(BD_MO[LABOR],D_CECO!B:H,7,FALSE),"")</f>
        <v>LINEAL</v>
      </c>
      <c r="K203" s="214" t="str">
        <f>IF(BD_MO[FECHA]&lt;&gt;"",VLOOKUP(BD_MO[LABOR],D_CECO!B:H,4,FALSE),"")</f>
        <v>EXPLORACION</v>
      </c>
      <c r="L203" s="214"/>
      <c r="M203" s="216" t="s">
        <v>10646</v>
      </c>
      <c r="N203" s="215"/>
      <c r="O203" s="93" t="s">
        <v>11926</v>
      </c>
      <c r="P203" s="173"/>
      <c r="Q203" s="173"/>
      <c r="R203" s="217"/>
      <c r="S203" s="218" t="str">
        <f>IFERROR(VLOOKUP(BD_MO[DNI 4],#REF!,2,FALSE)," ")</f>
        <v xml:space="preserve"> </v>
      </c>
      <c r="T203" s="219">
        <f>+IF(BD_MO[[#This Row],[FECHA]]&lt;&gt;"",COUNTA(BD_MO[[#This Row],[DNI]],BD_MO[[#This Row],[DNI 2]],BD_MO[[#This Row],[DNI 3]],BD_MO[[#This Row],[DNI 4]]),"")</f>
        <v>1</v>
      </c>
      <c r="U203" s="219"/>
      <c r="V203" s="219"/>
      <c r="W203" s="219"/>
      <c r="X203" s="24">
        <v>1</v>
      </c>
      <c r="Y203" s="177">
        <f>SUM(BD_MO[[#This Row],[LIMP]:[SERV]])</f>
        <v>1</v>
      </c>
      <c r="Z203" s="46" t="s">
        <v>12260</v>
      </c>
      <c r="AA203" s="215">
        <f>+IF(BD_MO[[#This Row],[N° VALE]]&lt;&gt;"",1,"")</f>
        <v>1</v>
      </c>
      <c r="AB203" s="169" t="s">
        <v>10644</v>
      </c>
      <c r="AC203" s="215">
        <v>4</v>
      </c>
      <c r="AD203" s="215">
        <f>+IF(BD_MO[[#This Row],[N° VALE]]&lt;&gt;"",BD_MO[[#This Row],[FULMINANTE N° 08]]+BD_MO[CARMEX 7''],"")</f>
        <v>18</v>
      </c>
      <c r="AE203" s="215">
        <v>3</v>
      </c>
      <c r="AF203" s="215">
        <f>+IF(BD_MO[[#This Row],[N° VALE]]&lt;&gt;"",BD_MO[[#This Row],[N° TALADROS]]+BD_MO[[#This Row],[N° TAL. VACIOS]],"")</f>
        <v>21</v>
      </c>
      <c r="AG203" s="220">
        <v>41</v>
      </c>
      <c r="AH203" s="220">
        <v>41</v>
      </c>
      <c r="AI203" s="220"/>
      <c r="AJ203" s="220"/>
      <c r="AK203" s="220">
        <v>18</v>
      </c>
      <c r="AL203" s="220">
        <v>4</v>
      </c>
      <c r="AM203" s="214"/>
      <c r="AN203" s="21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03" s="215">
        <f>+IF(BD_MO[[#This Row],[N° VALE]]&lt;&gt;"",IF(BD_MO[[#This Row],[FULMINANTE N° 08]]&lt;&gt;"",BD_MO[[#This Row],[FULMINANTE N° 08]],IF(BD_MO[[#This Row],[CARMEX 7'']]&lt;&gt;0,0,"")),"")</f>
        <v>0</v>
      </c>
      <c r="AP203" s="219">
        <f>+IF(BD_MO[[#This Row],[N° VALE]]&lt;&gt;"",BD_MO[[#This Row],[N°  TOTAL TALADROS]]*BD_MO[[#This Row],[BARRA]]*0.95,"")</f>
        <v>79.8</v>
      </c>
      <c r="AQ203" s="219">
        <f>+IF(BD_MO[[#This Row],[N° VALE]]&lt;&gt;"",BD_MO[[#This Row],[EMULNOR 1000 (N° CART.)]]*PE_EMUL_1000[PE],"")</f>
        <v>3.8827000000000003</v>
      </c>
      <c r="AR203" s="219">
        <f>+IF(BD_MO[[#This Row],[N° VALE]]&lt;&gt;"",BD_MO[[#This Row],[EMULNOR 3000 (N° CART.)]]*PE_EMUL_3000[PE],"")</f>
        <v>3.9423076923076943</v>
      </c>
      <c r="AS203" s="219">
        <f>+IF(BD_MO[[#This Row],[N° VALE]]&lt;&gt;"",BD_MO[[#This Row],[PULVERULENTA (N° CART.)]]*PE_PULV_65[PE],"")</f>
        <v>0</v>
      </c>
      <c r="AT203" s="219">
        <f>+IF(BD_MO[[#This Row],[N° DISP]]&lt;&gt;"",BD_MO[[#This Row],[SEMIGELATINA (N° CART.)]]*PE_SEMIGEL_65[PE],"")</f>
        <v>0</v>
      </c>
      <c r="AU203" s="219">
        <f>+IF(BD_MO[N° VALE]&lt;&gt;"",BD_MO[[#This Row],[KG EXPLO SEMIGEL]]+BD_MO[[#This Row],[KG EXPLO PULVE]]+BD_MO[[#This Row],[KG EXPLO EMULN 3000]]+BD_MO[[#This Row],[KG EXPLO EMULN 1000]],"")</f>
        <v>7.825007692307695</v>
      </c>
      <c r="AV203" s="215"/>
      <c r="AW203" s="215"/>
      <c r="AX203" s="215" t="str">
        <f>+IF(BD_MO[[#This Row],[MINERAL (U-35)]]&lt;&gt;"",BD_MO[[#This Row],[MINERAL (U-35)]]*1.45,"-")</f>
        <v>-</v>
      </c>
      <c r="AY203" s="215" t="str">
        <f>+IF(BD_MO[[#This Row],[DESMONTE (U-35)]]&lt;&gt;"",BD_MO[[#This Row],[DESMONTE (U-35)]]*1.23,"-")</f>
        <v>-</v>
      </c>
      <c r="AZ203" s="215"/>
      <c r="BA203" s="215"/>
      <c r="BB203" s="215"/>
      <c r="BC203" s="215"/>
      <c r="BD203" s="215"/>
      <c r="BE203" s="215"/>
      <c r="BF203" s="215"/>
      <c r="BG203" s="215"/>
      <c r="BH203" s="215"/>
      <c r="BI203" s="215"/>
      <c r="BJ203" s="215"/>
      <c r="BK203" s="215"/>
      <c r="BL203" s="215"/>
      <c r="BM203" s="215"/>
      <c r="BN203" s="214"/>
      <c r="BO203" s="215"/>
      <c r="BP203" s="215"/>
      <c r="BQ203" s="214"/>
      <c r="BR203" s="215"/>
      <c r="BS203" s="214"/>
      <c r="BT203" s="219"/>
      <c r="BU203" s="215"/>
      <c r="BV203" s="215"/>
      <c r="BW203" s="215"/>
      <c r="BX203" s="215"/>
      <c r="BY203" s="215"/>
      <c r="BZ203" s="215"/>
      <c r="CA203" s="215"/>
      <c r="CB203" s="215"/>
      <c r="CC203" s="215"/>
      <c r="CD203" s="215"/>
      <c r="CE203" s="215"/>
      <c r="CF203" s="215"/>
      <c r="CG203" s="215"/>
      <c r="CH203" s="215"/>
      <c r="CI203" s="215"/>
      <c r="CJ203" s="215"/>
      <c r="CK203" s="215"/>
      <c r="CL203" s="215"/>
      <c r="CM203" s="215"/>
      <c r="CN203" s="215"/>
      <c r="CO203" s="215"/>
      <c r="CP203" s="219">
        <f>+IF(BD_MO[[#This Row],[FECHA]]&lt;&gt;"",BD_MO[[#This Row],[PUNTAL 4"]]+BD_MO[[#This Row],[PUNTAL 5"]]+BD_MO[[#This Row],[PUNTAL 6"]]+BD_MO[[#This Row],[PUNTAL 7"]]+BD_MO[[#This Row],[PUNTAL 8"]],"")</f>
        <v>0</v>
      </c>
      <c r="CQ203" s="215"/>
      <c r="CR203" s="215"/>
      <c r="CS203" s="215"/>
      <c r="CT203" s="215"/>
      <c r="CU203" s="215"/>
      <c r="CV203" s="215"/>
      <c r="CW203" s="215"/>
      <c r="CX203" s="215"/>
      <c r="CY203" s="219"/>
      <c r="CZ203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03" s="219">
        <f>+IF(BD_MO[[#This Row],[FECHA]]&lt;&gt;"",BD_MO[[#This Row],[DURMIENTE2]]*6.561+BD_MO[[#This Row],[LISTONES]]*4.921+BD_MO[[#This Row],[TABLA 1"x8"x3m]]*6.561+BD_MO[[#This Row],[TABLA 2"x8"x3m]]*13.122,"")</f>
        <v>0</v>
      </c>
      <c r="DB203" s="219">
        <f>+IF(BD_MO[[#This Row],[FECHA]]&lt;&gt;"",BD_MO[[#This Row],[PIE2 MADERA ASERRADA]]*1.95,"")</f>
        <v>0</v>
      </c>
      <c r="DC203" s="219">
        <f>+IF(BD_MO[[#This Row],[FECHA]]&lt;&gt;"",BD_MO[[#This Row],[KG. MADERA REDONDA]]+BD_MO[[#This Row],[KG MADERA ASERRADA]],"")</f>
        <v>0</v>
      </c>
      <c r="DD203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03" s="215"/>
      <c r="DF203" s="215"/>
      <c r="DG203" s="215"/>
      <c r="DH203" s="215"/>
      <c r="DI203" s="222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03" s="222"/>
      <c r="DK203" s="222"/>
      <c r="DL203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03" s="222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03" s="222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03" s="181">
        <f>0.3154597*BD_MO[[#This Row],[N°  TOTAL TALADROS]]</f>
        <v>6.6246537000000005</v>
      </c>
      <c r="DP203" s="222">
        <f>+IF(BD_MO[[#This Row],[M o D]]&lt;&gt;"",IF(BD_MO[[#This Row],[M o D]]="M",BD_MO[[#This Row],[ROTURA TMH]]/2.65,BD_MO[[#This Row],[ROTURA TMH]]/2.4),"")</f>
        <v>2.7602723750000004</v>
      </c>
      <c r="DQ203" s="180">
        <v>0.6</v>
      </c>
      <c r="DR203" s="116">
        <f>IF(BD_MO[[#This Row],[TIPO AVANCE]]="Avance",((BD_MO[[#This Row],[AVANCE (m)]]/BD_MO[[#This Row],[AVANCE TEÓRICO]]))," ")</f>
        <v>0.55555555555555547</v>
      </c>
    </row>
    <row r="204" spans="1:130" ht="18" customHeight="1" x14ac:dyDescent="0.25">
      <c r="A204" s="168">
        <v>44663</v>
      </c>
      <c r="B204" s="40" t="s">
        <v>10655</v>
      </c>
      <c r="C204" s="40" t="s">
        <v>10680</v>
      </c>
      <c r="D204" s="61" t="s">
        <v>12248</v>
      </c>
      <c r="E204" s="214" t="str">
        <f>LEFT(BD_MO[[#This Row],[LABOR]],2)</f>
        <v>Sn</v>
      </c>
      <c r="F204" s="215"/>
      <c r="G204" s="46" t="s">
        <v>10669</v>
      </c>
      <c r="H204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04" s="42" t="s">
        <v>12246</v>
      </c>
      <c r="J204" s="42" t="s">
        <v>10525</v>
      </c>
      <c r="K204" s="42" t="s">
        <v>12247</v>
      </c>
      <c r="L204" s="214"/>
      <c r="M204" s="216"/>
      <c r="N204" s="215"/>
      <c r="O204" s="93" t="s">
        <v>12151</v>
      </c>
      <c r="P204" s="173"/>
      <c r="Q204" s="173"/>
      <c r="R204" s="217"/>
      <c r="S204" s="218" t="str">
        <f>IFERROR(VLOOKUP(BD_MO[DNI 4],#REF!,2,FALSE)," ")</f>
        <v xml:space="preserve"> </v>
      </c>
      <c r="T204" s="219">
        <f>+IF(BD_MO[[#This Row],[FECHA]]&lt;&gt;"",COUNTA(BD_MO[[#This Row],[DNI]],BD_MO[[#This Row],[DNI 2]],BD_MO[[#This Row],[DNI 3]],BD_MO[[#This Row],[DNI 4]]),"")</f>
        <v>1</v>
      </c>
      <c r="U204" s="219"/>
      <c r="V204" s="219"/>
      <c r="W204" s="219"/>
      <c r="X204" s="219">
        <v>1</v>
      </c>
      <c r="Y204" s="177">
        <f>SUM(BD_MO[[#This Row],[LIMP]:[SERV]])</f>
        <v>1</v>
      </c>
      <c r="Z204" s="215"/>
      <c r="AA204" s="215" t="str">
        <f>+IF(BD_MO[[#This Row],[N° VALE]]&lt;&gt;"",1,"")</f>
        <v/>
      </c>
      <c r="AB204" s="169"/>
      <c r="AC204" s="215"/>
      <c r="AD204" s="215" t="str">
        <f>+IF(BD_MO[[#This Row],[N° VALE]]&lt;&gt;"",BD_MO[[#This Row],[FULMINANTE N° 08]]+BD_MO[CARMEX 7''],"")</f>
        <v/>
      </c>
      <c r="AE204" s="215"/>
      <c r="AF204" s="215" t="str">
        <f>+IF(BD_MO[[#This Row],[N° VALE]]&lt;&gt;"",BD_MO[[#This Row],[N° TALADROS]]+BD_MO[[#This Row],[N° TAL. VACIOS]],"")</f>
        <v/>
      </c>
      <c r="AG204" s="220"/>
      <c r="AH204" s="220"/>
      <c r="AI204" s="220"/>
      <c r="AJ204" s="220"/>
      <c r="AK204" s="220"/>
      <c r="AL204" s="220"/>
      <c r="AM204" s="214"/>
      <c r="AN204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04" s="215" t="str">
        <f>+IF(BD_MO[[#This Row],[N° VALE]]&lt;&gt;"",IF(BD_MO[[#This Row],[FULMINANTE N° 08]]&lt;&gt;"",BD_MO[[#This Row],[FULMINANTE N° 08]],IF(BD_MO[[#This Row],[CARMEX 7'']]&lt;&gt;0,0,"")),"")</f>
        <v/>
      </c>
      <c r="AP204" s="219" t="str">
        <f>+IF(BD_MO[[#This Row],[N° VALE]]&lt;&gt;"",BD_MO[[#This Row],[N°  TOTAL TALADROS]]*BD_MO[[#This Row],[BARRA]]*0.95,"")</f>
        <v/>
      </c>
      <c r="AQ204" s="219" t="str">
        <f>+IF(BD_MO[[#This Row],[N° VALE]]&lt;&gt;"",BD_MO[[#This Row],[EMULNOR 1000 (N° CART.)]]*PE_EMUL_1000[PE],"")</f>
        <v/>
      </c>
      <c r="AR204" s="219" t="str">
        <f>+IF(BD_MO[[#This Row],[N° VALE]]&lt;&gt;"",BD_MO[[#This Row],[EMULNOR 3000 (N° CART.)]]*PE_EMUL_3000[PE],"")</f>
        <v/>
      </c>
      <c r="AS204" s="219" t="str">
        <f>+IF(BD_MO[[#This Row],[N° VALE]]&lt;&gt;"",BD_MO[[#This Row],[PULVERULENTA (N° CART.)]]*PE_PULV_65[PE],"")</f>
        <v/>
      </c>
      <c r="AT204" s="219" t="str">
        <f>+IF(BD_MO[[#This Row],[N° DISP]]&lt;&gt;"",BD_MO[[#This Row],[SEMIGELATINA (N° CART.)]]*PE_SEMIGEL_65[PE],"")</f>
        <v/>
      </c>
      <c r="AU204" s="219" t="str">
        <f>+IF(BD_MO[N° VALE]&lt;&gt;"",BD_MO[[#This Row],[KG EXPLO SEMIGEL]]+BD_MO[[#This Row],[KG EXPLO PULVE]]+BD_MO[[#This Row],[KG EXPLO EMULN 3000]]+BD_MO[[#This Row],[KG EXPLO EMULN 1000]],"")</f>
        <v/>
      </c>
      <c r="AV204" s="215"/>
      <c r="AW204" s="215"/>
      <c r="AX204" s="215" t="str">
        <f>+IF(BD_MO[[#This Row],[MINERAL (U-35)]]&lt;&gt;"",BD_MO[[#This Row],[MINERAL (U-35)]]*1.45,"-")</f>
        <v>-</v>
      </c>
      <c r="AY204" s="215" t="str">
        <f>+IF(BD_MO[[#This Row],[DESMONTE (U-35)]]&lt;&gt;"",BD_MO[[#This Row],[DESMONTE (U-35)]]*1.23,"-")</f>
        <v>-</v>
      </c>
      <c r="AZ204" s="215"/>
      <c r="BA204" s="215"/>
      <c r="BB204" s="215"/>
      <c r="BC204" s="215"/>
      <c r="BD204" s="215"/>
      <c r="BE204" s="215"/>
      <c r="BF204" s="215"/>
      <c r="BG204" s="215"/>
      <c r="BH204" s="215"/>
      <c r="BI204" s="215"/>
      <c r="BJ204" s="215"/>
      <c r="BK204" s="215"/>
      <c r="BL204" s="215"/>
      <c r="BM204" s="215"/>
      <c r="BN204" s="214"/>
      <c r="BO204" s="215"/>
      <c r="BP204" s="215"/>
      <c r="BQ204" s="214"/>
      <c r="BR204" s="215"/>
      <c r="BS204" s="214"/>
      <c r="BT204" s="219"/>
      <c r="BU204" s="215"/>
      <c r="BV204" s="215"/>
      <c r="BW204" s="215"/>
      <c r="BX204" s="215"/>
      <c r="BY204" s="215"/>
      <c r="BZ204" s="215"/>
      <c r="CA204" s="215"/>
      <c r="CB204" s="215"/>
      <c r="CC204" s="215"/>
      <c r="CD204" s="215"/>
      <c r="CE204" s="215"/>
      <c r="CF204" s="215"/>
      <c r="CG204" s="215"/>
      <c r="CH204" s="215"/>
      <c r="CI204" s="215"/>
      <c r="CJ204" s="215"/>
      <c r="CK204" s="215"/>
      <c r="CL204" s="215"/>
      <c r="CM204" s="215"/>
      <c r="CN204" s="215"/>
      <c r="CO204" s="215"/>
      <c r="CP204" s="219">
        <f>+IF(BD_MO[[#This Row],[FECHA]]&lt;&gt;"",BD_MO[[#This Row],[PUNTAL 4"]]+BD_MO[[#This Row],[PUNTAL 5"]]+BD_MO[[#This Row],[PUNTAL 6"]]+BD_MO[[#This Row],[PUNTAL 7"]]+BD_MO[[#This Row],[PUNTAL 8"]],"")</f>
        <v>0</v>
      </c>
      <c r="CQ204" s="215"/>
      <c r="CR204" s="215"/>
      <c r="CS204" s="215"/>
      <c r="CT204" s="215"/>
      <c r="CU204" s="215"/>
      <c r="CV204" s="215"/>
      <c r="CW204" s="215"/>
      <c r="CX204" s="215"/>
      <c r="CY204" s="219"/>
      <c r="CZ204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04" s="219">
        <f>+IF(BD_MO[[#This Row],[FECHA]]&lt;&gt;"",BD_MO[[#This Row],[DURMIENTE2]]*6.561+BD_MO[[#This Row],[LISTONES]]*4.921+BD_MO[[#This Row],[TABLA 1"x8"x3m]]*6.561+BD_MO[[#This Row],[TABLA 2"x8"x3m]]*13.122,"")</f>
        <v>0</v>
      </c>
      <c r="DB204" s="219">
        <f>+IF(BD_MO[[#This Row],[FECHA]]&lt;&gt;"",BD_MO[[#This Row],[PIE2 MADERA ASERRADA]]*1.95,"")</f>
        <v>0</v>
      </c>
      <c r="DC204" s="219">
        <f>+IF(BD_MO[[#This Row],[FECHA]]&lt;&gt;"",BD_MO[[#This Row],[KG. MADERA REDONDA]]+BD_MO[[#This Row],[KG MADERA ASERRADA]],"")</f>
        <v>0</v>
      </c>
      <c r="DD204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04" s="215"/>
      <c r="DF204" s="215"/>
      <c r="DG204" s="215"/>
      <c r="DH204" s="215"/>
      <c r="DI204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04" s="222"/>
      <c r="DK204" s="222"/>
      <c r="DL204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04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04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04" s="197"/>
      <c r="DP204" s="222" t="str">
        <f>+IF(BD_MO[[#This Row],[M o D]]&lt;&gt;"",IF(BD_MO[[#This Row],[M o D]]="M",BD_MO[[#This Row],[ROTURA TMH]]/2.65,BD_MO[[#This Row],[ROTURA TMH]]/2.4),"")</f>
        <v/>
      </c>
      <c r="DQ204" s="222">
        <v>6</v>
      </c>
      <c r="DR204" s="116" t="str">
        <f>IF(BD_MO[[#This Row],[TIPO AVANCE]]="Avance",((BD_MO[[#This Row],[AVANCE (m)]]/BD_MO[[#This Row],[AVANCE TEÓRICO]]))," ")</f>
        <v xml:space="preserve"> </v>
      </c>
    </row>
    <row r="205" spans="1:130" ht="18" customHeight="1" x14ac:dyDescent="0.25">
      <c r="A205" s="168">
        <v>44663</v>
      </c>
      <c r="B205" s="40" t="s">
        <v>10655</v>
      </c>
      <c r="C205" s="40" t="s">
        <v>10680</v>
      </c>
      <c r="D205" s="61" t="s">
        <v>10952</v>
      </c>
      <c r="E205" s="214" t="str">
        <f>LEFT(BD_MO[[#This Row],[LABOR]],2)</f>
        <v>In</v>
      </c>
      <c r="F205" s="215"/>
      <c r="G205" s="215" t="s">
        <v>10669</v>
      </c>
      <c r="H205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05" s="214" t="str">
        <f>IF(BD_MO[FECHA]&lt;&gt;"",VLOOKUP(BD_MO[LABOR],TB_CECO[[LABOR]:[CECO_T]],3,FALSE),"")</f>
        <v>VANESSA</v>
      </c>
      <c r="J205" s="214" t="str">
        <f>IF(BD_MO[FECHA]&lt;&gt;"",VLOOKUP(BD_MO[LABOR],D_CECO!B:H,7,FALSE),"")</f>
        <v>LINEAL</v>
      </c>
      <c r="K205" s="214" t="str">
        <f>IF(BD_MO[FECHA]&lt;&gt;"",VLOOKUP(BD_MO[LABOR],D_CECO!B:H,4,FALSE),"")</f>
        <v>EXPLORACION</v>
      </c>
      <c r="L205" s="214"/>
      <c r="M205" s="216"/>
      <c r="N205" s="215"/>
      <c r="O205" s="93" t="s">
        <v>11925</v>
      </c>
      <c r="P205" s="93" t="s">
        <v>11906</v>
      </c>
      <c r="Q205" s="173"/>
      <c r="R205" s="217"/>
      <c r="S205" s="218" t="str">
        <f>IFERROR(VLOOKUP(BD_MO[DNI 4],#REF!,2,FALSE)," ")</f>
        <v xml:space="preserve"> </v>
      </c>
      <c r="T205" s="219">
        <f>+IF(BD_MO[[#This Row],[FECHA]]&lt;&gt;"",COUNTA(BD_MO[[#This Row],[DNI]],BD_MO[[#This Row],[DNI 2]],BD_MO[[#This Row],[DNI 3]],BD_MO[[#This Row],[DNI 4]]),"")</f>
        <v>2</v>
      </c>
      <c r="U205" s="219"/>
      <c r="V205" s="219"/>
      <c r="W205" s="219"/>
      <c r="X205" s="219">
        <v>2</v>
      </c>
      <c r="Y205" s="177">
        <f>SUM(BD_MO[[#This Row],[LIMP]:[SERV]])</f>
        <v>2</v>
      </c>
      <c r="Z205" s="215"/>
      <c r="AA205" s="215" t="str">
        <f>+IF(BD_MO[[#This Row],[N° VALE]]&lt;&gt;"",1,"")</f>
        <v/>
      </c>
      <c r="AB205" s="169"/>
      <c r="AC205" s="215"/>
      <c r="AD205" s="215" t="str">
        <f>+IF(BD_MO[[#This Row],[N° VALE]]&lt;&gt;"",BD_MO[[#This Row],[FULMINANTE N° 08]]+BD_MO[CARMEX 7''],"")</f>
        <v/>
      </c>
      <c r="AE205" s="215"/>
      <c r="AF205" s="215" t="str">
        <f>+IF(BD_MO[[#This Row],[N° VALE]]&lt;&gt;"",BD_MO[[#This Row],[N° TALADROS]]+BD_MO[[#This Row],[N° TAL. VACIOS]],"")</f>
        <v/>
      </c>
      <c r="AG205" s="220"/>
      <c r="AH205" s="220"/>
      <c r="AI205" s="220"/>
      <c r="AJ205" s="220"/>
      <c r="AK205" s="220"/>
      <c r="AL205" s="220"/>
      <c r="AM205" s="214"/>
      <c r="AN205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05" s="215" t="str">
        <f>+IF(BD_MO[[#This Row],[N° VALE]]&lt;&gt;"",IF(BD_MO[[#This Row],[FULMINANTE N° 08]]&lt;&gt;"",BD_MO[[#This Row],[FULMINANTE N° 08]],IF(BD_MO[[#This Row],[CARMEX 7'']]&lt;&gt;0,0,"")),"")</f>
        <v/>
      </c>
      <c r="AP205" s="219" t="str">
        <f>+IF(BD_MO[[#This Row],[N° VALE]]&lt;&gt;"",BD_MO[[#This Row],[N°  TOTAL TALADROS]]*BD_MO[[#This Row],[BARRA]]*0.95,"")</f>
        <v/>
      </c>
      <c r="AQ205" s="219" t="str">
        <f>+IF(BD_MO[[#This Row],[N° VALE]]&lt;&gt;"",BD_MO[[#This Row],[EMULNOR 1000 (N° CART.)]]*PE_EMUL_1000[PE],"")</f>
        <v/>
      </c>
      <c r="AR205" s="219" t="str">
        <f>+IF(BD_MO[[#This Row],[N° VALE]]&lt;&gt;"",BD_MO[[#This Row],[EMULNOR 3000 (N° CART.)]]*PE_EMUL_3000[PE],"")</f>
        <v/>
      </c>
      <c r="AS205" s="219" t="str">
        <f>+IF(BD_MO[[#This Row],[N° VALE]]&lt;&gt;"",BD_MO[[#This Row],[PULVERULENTA (N° CART.)]]*PE_PULV_65[PE],"")</f>
        <v/>
      </c>
      <c r="AT205" s="219" t="str">
        <f>+IF(BD_MO[[#This Row],[N° DISP]]&lt;&gt;"",BD_MO[[#This Row],[SEMIGELATINA (N° CART.)]]*PE_SEMIGEL_65[PE],"")</f>
        <v/>
      </c>
      <c r="AU205" s="219" t="str">
        <f>+IF(BD_MO[N° VALE]&lt;&gt;"",BD_MO[[#This Row],[KG EXPLO SEMIGEL]]+BD_MO[[#This Row],[KG EXPLO PULVE]]+BD_MO[[#This Row],[KG EXPLO EMULN 3000]]+BD_MO[[#This Row],[KG EXPLO EMULN 1000]],"")</f>
        <v/>
      </c>
      <c r="AV205" s="215"/>
      <c r="AW205" s="215"/>
      <c r="AX205" s="215" t="str">
        <f>+IF(BD_MO[[#This Row],[MINERAL (U-35)]]&lt;&gt;"",BD_MO[[#This Row],[MINERAL (U-35)]]*1.45,"-")</f>
        <v>-</v>
      </c>
      <c r="AY205" s="215" t="str">
        <f>+IF(BD_MO[[#This Row],[DESMONTE (U-35)]]&lt;&gt;"",BD_MO[[#This Row],[DESMONTE (U-35)]]*1.23,"-")</f>
        <v>-</v>
      </c>
      <c r="AZ205" s="215"/>
      <c r="BA205" s="215"/>
      <c r="BB205" s="215"/>
      <c r="BC205" s="215"/>
      <c r="BD205" s="215"/>
      <c r="BE205" s="215"/>
      <c r="BF205" s="215"/>
      <c r="BG205" s="215"/>
      <c r="BH205" s="215"/>
      <c r="BI205" s="215"/>
      <c r="BJ205" s="215"/>
      <c r="BK205" s="215"/>
      <c r="BL205" s="215"/>
      <c r="BM205" s="215"/>
      <c r="BN205" s="214"/>
      <c r="BO205" s="215"/>
      <c r="BP205" s="215"/>
      <c r="BQ205" s="214"/>
      <c r="BR205" s="215"/>
      <c r="BS205" s="214"/>
      <c r="BT205" s="219"/>
      <c r="BU205" s="215"/>
      <c r="BV205" s="215"/>
      <c r="BW205" s="215"/>
      <c r="BX205" s="215"/>
      <c r="BY205" s="215"/>
      <c r="BZ205" s="215"/>
      <c r="CA205" s="215"/>
      <c r="CB205" s="215"/>
      <c r="CC205" s="215"/>
      <c r="CD205" s="215"/>
      <c r="CE205" s="215"/>
      <c r="CF205" s="215"/>
      <c r="CG205" s="215"/>
      <c r="CH205" s="215"/>
      <c r="CI205" s="215"/>
      <c r="CJ205" s="215"/>
      <c r="CK205" s="215"/>
      <c r="CL205" s="215"/>
      <c r="CM205" s="215"/>
      <c r="CN205" s="215"/>
      <c r="CO205" s="215"/>
      <c r="CP205" s="219">
        <f>+IF(BD_MO[[#This Row],[FECHA]]&lt;&gt;"",BD_MO[[#This Row],[PUNTAL 4"]]+BD_MO[[#This Row],[PUNTAL 5"]]+BD_MO[[#This Row],[PUNTAL 6"]]+BD_MO[[#This Row],[PUNTAL 7"]]+BD_MO[[#This Row],[PUNTAL 8"]],"")</f>
        <v>0</v>
      </c>
      <c r="CQ205" s="215"/>
      <c r="CR205" s="215"/>
      <c r="CS205" s="215"/>
      <c r="CT205" s="215"/>
      <c r="CU205" s="215"/>
      <c r="CV205" s="215"/>
      <c r="CW205" s="215"/>
      <c r="CX205" s="215"/>
      <c r="CY205" s="219"/>
      <c r="CZ205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05" s="219">
        <f>+IF(BD_MO[[#This Row],[FECHA]]&lt;&gt;"",BD_MO[[#This Row],[DURMIENTE2]]*6.561+BD_MO[[#This Row],[LISTONES]]*4.921+BD_MO[[#This Row],[TABLA 1"x8"x3m]]*6.561+BD_MO[[#This Row],[TABLA 2"x8"x3m]]*13.122,"")</f>
        <v>0</v>
      </c>
      <c r="DB205" s="219">
        <f>+IF(BD_MO[[#This Row],[FECHA]]&lt;&gt;"",BD_MO[[#This Row],[PIE2 MADERA ASERRADA]]*1.95,"")</f>
        <v>0</v>
      </c>
      <c r="DC205" s="219">
        <f>+IF(BD_MO[[#This Row],[FECHA]]&lt;&gt;"",BD_MO[[#This Row],[KG. MADERA REDONDA]]+BD_MO[[#This Row],[KG MADERA ASERRADA]],"")</f>
        <v>0</v>
      </c>
      <c r="DD205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05" s="215"/>
      <c r="DF205" s="215"/>
      <c r="DG205" s="46" t="s">
        <v>12239</v>
      </c>
      <c r="DH205" s="215"/>
      <c r="DI205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05" s="222"/>
      <c r="DK205" s="222"/>
      <c r="DL205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05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05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05" s="197"/>
      <c r="DP205" s="222" t="str">
        <f>+IF(BD_MO[[#This Row],[M o D]]&lt;&gt;"",IF(BD_MO[[#This Row],[M o D]]="M",BD_MO[[#This Row],[ROTURA TMH]]/2.65,BD_MO[[#This Row],[ROTURA TMH]]/2.4),"")</f>
        <v/>
      </c>
      <c r="DQ205" s="222"/>
      <c r="DR205" s="116" t="str">
        <f>IF(BD_MO[[#This Row],[TIPO AVANCE]]="Avance",((BD_MO[[#This Row],[AVANCE (m)]]/BD_MO[[#This Row],[AVANCE TEÓRICO]]))," ")</f>
        <v xml:space="preserve"> </v>
      </c>
    </row>
    <row r="206" spans="1:130" ht="18" customHeight="1" x14ac:dyDescent="0.25">
      <c r="A206" s="168">
        <v>44663</v>
      </c>
      <c r="B206" s="40" t="s">
        <v>10655</v>
      </c>
      <c r="C206" s="40" t="s">
        <v>10680</v>
      </c>
      <c r="D206" s="61" t="s">
        <v>11872</v>
      </c>
      <c r="E206" s="214" t="str">
        <f>LEFT(BD_MO[[#This Row],[LABOR]],2)</f>
        <v>PQ</v>
      </c>
      <c r="F206" s="215"/>
      <c r="G206" s="215" t="s">
        <v>10669</v>
      </c>
      <c r="H206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06" s="214" t="str">
        <f>IF(BD_MO[FECHA]&lt;&gt;"",VLOOKUP(BD_MO[LABOR],TB_CECO[[LABOR]:[CECO_T]],3,FALSE),"")</f>
        <v>ANDREA</v>
      </c>
      <c r="J206" s="214" t="str">
        <f>IF(BD_MO[FECHA]&lt;&gt;"",VLOOKUP(BD_MO[LABOR],D_CECO!B:H,7,FALSE),"")</f>
        <v>LINEAL</v>
      </c>
      <c r="K206" s="214" t="str">
        <f>IF(BD_MO[FECHA]&lt;&gt;"",VLOOKUP(BD_MO[LABOR],D_CECO!B:H,4,FALSE),"")</f>
        <v>EXPLOTACION</v>
      </c>
      <c r="L206" s="214"/>
      <c r="M206" s="216"/>
      <c r="N206" s="215"/>
      <c r="O206" s="93" t="s">
        <v>11908</v>
      </c>
      <c r="P206" s="93" t="s">
        <v>11905</v>
      </c>
      <c r="Q206" s="93" t="s">
        <v>12211</v>
      </c>
      <c r="R206" s="217"/>
      <c r="S206" s="218" t="str">
        <f>IFERROR(VLOOKUP(BD_MO[DNI 4],#REF!,2,FALSE)," ")</f>
        <v xml:space="preserve"> </v>
      </c>
      <c r="T206" s="219">
        <f>+IF(BD_MO[[#This Row],[FECHA]]&lt;&gt;"",COUNTA(BD_MO[[#This Row],[DNI]],BD_MO[[#This Row],[DNI 2]],BD_MO[[#This Row],[DNI 3]],BD_MO[[#This Row],[DNI 4]]),"")</f>
        <v>3</v>
      </c>
      <c r="U206" s="219"/>
      <c r="V206" s="219"/>
      <c r="W206" s="219"/>
      <c r="X206" s="219">
        <v>3</v>
      </c>
      <c r="Y206" s="177">
        <f>SUM(BD_MO[[#This Row],[LIMP]:[SERV]])</f>
        <v>3</v>
      </c>
      <c r="Z206" s="215"/>
      <c r="AA206" s="215" t="str">
        <f>+IF(BD_MO[[#This Row],[N° VALE]]&lt;&gt;"",1,"")</f>
        <v/>
      </c>
      <c r="AB206" s="169"/>
      <c r="AC206" s="215"/>
      <c r="AD206" s="215" t="str">
        <f>+IF(BD_MO[[#This Row],[N° VALE]]&lt;&gt;"",BD_MO[[#This Row],[FULMINANTE N° 08]]+BD_MO[CARMEX 7''],"")</f>
        <v/>
      </c>
      <c r="AE206" s="215"/>
      <c r="AF206" s="215" t="str">
        <f>+IF(BD_MO[[#This Row],[N° VALE]]&lt;&gt;"",BD_MO[[#This Row],[N° TALADROS]]+BD_MO[[#This Row],[N° TAL. VACIOS]],"")</f>
        <v/>
      </c>
      <c r="AG206" s="220"/>
      <c r="AH206" s="220"/>
      <c r="AI206" s="220"/>
      <c r="AJ206" s="220"/>
      <c r="AK206" s="220"/>
      <c r="AL206" s="220"/>
      <c r="AM206" s="214"/>
      <c r="AN206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06" s="215" t="str">
        <f>+IF(BD_MO[[#This Row],[N° VALE]]&lt;&gt;"",IF(BD_MO[[#This Row],[FULMINANTE N° 08]]&lt;&gt;"",BD_MO[[#This Row],[FULMINANTE N° 08]],IF(BD_MO[[#This Row],[CARMEX 7'']]&lt;&gt;0,0,"")),"")</f>
        <v/>
      </c>
      <c r="AP206" s="219" t="str">
        <f>+IF(BD_MO[[#This Row],[N° VALE]]&lt;&gt;"",BD_MO[[#This Row],[N°  TOTAL TALADROS]]*BD_MO[[#This Row],[BARRA]]*0.95,"")</f>
        <v/>
      </c>
      <c r="AQ206" s="219" t="str">
        <f>+IF(BD_MO[[#This Row],[N° VALE]]&lt;&gt;"",BD_MO[[#This Row],[EMULNOR 1000 (N° CART.)]]*PE_EMUL_1000[PE],"")</f>
        <v/>
      </c>
      <c r="AR206" s="219" t="str">
        <f>+IF(BD_MO[[#This Row],[N° VALE]]&lt;&gt;"",BD_MO[[#This Row],[EMULNOR 3000 (N° CART.)]]*PE_EMUL_3000[PE],"")</f>
        <v/>
      </c>
      <c r="AS206" s="219" t="str">
        <f>+IF(BD_MO[[#This Row],[N° VALE]]&lt;&gt;"",BD_MO[[#This Row],[PULVERULENTA (N° CART.)]]*PE_PULV_65[PE],"")</f>
        <v/>
      </c>
      <c r="AT206" s="219" t="str">
        <f>+IF(BD_MO[[#This Row],[N° DISP]]&lt;&gt;"",BD_MO[[#This Row],[SEMIGELATINA (N° CART.)]]*PE_SEMIGEL_65[PE],"")</f>
        <v/>
      </c>
      <c r="AU206" s="219" t="str">
        <f>+IF(BD_MO[N° VALE]&lt;&gt;"",BD_MO[[#This Row],[KG EXPLO SEMIGEL]]+BD_MO[[#This Row],[KG EXPLO PULVE]]+BD_MO[[#This Row],[KG EXPLO EMULN 3000]]+BD_MO[[#This Row],[KG EXPLO EMULN 1000]],"")</f>
        <v/>
      </c>
      <c r="AV206" s="215"/>
      <c r="AW206" s="215"/>
      <c r="AX206" s="215" t="str">
        <f>+IF(BD_MO[[#This Row],[MINERAL (U-35)]]&lt;&gt;"",BD_MO[[#This Row],[MINERAL (U-35)]]*1.45,"-")</f>
        <v>-</v>
      </c>
      <c r="AY206" s="215" t="str">
        <f>+IF(BD_MO[[#This Row],[DESMONTE (U-35)]]&lt;&gt;"",BD_MO[[#This Row],[DESMONTE (U-35)]]*1.23,"-")</f>
        <v>-</v>
      </c>
      <c r="AZ206" s="215"/>
      <c r="BA206" s="215"/>
      <c r="BB206" s="215"/>
      <c r="BC206" s="215"/>
      <c r="BD206" s="215"/>
      <c r="BE206" s="215"/>
      <c r="BF206" s="215"/>
      <c r="BG206" s="215"/>
      <c r="BH206" s="215"/>
      <c r="BI206" s="215"/>
      <c r="BJ206" s="215"/>
      <c r="BK206" s="215"/>
      <c r="BL206" s="215"/>
      <c r="BM206" s="215"/>
      <c r="BN206" s="214"/>
      <c r="BO206" s="215"/>
      <c r="BP206" s="215"/>
      <c r="BQ206" s="214"/>
      <c r="BR206" s="215"/>
      <c r="BS206" s="214"/>
      <c r="BT206" s="219"/>
      <c r="BU206" s="215"/>
      <c r="BV206" s="215"/>
      <c r="BW206" s="215"/>
      <c r="BX206" s="215"/>
      <c r="BY206" s="215"/>
      <c r="BZ206" s="215"/>
      <c r="CA206" s="215"/>
      <c r="CB206" s="215"/>
      <c r="CC206" s="215"/>
      <c r="CD206" s="215"/>
      <c r="CE206" s="215"/>
      <c r="CF206" s="215"/>
      <c r="CG206" s="215"/>
      <c r="CH206" s="215"/>
      <c r="CI206" s="215"/>
      <c r="CJ206" s="215"/>
      <c r="CK206" s="215"/>
      <c r="CL206" s="215"/>
      <c r="CM206" s="215"/>
      <c r="CN206" s="215"/>
      <c r="CO206" s="215"/>
      <c r="CP206" s="219">
        <f>+IF(BD_MO[[#This Row],[FECHA]]&lt;&gt;"",BD_MO[[#This Row],[PUNTAL 4"]]+BD_MO[[#This Row],[PUNTAL 5"]]+BD_MO[[#This Row],[PUNTAL 6"]]+BD_MO[[#This Row],[PUNTAL 7"]]+BD_MO[[#This Row],[PUNTAL 8"]],"")</f>
        <v>0</v>
      </c>
      <c r="CQ206" s="215"/>
      <c r="CR206" s="215"/>
      <c r="CS206" s="215"/>
      <c r="CT206" s="215"/>
      <c r="CU206" s="215"/>
      <c r="CV206" s="215"/>
      <c r="CW206" s="215"/>
      <c r="CX206" s="215"/>
      <c r="CY206" s="219"/>
      <c r="CZ206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06" s="219">
        <f>+IF(BD_MO[[#This Row],[FECHA]]&lt;&gt;"",BD_MO[[#This Row],[DURMIENTE2]]*6.561+BD_MO[[#This Row],[LISTONES]]*4.921+BD_MO[[#This Row],[TABLA 1"x8"x3m]]*6.561+BD_MO[[#This Row],[TABLA 2"x8"x3m]]*13.122,"")</f>
        <v>0</v>
      </c>
      <c r="DB206" s="219">
        <f>+IF(BD_MO[[#This Row],[FECHA]]&lt;&gt;"",BD_MO[[#This Row],[PIE2 MADERA ASERRADA]]*1.95,"")</f>
        <v>0</v>
      </c>
      <c r="DC206" s="219">
        <f>+IF(BD_MO[[#This Row],[FECHA]]&lt;&gt;"",BD_MO[[#This Row],[KG. MADERA REDONDA]]+BD_MO[[#This Row],[KG MADERA ASERRADA]],"")</f>
        <v>0</v>
      </c>
      <c r="DD206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06" s="215"/>
      <c r="DF206" s="215"/>
      <c r="DG206" s="46" t="s">
        <v>12238</v>
      </c>
      <c r="DH206" s="215"/>
      <c r="DI206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06" s="222"/>
      <c r="DK206" s="222"/>
      <c r="DL206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06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06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06" s="197"/>
      <c r="DP206" s="222" t="str">
        <f>+IF(BD_MO[[#This Row],[M o D]]&lt;&gt;"",IF(BD_MO[[#This Row],[M o D]]="M",BD_MO[[#This Row],[ROTURA TMH]]/2.65,BD_MO[[#This Row],[ROTURA TMH]]/2.4),"")</f>
        <v/>
      </c>
      <c r="DQ206" s="222"/>
      <c r="DR206" s="116" t="str">
        <f>IF(BD_MO[[#This Row],[TIPO AVANCE]]="Avance",((BD_MO[[#This Row],[AVANCE (m)]]/BD_MO[[#This Row],[AVANCE TEÓRICO]]))," ")</f>
        <v xml:space="preserve"> </v>
      </c>
    </row>
    <row r="207" spans="1:130" ht="18" customHeight="1" x14ac:dyDescent="0.25">
      <c r="A207" s="168">
        <v>44663</v>
      </c>
      <c r="B207" s="40" t="s">
        <v>10655</v>
      </c>
      <c r="C207" s="40" t="s">
        <v>10680</v>
      </c>
      <c r="D207" s="61" t="s">
        <v>10954</v>
      </c>
      <c r="E207" s="214" t="str">
        <f>LEFT(BD_MO[[#This Row],[LABOR]],2)</f>
        <v>MO</v>
      </c>
      <c r="F207" s="215"/>
      <c r="G207" s="215" t="s">
        <v>10669</v>
      </c>
      <c r="H207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07" s="214" t="str">
        <f>IF(BD_MO[FECHA]&lt;&gt;"",VLOOKUP(BD_MO[LABOR],TB_CECO[[LABOR]:[CECO_T]],3,FALSE),"")</f>
        <v>INCA</v>
      </c>
      <c r="J207" s="214" t="str">
        <f>IF(BD_MO[FECHA]&lt;&gt;"",VLOOKUP(BD_MO[LABOR],D_CECO!B:H,7,FALSE),"")</f>
        <v>SERVICIOS</v>
      </c>
      <c r="K207" s="214" t="str">
        <f>IF(BD_MO[FECHA]&lt;&gt;"",VLOOKUP(BD_MO[LABOR],D_CECO!B:H,4,FALSE),"")</f>
        <v>SERVICIOS</v>
      </c>
      <c r="L207" s="214"/>
      <c r="M207" s="216"/>
      <c r="N207" s="215"/>
      <c r="O207" s="93" t="s">
        <v>12117</v>
      </c>
      <c r="P207" s="93" t="s">
        <v>11907</v>
      </c>
      <c r="Q207" s="173"/>
      <c r="R207" s="217"/>
      <c r="S207" s="218" t="str">
        <f>IFERROR(VLOOKUP(BD_MO[DNI 4],#REF!,2,FALSE)," ")</f>
        <v xml:space="preserve"> </v>
      </c>
      <c r="T207" s="219">
        <f>+IF(BD_MO[[#This Row],[FECHA]]&lt;&gt;"",COUNTA(BD_MO[[#This Row],[DNI]],BD_MO[[#This Row],[DNI 2]],BD_MO[[#This Row],[DNI 3]],BD_MO[[#This Row],[DNI 4]]),"")</f>
        <v>2</v>
      </c>
      <c r="U207" s="219"/>
      <c r="V207" s="219"/>
      <c r="W207" s="219"/>
      <c r="X207" s="219">
        <v>2</v>
      </c>
      <c r="Y207" s="177">
        <f>SUM(BD_MO[[#This Row],[LIMP]:[SERV]])</f>
        <v>2</v>
      </c>
      <c r="Z207" s="215"/>
      <c r="AA207" s="215" t="str">
        <f>+IF(BD_MO[[#This Row],[N° VALE]]&lt;&gt;"",1,"")</f>
        <v/>
      </c>
      <c r="AB207" s="169"/>
      <c r="AC207" s="215"/>
      <c r="AD207" s="215" t="str">
        <f>+IF(BD_MO[[#This Row],[N° VALE]]&lt;&gt;"",BD_MO[[#This Row],[FULMINANTE N° 08]]+BD_MO[CARMEX 7''],"")</f>
        <v/>
      </c>
      <c r="AE207" s="215"/>
      <c r="AF207" s="215" t="str">
        <f>+IF(BD_MO[[#This Row],[N° VALE]]&lt;&gt;"",BD_MO[[#This Row],[N° TALADROS]]+BD_MO[[#This Row],[N° TAL. VACIOS]],"")</f>
        <v/>
      </c>
      <c r="AG207" s="220"/>
      <c r="AH207" s="220"/>
      <c r="AI207" s="220"/>
      <c r="AJ207" s="220"/>
      <c r="AK207" s="220"/>
      <c r="AL207" s="220"/>
      <c r="AM207" s="214"/>
      <c r="AN207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07" s="215" t="str">
        <f>+IF(BD_MO[[#This Row],[N° VALE]]&lt;&gt;"",IF(BD_MO[[#This Row],[FULMINANTE N° 08]]&lt;&gt;"",BD_MO[[#This Row],[FULMINANTE N° 08]],IF(BD_MO[[#This Row],[CARMEX 7'']]&lt;&gt;0,0,"")),"")</f>
        <v/>
      </c>
      <c r="AP207" s="219" t="str">
        <f>+IF(BD_MO[[#This Row],[N° VALE]]&lt;&gt;"",BD_MO[[#This Row],[N°  TOTAL TALADROS]]*BD_MO[[#This Row],[BARRA]]*0.95,"")</f>
        <v/>
      </c>
      <c r="AQ207" s="219" t="str">
        <f>+IF(BD_MO[[#This Row],[N° VALE]]&lt;&gt;"",BD_MO[[#This Row],[EMULNOR 1000 (N° CART.)]]*PE_EMUL_1000[PE],"")</f>
        <v/>
      </c>
      <c r="AR207" s="219" t="str">
        <f>+IF(BD_MO[[#This Row],[N° VALE]]&lt;&gt;"",BD_MO[[#This Row],[EMULNOR 3000 (N° CART.)]]*PE_EMUL_3000[PE],"")</f>
        <v/>
      </c>
      <c r="AS207" s="219" t="str">
        <f>+IF(BD_MO[[#This Row],[N° VALE]]&lt;&gt;"",BD_MO[[#This Row],[PULVERULENTA (N° CART.)]]*PE_PULV_65[PE],"")</f>
        <v/>
      </c>
      <c r="AT207" s="219" t="str">
        <f>+IF(BD_MO[[#This Row],[N° DISP]]&lt;&gt;"",BD_MO[[#This Row],[SEMIGELATINA (N° CART.)]]*PE_SEMIGEL_65[PE],"")</f>
        <v/>
      </c>
      <c r="AU207" s="219" t="str">
        <f>+IF(BD_MO[N° VALE]&lt;&gt;"",BD_MO[[#This Row],[KG EXPLO SEMIGEL]]+BD_MO[[#This Row],[KG EXPLO PULVE]]+BD_MO[[#This Row],[KG EXPLO EMULN 3000]]+BD_MO[[#This Row],[KG EXPLO EMULN 1000]],"")</f>
        <v/>
      </c>
      <c r="AV207" s="215"/>
      <c r="AW207" s="215"/>
      <c r="AX207" s="215" t="str">
        <f>+IF(BD_MO[[#This Row],[MINERAL (U-35)]]&lt;&gt;"",BD_MO[[#This Row],[MINERAL (U-35)]]*1.45,"-")</f>
        <v>-</v>
      </c>
      <c r="AY207" s="215" t="str">
        <f>+IF(BD_MO[[#This Row],[DESMONTE (U-35)]]&lt;&gt;"",BD_MO[[#This Row],[DESMONTE (U-35)]]*1.23,"-")</f>
        <v>-</v>
      </c>
      <c r="AZ207" s="215"/>
      <c r="BA207" s="215"/>
      <c r="BB207" s="215"/>
      <c r="BC207" s="215"/>
      <c r="BD207" s="215"/>
      <c r="BE207" s="215"/>
      <c r="BF207" s="215"/>
      <c r="BG207" s="215"/>
      <c r="BH207" s="215"/>
      <c r="BI207" s="215"/>
      <c r="BJ207" s="215"/>
      <c r="BK207" s="215"/>
      <c r="BL207" s="215"/>
      <c r="BM207" s="215"/>
      <c r="BN207" s="214"/>
      <c r="BO207" s="215"/>
      <c r="BP207" s="215"/>
      <c r="BQ207" s="214"/>
      <c r="BR207" s="215"/>
      <c r="BS207" s="214"/>
      <c r="BT207" s="219"/>
      <c r="BU207" s="215"/>
      <c r="BV207" s="215"/>
      <c r="BW207" s="215"/>
      <c r="BX207" s="215"/>
      <c r="BY207" s="215"/>
      <c r="BZ207" s="215"/>
      <c r="CA207" s="215"/>
      <c r="CB207" s="215"/>
      <c r="CC207" s="215"/>
      <c r="CD207" s="215"/>
      <c r="CE207" s="215"/>
      <c r="CF207" s="215"/>
      <c r="CG207" s="215"/>
      <c r="CH207" s="215"/>
      <c r="CI207" s="215"/>
      <c r="CJ207" s="215"/>
      <c r="CK207" s="215"/>
      <c r="CL207" s="215"/>
      <c r="CM207" s="215"/>
      <c r="CN207" s="215"/>
      <c r="CO207" s="215"/>
      <c r="CP207" s="219">
        <f>+IF(BD_MO[[#This Row],[FECHA]]&lt;&gt;"",BD_MO[[#This Row],[PUNTAL 4"]]+BD_MO[[#This Row],[PUNTAL 5"]]+BD_MO[[#This Row],[PUNTAL 6"]]+BD_MO[[#This Row],[PUNTAL 7"]]+BD_MO[[#This Row],[PUNTAL 8"]],"")</f>
        <v>0</v>
      </c>
      <c r="CQ207" s="215"/>
      <c r="CR207" s="215"/>
      <c r="CS207" s="215"/>
      <c r="CT207" s="215"/>
      <c r="CU207" s="215"/>
      <c r="CV207" s="215"/>
      <c r="CW207" s="215"/>
      <c r="CX207" s="215"/>
      <c r="CY207" s="219"/>
      <c r="CZ207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07" s="219">
        <f>+IF(BD_MO[[#This Row],[FECHA]]&lt;&gt;"",BD_MO[[#This Row],[DURMIENTE2]]*6.561+BD_MO[[#This Row],[LISTONES]]*4.921+BD_MO[[#This Row],[TABLA 1"x8"x3m]]*6.561+BD_MO[[#This Row],[TABLA 2"x8"x3m]]*13.122,"")</f>
        <v>0</v>
      </c>
      <c r="DB207" s="219">
        <f>+IF(BD_MO[[#This Row],[FECHA]]&lt;&gt;"",BD_MO[[#This Row],[PIE2 MADERA ASERRADA]]*1.95,"")</f>
        <v>0</v>
      </c>
      <c r="DC207" s="219">
        <f>+IF(BD_MO[[#This Row],[FECHA]]&lt;&gt;"",BD_MO[[#This Row],[KG. MADERA REDONDA]]+BD_MO[[#This Row],[KG MADERA ASERRADA]],"")</f>
        <v>0</v>
      </c>
      <c r="DD207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07" s="215"/>
      <c r="DF207" s="215"/>
      <c r="DG207" s="215"/>
      <c r="DH207" s="215"/>
      <c r="DI207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07" s="222"/>
      <c r="DK207" s="222"/>
      <c r="DL207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07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07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07" s="197"/>
      <c r="DP207" s="222" t="str">
        <f>+IF(BD_MO[[#This Row],[M o D]]&lt;&gt;"",IF(BD_MO[[#This Row],[M o D]]="M",BD_MO[[#This Row],[ROTURA TMH]]/2.65,BD_MO[[#This Row],[ROTURA TMH]]/2.4),"")</f>
        <v/>
      </c>
      <c r="DQ207" s="222"/>
      <c r="DR207" s="116" t="str">
        <f>IF(BD_MO[[#This Row],[TIPO AVANCE]]="Avance",((BD_MO[[#This Row],[AVANCE (m)]]/BD_MO[[#This Row],[AVANCE TEÓRICO]]))," ")</f>
        <v xml:space="preserve"> </v>
      </c>
    </row>
    <row r="208" spans="1:130" s="115" customFormat="1" ht="18" customHeight="1" thickBot="1" x14ac:dyDescent="0.3">
      <c r="A208" s="198">
        <v>44663</v>
      </c>
      <c r="B208" s="117" t="s">
        <v>10655</v>
      </c>
      <c r="C208" s="117" t="s">
        <v>10680</v>
      </c>
      <c r="D208" s="118" t="s">
        <v>10717</v>
      </c>
      <c r="E208" s="201" t="str">
        <f>LEFT(BD_MO[[#This Row],[LABOR]],2)</f>
        <v>BO</v>
      </c>
      <c r="F208" s="202"/>
      <c r="G208" s="202" t="s">
        <v>10669</v>
      </c>
      <c r="H208" s="20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08" s="201" t="str">
        <f>IF(BD_MO[FECHA]&lt;&gt;"",VLOOKUP(BD_MO[LABOR],TB_CECO[[LABOR]:[CECO_T]],3,FALSE),"")</f>
        <v>CACHORRO</v>
      </c>
      <c r="J208" s="201" t="str">
        <f>IF(BD_MO[FECHA]&lt;&gt;"",VLOOKUP(BD_MO[LABOR],D_CECO!B:H,7,FALSE),"")</f>
        <v>SERVICIOS</v>
      </c>
      <c r="K208" s="201" t="str">
        <f>IF(BD_MO[FECHA]&lt;&gt;"",VLOOKUP(BD_MO[LABOR],D_CECO!B:H,4,FALSE),"")</f>
        <v>SERVICIOS</v>
      </c>
      <c r="L208" s="201"/>
      <c r="M208" s="199"/>
      <c r="N208" s="202"/>
      <c r="O208" s="121" t="s">
        <v>11909</v>
      </c>
      <c r="P208" s="203"/>
      <c r="Q208" s="203"/>
      <c r="R208" s="204"/>
      <c r="S208" s="205" t="str">
        <f>IFERROR(VLOOKUP(BD_MO[DNI 4],#REF!,2,FALSE)," ")</f>
        <v xml:space="preserve"> </v>
      </c>
      <c r="T208" s="206">
        <f>+IF(BD_MO[[#This Row],[FECHA]]&lt;&gt;"",COUNTA(BD_MO[[#This Row],[DNI]],BD_MO[[#This Row],[DNI 2]],BD_MO[[#This Row],[DNI 3]],BD_MO[[#This Row],[DNI 4]]),"")</f>
        <v>1</v>
      </c>
      <c r="U208" s="206"/>
      <c r="V208" s="206"/>
      <c r="W208" s="206"/>
      <c r="X208" s="206">
        <v>1</v>
      </c>
      <c r="Y208" s="207">
        <f>SUM(BD_MO[[#This Row],[LIMP]:[SERV]])</f>
        <v>1</v>
      </c>
      <c r="Z208" s="202"/>
      <c r="AA208" s="202" t="str">
        <f>+IF(BD_MO[[#This Row],[N° VALE]]&lt;&gt;"",1,"")</f>
        <v/>
      </c>
      <c r="AB208" s="199"/>
      <c r="AC208" s="202"/>
      <c r="AD208" s="202" t="str">
        <f>+IF(BD_MO[[#This Row],[N° VALE]]&lt;&gt;"",BD_MO[[#This Row],[FULMINANTE N° 08]]+BD_MO[CARMEX 7''],"")</f>
        <v/>
      </c>
      <c r="AE208" s="202"/>
      <c r="AF208" s="202" t="str">
        <f>+IF(BD_MO[[#This Row],[N° VALE]]&lt;&gt;"",BD_MO[[#This Row],[N° TALADROS]]+BD_MO[[#This Row],[N° TAL. VACIOS]],"")</f>
        <v/>
      </c>
      <c r="AG208" s="208"/>
      <c r="AH208" s="208"/>
      <c r="AI208" s="208"/>
      <c r="AJ208" s="208"/>
      <c r="AK208" s="208"/>
      <c r="AL208" s="208"/>
      <c r="AM208" s="201"/>
      <c r="AN208" s="20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08" s="202" t="str">
        <f>+IF(BD_MO[[#This Row],[N° VALE]]&lt;&gt;"",IF(BD_MO[[#This Row],[FULMINANTE N° 08]]&lt;&gt;"",BD_MO[[#This Row],[FULMINANTE N° 08]],IF(BD_MO[[#This Row],[CARMEX 7'']]&lt;&gt;0,0,"")),"")</f>
        <v/>
      </c>
      <c r="AP208" s="206" t="str">
        <f>+IF(BD_MO[[#This Row],[N° VALE]]&lt;&gt;"",BD_MO[[#This Row],[N°  TOTAL TALADROS]]*BD_MO[[#This Row],[BARRA]]*0.95,"")</f>
        <v/>
      </c>
      <c r="AQ208" s="206" t="str">
        <f>+IF(BD_MO[[#This Row],[N° VALE]]&lt;&gt;"",BD_MO[[#This Row],[EMULNOR 1000 (N° CART.)]]*PE_EMUL_1000[PE],"")</f>
        <v/>
      </c>
      <c r="AR208" s="206" t="str">
        <f>+IF(BD_MO[[#This Row],[N° VALE]]&lt;&gt;"",BD_MO[[#This Row],[EMULNOR 3000 (N° CART.)]]*PE_EMUL_3000[PE],"")</f>
        <v/>
      </c>
      <c r="AS208" s="206" t="str">
        <f>+IF(BD_MO[[#This Row],[N° VALE]]&lt;&gt;"",BD_MO[[#This Row],[PULVERULENTA (N° CART.)]]*PE_PULV_65[PE],"")</f>
        <v/>
      </c>
      <c r="AT208" s="206" t="str">
        <f>+IF(BD_MO[[#This Row],[N° DISP]]&lt;&gt;"",BD_MO[[#This Row],[SEMIGELATINA (N° CART.)]]*PE_SEMIGEL_65[PE],"")</f>
        <v/>
      </c>
      <c r="AU208" s="206" t="str">
        <f>+IF(BD_MO[N° VALE]&lt;&gt;"",BD_MO[[#This Row],[KG EXPLO SEMIGEL]]+BD_MO[[#This Row],[KG EXPLO PULVE]]+BD_MO[[#This Row],[KG EXPLO EMULN 3000]]+BD_MO[[#This Row],[KG EXPLO EMULN 1000]],"")</f>
        <v/>
      </c>
      <c r="AV208" s="202"/>
      <c r="AW208" s="202"/>
      <c r="AX208" s="202" t="str">
        <f>+IF(BD_MO[[#This Row],[MINERAL (U-35)]]&lt;&gt;"",BD_MO[[#This Row],[MINERAL (U-35)]]*1.45,"-")</f>
        <v>-</v>
      </c>
      <c r="AY208" s="202" t="str">
        <f>+IF(BD_MO[[#This Row],[DESMONTE (U-35)]]&lt;&gt;"",BD_MO[[#This Row],[DESMONTE (U-35)]]*1.23,"-")</f>
        <v>-</v>
      </c>
      <c r="AZ208" s="202"/>
      <c r="BA208" s="202"/>
      <c r="BB208" s="202"/>
      <c r="BC208" s="202"/>
      <c r="BD208" s="202"/>
      <c r="BE208" s="202"/>
      <c r="BF208" s="202"/>
      <c r="BG208" s="202"/>
      <c r="BH208" s="202"/>
      <c r="BI208" s="202"/>
      <c r="BJ208" s="202"/>
      <c r="BK208" s="202"/>
      <c r="BL208" s="202"/>
      <c r="BM208" s="202"/>
      <c r="BN208" s="201"/>
      <c r="BO208" s="202"/>
      <c r="BP208" s="202"/>
      <c r="BQ208" s="201"/>
      <c r="BR208" s="202"/>
      <c r="BS208" s="201"/>
      <c r="BT208" s="206"/>
      <c r="BU208" s="202"/>
      <c r="BV208" s="202"/>
      <c r="BW208" s="202"/>
      <c r="BX208" s="202"/>
      <c r="BY208" s="202"/>
      <c r="BZ208" s="202"/>
      <c r="CA208" s="202"/>
      <c r="CB208" s="202"/>
      <c r="CC208" s="202"/>
      <c r="CD208" s="202"/>
      <c r="CE208" s="202"/>
      <c r="CF208" s="202"/>
      <c r="CG208" s="202"/>
      <c r="CH208" s="202"/>
      <c r="CI208" s="202"/>
      <c r="CJ208" s="202"/>
      <c r="CK208" s="202"/>
      <c r="CL208" s="202"/>
      <c r="CM208" s="202"/>
      <c r="CN208" s="202"/>
      <c r="CO208" s="202"/>
      <c r="CP208" s="206">
        <f>+IF(BD_MO[[#This Row],[FECHA]]&lt;&gt;"",BD_MO[[#This Row],[PUNTAL 4"]]+BD_MO[[#This Row],[PUNTAL 5"]]+BD_MO[[#This Row],[PUNTAL 6"]]+BD_MO[[#This Row],[PUNTAL 7"]]+BD_MO[[#This Row],[PUNTAL 8"]],"")</f>
        <v>0</v>
      </c>
      <c r="CQ208" s="202"/>
      <c r="CR208" s="202"/>
      <c r="CS208" s="202"/>
      <c r="CT208" s="202"/>
      <c r="CU208" s="202"/>
      <c r="CV208" s="202"/>
      <c r="CW208" s="202"/>
      <c r="CX208" s="202"/>
      <c r="CY208" s="206"/>
      <c r="CZ208" s="20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08" s="206">
        <f>+IF(BD_MO[[#This Row],[FECHA]]&lt;&gt;"",BD_MO[[#This Row],[DURMIENTE2]]*6.561+BD_MO[[#This Row],[LISTONES]]*4.921+BD_MO[[#This Row],[TABLA 1"x8"x3m]]*6.561+BD_MO[[#This Row],[TABLA 2"x8"x3m]]*13.122,"")</f>
        <v>0</v>
      </c>
      <c r="DB208" s="206">
        <f>+IF(BD_MO[[#This Row],[FECHA]]&lt;&gt;"",BD_MO[[#This Row],[PIE2 MADERA ASERRADA]]*1.95,"")</f>
        <v>0</v>
      </c>
      <c r="DC208" s="206">
        <f>+IF(BD_MO[[#This Row],[FECHA]]&lt;&gt;"",BD_MO[[#This Row],[KG. MADERA REDONDA]]+BD_MO[[#This Row],[KG MADERA ASERRADA]],"")</f>
        <v>0</v>
      </c>
      <c r="DD208" s="20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08" s="202"/>
      <c r="DF208" s="202"/>
      <c r="DG208" s="202"/>
      <c r="DH208" s="202"/>
      <c r="DI208" s="21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08" s="210"/>
      <c r="DK208" s="210"/>
      <c r="DL208" s="21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08" s="21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08" s="21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08" s="211"/>
      <c r="DP208" s="210" t="str">
        <f>+IF(BD_MO[[#This Row],[M o D]]&lt;&gt;"",IF(BD_MO[[#This Row],[M o D]]="M",BD_MO[[#This Row],[ROTURA TMH]]/2.65,BD_MO[[#This Row],[ROTURA TMH]]/2.4),"")</f>
        <v/>
      </c>
      <c r="DQ208" s="210"/>
      <c r="DR208" s="116" t="str">
        <f>IF(BD_MO[[#This Row],[TIPO AVANCE]]="Avance",((BD_MO[[#This Row],[AVANCE (m)]]/BD_MO[[#This Row],[AVANCE TEÓRICO]]))," ")</f>
        <v xml:space="preserve"> </v>
      </c>
      <c r="DS208" s="113"/>
      <c r="DT208" s="113"/>
      <c r="DU208" s="113"/>
      <c r="DV208" s="113"/>
      <c r="DW208" s="113"/>
      <c r="DX208" s="114"/>
      <c r="DY208" s="114"/>
      <c r="DZ208" s="114"/>
    </row>
    <row r="209" spans="1:130" ht="18" customHeight="1" x14ac:dyDescent="0.25">
      <c r="A209" s="92">
        <v>44664</v>
      </c>
      <c r="B209" s="40" t="s">
        <v>10647</v>
      </c>
      <c r="C209" s="40" t="s">
        <v>10672</v>
      </c>
      <c r="D209" s="61" t="s">
        <v>11595</v>
      </c>
      <c r="E209" s="42" t="str">
        <f>LEFT(BD_MO[[#This Row],[LABOR]],2)</f>
        <v>Tj</v>
      </c>
      <c r="F209" s="46" t="s">
        <v>10950</v>
      </c>
      <c r="G209" s="46" t="s">
        <v>10648</v>
      </c>
      <c r="H209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09" s="42" t="s">
        <v>12254</v>
      </c>
      <c r="J209" s="42" t="s">
        <v>10502</v>
      </c>
      <c r="K209" s="42" t="s">
        <v>12249</v>
      </c>
      <c r="L209" s="42"/>
      <c r="M209" s="48" t="s">
        <v>10654</v>
      </c>
      <c r="N209" s="46"/>
      <c r="O209" s="93" t="s">
        <v>12192</v>
      </c>
      <c r="P209" s="93"/>
      <c r="Q209" s="93"/>
      <c r="R209" s="45"/>
      <c r="S209" s="54" t="str">
        <f>IFERROR(VLOOKUP(BD_MO[DNI 4],#REF!,2,FALSE)," ")</f>
        <v xml:space="preserve"> </v>
      </c>
      <c r="T209" s="24">
        <f>+IF(BD_MO[[#This Row],[FECHA]]&lt;&gt;"",COUNTA(BD_MO[[#This Row],[DNI]],BD_MO[[#This Row],[DNI 2]],BD_MO[[#This Row],[DNI 3]],BD_MO[[#This Row],[DNI 4]]),"")</f>
        <v>1</v>
      </c>
      <c r="U209" s="24"/>
      <c r="V209" s="24">
        <v>0.71</v>
      </c>
      <c r="W209" s="24"/>
      <c r="X209" s="24">
        <v>0.28999999999999998</v>
      </c>
      <c r="Y209" s="86">
        <f>SUM(BD_MO[[#This Row],[LIMP]:[SERV]])</f>
        <v>1</v>
      </c>
      <c r="Z209" s="46" t="s">
        <v>12262</v>
      </c>
      <c r="AA209" s="46">
        <f>+IF(BD_MO[[#This Row],[N° VALE]]&lt;&gt;"",1,"")</f>
        <v>1</v>
      </c>
      <c r="AB209" s="40" t="s">
        <v>10659</v>
      </c>
      <c r="AC209" s="46">
        <v>4</v>
      </c>
      <c r="AD209" s="46">
        <f>+IF(BD_MO[[#This Row],[N° VALE]]&lt;&gt;"",BD_MO[[#This Row],[FULMINANTE N° 08]]+BD_MO[CARMEX 7''],"")</f>
        <v>35</v>
      </c>
      <c r="AE209" s="46"/>
      <c r="AF209" s="46">
        <f>+IF(BD_MO[[#This Row],[N° VALE]]&lt;&gt;"",BD_MO[[#This Row],[N° TALADROS]]+BD_MO[[#This Row],[N° TAL. VACIOS]],"")</f>
        <v>35</v>
      </c>
      <c r="AG209" s="55">
        <v>80</v>
      </c>
      <c r="AH209" s="55">
        <v>60</v>
      </c>
      <c r="AI209" s="55"/>
      <c r="AJ209" s="55"/>
      <c r="AK209" s="55">
        <v>35</v>
      </c>
      <c r="AL209" s="55">
        <v>7</v>
      </c>
      <c r="AM209" s="42"/>
      <c r="AN209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09" s="46">
        <f>+IF(BD_MO[[#This Row],[N° VALE]]&lt;&gt;"",IF(BD_MO[[#This Row],[FULMINANTE N° 08]]&lt;&gt;"",BD_MO[[#This Row],[FULMINANTE N° 08]],IF(BD_MO[[#This Row],[CARMEX 7'']]&lt;&gt;0,0,"")),"")</f>
        <v>0</v>
      </c>
      <c r="AP209" s="24">
        <f>+IF(BD_MO[[#This Row],[N° VALE]]&lt;&gt;"",BD_MO[[#This Row],[N°  TOTAL TALADROS]]*BD_MO[[#This Row],[BARRA]]*0.95,"")</f>
        <v>133</v>
      </c>
      <c r="AQ209" s="24">
        <f>+IF(BD_MO[[#This Row],[N° VALE]]&lt;&gt;"",BD_MO[[#This Row],[EMULNOR 1000 (N° CART.)]]*PE_EMUL_1000[PE],"")</f>
        <v>5.6820000000000004</v>
      </c>
      <c r="AR209" s="24">
        <f>+IF(BD_MO[[#This Row],[N° VALE]]&lt;&gt;"",BD_MO[[#This Row],[EMULNOR 3000 (N° CART.)]]*PE_EMUL_3000[PE],"")</f>
        <v>7.6923076923076961</v>
      </c>
      <c r="AS209" s="24">
        <f>+IF(BD_MO[[#This Row],[N° VALE]]&lt;&gt;"",BD_MO[[#This Row],[PULVERULENTA (N° CART.)]]*PE_PULV_65[PE],"")</f>
        <v>0</v>
      </c>
      <c r="AT209" s="24">
        <f>+IF(BD_MO[[#This Row],[N° DISP]]&lt;&gt;"",BD_MO[[#This Row],[SEMIGELATINA (N° CART.)]]*PE_SEMIGEL_65[PE],"")</f>
        <v>0</v>
      </c>
      <c r="AU209" s="24">
        <f>+IF(BD_MO[N° VALE]&lt;&gt;"",BD_MO[[#This Row],[KG EXPLO SEMIGEL]]+BD_MO[[#This Row],[KG EXPLO PULVE]]+BD_MO[[#This Row],[KG EXPLO EMULN 3000]]+BD_MO[[#This Row],[KG EXPLO EMULN 1000]],"")</f>
        <v>13.374307692307696</v>
      </c>
      <c r="AV209" s="46"/>
      <c r="AW209" s="46"/>
      <c r="AX209" s="46" t="str">
        <f>+IF(BD_MO[[#This Row],[MINERAL (U-35)]]&lt;&gt;"",BD_MO[[#This Row],[MINERAL (U-35)]]*1.45,"-")</f>
        <v>-</v>
      </c>
      <c r="AY209" s="46" t="str">
        <f>+IF(BD_MO[[#This Row],[DESMONTE (U-35)]]&lt;&gt;"",BD_MO[[#This Row],[DESMONTE (U-35)]]*1.23,"-")</f>
        <v>-</v>
      </c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2"/>
      <c r="BO209" s="46"/>
      <c r="BP209" s="46"/>
      <c r="BQ209" s="42"/>
      <c r="BR209" s="46"/>
      <c r="BS209" s="42"/>
      <c r="BT209" s="24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24">
        <f>+IF(BD_MO[[#This Row],[FECHA]]&lt;&gt;"",BD_MO[[#This Row],[PUNTAL 4"]]+BD_MO[[#This Row],[PUNTAL 5"]]+BD_MO[[#This Row],[PUNTAL 6"]]+BD_MO[[#This Row],[PUNTAL 7"]]+BD_MO[[#This Row],[PUNTAL 8"]],"")</f>
        <v>0</v>
      </c>
      <c r="CQ209" s="46"/>
      <c r="CR209" s="46"/>
      <c r="CS209" s="46"/>
      <c r="CT209" s="46"/>
      <c r="CU209" s="46"/>
      <c r="CV209" s="46"/>
      <c r="CW209" s="46"/>
      <c r="CX209" s="46"/>
      <c r="CY209" s="24"/>
      <c r="CZ209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09" s="24">
        <f>+IF(BD_MO[[#This Row],[FECHA]]&lt;&gt;"",BD_MO[[#This Row],[DURMIENTE2]]*6.561+BD_MO[[#This Row],[LISTONES]]*4.921+BD_MO[[#This Row],[TABLA 1"x8"x3m]]*6.561+BD_MO[[#This Row],[TABLA 2"x8"x3m]]*13.122,"")</f>
        <v>0</v>
      </c>
      <c r="DB209" s="24">
        <f>+IF(BD_MO[[#This Row],[FECHA]]&lt;&gt;"",BD_MO[[#This Row],[PIE2 MADERA ASERRADA]]*1.95,"")</f>
        <v>0</v>
      </c>
      <c r="DC209" s="24">
        <f>+IF(BD_MO[[#This Row],[FECHA]]&lt;&gt;"",BD_MO[[#This Row],[KG. MADERA REDONDA]]+BD_MO[[#This Row],[KG MADERA ASERRADA]],"")</f>
        <v>0</v>
      </c>
      <c r="DD209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09" s="46"/>
      <c r="DF209" s="46"/>
      <c r="DG209" s="46"/>
      <c r="DH209" s="46"/>
      <c r="DI209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09" s="56"/>
      <c r="DK209" s="56"/>
      <c r="DL209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8.17</v>
      </c>
      <c r="DM209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8.4968000000000004</v>
      </c>
      <c r="DN209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09" s="66"/>
      <c r="DP209" s="222"/>
      <c r="DQ209" s="56">
        <v>0</v>
      </c>
      <c r="DR209" s="116" t="str">
        <f>IF(BD_MO[[#This Row],[TIPO AVANCE]]="Avance",((BD_MO[[#This Row],[AVANCE (m)]]/BD_MO[[#This Row],[AVANCE TEÓRICO]]))," ")</f>
        <v xml:space="preserve"> </v>
      </c>
    </row>
    <row r="210" spans="1:130" ht="18" customHeight="1" x14ac:dyDescent="0.25">
      <c r="A210" s="92">
        <v>44664</v>
      </c>
      <c r="B210" s="40" t="s">
        <v>10647</v>
      </c>
      <c r="C210" s="40" t="s">
        <v>10672</v>
      </c>
      <c r="D210" s="61" t="s">
        <v>11595</v>
      </c>
      <c r="E210" s="42" t="str">
        <f>LEFT(BD_MO[[#This Row],[LABOR]],2)</f>
        <v>Tj</v>
      </c>
      <c r="F210" s="46" t="s">
        <v>10950</v>
      </c>
      <c r="G210" s="46" t="s">
        <v>10648</v>
      </c>
      <c r="H210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10" s="42" t="s">
        <v>12254</v>
      </c>
      <c r="J210" s="42" t="s">
        <v>10502</v>
      </c>
      <c r="K210" s="42" t="s">
        <v>12249</v>
      </c>
      <c r="L210" s="42"/>
      <c r="M210" s="48" t="s">
        <v>10654</v>
      </c>
      <c r="N210" s="46"/>
      <c r="O210" s="93" t="s">
        <v>12205</v>
      </c>
      <c r="P210" s="93"/>
      <c r="Q210" s="93"/>
      <c r="R210" s="45"/>
      <c r="S210" s="54" t="str">
        <f>IFERROR(VLOOKUP(BD_MO[DNI 4],#REF!,2,FALSE)," ")</f>
        <v xml:space="preserve"> </v>
      </c>
      <c r="T210" s="24">
        <f>+IF(BD_MO[[#This Row],[FECHA]]&lt;&gt;"",COUNTA(BD_MO[[#This Row],[DNI]],BD_MO[[#This Row],[DNI 2]],BD_MO[[#This Row],[DNI 3]],BD_MO[[#This Row],[DNI 4]]),"")</f>
        <v>1</v>
      </c>
      <c r="U210" s="24"/>
      <c r="V210" s="24"/>
      <c r="W210" s="24"/>
      <c r="X210" s="24">
        <v>1</v>
      </c>
      <c r="Y210" s="86">
        <f>SUM(BD_MO[[#This Row],[LIMP]:[SERV]])</f>
        <v>1</v>
      </c>
      <c r="Z210" s="46" t="s">
        <v>12263</v>
      </c>
      <c r="AA210" s="46">
        <f>+IF(BD_MO[[#This Row],[N° VALE]]&lt;&gt;"",1,"")</f>
        <v>1</v>
      </c>
      <c r="AB210" s="40" t="s">
        <v>10659</v>
      </c>
      <c r="AC210" s="46">
        <v>4</v>
      </c>
      <c r="AD210" s="46">
        <f>+IF(BD_MO[[#This Row],[N° VALE]]&lt;&gt;"",BD_MO[[#This Row],[FULMINANTE N° 08]]+BD_MO[CARMEX 7''],"")</f>
        <v>6</v>
      </c>
      <c r="AE210" s="46"/>
      <c r="AF210" s="46">
        <f>+IF(BD_MO[[#This Row],[N° VALE]]&lt;&gt;"",BD_MO[[#This Row],[N° TALADROS]]+BD_MO[[#This Row],[N° TAL. VACIOS]],"")</f>
        <v>6</v>
      </c>
      <c r="AG210" s="55">
        <v>12</v>
      </c>
      <c r="AH210" s="55">
        <v>12</v>
      </c>
      <c r="AI210" s="55"/>
      <c r="AJ210" s="55"/>
      <c r="AK210" s="55">
        <v>6</v>
      </c>
      <c r="AL210" s="55">
        <v>6</v>
      </c>
      <c r="AM210" s="42"/>
      <c r="AN210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10" s="46">
        <f>+IF(BD_MO[[#This Row],[N° VALE]]&lt;&gt;"",IF(BD_MO[[#This Row],[FULMINANTE N° 08]]&lt;&gt;"",BD_MO[[#This Row],[FULMINANTE N° 08]],IF(BD_MO[[#This Row],[CARMEX 7'']]&lt;&gt;0,0,"")),"")</f>
        <v>0</v>
      </c>
      <c r="AP210" s="24">
        <f>+IF(BD_MO[[#This Row],[N° VALE]]&lt;&gt;"",BD_MO[[#This Row],[N°  TOTAL TALADROS]]*BD_MO[[#This Row],[BARRA]]*0.95,"")</f>
        <v>22.799999999999997</v>
      </c>
      <c r="AQ210" s="24">
        <f>+IF(BD_MO[[#This Row],[N° VALE]]&lt;&gt;"",BD_MO[[#This Row],[EMULNOR 1000 (N° CART.)]]*PE_EMUL_1000[PE],"")</f>
        <v>1.1364000000000001</v>
      </c>
      <c r="AR210" s="24">
        <f>+IF(BD_MO[[#This Row],[N° VALE]]&lt;&gt;"",BD_MO[[#This Row],[EMULNOR 3000 (N° CART.)]]*PE_EMUL_3000[PE],"")</f>
        <v>1.1538461538461544</v>
      </c>
      <c r="AS210" s="24">
        <f>+IF(BD_MO[[#This Row],[N° VALE]]&lt;&gt;"",BD_MO[[#This Row],[PULVERULENTA (N° CART.)]]*PE_PULV_65[PE],"")</f>
        <v>0</v>
      </c>
      <c r="AT210" s="24">
        <f>+IF(BD_MO[[#This Row],[N° DISP]]&lt;&gt;"",BD_MO[[#This Row],[SEMIGELATINA (N° CART.)]]*PE_SEMIGEL_65[PE],"")</f>
        <v>0</v>
      </c>
      <c r="AU210" s="24">
        <f>+IF(BD_MO[N° VALE]&lt;&gt;"",BD_MO[[#This Row],[KG EXPLO SEMIGEL]]+BD_MO[[#This Row],[KG EXPLO PULVE]]+BD_MO[[#This Row],[KG EXPLO EMULN 3000]]+BD_MO[[#This Row],[KG EXPLO EMULN 1000]],"")</f>
        <v>2.2902461538461543</v>
      </c>
      <c r="AV210" s="46"/>
      <c r="AW210" s="46"/>
      <c r="AX210" s="46" t="str">
        <f>+IF(BD_MO[[#This Row],[MINERAL (U-35)]]&lt;&gt;"",BD_MO[[#This Row],[MINERAL (U-35)]]*1.45,"-")</f>
        <v>-</v>
      </c>
      <c r="AY210" s="46" t="str">
        <f>+IF(BD_MO[[#This Row],[DESMONTE (U-35)]]&lt;&gt;"",BD_MO[[#This Row],[DESMONTE (U-35)]]*1.23,"-")</f>
        <v>-</v>
      </c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2"/>
      <c r="BO210" s="46"/>
      <c r="BP210" s="46"/>
      <c r="BQ210" s="42"/>
      <c r="BR210" s="46"/>
      <c r="BS210" s="42"/>
      <c r="BT210" s="24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24">
        <f>+IF(BD_MO[[#This Row],[FECHA]]&lt;&gt;"",BD_MO[[#This Row],[PUNTAL 4"]]+BD_MO[[#This Row],[PUNTAL 5"]]+BD_MO[[#This Row],[PUNTAL 6"]]+BD_MO[[#This Row],[PUNTAL 7"]]+BD_MO[[#This Row],[PUNTAL 8"]],"")</f>
        <v>0</v>
      </c>
      <c r="CQ210" s="46"/>
      <c r="CR210" s="46"/>
      <c r="CS210" s="46"/>
      <c r="CT210" s="46"/>
      <c r="CU210" s="46"/>
      <c r="CV210" s="46"/>
      <c r="CW210" s="46"/>
      <c r="CX210" s="46"/>
      <c r="CY210" s="24"/>
      <c r="CZ210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10" s="24">
        <f>+IF(BD_MO[[#This Row],[FECHA]]&lt;&gt;"",BD_MO[[#This Row],[DURMIENTE2]]*6.561+BD_MO[[#This Row],[LISTONES]]*4.921+BD_MO[[#This Row],[TABLA 1"x8"x3m]]*6.561+BD_MO[[#This Row],[TABLA 2"x8"x3m]]*13.122,"")</f>
        <v>0</v>
      </c>
      <c r="DB210" s="24">
        <f>+IF(BD_MO[[#This Row],[FECHA]]&lt;&gt;"",BD_MO[[#This Row],[PIE2 MADERA ASERRADA]]*1.95,"")</f>
        <v>0</v>
      </c>
      <c r="DC210" s="24">
        <f>+IF(BD_MO[[#This Row],[FECHA]]&lt;&gt;"",BD_MO[[#This Row],[KG. MADERA REDONDA]]+BD_MO[[#This Row],[KG MADERA ASERRADA]],"")</f>
        <v>0</v>
      </c>
      <c r="DD210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10" s="46"/>
      <c r="DF210" s="46"/>
      <c r="DG210" s="46"/>
      <c r="DH210" s="46"/>
      <c r="DI210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10" s="56"/>
      <c r="DK210" s="56"/>
      <c r="DL210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1.4</v>
      </c>
      <c r="DM210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1.456</v>
      </c>
      <c r="DN210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10" s="66">
        <f>0.24*BD_MO[[#This Row],[N° TALADROS]]</f>
        <v>1.44</v>
      </c>
      <c r="DP210" s="222">
        <f>+IF(BD_MO[[#This Row],[M o D]]&lt;&gt;"",IF(BD_MO[[#This Row],[M o D]]="M",BD_MO[[#This Row],[ROTURA TMH]]/2.65,BD_MO[[#This Row],[ROTURA TMH]]/2.4),"")</f>
        <v>0.54339622641509433</v>
      </c>
      <c r="DQ210" s="56">
        <v>0</v>
      </c>
      <c r="DR210" s="116" t="str">
        <f>IF(BD_MO[[#This Row],[TIPO AVANCE]]="Avance",((BD_MO[[#This Row],[AVANCE (m)]]/BD_MO[[#This Row],[AVANCE TEÓRICO]]))," ")</f>
        <v xml:space="preserve"> </v>
      </c>
    </row>
    <row r="211" spans="1:130" ht="18" customHeight="1" x14ac:dyDescent="0.25">
      <c r="A211" s="92">
        <v>44664</v>
      </c>
      <c r="B211" s="40" t="s">
        <v>10647</v>
      </c>
      <c r="C211" s="40" t="s">
        <v>10672</v>
      </c>
      <c r="D211" s="61" t="s">
        <v>11827</v>
      </c>
      <c r="E211" s="42" t="s">
        <v>10501</v>
      </c>
      <c r="F211" s="46" t="s">
        <v>10950</v>
      </c>
      <c r="G211" s="46" t="s">
        <v>10648</v>
      </c>
      <c r="H211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11" s="42" t="s">
        <v>12246</v>
      </c>
      <c r="J211" s="42" t="s">
        <v>10502</v>
      </c>
      <c r="K211" s="42" t="s">
        <v>12249</v>
      </c>
      <c r="L211" s="42"/>
      <c r="M211" s="48" t="s">
        <v>10654</v>
      </c>
      <c r="N211" s="46"/>
      <c r="O211" s="93" t="s">
        <v>12194</v>
      </c>
      <c r="P211" s="93"/>
      <c r="Q211" s="93"/>
      <c r="R211" s="45"/>
      <c r="S211" s="54" t="str">
        <f>IFERROR(VLOOKUP(BD_MO[DNI 4],#REF!,2,FALSE)," ")</f>
        <v xml:space="preserve"> </v>
      </c>
      <c r="T211" s="24">
        <f>+IF(BD_MO[[#This Row],[FECHA]]&lt;&gt;"",COUNTA(BD_MO[[#This Row],[DNI]],BD_MO[[#This Row],[DNI 2]],BD_MO[[#This Row],[DNI 3]],BD_MO[[#This Row],[DNI 4]]),"")</f>
        <v>1</v>
      </c>
      <c r="U211" s="24">
        <v>0.52</v>
      </c>
      <c r="V211" s="24">
        <v>0.28999999999999998</v>
      </c>
      <c r="W211" s="24"/>
      <c r="X211" s="24">
        <v>0.19</v>
      </c>
      <c r="Y211" s="86">
        <f>SUM(BD_MO[[#This Row],[LIMP]:[SERV]])</f>
        <v>1</v>
      </c>
      <c r="Z211" s="46" t="s">
        <v>12264</v>
      </c>
      <c r="AA211" s="46">
        <f>+IF(BD_MO[[#This Row],[N° VALE]]&lt;&gt;"",1,"")</f>
        <v>1</v>
      </c>
      <c r="AB211" s="40" t="s">
        <v>10709</v>
      </c>
      <c r="AC211" s="46">
        <v>4</v>
      </c>
      <c r="AD211" s="46">
        <f>+IF(BD_MO[[#This Row],[N° VALE]]&lt;&gt;"",BD_MO[[#This Row],[FULMINANTE N° 08]]+BD_MO[CARMEX 7''],"")</f>
        <v>21</v>
      </c>
      <c r="AE211" s="46"/>
      <c r="AF211" s="46">
        <f>+IF(BD_MO[[#This Row],[N° VALE]]&lt;&gt;"",BD_MO[[#This Row],[N° TALADROS]]+BD_MO[[#This Row],[N° TAL. VACIOS]],"")</f>
        <v>21</v>
      </c>
      <c r="AG211" s="55">
        <v>50</v>
      </c>
      <c r="AH211" s="55">
        <v>46</v>
      </c>
      <c r="AI211" s="55"/>
      <c r="AJ211" s="55"/>
      <c r="AK211" s="55">
        <v>21</v>
      </c>
      <c r="AL211" s="55">
        <v>5</v>
      </c>
      <c r="AM211" s="42"/>
      <c r="AN211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11" s="46">
        <f>+IF(BD_MO[[#This Row],[N° VALE]]&lt;&gt;"",IF(BD_MO[[#This Row],[FULMINANTE N° 08]]&lt;&gt;"",BD_MO[[#This Row],[FULMINANTE N° 08]],IF(BD_MO[[#This Row],[CARMEX 7'']]&lt;&gt;0,0,"")),"")</f>
        <v>0</v>
      </c>
      <c r="AP211" s="24">
        <f>+IF(BD_MO[[#This Row],[N° VALE]]&lt;&gt;"",BD_MO[[#This Row],[N°  TOTAL TALADROS]]*BD_MO[[#This Row],[BARRA]]*0.95,"")</f>
        <v>79.8</v>
      </c>
      <c r="AQ211" s="24">
        <f>+IF(BD_MO[[#This Row],[N° VALE]]&lt;&gt;"",BD_MO[[#This Row],[EMULNOR 1000 (N° CART.)]]*PE_EMUL_1000[PE],"")</f>
        <v>4.3562000000000003</v>
      </c>
      <c r="AR211" s="24">
        <f>+IF(BD_MO[[#This Row],[N° VALE]]&lt;&gt;"",BD_MO[[#This Row],[EMULNOR 3000 (N° CART.)]]*PE_EMUL_3000[PE],"")</f>
        <v>4.8076923076923102</v>
      </c>
      <c r="AS211" s="24">
        <f>+IF(BD_MO[[#This Row],[N° VALE]]&lt;&gt;"",BD_MO[[#This Row],[PULVERULENTA (N° CART.)]]*PE_PULV_65[PE],"")</f>
        <v>0</v>
      </c>
      <c r="AT211" s="24">
        <f>+IF(BD_MO[[#This Row],[N° DISP]]&lt;&gt;"",BD_MO[[#This Row],[SEMIGELATINA (N° CART.)]]*PE_SEMIGEL_65[PE],"")</f>
        <v>0</v>
      </c>
      <c r="AU211" s="24">
        <f>+IF(BD_MO[N° VALE]&lt;&gt;"",BD_MO[[#This Row],[KG EXPLO SEMIGEL]]+BD_MO[[#This Row],[KG EXPLO PULVE]]+BD_MO[[#This Row],[KG EXPLO EMULN 3000]]+BD_MO[[#This Row],[KG EXPLO EMULN 1000]],"")</f>
        <v>9.1638923076923113</v>
      </c>
      <c r="AV211" s="46">
        <v>5</v>
      </c>
      <c r="AW211" s="46"/>
      <c r="AX211" s="46">
        <f>+IF(BD_MO[[#This Row],[MINERAL (U-35)]]&lt;&gt;"",BD_MO[[#This Row],[MINERAL (U-35)]]*1.45,"-")</f>
        <v>7.25</v>
      </c>
      <c r="AY211" s="46" t="str">
        <f>+IF(BD_MO[[#This Row],[DESMONTE (U-35)]]&lt;&gt;"",BD_MO[[#This Row],[DESMONTE (U-35)]]*1.23,"-")</f>
        <v>-</v>
      </c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2"/>
      <c r="BO211" s="46"/>
      <c r="BP211" s="46"/>
      <c r="BQ211" s="42"/>
      <c r="BR211" s="46"/>
      <c r="BS211" s="42"/>
      <c r="BT211" s="24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24">
        <f>+IF(BD_MO[[#This Row],[FECHA]]&lt;&gt;"",BD_MO[[#This Row],[PUNTAL 4"]]+BD_MO[[#This Row],[PUNTAL 5"]]+BD_MO[[#This Row],[PUNTAL 6"]]+BD_MO[[#This Row],[PUNTAL 7"]]+BD_MO[[#This Row],[PUNTAL 8"]],"")</f>
        <v>0</v>
      </c>
      <c r="CQ211" s="46"/>
      <c r="CR211" s="46"/>
      <c r="CS211" s="46"/>
      <c r="CT211" s="46"/>
      <c r="CU211" s="46"/>
      <c r="CV211" s="46"/>
      <c r="CW211" s="46"/>
      <c r="CX211" s="46"/>
      <c r="CY211" s="24"/>
      <c r="CZ211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11" s="24">
        <f>+IF(BD_MO[[#This Row],[FECHA]]&lt;&gt;"",BD_MO[[#This Row],[DURMIENTE2]]*6.561+BD_MO[[#This Row],[LISTONES]]*4.921+BD_MO[[#This Row],[TABLA 1"x8"x3m]]*6.561+BD_MO[[#This Row],[TABLA 2"x8"x3m]]*13.122,"")</f>
        <v>0</v>
      </c>
      <c r="DB211" s="24">
        <f>+IF(BD_MO[[#This Row],[FECHA]]&lt;&gt;"",BD_MO[[#This Row],[PIE2 MADERA ASERRADA]]*1.95,"")</f>
        <v>0</v>
      </c>
      <c r="DC211" s="24">
        <f>+IF(BD_MO[[#This Row],[FECHA]]&lt;&gt;"",BD_MO[[#This Row],[KG. MADERA REDONDA]]+BD_MO[[#This Row],[KG MADERA ASERRADA]],"")</f>
        <v>0</v>
      </c>
      <c r="DD211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11" s="46"/>
      <c r="DF211" s="46"/>
      <c r="DG211" s="46"/>
      <c r="DH211" s="46"/>
      <c r="DI211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11" s="56"/>
      <c r="DK211" s="56"/>
      <c r="DL211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4.9000000000000004</v>
      </c>
      <c r="DM211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5.096000000000001</v>
      </c>
      <c r="DN211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11" s="66"/>
      <c r="DP211" s="56"/>
      <c r="DQ211" s="56"/>
      <c r="DR211" s="116" t="str">
        <f>IF(BD_MO[[#This Row],[TIPO AVANCE]]="Avance",((BD_MO[[#This Row],[AVANCE (m)]]/BD_MO[[#This Row],[AVANCE TEÓRICO]]))," ")</f>
        <v xml:space="preserve"> </v>
      </c>
    </row>
    <row r="212" spans="1:130" ht="18" customHeight="1" x14ac:dyDescent="0.25">
      <c r="A212" s="92">
        <v>44664</v>
      </c>
      <c r="B212" s="40" t="s">
        <v>10647</v>
      </c>
      <c r="C212" s="40" t="s">
        <v>10672</v>
      </c>
      <c r="D212" s="61" t="s">
        <v>11827</v>
      </c>
      <c r="E212" s="42" t="str">
        <f>LEFT(BD_MO[[#This Row],[LABOR]],2)</f>
        <v>Tj</v>
      </c>
      <c r="F212" s="46" t="s">
        <v>10950</v>
      </c>
      <c r="G212" s="46" t="s">
        <v>10648</v>
      </c>
      <c r="H212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12" s="42" t="s">
        <v>12246</v>
      </c>
      <c r="J212" s="42" t="s">
        <v>10502</v>
      </c>
      <c r="K212" s="42" t="s">
        <v>12249</v>
      </c>
      <c r="L212" s="42"/>
      <c r="M212" s="48" t="s">
        <v>10654</v>
      </c>
      <c r="N212" s="46"/>
      <c r="O212" s="93" t="s">
        <v>12261</v>
      </c>
      <c r="P212" s="93"/>
      <c r="Q212" s="93"/>
      <c r="R212" s="45"/>
      <c r="S212" s="54" t="str">
        <f>IFERROR(VLOOKUP(BD_MO[DNI 4],#REF!,2,FALSE)," ")</f>
        <v xml:space="preserve"> </v>
      </c>
      <c r="T212" s="24">
        <f>+IF(BD_MO[[#This Row],[FECHA]]&lt;&gt;"",COUNTA(BD_MO[[#This Row],[DNI]],BD_MO[[#This Row],[DNI 2]],BD_MO[[#This Row],[DNI 3]],BD_MO[[#This Row],[DNI 4]]),"")</f>
        <v>1</v>
      </c>
      <c r="U212" s="24"/>
      <c r="V212" s="24"/>
      <c r="W212" s="24"/>
      <c r="X212" s="24">
        <v>1</v>
      </c>
      <c r="Y212" s="86">
        <f>SUM(BD_MO[[#This Row],[LIMP]:[SERV]])</f>
        <v>1</v>
      </c>
      <c r="Z212" s="46" t="s">
        <v>12265</v>
      </c>
      <c r="AA212" s="46">
        <f>+IF(BD_MO[[#This Row],[N° VALE]]&lt;&gt;"",1,"")</f>
        <v>1</v>
      </c>
      <c r="AB212" s="40" t="s">
        <v>10709</v>
      </c>
      <c r="AC212" s="46">
        <v>4</v>
      </c>
      <c r="AD212" s="46">
        <f>+IF(BD_MO[[#This Row],[N° VALE]]&lt;&gt;"",BD_MO[[#This Row],[FULMINANTE N° 08]]+BD_MO[CARMEX 7''],"")</f>
        <v>21</v>
      </c>
      <c r="AE212" s="46"/>
      <c r="AF212" s="46">
        <f>+IF(BD_MO[[#This Row],[N° VALE]]&lt;&gt;"",BD_MO[[#This Row],[N° TALADROS]]+BD_MO[[#This Row],[N° TAL. VACIOS]],"")</f>
        <v>21</v>
      </c>
      <c r="AG212" s="55">
        <v>50</v>
      </c>
      <c r="AH212" s="55">
        <v>46</v>
      </c>
      <c r="AI212" s="55"/>
      <c r="AJ212" s="55"/>
      <c r="AK212" s="55">
        <v>21</v>
      </c>
      <c r="AL212" s="55">
        <v>5</v>
      </c>
      <c r="AM212" s="42"/>
      <c r="AN212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12" s="46">
        <f>+IF(BD_MO[[#This Row],[N° VALE]]&lt;&gt;"",IF(BD_MO[[#This Row],[FULMINANTE N° 08]]&lt;&gt;"",BD_MO[[#This Row],[FULMINANTE N° 08]],IF(BD_MO[[#This Row],[CARMEX 7'']]&lt;&gt;0,0,"")),"")</f>
        <v>0</v>
      </c>
      <c r="AP212" s="24">
        <f>+IF(BD_MO[[#This Row],[N° VALE]]&lt;&gt;"",BD_MO[[#This Row],[N°  TOTAL TALADROS]]*BD_MO[[#This Row],[BARRA]]*0.95,"")</f>
        <v>79.8</v>
      </c>
      <c r="AQ212" s="24">
        <f>+IF(BD_MO[[#This Row],[N° VALE]]&lt;&gt;"",BD_MO[[#This Row],[EMULNOR 1000 (N° CART.)]]*PE_EMUL_1000[PE],"")</f>
        <v>4.3562000000000003</v>
      </c>
      <c r="AR212" s="24">
        <f>+IF(BD_MO[[#This Row],[N° VALE]]&lt;&gt;"",BD_MO[[#This Row],[EMULNOR 3000 (N° CART.)]]*PE_EMUL_3000[PE],"")</f>
        <v>4.8076923076923102</v>
      </c>
      <c r="AS212" s="24">
        <f>+IF(BD_MO[[#This Row],[N° VALE]]&lt;&gt;"",BD_MO[[#This Row],[PULVERULENTA (N° CART.)]]*PE_PULV_65[PE],"")</f>
        <v>0</v>
      </c>
      <c r="AT212" s="24">
        <f>+IF(BD_MO[[#This Row],[N° DISP]]&lt;&gt;"",BD_MO[[#This Row],[SEMIGELATINA (N° CART.)]]*PE_SEMIGEL_65[PE],"")</f>
        <v>0</v>
      </c>
      <c r="AU212" s="24">
        <f>+IF(BD_MO[N° VALE]&lt;&gt;"",BD_MO[[#This Row],[KG EXPLO SEMIGEL]]+BD_MO[[#This Row],[KG EXPLO PULVE]]+BD_MO[[#This Row],[KG EXPLO EMULN 3000]]+BD_MO[[#This Row],[KG EXPLO EMULN 1000]],"")</f>
        <v>9.1638923076923113</v>
      </c>
      <c r="AV212" s="46">
        <v>6</v>
      </c>
      <c r="AW212" s="46"/>
      <c r="AX212" s="46">
        <f>+IF(BD_MO[[#This Row],[MINERAL (U-35)]]&lt;&gt;"",BD_MO[[#This Row],[MINERAL (U-35)]]*1.45,"-")</f>
        <v>8.6999999999999993</v>
      </c>
      <c r="AY212" s="46" t="str">
        <f>+IF(BD_MO[[#This Row],[DESMONTE (U-35)]]&lt;&gt;"",BD_MO[[#This Row],[DESMONTE (U-35)]]*1.23,"-")</f>
        <v>-</v>
      </c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2"/>
      <c r="BO212" s="46"/>
      <c r="BP212" s="46"/>
      <c r="BQ212" s="42"/>
      <c r="BR212" s="46"/>
      <c r="BS212" s="42"/>
      <c r="BT212" s="24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24">
        <f>+IF(BD_MO[[#This Row],[FECHA]]&lt;&gt;"",BD_MO[[#This Row],[PUNTAL 4"]]+BD_MO[[#This Row],[PUNTAL 5"]]+BD_MO[[#This Row],[PUNTAL 6"]]+BD_MO[[#This Row],[PUNTAL 7"]]+BD_MO[[#This Row],[PUNTAL 8"]],"")</f>
        <v>0</v>
      </c>
      <c r="CQ212" s="46"/>
      <c r="CR212" s="46"/>
      <c r="CS212" s="46"/>
      <c r="CT212" s="46"/>
      <c r="CU212" s="46"/>
      <c r="CV212" s="46"/>
      <c r="CW212" s="46"/>
      <c r="CX212" s="46"/>
      <c r="CY212" s="24"/>
      <c r="CZ212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12" s="24">
        <f>+IF(BD_MO[[#This Row],[FECHA]]&lt;&gt;"",BD_MO[[#This Row],[DURMIENTE2]]*6.561+BD_MO[[#This Row],[LISTONES]]*4.921+BD_MO[[#This Row],[TABLA 1"x8"x3m]]*6.561+BD_MO[[#This Row],[TABLA 2"x8"x3m]]*13.122,"")</f>
        <v>0</v>
      </c>
      <c r="DB212" s="24">
        <f>+IF(BD_MO[[#This Row],[FECHA]]&lt;&gt;"",BD_MO[[#This Row],[PIE2 MADERA ASERRADA]]*1.95,"")</f>
        <v>0</v>
      </c>
      <c r="DC212" s="24">
        <f>+IF(BD_MO[[#This Row],[FECHA]]&lt;&gt;"",BD_MO[[#This Row],[KG. MADERA REDONDA]]+BD_MO[[#This Row],[KG MADERA ASERRADA]],"")</f>
        <v>0</v>
      </c>
      <c r="DD212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12" s="46"/>
      <c r="DF212" s="46"/>
      <c r="DG212" s="46"/>
      <c r="DH212" s="46"/>
      <c r="DI212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12" s="56"/>
      <c r="DK212" s="56"/>
      <c r="DL212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4.9000000000000004</v>
      </c>
      <c r="DM212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5.096000000000001</v>
      </c>
      <c r="DN212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12" s="66">
        <f>0.83*BD_MO[[#This Row],[N° TALADROS]]</f>
        <v>17.43</v>
      </c>
      <c r="DP212" s="56">
        <f>+IF(BD_MO[[#This Row],[M o D]]&lt;&gt;"",IF(BD_MO[[#This Row],[M o D]]="M",BD_MO[[#This Row],[ROTURA TMH]]/2.65,BD_MO[[#This Row],[ROTURA TMH]]/2.4),"")</f>
        <v>6.5773584905660378</v>
      </c>
      <c r="DQ212" s="56"/>
      <c r="DR212" s="116" t="str">
        <f>IF(BD_MO[[#This Row],[TIPO AVANCE]]="Avance",((BD_MO[[#This Row],[AVANCE (m)]]/BD_MO[[#This Row],[AVANCE TEÓRICO]]))," ")</f>
        <v xml:space="preserve"> </v>
      </c>
    </row>
    <row r="213" spans="1:130" ht="18" customHeight="1" x14ac:dyDescent="0.25">
      <c r="A213" s="92">
        <v>44664</v>
      </c>
      <c r="B213" s="40" t="s">
        <v>10647</v>
      </c>
      <c r="C213" s="40" t="s">
        <v>10672</v>
      </c>
      <c r="D213" s="61" t="s">
        <v>12149</v>
      </c>
      <c r="E213" s="42" t="str">
        <f>LEFT(BD_MO[[#This Row],[LABOR]],2)</f>
        <v>Es</v>
      </c>
      <c r="F213" s="46" t="s">
        <v>10950</v>
      </c>
      <c r="G213" s="46" t="s">
        <v>10648</v>
      </c>
      <c r="H213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13" s="42" t="str">
        <f>IF(BD_MO[FECHA]&lt;&gt;"",VLOOKUP(BD_MO[LABOR],TB_CECO[[LABOR]:[CECO_T]],3,FALSE),"")</f>
        <v>VANESSA</v>
      </c>
      <c r="J213" s="42" t="str">
        <f>IF(BD_MO[FECHA]&lt;&gt;"",VLOOKUP(BD_MO[LABOR],D_CECO!B:H,7,FALSE),"")</f>
        <v>LINEAL</v>
      </c>
      <c r="K213" s="42" t="str">
        <f>IF(BD_MO[FECHA]&lt;&gt;"",VLOOKUP(BD_MO[LABOR],D_CECO!B:H,4,FALSE),"")</f>
        <v>EXPLORACION</v>
      </c>
      <c r="L213" s="42"/>
      <c r="M213" s="48" t="s">
        <v>10646</v>
      </c>
      <c r="N213" s="46"/>
      <c r="O213" s="93" t="s">
        <v>12197</v>
      </c>
      <c r="P213" s="93"/>
      <c r="Q213" s="93"/>
      <c r="R213" s="45"/>
      <c r="S213" s="54" t="str">
        <f>IFERROR(VLOOKUP(BD_MO[DNI 4],#REF!,2,FALSE)," ")</f>
        <v xml:space="preserve"> </v>
      </c>
      <c r="T213" s="24">
        <f>+IF(BD_MO[[#This Row],[FECHA]]&lt;&gt;"",COUNTA(BD_MO[[#This Row],[DNI]],BD_MO[[#This Row],[DNI 2]],BD_MO[[#This Row],[DNI 3]],BD_MO[[#This Row],[DNI 4]]),"")</f>
        <v>1</v>
      </c>
      <c r="U213" s="24">
        <v>0.86</v>
      </c>
      <c r="V213" s="24">
        <v>0.38</v>
      </c>
      <c r="W213" s="24"/>
      <c r="X213" s="24">
        <v>0.76</v>
      </c>
      <c r="Y213" s="86">
        <f>SUM(BD_MO[[#This Row],[LIMP]:[SERV]])</f>
        <v>2</v>
      </c>
      <c r="Z213" s="46" t="s">
        <v>12266</v>
      </c>
      <c r="AA213" s="46">
        <f>+IF(BD_MO[[#This Row],[N° VALE]]&lt;&gt;"",1,"")</f>
        <v>1</v>
      </c>
      <c r="AB213" s="40" t="s">
        <v>10644</v>
      </c>
      <c r="AC213" s="46">
        <v>4</v>
      </c>
      <c r="AD213" s="46">
        <f>+IF(BD_MO[[#This Row],[N° VALE]]&lt;&gt;"",BD_MO[[#This Row],[FULMINANTE N° 08]]+BD_MO[CARMEX 7''],"")</f>
        <v>20</v>
      </c>
      <c r="AE213" s="46"/>
      <c r="AF213" s="46">
        <f>+IF(BD_MO[[#This Row],[N° VALE]]&lt;&gt;"",BD_MO[[#This Row],[N° TALADROS]]+BD_MO[[#This Row],[N° TAL. VACIOS]],"")</f>
        <v>20</v>
      </c>
      <c r="AG213" s="55">
        <v>50</v>
      </c>
      <c r="AH213" s="55">
        <v>40</v>
      </c>
      <c r="AI213" s="55"/>
      <c r="AJ213" s="55"/>
      <c r="AK213" s="55">
        <v>20</v>
      </c>
      <c r="AL213" s="55">
        <v>5</v>
      </c>
      <c r="AM213" s="42"/>
      <c r="AN213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13" s="46">
        <f>+IF(BD_MO[[#This Row],[N° VALE]]&lt;&gt;"",IF(BD_MO[[#This Row],[FULMINANTE N° 08]]&lt;&gt;"",BD_MO[[#This Row],[FULMINANTE N° 08]],IF(BD_MO[[#This Row],[CARMEX 7'']]&lt;&gt;0,0,"")),"")</f>
        <v>0</v>
      </c>
      <c r="AP213" s="24">
        <f>+IF(BD_MO[[#This Row],[N° VALE]]&lt;&gt;"",BD_MO[[#This Row],[N°  TOTAL TALADROS]]*BD_MO[[#This Row],[BARRA]]*0.95,"")</f>
        <v>76</v>
      </c>
      <c r="AQ213" s="24">
        <f>+IF(BD_MO[[#This Row],[N° VALE]]&lt;&gt;"",BD_MO[[#This Row],[EMULNOR 1000 (N° CART.)]]*PE_EMUL_1000[PE],"")</f>
        <v>3.7880000000000003</v>
      </c>
      <c r="AR213" s="24">
        <f>+IF(BD_MO[[#This Row],[N° VALE]]&lt;&gt;"",BD_MO[[#This Row],[EMULNOR 3000 (N° CART.)]]*PE_EMUL_3000[PE],"")</f>
        <v>4.8076923076923102</v>
      </c>
      <c r="AS213" s="24">
        <f>+IF(BD_MO[[#This Row],[N° VALE]]&lt;&gt;"",BD_MO[[#This Row],[PULVERULENTA (N° CART.)]]*PE_PULV_65[PE],"")</f>
        <v>0</v>
      </c>
      <c r="AT213" s="24">
        <f>+IF(BD_MO[[#This Row],[N° DISP]]&lt;&gt;"",BD_MO[[#This Row],[SEMIGELATINA (N° CART.)]]*PE_SEMIGEL_65[PE],"")</f>
        <v>0</v>
      </c>
      <c r="AU213" s="24">
        <f>+IF(BD_MO[N° VALE]&lt;&gt;"",BD_MO[[#This Row],[KG EXPLO SEMIGEL]]+BD_MO[[#This Row],[KG EXPLO PULVE]]+BD_MO[[#This Row],[KG EXPLO EMULN 3000]]+BD_MO[[#This Row],[KG EXPLO EMULN 1000]],"")</f>
        <v>8.5956923076923104</v>
      </c>
      <c r="AV213" s="46"/>
      <c r="AW213" s="46">
        <v>6</v>
      </c>
      <c r="AX213" s="46" t="str">
        <f>+IF(BD_MO[[#This Row],[MINERAL (U-35)]]&lt;&gt;"",BD_MO[[#This Row],[MINERAL (U-35)]]*1.45,"-")</f>
        <v>-</v>
      </c>
      <c r="AY213" s="46">
        <f>+IF(BD_MO[[#This Row],[DESMONTE (U-35)]]&lt;&gt;"",BD_MO[[#This Row],[DESMONTE (U-35)]]*1.23,"-")</f>
        <v>7.38</v>
      </c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2"/>
      <c r="BO213" s="46"/>
      <c r="BP213" s="46"/>
      <c r="BQ213" s="42"/>
      <c r="BR213" s="46"/>
      <c r="BS213" s="42"/>
      <c r="BT213" s="24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24">
        <f>+IF(BD_MO[[#This Row],[FECHA]]&lt;&gt;"",BD_MO[[#This Row],[PUNTAL 4"]]+BD_MO[[#This Row],[PUNTAL 5"]]+BD_MO[[#This Row],[PUNTAL 6"]]+BD_MO[[#This Row],[PUNTAL 7"]]+BD_MO[[#This Row],[PUNTAL 8"]],"")</f>
        <v>0</v>
      </c>
      <c r="CQ213" s="46"/>
      <c r="CR213" s="46"/>
      <c r="CS213" s="46"/>
      <c r="CT213" s="46"/>
      <c r="CU213" s="46"/>
      <c r="CV213" s="46"/>
      <c r="CW213" s="46"/>
      <c r="CX213" s="46"/>
      <c r="CY213" s="24"/>
      <c r="CZ213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13" s="24">
        <f>+IF(BD_MO[[#This Row],[FECHA]]&lt;&gt;"",BD_MO[[#This Row],[DURMIENTE2]]*6.561+BD_MO[[#This Row],[LISTONES]]*4.921+BD_MO[[#This Row],[TABLA 1"x8"x3m]]*6.561+BD_MO[[#This Row],[TABLA 2"x8"x3m]]*13.122,"")</f>
        <v>0</v>
      </c>
      <c r="DB213" s="24">
        <f>+IF(BD_MO[[#This Row],[FECHA]]&lt;&gt;"",BD_MO[[#This Row],[PIE2 MADERA ASERRADA]]*1.95,"")</f>
        <v>0</v>
      </c>
      <c r="DC213" s="24">
        <f>+IF(BD_MO[[#This Row],[FECHA]]&lt;&gt;"",BD_MO[[#This Row],[KG. MADERA REDONDA]]+BD_MO[[#This Row],[KG MADERA ASERRADA]],"")</f>
        <v>0</v>
      </c>
      <c r="DD213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13" s="46"/>
      <c r="DF213" s="46"/>
      <c r="DG213" s="46"/>
      <c r="DH213" s="46"/>
      <c r="DI213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13" s="56"/>
      <c r="DK213" s="56"/>
      <c r="DL213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13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13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13" s="66">
        <f>0.3154597*BD_MO[[#This Row],[N° TALADROS]]</f>
        <v>6.3091939999999997</v>
      </c>
      <c r="DP213" s="222">
        <f>+IF(BD_MO[[#This Row],[M o D]]&lt;&gt;"",IF(BD_MO[[#This Row],[M o D]]="M",BD_MO[[#This Row],[ROTURA TMH]]/2.65,BD_MO[[#This Row],[ROTURA TMH]]/2.4),"")</f>
        <v>2.3808279245283019</v>
      </c>
      <c r="DQ213" s="180">
        <v>0.94</v>
      </c>
      <c r="DR213" s="116">
        <f>IF(BD_MO[[#This Row],[TIPO AVANCE]]="Avance",((BD_MO[[#This Row],[AVANCE (m)]]/BD_MO[[#This Row],[AVANCE TEÓRICO]]))," ")</f>
        <v>0.87037037037037024</v>
      </c>
    </row>
    <row r="214" spans="1:130" ht="18" customHeight="1" x14ac:dyDescent="0.25">
      <c r="A214" s="92">
        <v>44664</v>
      </c>
      <c r="B214" s="40" t="s">
        <v>10647</v>
      </c>
      <c r="C214" s="40" t="s">
        <v>10672</v>
      </c>
      <c r="D214" s="61" t="s">
        <v>12253</v>
      </c>
      <c r="E214" s="42" t="str">
        <f>LEFT(BD_MO[[#This Row],[LABOR]],2)</f>
        <v>Sn</v>
      </c>
      <c r="F214" s="46"/>
      <c r="G214" s="46" t="s">
        <v>10669</v>
      </c>
      <c r="H214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14" s="42" t="s">
        <v>12246</v>
      </c>
      <c r="J214" s="42" t="s">
        <v>10525</v>
      </c>
      <c r="K214" s="42" t="s">
        <v>12247</v>
      </c>
      <c r="L214" s="42"/>
      <c r="M214" s="48"/>
      <c r="N214" s="46"/>
      <c r="O214" s="93" t="s">
        <v>12196</v>
      </c>
      <c r="P214" s="93" t="s">
        <v>12207</v>
      </c>
      <c r="Q214" s="93"/>
      <c r="R214" s="45"/>
      <c r="S214" s="54" t="str">
        <f>IFERROR(VLOOKUP(BD_MO[DNI 4],#REF!,2,FALSE)," ")</f>
        <v xml:space="preserve"> </v>
      </c>
      <c r="T214" s="24">
        <f>+IF(BD_MO[[#This Row],[FECHA]]&lt;&gt;"",COUNTA(BD_MO[[#This Row],[DNI]],BD_MO[[#This Row],[DNI 2]],BD_MO[[#This Row],[DNI 3]],BD_MO[[#This Row],[DNI 4]]),"")</f>
        <v>2</v>
      </c>
      <c r="U214" s="24"/>
      <c r="V214" s="24"/>
      <c r="W214" s="24"/>
      <c r="X214" s="24">
        <v>2</v>
      </c>
      <c r="Y214" s="86">
        <f>SUM(BD_MO[[#This Row],[LIMP]:[SERV]])</f>
        <v>2</v>
      </c>
      <c r="Z214" s="46"/>
      <c r="AA214" s="46" t="str">
        <f>+IF(BD_MO[[#This Row],[N° VALE]]&lt;&gt;"",1,"")</f>
        <v/>
      </c>
      <c r="AB214" s="40"/>
      <c r="AC214" s="46"/>
      <c r="AD214" s="46" t="str">
        <f>+IF(BD_MO[[#This Row],[N° VALE]]&lt;&gt;"",BD_MO[[#This Row],[FULMINANTE N° 08]]+BD_MO[CARMEX 7''],"")</f>
        <v/>
      </c>
      <c r="AE214" s="46"/>
      <c r="AF214" s="46" t="str">
        <f>+IF(BD_MO[[#This Row],[N° VALE]]&lt;&gt;"",BD_MO[[#This Row],[N° TALADROS]]+BD_MO[[#This Row],[N° TAL. VACIOS]],"")</f>
        <v/>
      </c>
      <c r="AG214" s="55"/>
      <c r="AH214" s="55"/>
      <c r="AI214" s="55"/>
      <c r="AJ214" s="55"/>
      <c r="AK214" s="55"/>
      <c r="AL214" s="55"/>
      <c r="AM214" s="42"/>
      <c r="AN214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14" s="46" t="str">
        <f>+IF(BD_MO[[#This Row],[N° VALE]]&lt;&gt;"",IF(BD_MO[[#This Row],[FULMINANTE N° 08]]&lt;&gt;"",BD_MO[[#This Row],[FULMINANTE N° 08]],IF(BD_MO[[#This Row],[CARMEX 7'']]&lt;&gt;0,0,"")),"")</f>
        <v/>
      </c>
      <c r="AP214" s="24" t="str">
        <f>+IF(BD_MO[[#This Row],[N° VALE]]&lt;&gt;"",BD_MO[[#This Row],[N°  TOTAL TALADROS]]*BD_MO[[#This Row],[BARRA]]*0.95,"")</f>
        <v/>
      </c>
      <c r="AQ214" s="24" t="str">
        <f>+IF(BD_MO[[#This Row],[N° VALE]]&lt;&gt;"",BD_MO[[#This Row],[EMULNOR 1000 (N° CART.)]]*PE_EMUL_1000[PE],"")</f>
        <v/>
      </c>
      <c r="AR214" s="24" t="str">
        <f>+IF(BD_MO[[#This Row],[N° VALE]]&lt;&gt;"",BD_MO[[#This Row],[EMULNOR 3000 (N° CART.)]]*PE_EMUL_3000[PE],"")</f>
        <v/>
      </c>
      <c r="AS214" s="24" t="str">
        <f>+IF(BD_MO[[#This Row],[N° VALE]]&lt;&gt;"",BD_MO[[#This Row],[PULVERULENTA (N° CART.)]]*PE_PULV_65[PE],"")</f>
        <v/>
      </c>
      <c r="AT214" s="24" t="str">
        <f>+IF(BD_MO[[#This Row],[N° DISP]]&lt;&gt;"",BD_MO[[#This Row],[SEMIGELATINA (N° CART.)]]*PE_SEMIGEL_65[PE],"")</f>
        <v/>
      </c>
      <c r="AU214" s="24" t="str">
        <f>+IF(BD_MO[N° VALE]&lt;&gt;"",BD_MO[[#This Row],[KG EXPLO SEMIGEL]]+BD_MO[[#This Row],[KG EXPLO PULVE]]+BD_MO[[#This Row],[KG EXPLO EMULN 3000]]+BD_MO[[#This Row],[KG EXPLO EMULN 1000]],"")</f>
        <v/>
      </c>
      <c r="AV214" s="46"/>
      <c r="AW214" s="46"/>
      <c r="AX214" s="46" t="str">
        <f>+IF(BD_MO[[#This Row],[MINERAL (U-35)]]&lt;&gt;"",BD_MO[[#This Row],[MINERAL (U-35)]]*1.45,"-")</f>
        <v>-</v>
      </c>
      <c r="AY214" s="46" t="str">
        <f>+IF(BD_MO[[#This Row],[DESMONTE (U-35)]]&lt;&gt;"",BD_MO[[#This Row],[DESMONTE (U-35)]]*1.23,"-")</f>
        <v>-</v>
      </c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2"/>
      <c r="BO214" s="46"/>
      <c r="BP214" s="46"/>
      <c r="BQ214" s="42"/>
      <c r="BR214" s="46"/>
      <c r="BS214" s="42"/>
      <c r="BT214" s="24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24">
        <f>+IF(BD_MO[[#This Row],[FECHA]]&lt;&gt;"",BD_MO[[#This Row],[PUNTAL 4"]]+BD_MO[[#This Row],[PUNTAL 5"]]+BD_MO[[#This Row],[PUNTAL 6"]]+BD_MO[[#This Row],[PUNTAL 7"]]+BD_MO[[#This Row],[PUNTAL 8"]],"")</f>
        <v>0</v>
      </c>
      <c r="CQ214" s="46"/>
      <c r="CR214" s="46"/>
      <c r="CS214" s="46"/>
      <c r="CT214" s="46"/>
      <c r="CU214" s="46"/>
      <c r="CV214" s="46"/>
      <c r="CW214" s="46"/>
      <c r="CX214" s="46"/>
      <c r="CY214" s="24"/>
      <c r="CZ214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14" s="24">
        <f>+IF(BD_MO[[#This Row],[FECHA]]&lt;&gt;"",BD_MO[[#This Row],[DURMIENTE2]]*6.561+BD_MO[[#This Row],[LISTONES]]*4.921+BD_MO[[#This Row],[TABLA 1"x8"x3m]]*6.561+BD_MO[[#This Row],[TABLA 2"x8"x3m]]*13.122,"")</f>
        <v>0</v>
      </c>
      <c r="DB214" s="24">
        <f>+IF(BD_MO[[#This Row],[FECHA]]&lt;&gt;"",BD_MO[[#This Row],[PIE2 MADERA ASERRADA]]*1.95,"")</f>
        <v>0</v>
      </c>
      <c r="DC214" s="24">
        <f>+IF(BD_MO[[#This Row],[FECHA]]&lt;&gt;"",BD_MO[[#This Row],[KG. MADERA REDONDA]]+BD_MO[[#This Row],[KG MADERA ASERRADA]],"")</f>
        <v>0</v>
      </c>
      <c r="DD214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14" s="46"/>
      <c r="DF214" s="46"/>
      <c r="DG214" s="46"/>
      <c r="DH214" s="46"/>
      <c r="DI214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14" s="56"/>
      <c r="DK214" s="56"/>
      <c r="DL214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14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14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14" s="66"/>
      <c r="DP214" s="56" t="str">
        <f>+IF(BD_MO[[#This Row],[M o D]]&lt;&gt;"",IF(BD_MO[[#This Row],[M o D]]="M",BD_MO[[#This Row],[ROTURA TMH]]/2.65,BD_MO[[#This Row],[ROTURA TMH]]/2.4),"")</f>
        <v/>
      </c>
      <c r="DQ214" s="56"/>
      <c r="DR214" s="116" t="str">
        <f>IF(BD_MO[[#This Row],[TIPO AVANCE]]="Avance",((BD_MO[[#This Row],[AVANCE (m)]]/BD_MO[[#This Row],[AVANCE TEÓRICO]]))," ")</f>
        <v xml:space="preserve"> </v>
      </c>
    </row>
    <row r="215" spans="1:130" ht="18" customHeight="1" x14ac:dyDescent="0.25">
      <c r="A215" s="92">
        <v>44664</v>
      </c>
      <c r="B215" s="40" t="s">
        <v>10647</v>
      </c>
      <c r="C215" s="40" t="s">
        <v>10672</v>
      </c>
      <c r="D215" s="61" t="s">
        <v>11872</v>
      </c>
      <c r="E215" s="42" t="str">
        <f>LEFT(BD_MO[[#This Row],[LABOR]],2)</f>
        <v>PQ</v>
      </c>
      <c r="F215" s="46"/>
      <c r="G215" s="46" t="s">
        <v>10669</v>
      </c>
      <c r="H215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15" s="42" t="str">
        <f>IF(BD_MO[FECHA]&lt;&gt;"",VLOOKUP(BD_MO[LABOR],TB_CECO[[LABOR]:[CECO_T]],3,FALSE),"")</f>
        <v>ANDREA</v>
      </c>
      <c r="J215" s="42" t="str">
        <f>IF(BD_MO[FECHA]&lt;&gt;"",VLOOKUP(BD_MO[LABOR],D_CECO!B:H,7,FALSE),"")</f>
        <v>LINEAL</v>
      </c>
      <c r="K215" s="42" t="str">
        <f>IF(BD_MO[FECHA]&lt;&gt;"",VLOOKUP(BD_MO[LABOR],D_CECO!B:H,4,FALSE),"")</f>
        <v>EXPLOTACION</v>
      </c>
      <c r="L215" s="42"/>
      <c r="M215" s="48"/>
      <c r="N215" s="46"/>
      <c r="O215" s="93" t="s">
        <v>12199</v>
      </c>
      <c r="P215" s="93" t="s">
        <v>12220</v>
      </c>
      <c r="Q215" s="93"/>
      <c r="R215" s="45"/>
      <c r="S215" s="54" t="str">
        <f>IFERROR(VLOOKUP(BD_MO[DNI 4],#REF!,2,FALSE)," ")</f>
        <v xml:space="preserve"> </v>
      </c>
      <c r="T215" s="24">
        <f>+IF(BD_MO[[#This Row],[FECHA]]&lt;&gt;"",COUNTA(BD_MO[[#This Row],[DNI]],BD_MO[[#This Row],[DNI 2]],BD_MO[[#This Row],[DNI 3]],BD_MO[[#This Row],[DNI 4]]),"")</f>
        <v>2</v>
      </c>
      <c r="U215" s="24"/>
      <c r="V215" s="24"/>
      <c r="W215" s="24"/>
      <c r="X215" s="24">
        <v>2</v>
      </c>
      <c r="Y215" s="86">
        <f>SUM(BD_MO[[#This Row],[LIMP]:[SERV]])</f>
        <v>2</v>
      </c>
      <c r="Z215" s="46"/>
      <c r="AA215" s="46" t="str">
        <f>+IF(BD_MO[[#This Row],[N° VALE]]&lt;&gt;"",1,"")</f>
        <v/>
      </c>
      <c r="AB215" s="40"/>
      <c r="AC215" s="46"/>
      <c r="AD215" s="46" t="str">
        <f>+IF(BD_MO[[#This Row],[N° VALE]]&lt;&gt;"",BD_MO[[#This Row],[FULMINANTE N° 08]]+BD_MO[CARMEX 7''],"")</f>
        <v/>
      </c>
      <c r="AE215" s="46"/>
      <c r="AF215" s="46" t="str">
        <f>+IF(BD_MO[[#This Row],[N° VALE]]&lt;&gt;"",BD_MO[[#This Row],[N° TALADROS]]+BD_MO[[#This Row],[N° TAL. VACIOS]],"")</f>
        <v/>
      </c>
      <c r="AG215" s="55"/>
      <c r="AH215" s="55"/>
      <c r="AI215" s="55"/>
      <c r="AJ215" s="55"/>
      <c r="AK215" s="55"/>
      <c r="AL215" s="55"/>
      <c r="AM215" s="42"/>
      <c r="AN215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15" s="46" t="str">
        <f>+IF(BD_MO[[#This Row],[N° VALE]]&lt;&gt;"",IF(BD_MO[[#This Row],[FULMINANTE N° 08]]&lt;&gt;"",BD_MO[[#This Row],[FULMINANTE N° 08]],IF(BD_MO[[#This Row],[CARMEX 7'']]&lt;&gt;0,0,"")),"")</f>
        <v/>
      </c>
      <c r="AP215" s="24" t="str">
        <f>+IF(BD_MO[[#This Row],[N° VALE]]&lt;&gt;"",BD_MO[[#This Row],[N°  TOTAL TALADROS]]*BD_MO[[#This Row],[BARRA]]*0.95,"")</f>
        <v/>
      </c>
      <c r="AQ215" s="24" t="str">
        <f>+IF(BD_MO[[#This Row],[N° VALE]]&lt;&gt;"",BD_MO[[#This Row],[EMULNOR 1000 (N° CART.)]]*PE_EMUL_1000[PE],"")</f>
        <v/>
      </c>
      <c r="AR215" s="24" t="str">
        <f>+IF(BD_MO[[#This Row],[N° VALE]]&lt;&gt;"",BD_MO[[#This Row],[EMULNOR 3000 (N° CART.)]]*PE_EMUL_3000[PE],"")</f>
        <v/>
      </c>
      <c r="AS215" s="24" t="str">
        <f>+IF(BD_MO[[#This Row],[N° VALE]]&lt;&gt;"",BD_MO[[#This Row],[PULVERULENTA (N° CART.)]]*PE_PULV_65[PE],"")</f>
        <v/>
      </c>
      <c r="AT215" s="24" t="str">
        <f>+IF(BD_MO[[#This Row],[N° DISP]]&lt;&gt;"",BD_MO[[#This Row],[SEMIGELATINA (N° CART.)]]*PE_SEMIGEL_65[PE],"")</f>
        <v/>
      </c>
      <c r="AU215" s="24" t="str">
        <f>+IF(BD_MO[N° VALE]&lt;&gt;"",BD_MO[[#This Row],[KG EXPLO SEMIGEL]]+BD_MO[[#This Row],[KG EXPLO PULVE]]+BD_MO[[#This Row],[KG EXPLO EMULN 3000]]+BD_MO[[#This Row],[KG EXPLO EMULN 1000]],"")</f>
        <v/>
      </c>
      <c r="AV215" s="46"/>
      <c r="AW215" s="46"/>
      <c r="AX215" s="46" t="str">
        <f>+IF(BD_MO[[#This Row],[MINERAL (U-35)]]&lt;&gt;"",BD_MO[[#This Row],[MINERAL (U-35)]]*1.45,"-")</f>
        <v>-</v>
      </c>
      <c r="AY215" s="46" t="str">
        <f>+IF(BD_MO[[#This Row],[DESMONTE (U-35)]]&lt;&gt;"",BD_MO[[#This Row],[DESMONTE (U-35)]]*1.23,"-")</f>
        <v>-</v>
      </c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2"/>
      <c r="BO215" s="46"/>
      <c r="BP215" s="46"/>
      <c r="BQ215" s="42"/>
      <c r="BR215" s="46"/>
      <c r="BS215" s="42"/>
      <c r="BT215" s="24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24">
        <f>+IF(BD_MO[[#This Row],[FECHA]]&lt;&gt;"",BD_MO[[#This Row],[PUNTAL 4"]]+BD_MO[[#This Row],[PUNTAL 5"]]+BD_MO[[#This Row],[PUNTAL 6"]]+BD_MO[[#This Row],[PUNTAL 7"]]+BD_MO[[#This Row],[PUNTAL 8"]],"")</f>
        <v>0</v>
      </c>
      <c r="CQ215" s="46"/>
      <c r="CR215" s="46"/>
      <c r="CS215" s="46"/>
      <c r="CT215" s="46"/>
      <c r="CU215" s="46"/>
      <c r="CV215" s="46"/>
      <c r="CW215" s="46"/>
      <c r="CX215" s="46"/>
      <c r="CY215" s="24"/>
      <c r="CZ215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15" s="24">
        <f>+IF(BD_MO[[#This Row],[FECHA]]&lt;&gt;"",BD_MO[[#This Row],[DURMIENTE2]]*6.561+BD_MO[[#This Row],[LISTONES]]*4.921+BD_MO[[#This Row],[TABLA 1"x8"x3m]]*6.561+BD_MO[[#This Row],[TABLA 2"x8"x3m]]*13.122,"")</f>
        <v>0</v>
      </c>
      <c r="DB215" s="24">
        <f>+IF(BD_MO[[#This Row],[FECHA]]&lt;&gt;"",BD_MO[[#This Row],[PIE2 MADERA ASERRADA]]*1.95,"")</f>
        <v>0</v>
      </c>
      <c r="DC215" s="24">
        <f>+IF(BD_MO[[#This Row],[FECHA]]&lt;&gt;"",BD_MO[[#This Row],[KG. MADERA REDONDA]]+BD_MO[[#This Row],[KG MADERA ASERRADA]],"")</f>
        <v>0</v>
      </c>
      <c r="DD215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15" s="46"/>
      <c r="DF215" s="46"/>
      <c r="DG215" s="46" t="s">
        <v>12238</v>
      </c>
      <c r="DH215" s="46">
        <v>8</v>
      </c>
      <c r="DI215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15" s="56"/>
      <c r="DK215" s="56"/>
      <c r="DL215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15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15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15" s="66"/>
      <c r="DP215" s="56" t="str">
        <f>+IF(BD_MO[[#This Row],[M o D]]&lt;&gt;"",IF(BD_MO[[#This Row],[M o D]]="M",BD_MO[[#This Row],[ROTURA TMH]]/2.65,BD_MO[[#This Row],[ROTURA TMH]]/2.4),"")</f>
        <v/>
      </c>
      <c r="DQ215" s="56"/>
      <c r="DR215" s="116" t="str">
        <f>IF(BD_MO[[#This Row],[TIPO AVANCE]]="Avance",((BD_MO[[#This Row],[AVANCE (m)]]/BD_MO[[#This Row],[AVANCE TEÓRICO]]))," ")</f>
        <v xml:space="preserve"> </v>
      </c>
    </row>
    <row r="216" spans="1:130" ht="18" customHeight="1" x14ac:dyDescent="0.25">
      <c r="A216" s="92">
        <v>44664</v>
      </c>
      <c r="B216" s="40" t="s">
        <v>10647</v>
      </c>
      <c r="C216" s="40" t="s">
        <v>10672</v>
      </c>
      <c r="D216" s="61" t="s">
        <v>10952</v>
      </c>
      <c r="E216" s="42" t="str">
        <f>LEFT(BD_MO[[#This Row],[LABOR]],2)</f>
        <v>In</v>
      </c>
      <c r="F216" s="46"/>
      <c r="G216" s="46" t="s">
        <v>10669</v>
      </c>
      <c r="H216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16" s="42" t="str">
        <f>IF(BD_MO[FECHA]&lt;&gt;"",VLOOKUP(BD_MO[LABOR],TB_CECO[[LABOR]:[CECO_T]],3,FALSE),"")</f>
        <v>VANESSA</v>
      </c>
      <c r="J216" s="42" t="str">
        <f>IF(BD_MO[FECHA]&lt;&gt;"",VLOOKUP(BD_MO[LABOR],D_CECO!B:H,7,FALSE),"")</f>
        <v>LINEAL</v>
      </c>
      <c r="K216" s="42" t="str">
        <f>IF(BD_MO[FECHA]&lt;&gt;"",VLOOKUP(BD_MO[LABOR],D_CECO!B:H,4,FALSE),"")</f>
        <v>EXPLORACION</v>
      </c>
      <c r="L216" s="42"/>
      <c r="M216" s="48"/>
      <c r="N216" s="46"/>
      <c r="O216" s="93" t="s">
        <v>12198</v>
      </c>
      <c r="P216" s="93"/>
      <c r="Q216" s="93"/>
      <c r="R216" s="45"/>
      <c r="S216" s="54" t="str">
        <f>IFERROR(VLOOKUP(BD_MO[DNI 4],#REF!,2,FALSE)," ")</f>
        <v xml:space="preserve"> </v>
      </c>
      <c r="T216" s="24">
        <f>+IF(BD_MO[[#This Row],[FECHA]]&lt;&gt;"",COUNTA(BD_MO[[#This Row],[DNI]],BD_MO[[#This Row],[DNI 2]],BD_MO[[#This Row],[DNI 3]],BD_MO[[#This Row],[DNI 4]]),"")</f>
        <v>1</v>
      </c>
      <c r="U216" s="24"/>
      <c r="V216" s="24"/>
      <c r="W216" s="24"/>
      <c r="X216" s="24">
        <v>1</v>
      </c>
      <c r="Y216" s="86">
        <f>SUM(BD_MO[[#This Row],[LIMP]:[SERV]])</f>
        <v>1</v>
      </c>
      <c r="Z216" s="46"/>
      <c r="AA216" s="46" t="str">
        <f>+IF(BD_MO[[#This Row],[N° VALE]]&lt;&gt;"",1,"")</f>
        <v/>
      </c>
      <c r="AB216" s="40"/>
      <c r="AC216" s="46"/>
      <c r="AD216" s="46" t="str">
        <f>+IF(BD_MO[[#This Row],[N° VALE]]&lt;&gt;"",BD_MO[[#This Row],[FULMINANTE N° 08]]+BD_MO[CARMEX 7''],"")</f>
        <v/>
      </c>
      <c r="AE216" s="46"/>
      <c r="AF216" s="46" t="str">
        <f>+IF(BD_MO[[#This Row],[N° VALE]]&lt;&gt;"",BD_MO[[#This Row],[N° TALADROS]]+BD_MO[[#This Row],[N° TAL. VACIOS]],"")</f>
        <v/>
      </c>
      <c r="AG216" s="55"/>
      <c r="AH216" s="55"/>
      <c r="AI216" s="55"/>
      <c r="AJ216" s="55"/>
      <c r="AK216" s="55"/>
      <c r="AL216" s="55"/>
      <c r="AM216" s="42"/>
      <c r="AN216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16" s="46" t="str">
        <f>+IF(BD_MO[[#This Row],[N° VALE]]&lt;&gt;"",IF(BD_MO[[#This Row],[FULMINANTE N° 08]]&lt;&gt;"",BD_MO[[#This Row],[FULMINANTE N° 08]],IF(BD_MO[[#This Row],[CARMEX 7'']]&lt;&gt;0,0,"")),"")</f>
        <v/>
      </c>
      <c r="AP216" s="24" t="str">
        <f>+IF(BD_MO[[#This Row],[N° VALE]]&lt;&gt;"",BD_MO[[#This Row],[N°  TOTAL TALADROS]]*BD_MO[[#This Row],[BARRA]]*0.95,"")</f>
        <v/>
      </c>
      <c r="AQ216" s="24" t="str">
        <f>+IF(BD_MO[[#This Row],[N° VALE]]&lt;&gt;"",BD_MO[[#This Row],[EMULNOR 1000 (N° CART.)]]*PE_EMUL_1000[PE],"")</f>
        <v/>
      </c>
      <c r="AR216" s="24" t="str">
        <f>+IF(BD_MO[[#This Row],[N° VALE]]&lt;&gt;"",BD_MO[[#This Row],[EMULNOR 3000 (N° CART.)]]*PE_EMUL_3000[PE],"")</f>
        <v/>
      </c>
      <c r="AS216" s="24" t="str">
        <f>+IF(BD_MO[[#This Row],[N° VALE]]&lt;&gt;"",BD_MO[[#This Row],[PULVERULENTA (N° CART.)]]*PE_PULV_65[PE],"")</f>
        <v/>
      </c>
      <c r="AT216" s="24" t="str">
        <f>+IF(BD_MO[[#This Row],[N° DISP]]&lt;&gt;"",BD_MO[[#This Row],[SEMIGELATINA (N° CART.)]]*PE_SEMIGEL_65[PE],"")</f>
        <v/>
      </c>
      <c r="AU216" s="24" t="str">
        <f>+IF(BD_MO[N° VALE]&lt;&gt;"",BD_MO[[#This Row],[KG EXPLO SEMIGEL]]+BD_MO[[#This Row],[KG EXPLO PULVE]]+BD_MO[[#This Row],[KG EXPLO EMULN 3000]]+BD_MO[[#This Row],[KG EXPLO EMULN 1000]],"")</f>
        <v/>
      </c>
      <c r="AV216" s="46"/>
      <c r="AW216" s="46"/>
      <c r="AX216" s="46" t="str">
        <f>+IF(BD_MO[[#This Row],[MINERAL (U-35)]]&lt;&gt;"",BD_MO[[#This Row],[MINERAL (U-35)]]*1.45,"-")</f>
        <v>-</v>
      </c>
      <c r="AY216" s="46" t="str">
        <f>+IF(BD_MO[[#This Row],[DESMONTE (U-35)]]&lt;&gt;"",BD_MO[[#This Row],[DESMONTE (U-35)]]*1.23,"-")</f>
        <v>-</v>
      </c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2"/>
      <c r="BO216" s="46"/>
      <c r="BP216" s="46"/>
      <c r="BQ216" s="42"/>
      <c r="BR216" s="46"/>
      <c r="BS216" s="42"/>
      <c r="BT216" s="24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24">
        <f>+IF(BD_MO[[#This Row],[FECHA]]&lt;&gt;"",BD_MO[[#This Row],[PUNTAL 4"]]+BD_MO[[#This Row],[PUNTAL 5"]]+BD_MO[[#This Row],[PUNTAL 6"]]+BD_MO[[#This Row],[PUNTAL 7"]]+BD_MO[[#This Row],[PUNTAL 8"]],"")</f>
        <v>0</v>
      </c>
      <c r="CQ216" s="46"/>
      <c r="CR216" s="46"/>
      <c r="CS216" s="46"/>
      <c r="CT216" s="46"/>
      <c r="CU216" s="46"/>
      <c r="CV216" s="46"/>
      <c r="CW216" s="46"/>
      <c r="CX216" s="46"/>
      <c r="CY216" s="24"/>
      <c r="CZ216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16" s="24">
        <f>+IF(BD_MO[[#This Row],[FECHA]]&lt;&gt;"",BD_MO[[#This Row],[DURMIENTE2]]*6.561+BD_MO[[#This Row],[LISTONES]]*4.921+BD_MO[[#This Row],[TABLA 1"x8"x3m]]*6.561+BD_MO[[#This Row],[TABLA 2"x8"x3m]]*13.122,"")</f>
        <v>0</v>
      </c>
      <c r="DB216" s="24">
        <f>+IF(BD_MO[[#This Row],[FECHA]]&lt;&gt;"",BD_MO[[#This Row],[PIE2 MADERA ASERRADA]]*1.95,"")</f>
        <v>0</v>
      </c>
      <c r="DC216" s="24">
        <f>+IF(BD_MO[[#This Row],[FECHA]]&lt;&gt;"",BD_MO[[#This Row],[KG. MADERA REDONDA]]+BD_MO[[#This Row],[KG MADERA ASERRADA]],"")</f>
        <v>0</v>
      </c>
      <c r="DD216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16" s="46"/>
      <c r="DF216" s="46"/>
      <c r="DG216" s="46" t="s">
        <v>12239</v>
      </c>
      <c r="DH216" s="46">
        <v>8</v>
      </c>
      <c r="DI216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16" s="56"/>
      <c r="DK216" s="56"/>
      <c r="DL216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16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16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16" s="66"/>
      <c r="DP216" s="56" t="str">
        <f>+IF(BD_MO[[#This Row],[M o D]]&lt;&gt;"",IF(BD_MO[[#This Row],[M o D]]="M",BD_MO[[#This Row],[ROTURA TMH]]/2.65,BD_MO[[#This Row],[ROTURA TMH]]/2.4),"")</f>
        <v/>
      </c>
      <c r="DQ216" s="56"/>
      <c r="DR216" s="116" t="str">
        <f>IF(BD_MO[[#This Row],[TIPO AVANCE]]="Avance",((BD_MO[[#This Row],[AVANCE (m)]]/BD_MO[[#This Row],[AVANCE TEÓRICO]]))," ")</f>
        <v xml:space="preserve"> </v>
      </c>
    </row>
    <row r="217" spans="1:130" ht="18" customHeight="1" x14ac:dyDescent="0.25">
      <c r="A217" s="92">
        <v>44664</v>
      </c>
      <c r="B217" s="40" t="s">
        <v>10647</v>
      </c>
      <c r="C217" s="40" t="s">
        <v>10672</v>
      </c>
      <c r="D217" s="61" t="s">
        <v>10954</v>
      </c>
      <c r="E217" s="42" t="str">
        <f>LEFT(BD_MO[[#This Row],[LABOR]],2)</f>
        <v>MO</v>
      </c>
      <c r="F217" s="46"/>
      <c r="G217" s="46" t="s">
        <v>10669</v>
      </c>
      <c r="H217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17" s="42" t="str">
        <f>IF(BD_MO[FECHA]&lt;&gt;"",VLOOKUP(BD_MO[LABOR],TB_CECO[[LABOR]:[CECO_T]],3,FALSE),"")</f>
        <v>INCA</v>
      </c>
      <c r="J217" s="42" t="str">
        <f>IF(BD_MO[FECHA]&lt;&gt;"",VLOOKUP(BD_MO[LABOR],D_CECO!B:H,7,FALSE),"")</f>
        <v>SERVICIOS</v>
      </c>
      <c r="K217" s="42" t="str">
        <f>IF(BD_MO[FECHA]&lt;&gt;"",VLOOKUP(BD_MO[LABOR],D_CECO!B:H,4,FALSE),"")</f>
        <v>SERVICIOS</v>
      </c>
      <c r="L217" s="42"/>
      <c r="M217" s="48"/>
      <c r="N217" s="46"/>
      <c r="O217" s="93" t="s">
        <v>12221</v>
      </c>
      <c r="P217" s="93" t="s">
        <v>12209</v>
      </c>
      <c r="Q217" s="93"/>
      <c r="R217" s="45"/>
      <c r="S217" s="54" t="str">
        <f>IFERROR(VLOOKUP(BD_MO[DNI 4],#REF!,2,FALSE)," ")</f>
        <v xml:space="preserve"> </v>
      </c>
      <c r="T217" s="24">
        <f>+IF(BD_MO[[#This Row],[FECHA]]&lt;&gt;"",COUNTA(BD_MO[[#This Row],[DNI]],BD_MO[[#This Row],[DNI 2]],BD_MO[[#This Row],[DNI 3]],BD_MO[[#This Row],[DNI 4]]),"")</f>
        <v>2</v>
      </c>
      <c r="U217" s="24"/>
      <c r="V217" s="24"/>
      <c r="W217" s="24"/>
      <c r="X217" s="24">
        <v>2</v>
      </c>
      <c r="Y217" s="86">
        <f>SUM(BD_MO[[#This Row],[LIMP]:[SERV]])</f>
        <v>2</v>
      </c>
      <c r="Z217" s="46"/>
      <c r="AA217" s="46" t="str">
        <f>+IF(BD_MO[[#This Row],[N° VALE]]&lt;&gt;"",1,"")</f>
        <v/>
      </c>
      <c r="AB217" s="40"/>
      <c r="AC217" s="46"/>
      <c r="AD217" s="46" t="str">
        <f>+IF(BD_MO[[#This Row],[N° VALE]]&lt;&gt;"",BD_MO[[#This Row],[FULMINANTE N° 08]]+BD_MO[CARMEX 7''],"")</f>
        <v/>
      </c>
      <c r="AE217" s="46"/>
      <c r="AF217" s="46" t="str">
        <f>+IF(BD_MO[[#This Row],[N° VALE]]&lt;&gt;"",BD_MO[[#This Row],[N° TALADROS]]+BD_MO[[#This Row],[N° TAL. VACIOS]],"")</f>
        <v/>
      </c>
      <c r="AG217" s="55"/>
      <c r="AH217" s="55"/>
      <c r="AI217" s="55"/>
      <c r="AJ217" s="55"/>
      <c r="AK217" s="55"/>
      <c r="AL217" s="55"/>
      <c r="AM217" s="42"/>
      <c r="AN217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17" s="46" t="str">
        <f>+IF(BD_MO[[#This Row],[N° VALE]]&lt;&gt;"",IF(BD_MO[[#This Row],[FULMINANTE N° 08]]&lt;&gt;"",BD_MO[[#This Row],[FULMINANTE N° 08]],IF(BD_MO[[#This Row],[CARMEX 7'']]&lt;&gt;0,0,"")),"")</f>
        <v/>
      </c>
      <c r="AP217" s="24" t="str">
        <f>+IF(BD_MO[[#This Row],[N° VALE]]&lt;&gt;"",BD_MO[[#This Row],[N°  TOTAL TALADROS]]*BD_MO[[#This Row],[BARRA]]*0.95,"")</f>
        <v/>
      </c>
      <c r="AQ217" s="24" t="str">
        <f>+IF(BD_MO[[#This Row],[N° VALE]]&lt;&gt;"",BD_MO[[#This Row],[EMULNOR 1000 (N° CART.)]]*PE_EMUL_1000[PE],"")</f>
        <v/>
      </c>
      <c r="AR217" s="24" t="str">
        <f>+IF(BD_MO[[#This Row],[N° VALE]]&lt;&gt;"",BD_MO[[#This Row],[EMULNOR 3000 (N° CART.)]]*PE_EMUL_3000[PE],"")</f>
        <v/>
      </c>
      <c r="AS217" s="24" t="str">
        <f>+IF(BD_MO[[#This Row],[N° VALE]]&lt;&gt;"",BD_MO[[#This Row],[PULVERULENTA (N° CART.)]]*PE_PULV_65[PE],"")</f>
        <v/>
      </c>
      <c r="AT217" s="24" t="str">
        <f>+IF(BD_MO[[#This Row],[N° DISP]]&lt;&gt;"",BD_MO[[#This Row],[SEMIGELATINA (N° CART.)]]*PE_SEMIGEL_65[PE],"")</f>
        <v/>
      </c>
      <c r="AU217" s="24" t="str">
        <f>+IF(BD_MO[N° VALE]&lt;&gt;"",BD_MO[[#This Row],[KG EXPLO SEMIGEL]]+BD_MO[[#This Row],[KG EXPLO PULVE]]+BD_MO[[#This Row],[KG EXPLO EMULN 3000]]+BD_MO[[#This Row],[KG EXPLO EMULN 1000]],"")</f>
        <v/>
      </c>
      <c r="AV217" s="46"/>
      <c r="AW217" s="46"/>
      <c r="AX217" s="46" t="str">
        <f>+IF(BD_MO[[#This Row],[MINERAL (U-35)]]&lt;&gt;"",BD_MO[[#This Row],[MINERAL (U-35)]]*1.45,"-")</f>
        <v>-</v>
      </c>
      <c r="AY217" s="46" t="str">
        <f>+IF(BD_MO[[#This Row],[DESMONTE (U-35)]]&lt;&gt;"",BD_MO[[#This Row],[DESMONTE (U-35)]]*1.23,"-")</f>
        <v>-</v>
      </c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2"/>
      <c r="BO217" s="46"/>
      <c r="BP217" s="46"/>
      <c r="BQ217" s="42"/>
      <c r="BR217" s="46"/>
      <c r="BS217" s="42"/>
      <c r="BT217" s="24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24">
        <f>+IF(BD_MO[[#This Row],[FECHA]]&lt;&gt;"",BD_MO[[#This Row],[PUNTAL 4"]]+BD_MO[[#This Row],[PUNTAL 5"]]+BD_MO[[#This Row],[PUNTAL 6"]]+BD_MO[[#This Row],[PUNTAL 7"]]+BD_MO[[#This Row],[PUNTAL 8"]],"")</f>
        <v>0</v>
      </c>
      <c r="CQ217" s="46"/>
      <c r="CR217" s="46"/>
      <c r="CS217" s="46"/>
      <c r="CT217" s="46"/>
      <c r="CU217" s="46"/>
      <c r="CV217" s="46"/>
      <c r="CW217" s="46"/>
      <c r="CX217" s="46"/>
      <c r="CY217" s="24"/>
      <c r="CZ217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17" s="24">
        <f>+IF(BD_MO[[#This Row],[FECHA]]&lt;&gt;"",BD_MO[[#This Row],[DURMIENTE2]]*6.561+BD_MO[[#This Row],[LISTONES]]*4.921+BD_MO[[#This Row],[TABLA 1"x8"x3m]]*6.561+BD_MO[[#This Row],[TABLA 2"x8"x3m]]*13.122,"")</f>
        <v>0</v>
      </c>
      <c r="DB217" s="24">
        <f>+IF(BD_MO[[#This Row],[FECHA]]&lt;&gt;"",BD_MO[[#This Row],[PIE2 MADERA ASERRADA]]*1.95,"")</f>
        <v>0</v>
      </c>
      <c r="DC217" s="24">
        <f>+IF(BD_MO[[#This Row],[FECHA]]&lt;&gt;"",BD_MO[[#This Row],[KG. MADERA REDONDA]]+BD_MO[[#This Row],[KG MADERA ASERRADA]],"")</f>
        <v>0</v>
      </c>
      <c r="DD217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17" s="46"/>
      <c r="DF217" s="46"/>
      <c r="DG217" s="46"/>
      <c r="DH217" s="46"/>
      <c r="DI217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17" s="56"/>
      <c r="DK217" s="56"/>
      <c r="DL217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17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17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17" s="66"/>
      <c r="DP217" s="56" t="str">
        <f>+IF(BD_MO[[#This Row],[M o D]]&lt;&gt;"",IF(BD_MO[[#This Row],[M o D]]="M",BD_MO[[#This Row],[ROTURA TMH]]/2.65,BD_MO[[#This Row],[ROTURA TMH]]/2.4),"")</f>
        <v/>
      </c>
      <c r="DQ217" s="56"/>
      <c r="DR217" s="116" t="str">
        <f>IF(BD_MO[[#This Row],[TIPO AVANCE]]="Avance",((BD_MO[[#This Row],[AVANCE (m)]]/BD_MO[[#This Row],[AVANCE TEÓRICO]]))," ")</f>
        <v xml:space="preserve"> </v>
      </c>
    </row>
    <row r="218" spans="1:130" s="115" customFormat="1" ht="18" customHeight="1" thickBot="1" x14ac:dyDescent="0.3">
      <c r="A218" s="130">
        <v>44664</v>
      </c>
      <c r="B218" s="117" t="s">
        <v>10647</v>
      </c>
      <c r="C218" s="117" t="s">
        <v>10672</v>
      </c>
      <c r="D218" s="118" t="s">
        <v>10717</v>
      </c>
      <c r="E218" s="119" t="str">
        <f>LEFT(BD_MO[[#This Row],[LABOR]],2)</f>
        <v>BO</v>
      </c>
      <c r="F218" s="120"/>
      <c r="G218" s="120" t="s">
        <v>10669</v>
      </c>
      <c r="H218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18" s="119" t="str">
        <f>IF(BD_MO[FECHA]&lt;&gt;"",VLOOKUP(BD_MO[LABOR],TB_CECO[[LABOR]:[CECO_T]],3,FALSE),"")</f>
        <v>CACHORRO</v>
      </c>
      <c r="J218" s="119" t="str">
        <f>IF(BD_MO[FECHA]&lt;&gt;"",VLOOKUP(BD_MO[LABOR],D_CECO!B:H,7,FALSE),"")</f>
        <v>SERVICIOS</v>
      </c>
      <c r="K218" s="119" t="str">
        <f>IF(BD_MO[FECHA]&lt;&gt;"",VLOOKUP(BD_MO[LABOR],D_CECO!B:H,4,FALSE),"")</f>
        <v>SERVICIOS</v>
      </c>
      <c r="L218" s="119"/>
      <c r="M218" s="117"/>
      <c r="N218" s="120"/>
      <c r="O218" s="121" t="s">
        <v>12202</v>
      </c>
      <c r="P218" s="121"/>
      <c r="Q218" s="121"/>
      <c r="R218" s="122"/>
      <c r="S218" s="123" t="str">
        <f>IFERROR(VLOOKUP(BD_MO[DNI 4],#REF!,2,FALSE)," ")</f>
        <v xml:space="preserve"> </v>
      </c>
      <c r="T218" s="124">
        <f>+IF(BD_MO[[#This Row],[FECHA]]&lt;&gt;"",COUNTA(BD_MO[[#This Row],[DNI]],BD_MO[[#This Row],[DNI 2]],BD_MO[[#This Row],[DNI 3]],BD_MO[[#This Row],[DNI 4]]),"")</f>
        <v>1</v>
      </c>
      <c r="U218" s="124"/>
      <c r="V218" s="124"/>
      <c r="W218" s="124"/>
      <c r="X218" s="124">
        <v>1</v>
      </c>
      <c r="Y218" s="125">
        <f>SUM(BD_MO[[#This Row],[LIMP]:[SERV]])</f>
        <v>1</v>
      </c>
      <c r="Z218" s="120"/>
      <c r="AA218" s="120" t="str">
        <f>+IF(BD_MO[[#This Row],[N° VALE]]&lt;&gt;"",1,"")</f>
        <v/>
      </c>
      <c r="AB218" s="117"/>
      <c r="AC218" s="120"/>
      <c r="AD218" s="120" t="str">
        <f>+IF(BD_MO[[#This Row],[N° VALE]]&lt;&gt;"",BD_MO[[#This Row],[FULMINANTE N° 08]]+BD_MO[CARMEX 7''],"")</f>
        <v/>
      </c>
      <c r="AE218" s="120"/>
      <c r="AF218" s="120" t="str">
        <f>+IF(BD_MO[[#This Row],[N° VALE]]&lt;&gt;"",BD_MO[[#This Row],[N° TALADROS]]+BD_MO[[#This Row],[N° TAL. VACIOS]],"")</f>
        <v/>
      </c>
      <c r="AG218" s="126"/>
      <c r="AH218" s="126"/>
      <c r="AI218" s="126"/>
      <c r="AJ218" s="126"/>
      <c r="AK218" s="126"/>
      <c r="AL218" s="126"/>
      <c r="AM218" s="119"/>
      <c r="AN218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18" s="120" t="str">
        <f>+IF(BD_MO[[#This Row],[N° VALE]]&lt;&gt;"",IF(BD_MO[[#This Row],[FULMINANTE N° 08]]&lt;&gt;"",BD_MO[[#This Row],[FULMINANTE N° 08]],IF(BD_MO[[#This Row],[CARMEX 7'']]&lt;&gt;0,0,"")),"")</f>
        <v/>
      </c>
      <c r="AP218" s="124" t="str">
        <f>+IF(BD_MO[[#This Row],[N° VALE]]&lt;&gt;"",BD_MO[[#This Row],[N°  TOTAL TALADROS]]*BD_MO[[#This Row],[BARRA]]*0.95,"")</f>
        <v/>
      </c>
      <c r="AQ218" s="124" t="str">
        <f>+IF(BD_MO[[#This Row],[N° VALE]]&lt;&gt;"",BD_MO[[#This Row],[EMULNOR 1000 (N° CART.)]]*PE_EMUL_1000[PE],"")</f>
        <v/>
      </c>
      <c r="AR218" s="124" t="str">
        <f>+IF(BD_MO[[#This Row],[N° VALE]]&lt;&gt;"",BD_MO[[#This Row],[EMULNOR 3000 (N° CART.)]]*PE_EMUL_3000[PE],"")</f>
        <v/>
      </c>
      <c r="AS218" s="124" t="str">
        <f>+IF(BD_MO[[#This Row],[N° VALE]]&lt;&gt;"",BD_MO[[#This Row],[PULVERULENTA (N° CART.)]]*PE_PULV_65[PE],"")</f>
        <v/>
      </c>
      <c r="AT218" s="124" t="str">
        <f>+IF(BD_MO[[#This Row],[N° DISP]]&lt;&gt;"",BD_MO[[#This Row],[SEMIGELATINA (N° CART.)]]*PE_SEMIGEL_65[PE],"")</f>
        <v/>
      </c>
      <c r="AU218" s="124" t="str">
        <f>+IF(BD_MO[N° VALE]&lt;&gt;"",BD_MO[[#This Row],[KG EXPLO SEMIGEL]]+BD_MO[[#This Row],[KG EXPLO PULVE]]+BD_MO[[#This Row],[KG EXPLO EMULN 3000]]+BD_MO[[#This Row],[KG EXPLO EMULN 1000]],"")</f>
        <v/>
      </c>
      <c r="AV218" s="120"/>
      <c r="AW218" s="120"/>
      <c r="AX218" s="120" t="str">
        <f>+IF(BD_MO[[#This Row],[MINERAL (U-35)]]&lt;&gt;"",BD_MO[[#This Row],[MINERAL (U-35)]]*1.45,"-")</f>
        <v>-</v>
      </c>
      <c r="AY218" s="120" t="str">
        <f>+IF(BD_MO[[#This Row],[DESMONTE (U-35)]]&lt;&gt;"",BD_MO[[#This Row],[DESMONTE (U-35)]]*1.23,"-")</f>
        <v>-</v>
      </c>
      <c r="AZ218" s="120"/>
      <c r="BA218" s="120"/>
      <c r="BB218" s="120"/>
      <c r="BC218" s="120"/>
      <c r="BD218" s="120"/>
      <c r="BE218" s="120"/>
      <c r="BF218" s="120"/>
      <c r="BG218" s="120"/>
      <c r="BH218" s="120"/>
      <c r="BI218" s="120"/>
      <c r="BJ218" s="120"/>
      <c r="BK218" s="120"/>
      <c r="BL218" s="120"/>
      <c r="BM218" s="120"/>
      <c r="BN218" s="119"/>
      <c r="BO218" s="120"/>
      <c r="BP218" s="120"/>
      <c r="BQ218" s="119"/>
      <c r="BR218" s="120"/>
      <c r="BS218" s="119"/>
      <c r="BT218" s="124"/>
      <c r="BU218" s="120"/>
      <c r="BV218" s="120"/>
      <c r="BW218" s="120"/>
      <c r="BX218" s="120"/>
      <c r="BY218" s="120"/>
      <c r="BZ218" s="120"/>
      <c r="CA218" s="120"/>
      <c r="CB218" s="120"/>
      <c r="CC218" s="120"/>
      <c r="CD218" s="120"/>
      <c r="CE218" s="120"/>
      <c r="CF218" s="120"/>
      <c r="CG218" s="120"/>
      <c r="CH218" s="120"/>
      <c r="CI218" s="120"/>
      <c r="CJ218" s="120"/>
      <c r="CK218" s="120"/>
      <c r="CL218" s="120"/>
      <c r="CM218" s="120"/>
      <c r="CN218" s="120"/>
      <c r="CO218" s="120"/>
      <c r="CP218" s="124">
        <f>+IF(BD_MO[[#This Row],[FECHA]]&lt;&gt;"",BD_MO[[#This Row],[PUNTAL 4"]]+BD_MO[[#This Row],[PUNTAL 5"]]+BD_MO[[#This Row],[PUNTAL 6"]]+BD_MO[[#This Row],[PUNTAL 7"]]+BD_MO[[#This Row],[PUNTAL 8"]],"")</f>
        <v>0</v>
      </c>
      <c r="CQ218" s="120"/>
      <c r="CR218" s="120"/>
      <c r="CS218" s="120"/>
      <c r="CT218" s="120"/>
      <c r="CU218" s="120"/>
      <c r="CV218" s="120"/>
      <c r="CW218" s="120"/>
      <c r="CX218" s="120"/>
      <c r="CY218" s="124"/>
      <c r="CZ218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18" s="124">
        <f>+IF(BD_MO[[#This Row],[FECHA]]&lt;&gt;"",BD_MO[[#This Row],[DURMIENTE2]]*6.561+BD_MO[[#This Row],[LISTONES]]*4.921+BD_MO[[#This Row],[TABLA 1"x8"x3m]]*6.561+BD_MO[[#This Row],[TABLA 2"x8"x3m]]*13.122,"")</f>
        <v>0</v>
      </c>
      <c r="DB218" s="124">
        <f>+IF(BD_MO[[#This Row],[FECHA]]&lt;&gt;"",BD_MO[[#This Row],[PIE2 MADERA ASERRADA]]*1.95,"")</f>
        <v>0</v>
      </c>
      <c r="DC218" s="124">
        <f>+IF(BD_MO[[#This Row],[FECHA]]&lt;&gt;"",BD_MO[[#This Row],[KG. MADERA REDONDA]]+BD_MO[[#This Row],[KG MADERA ASERRADA]],"")</f>
        <v>0</v>
      </c>
      <c r="DD218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18" s="120"/>
      <c r="DF218" s="120"/>
      <c r="DG218" s="120"/>
      <c r="DH218" s="120"/>
      <c r="DI218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18" s="128"/>
      <c r="DK218" s="128"/>
      <c r="DL218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18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18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18" s="129"/>
      <c r="DP218" s="128" t="str">
        <f>+IF(BD_MO[[#This Row],[M o D]]&lt;&gt;"",IF(BD_MO[[#This Row],[M o D]]="M",BD_MO[[#This Row],[ROTURA TMH]]/2.65,BD_MO[[#This Row],[ROTURA TMH]]/2.4),"")</f>
        <v/>
      </c>
      <c r="DQ218" s="128"/>
      <c r="DR218" s="116" t="str">
        <f>IF(BD_MO[[#This Row],[TIPO AVANCE]]="Avance",((BD_MO[[#This Row],[AVANCE (m)]]/BD_MO[[#This Row],[AVANCE TEÓRICO]]))," ")</f>
        <v xml:space="preserve"> </v>
      </c>
      <c r="DS218" s="113"/>
      <c r="DT218" s="113"/>
      <c r="DU218" s="113"/>
      <c r="DV218" s="113"/>
      <c r="DW218" s="113"/>
      <c r="DX218" s="114"/>
      <c r="DY218" s="114"/>
      <c r="DZ218" s="114"/>
    </row>
    <row r="219" spans="1:130" ht="18" customHeight="1" x14ac:dyDescent="0.25">
      <c r="A219" s="92">
        <v>44664</v>
      </c>
      <c r="B219" s="40" t="s">
        <v>10655</v>
      </c>
      <c r="C219" s="40" t="s">
        <v>10680</v>
      </c>
      <c r="D219" s="61" t="s">
        <v>11595</v>
      </c>
      <c r="E219" s="214" t="str">
        <f>LEFT(BD_MO[[#This Row],[LABOR]],2)</f>
        <v>Tj</v>
      </c>
      <c r="F219" s="46" t="s">
        <v>10950</v>
      </c>
      <c r="G219" s="215" t="s">
        <v>10648</v>
      </c>
      <c r="H219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19" s="42" t="s">
        <v>12254</v>
      </c>
      <c r="J219" s="42" t="s">
        <v>10502</v>
      </c>
      <c r="K219" s="42" t="s">
        <v>12249</v>
      </c>
      <c r="L219" s="214"/>
      <c r="M219" s="216" t="s">
        <v>10654</v>
      </c>
      <c r="N219" s="215"/>
      <c r="O219" s="93" t="s">
        <v>11976</v>
      </c>
      <c r="P219" s="93" t="s">
        <v>11924</v>
      </c>
      <c r="Q219" s="173"/>
      <c r="R219" s="217"/>
      <c r="S219" s="218" t="str">
        <f>IFERROR(VLOOKUP(BD_MO[DNI 4],#REF!,2,FALSE)," ")</f>
        <v xml:space="preserve"> </v>
      </c>
      <c r="T219" s="219">
        <f>+IF(BD_MO[[#This Row],[FECHA]]&lt;&gt;"",COUNTA(BD_MO[[#This Row],[DNI]],BD_MO[[#This Row],[DNI 2]],BD_MO[[#This Row],[DNI 3]],BD_MO[[#This Row],[DNI 4]]),"")</f>
        <v>2</v>
      </c>
      <c r="U219" s="219"/>
      <c r="V219" s="219">
        <v>1</v>
      </c>
      <c r="W219" s="219"/>
      <c r="X219" s="219">
        <v>1</v>
      </c>
      <c r="Y219" s="177">
        <f>SUM(BD_MO[[#This Row],[LIMP]:[SERV]])</f>
        <v>2</v>
      </c>
      <c r="Z219" s="46" t="s">
        <v>12268</v>
      </c>
      <c r="AA219" s="215">
        <f>+IF(BD_MO[[#This Row],[N° VALE]]&lt;&gt;"",1,"")</f>
        <v>1</v>
      </c>
      <c r="AB219" s="169" t="s">
        <v>10666</v>
      </c>
      <c r="AC219" s="215">
        <v>5</v>
      </c>
      <c r="AD219" s="215">
        <f>+IF(BD_MO[[#This Row],[N° VALE]]&lt;&gt;"",BD_MO[[#This Row],[FULMINANTE N° 08]]+BD_MO[CARMEX 7''],"")</f>
        <v>36</v>
      </c>
      <c r="AE219" s="215"/>
      <c r="AF219" s="215">
        <f>+IF(BD_MO[[#This Row],[N° VALE]]&lt;&gt;"",BD_MO[[#This Row],[N° TALADROS]]+BD_MO[[#This Row],[N° TAL. VACIOS]],"")</f>
        <v>36</v>
      </c>
      <c r="AG219" s="220">
        <v>40</v>
      </c>
      <c r="AH219" s="220">
        <v>104</v>
      </c>
      <c r="AI219" s="220"/>
      <c r="AJ219" s="220"/>
      <c r="AK219" s="220">
        <v>36</v>
      </c>
      <c r="AL219" s="220">
        <v>10</v>
      </c>
      <c r="AM219" s="214"/>
      <c r="AN219" s="21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19" s="215">
        <f>+IF(BD_MO[[#This Row],[N° VALE]]&lt;&gt;"",IF(BD_MO[[#This Row],[FULMINANTE N° 08]]&lt;&gt;"",BD_MO[[#This Row],[FULMINANTE N° 08]],IF(BD_MO[[#This Row],[CARMEX 7'']]&lt;&gt;0,0,"")),"")</f>
        <v>0</v>
      </c>
      <c r="AP219" s="219">
        <f>+IF(BD_MO[[#This Row],[N° VALE]]&lt;&gt;"",BD_MO[[#This Row],[N°  TOTAL TALADROS]]*BD_MO[[#This Row],[BARRA]]*0.95,"")</f>
        <v>171</v>
      </c>
      <c r="AQ219" s="219">
        <f>+IF(BD_MO[[#This Row],[N° VALE]]&lt;&gt;"",BD_MO[[#This Row],[EMULNOR 1000 (N° CART.)]]*PE_EMUL_1000[PE],"")</f>
        <v>9.8488000000000007</v>
      </c>
      <c r="AR219" s="219">
        <f>+IF(BD_MO[[#This Row],[N° VALE]]&lt;&gt;"",BD_MO[[#This Row],[EMULNOR 3000 (N° CART.)]]*PE_EMUL_3000[PE],"")</f>
        <v>3.846153846153848</v>
      </c>
      <c r="AS219" s="219">
        <f>+IF(BD_MO[[#This Row],[N° VALE]]&lt;&gt;"",BD_MO[[#This Row],[PULVERULENTA (N° CART.)]]*PE_PULV_65[PE],"")</f>
        <v>0</v>
      </c>
      <c r="AT219" s="219">
        <f>+IF(BD_MO[[#This Row],[N° DISP]]&lt;&gt;"",BD_MO[[#This Row],[SEMIGELATINA (N° CART.)]]*PE_SEMIGEL_65[PE],"")</f>
        <v>0</v>
      </c>
      <c r="AU219" s="219">
        <f>+IF(BD_MO[N° VALE]&lt;&gt;"",BD_MO[[#This Row],[KG EXPLO SEMIGEL]]+BD_MO[[#This Row],[KG EXPLO PULVE]]+BD_MO[[#This Row],[KG EXPLO EMULN 3000]]+BD_MO[[#This Row],[KG EXPLO EMULN 1000]],"")</f>
        <v>13.694953846153849</v>
      </c>
      <c r="AV219" s="215"/>
      <c r="AW219" s="215"/>
      <c r="AX219" s="215" t="str">
        <f>+IF(BD_MO[[#This Row],[MINERAL (U-35)]]&lt;&gt;"",BD_MO[[#This Row],[MINERAL (U-35)]]*1.45,"-")</f>
        <v>-</v>
      </c>
      <c r="AY219" s="215" t="str">
        <f>+IF(BD_MO[[#This Row],[DESMONTE (U-35)]]&lt;&gt;"",BD_MO[[#This Row],[DESMONTE (U-35)]]*1.23,"-")</f>
        <v>-</v>
      </c>
      <c r="AZ219" s="215"/>
      <c r="BA219" s="215"/>
      <c r="BB219" s="215"/>
      <c r="BC219" s="215"/>
      <c r="BD219" s="215"/>
      <c r="BE219" s="215"/>
      <c r="BF219" s="215"/>
      <c r="BG219" s="215"/>
      <c r="BH219" s="215"/>
      <c r="BI219" s="215"/>
      <c r="BJ219" s="215"/>
      <c r="BK219" s="215"/>
      <c r="BL219" s="215"/>
      <c r="BM219" s="215"/>
      <c r="BN219" s="214"/>
      <c r="BO219" s="215"/>
      <c r="BP219" s="215"/>
      <c r="BQ219" s="214"/>
      <c r="BR219" s="215"/>
      <c r="BS219" s="214"/>
      <c r="BT219" s="219"/>
      <c r="BU219" s="215"/>
      <c r="BV219" s="215"/>
      <c r="BW219" s="215"/>
      <c r="BX219" s="215"/>
      <c r="BY219" s="215"/>
      <c r="BZ219" s="215"/>
      <c r="CA219" s="215"/>
      <c r="CB219" s="215"/>
      <c r="CC219" s="215"/>
      <c r="CD219" s="215"/>
      <c r="CE219" s="215"/>
      <c r="CF219" s="215"/>
      <c r="CG219" s="215"/>
      <c r="CH219" s="215"/>
      <c r="CI219" s="215"/>
      <c r="CJ219" s="215"/>
      <c r="CK219" s="215"/>
      <c r="CL219" s="215"/>
      <c r="CM219" s="215"/>
      <c r="CN219" s="215"/>
      <c r="CO219" s="215"/>
      <c r="CP219" s="219">
        <f>+IF(BD_MO[[#This Row],[FECHA]]&lt;&gt;"",BD_MO[[#This Row],[PUNTAL 4"]]+BD_MO[[#This Row],[PUNTAL 5"]]+BD_MO[[#This Row],[PUNTAL 6"]]+BD_MO[[#This Row],[PUNTAL 7"]]+BD_MO[[#This Row],[PUNTAL 8"]],"")</f>
        <v>0</v>
      </c>
      <c r="CQ219" s="215"/>
      <c r="CR219" s="215"/>
      <c r="CS219" s="215"/>
      <c r="CT219" s="215"/>
      <c r="CU219" s="215"/>
      <c r="CV219" s="215"/>
      <c r="CW219" s="215"/>
      <c r="CX219" s="215"/>
      <c r="CY219" s="219"/>
      <c r="CZ219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19" s="219">
        <f>+IF(BD_MO[[#This Row],[FECHA]]&lt;&gt;"",BD_MO[[#This Row],[DURMIENTE2]]*6.561+BD_MO[[#This Row],[LISTONES]]*4.921+BD_MO[[#This Row],[TABLA 1"x8"x3m]]*6.561+BD_MO[[#This Row],[TABLA 2"x8"x3m]]*13.122,"")</f>
        <v>0</v>
      </c>
      <c r="DB219" s="219">
        <f>+IF(BD_MO[[#This Row],[FECHA]]&lt;&gt;"",BD_MO[[#This Row],[PIE2 MADERA ASERRADA]]*1.95,"")</f>
        <v>0</v>
      </c>
      <c r="DC219" s="219">
        <f>+IF(BD_MO[[#This Row],[FECHA]]&lt;&gt;"",BD_MO[[#This Row],[KG. MADERA REDONDA]]+BD_MO[[#This Row],[KG MADERA ASERRADA]],"")</f>
        <v>0</v>
      </c>
      <c r="DD219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19" s="215"/>
      <c r="DF219" s="215"/>
      <c r="DG219" s="215"/>
      <c r="DH219" s="215"/>
      <c r="DI219" s="222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</v>
      </c>
      <c r="DJ219" s="222"/>
      <c r="DK219" s="222"/>
      <c r="DL219" s="222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8.4</v>
      </c>
      <c r="DM219" s="222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10.920000000000002</v>
      </c>
      <c r="DN219" s="222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19" s="66">
        <f>0.24*BD_MO[[#This Row],[N° TALADROS]]</f>
        <v>8.64</v>
      </c>
      <c r="DP219" s="222">
        <f>+IF(BD_MO[[#This Row],[M o D]]&lt;&gt;"",IF(BD_MO[[#This Row],[M o D]]="M",BD_MO[[#This Row],[ROTURA TMH]]/2.65,BD_MO[[#This Row],[ROTURA TMH]]/2.4),"")</f>
        <v>3.2603773584905662</v>
      </c>
      <c r="DQ219" s="222">
        <v>0</v>
      </c>
      <c r="DR219" s="116" t="str">
        <f>IF(BD_MO[[#This Row],[TIPO AVANCE]]="Avance",((BD_MO[[#This Row],[AVANCE (m)]]/BD_MO[[#This Row],[AVANCE TEÓRICO]]))," ")</f>
        <v xml:space="preserve"> </v>
      </c>
    </row>
    <row r="220" spans="1:130" ht="18" customHeight="1" x14ac:dyDescent="0.25">
      <c r="A220" s="92">
        <v>44664</v>
      </c>
      <c r="B220" s="40" t="s">
        <v>10655</v>
      </c>
      <c r="C220" s="40" t="s">
        <v>10680</v>
      </c>
      <c r="D220" s="61" t="s">
        <v>12253</v>
      </c>
      <c r="E220" s="42" t="str">
        <f>LEFT(BD_MO[[#This Row],[LABOR]],2)</f>
        <v>Sn</v>
      </c>
      <c r="F220" s="46" t="s">
        <v>10950</v>
      </c>
      <c r="G220" s="46" t="s">
        <v>10648</v>
      </c>
      <c r="H220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20" s="42" t="s">
        <v>12246</v>
      </c>
      <c r="J220" s="42" t="s">
        <v>10525</v>
      </c>
      <c r="K220" s="42" t="s">
        <v>12247</v>
      </c>
      <c r="L220" s="42"/>
      <c r="M220" s="48" t="s">
        <v>10646</v>
      </c>
      <c r="N220" s="46"/>
      <c r="O220" s="93" t="s">
        <v>11910</v>
      </c>
      <c r="P220" s="93"/>
      <c r="Q220" s="93"/>
      <c r="R220" s="45"/>
      <c r="S220" s="54" t="str">
        <f>IFERROR(VLOOKUP(BD_MO[DNI 4],#REF!,2,FALSE)," ")</f>
        <v xml:space="preserve"> </v>
      </c>
      <c r="T220" s="24">
        <f>+IF(BD_MO[[#This Row],[FECHA]]&lt;&gt;"",COUNTA(BD_MO[[#This Row],[DNI]],BD_MO[[#This Row],[DNI 2]],BD_MO[[#This Row],[DNI 3]],BD_MO[[#This Row],[DNI 4]]),"")</f>
        <v>1</v>
      </c>
      <c r="U220" s="24">
        <v>0.5</v>
      </c>
      <c r="V220" s="24">
        <v>0.3</v>
      </c>
      <c r="W220" s="24"/>
      <c r="X220" s="24">
        <v>0.2</v>
      </c>
      <c r="Y220" s="86">
        <f>SUM(BD_MO[[#This Row],[LIMP]:[SERV]])</f>
        <v>1</v>
      </c>
      <c r="Z220" s="46" t="s">
        <v>12269</v>
      </c>
      <c r="AA220" s="46">
        <f>+IF(BD_MO[[#This Row],[N° VALE]]&lt;&gt;"",1,"")</f>
        <v>1</v>
      </c>
      <c r="AB220" s="40" t="s">
        <v>10709</v>
      </c>
      <c r="AC220" s="46">
        <v>4</v>
      </c>
      <c r="AD220" s="46">
        <f>+IF(BD_MO[[#This Row],[N° VALE]]&lt;&gt;"",BD_MO[[#This Row],[FULMINANTE N° 08]]+BD_MO[CARMEX 7''],"")</f>
        <v>25</v>
      </c>
      <c r="AE220" s="46">
        <v>3</v>
      </c>
      <c r="AF220" s="46">
        <f>+IF(BD_MO[[#This Row],[N° VALE]]&lt;&gt;"",BD_MO[[#This Row],[N° TALADROS]]+BD_MO[[#This Row],[N° TAL. VACIOS]],"")</f>
        <v>28</v>
      </c>
      <c r="AG220" s="55">
        <v>40</v>
      </c>
      <c r="AH220" s="55">
        <v>72</v>
      </c>
      <c r="AI220" s="55"/>
      <c r="AJ220" s="55"/>
      <c r="AK220" s="55">
        <v>25</v>
      </c>
      <c r="AL220" s="55">
        <v>4</v>
      </c>
      <c r="AM220" s="42"/>
      <c r="AN220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20" s="46">
        <f>+IF(BD_MO[[#This Row],[N° VALE]]&lt;&gt;"",IF(BD_MO[[#This Row],[FULMINANTE N° 08]]&lt;&gt;"",BD_MO[[#This Row],[FULMINANTE N° 08]],IF(BD_MO[[#This Row],[CARMEX 7'']]&lt;&gt;0,0,"")),"")</f>
        <v>0</v>
      </c>
      <c r="AP220" s="24">
        <f>+IF(BD_MO[[#This Row],[N° VALE]]&lt;&gt;"",BD_MO[[#This Row],[N°  TOTAL TALADROS]]*BD_MO[[#This Row],[BARRA]]*0.95,"")</f>
        <v>106.39999999999999</v>
      </c>
      <c r="AQ220" s="24">
        <f>+IF(BD_MO[[#This Row],[N° VALE]]&lt;&gt;"",BD_MO[[#This Row],[EMULNOR 1000 (N° CART.)]]*PE_EMUL_1000[PE],"")</f>
        <v>6.8184000000000005</v>
      </c>
      <c r="AR220" s="24">
        <f>+IF(BD_MO[[#This Row],[N° VALE]]&lt;&gt;"",BD_MO[[#This Row],[EMULNOR 3000 (N° CART.)]]*PE_EMUL_3000[PE],"")</f>
        <v>3.846153846153848</v>
      </c>
      <c r="AS220" s="24">
        <f>+IF(BD_MO[[#This Row],[N° VALE]]&lt;&gt;"",BD_MO[[#This Row],[PULVERULENTA (N° CART.)]]*PE_PULV_65[PE],"")</f>
        <v>0</v>
      </c>
      <c r="AT220" s="24">
        <f>+IF(BD_MO[[#This Row],[N° DISP]]&lt;&gt;"",BD_MO[[#This Row],[SEMIGELATINA (N° CART.)]]*PE_SEMIGEL_65[PE],"")</f>
        <v>0</v>
      </c>
      <c r="AU220" s="24">
        <f>+IF(BD_MO[N° VALE]&lt;&gt;"",BD_MO[[#This Row],[KG EXPLO SEMIGEL]]+BD_MO[[#This Row],[KG EXPLO PULVE]]+BD_MO[[#This Row],[KG EXPLO EMULN 3000]]+BD_MO[[#This Row],[KG EXPLO EMULN 1000]],"")</f>
        <v>10.664553846153849</v>
      </c>
      <c r="AV220" s="46">
        <v>9</v>
      </c>
      <c r="AW220" s="46"/>
      <c r="AX220" s="46">
        <f>+IF(BD_MO[[#This Row],[MINERAL (U-35)]]&lt;&gt;"",BD_MO[[#This Row],[MINERAL (U-35)]]*1.45,"-")</f>
        <v>13.049999999999999</v>
      </c>
      <c r="AY220" s="46" t="str">
        <f>+IF(BD_MO[[#This Row],[DESMONTE (U-35)]]&lt;&gt;"",BD_MO[[#This Row],[DESMONTE (U-35)]]*1.23,"-")</f>
        <v>-</v>
      </c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2"/>
      <c r="BO220" s="46"/>
      <c r="BP220" s="46"/>
      <c r="BQ220" s="42"/>
      <c r="BR220" s="46"/>
      <c r="BS220" s="42"/>
      <c r="BT220" s="24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24">
        <f>+IF(BD_MO[[#This Row],[FECHA]]&lt;&gt;"",BD_MO[[#This Row],[PUNTAL 4"]]+BD_MO[[#This Row],[PUNTAL 5"]]+BD_MO[[#This Row],[PUNTAL 6"]]+BD_MO[[#This Row],[PUNTAL 7"]]+BD_MO[[#This Row],[PUNTAL 8"]],"")</f>
        <v>0</v>
      </c>
      <c r="CQ220" s="46"/>
      <c r="CR220" s="46"/>
      <c r="CS220" s="46"/>
      <c r="CT220" s="46"/>
      <c r="CU220" s="46"/>
      <c r="CV220" s="46"/>
      <c r="CW220" s="46"/>
      <c r="CX220" s="46"/>
      <c r="CY220" s="24"/>
      <c r="CZ220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20" s="24">
        <f>+IF(BD_MO[[#This Row],[FECHA]]&lt;&gt;"",BD_MO[[#This Row],[DURMIENTE2]]*6.561+BD_MO[[#This Row],[LISTONES]]*4.921+BD_MO[[#This Row],[TABLA 1"x8"x3m]]*6.561+BD_MO[[#This Row],[TABLA 2"x8"x3m]]*13.122,"")</f>
        <v>0</v>
      </c>
      <c r="DB220" s="24">
        <f>+IF(BD_MO[[#This Row],[FECHA]]&lt;&gt;"",BD_MO[[#This Row],[PIE2 MADERA ASERRADA]]*1.95,"")</f>
        <v>0</v>
      </c>
      <c r="DC220" s="24">
        <f>+IF(BD_MO[[#This Row],[FECHA]]&lt;&gt;"",BD_MO[[#This Row],[KG. MADERA REDONDA]]+BD_MO[[#This Row],[KG MADERA ASERRADA]],"")</f>
        <v>0</v>
      </c>
      <c r="DD220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20" s="46"/>
      <c r="DF220" s="46"/>
      <c r="DG220" s="46"/>
      <c r="DH220" s="46"/>
      <c r="DI220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20" s="56"/>
      <c r="DK220" s="56"/>
      <c r="DL220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20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20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20" s="66">
        <v>11.25</v>
      </c>
      <c r="DP220" s="56">
        <f>+IF(BD_MO[[#This Row],[M o D]]&lt;&gt;"",IF(BD_MO[[#This Row],[M o D]]="M",BD_MO[[#This Row],[ROTURA TMH]]/2.65,BD_MO[[#This Row],[ROTURA TMH]]/2.4),"")</f>
        <v>4.2452830188679247</v>
      </c>
      <c r="DQ220" s="56">
        <v>0.98</v>
      </c>
      <c r="DR220" s="116">
        <f>IF(BD_MO[[#This Row],[TIPO AVANCE]]="Avance",((BD_MO[[#This Row],[AVANCE (m)]]/BD_MO[[#This Row],[AVANCE TEÓRICO]]))," ")</f>
        <v>0.90740740740740733</v>
      </c>
    </row>
    <row r="221" spans="1:130" ht="18" customHeight="1" x14ac:dyDescent="0.25">
      <c r="A221" s="92">
        <v>44664</v>
      </c>
      <c r="B221" s="40" t="s">
        <v>10655</v>
      </c>
      <c r="C221" s="40" t="s">
        <v>10680</v>
      </c>
      <c r="D221" s="61" t="s">
        <v>12253</v>
      </c>
      <c r="E221" s="42" t="str">
        <f>LEFT(BD_MO[[#This Row],[LABOR]],2)</f>
        <v>Sn</v>
      </c>
      <c r="F221" s="46" t="s">
        <v>10950</v>
      </c>
      <c r="G221" s="46" t="s">
        <v>10648</v>
      </c>
      <c r="H221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21" s="42" t="s">
        <v>12246</v>
      </c>
      <c r="J221" s="42" t="s">
        <v>10525</v>
      </c>
      <c r="K221" s="42" t="s">
        <v>12247</v>
      </c>
      <c r="L221" s="42"/>
      <c r="M221" s="48" t="s">
        <v>10646</v>
      </c>
      <c r="N221" s="46"/>
      <c r="O221" s="93" t="s">
        <v>11912</v>
      </c>
      <c r="P221" s="93"/>
      <c r="Q221" s="93"/>
      <c r="R221" s="45"/>
      <c r="S221" s="54" t="str">
        <f>IFERROR(VLOOKUP(BD_MO[DNI 4],#REF!,2,FALSE)," ")</f>
        <v xml:space="preserve"> </v>
      </c>
      <c r="T221" s="24">
        <f>+IF(BD_MO[[#This Row],[FECHA]]&lt;&gt;"",COUNTA(BD_MO[[#This Row],[DNI]],BD_MO[[#This Row],[DNI 2]],BD_MO[[#This Row],[DNI 3]],BD_MO[[#This Row],[DNI 4]]),"")</f>
        <v>1</v>
      </c>
      <c r="U221" s="24">
        <v>0.5</v>
      </c>
      <c r="V221" s="24">
        <v>0.3</v>
      </c>
      <c r="W221" s="24"/>
      <c r="X221" s="24">
        <v>0.2</v>
      </c>
      <c r="Y221" s="86">
        <f>SUM(BD_MO[[#This Row],[LIMP]:[SERV]])</f>
        <v>1</v>
      </c>
      <c r="Z221" s="46" t="s">
        <v>12270</v>
      </c>
      <c r="AA221" s="46">
        <f>+IF(BD_MO[[#This Row],[N° VALE]]&lt;&gt;"",1,"")</f>
        <v>1</v>
      </c>
      <c r="AB221" s="40" t="s">
        <v>10709</v>
      </c>
      <c r="AC221" s="46">
        <v>4</v>
      </c>
      <c r="AD221" s="46">
        <f>+IF(BD_MO[[#This Row],[N° VALE]]&lt;&gt;"",BD_MO[[#This Row],[FULMINANTE N° 08]]+BD_MO[CARMEX 7''],"")</f>
        <v>4</v>
      </c>
      <c r="AE221" s="46"/>
      <c r="AF221" s="46">
        <f>+IF(BD_MO[[#This Row],[N° VALE]]&lt;&gt;"",BD_MO[[#This Row],[N° TALADROS]]+BD_MO[[#This Row],[N° TAL. VACIOS]],"")</f>
        <v>4</v>
      </c>
      <c r="AG221" s="55"/>
      <c r="AH221" s="55">
        <v>27</v>
      </c>
      <c r="AI221" s="55"/>
      <c r="AJ221" s="55"/>
      <c r="AK221" s="55">
        <v>4</v>
      </c>
      <c r="AL221" s="55">
        <v>2</v>
      </c>
      <c r="AM221" s="42"/>
      <c r="AN221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21" s="46">
        <f>+IF(BD_MO[[#This Row],[N° VALE]]&lt;&gt;"",IF(BD_MO[[#This Row],[FULMINANTE N° 08]]&lt;&gt;"",BD_MO[[#This Row],[FULMINANTE N° 08]],IF(BD_MO[[#This Row],[CARMEX 7'']]&lt;&gt;0,0,"")),"")</f>
        <v>0</v>
      </c>
      <c r="AP221" s="24">
        <f>+IF(BD_MO[[#This Row],[N° VALE]]&lt;&gt;"",BD_MO[[#This Row],[N°  TOTAL TALADROS]]*BD_MO[[#This Row],[BARRA]]*0.95,"")</f>
        <v>15.2</v>
      </c>
      <c r="AQ221" s="24">
        <f>+IF(BD_MO[[#This Row],[N° VALE]]&lt;&gt;"",BD_MO[[#This Row],[EMULNOR 1000 (N° CART.)]]*PE_EMUL_1000[PE],"")</f>
        <v>2.5569000000000002</v>
      </c>
      <c r="AR221" s="24">
        <f>+IF(BD_MO[[#This Row],[N° VALE]]&lt;&gt;"",BD_MO[[#This Row],[EMULNOR 3000 (N° CART.)]]*PE_EMUL_3000[PE],"")</f>
        <v>0</v>
      </c>
      <c r="AS221" s="24">
        <f>+IF(BD_MO[[#This Row],[N° VALE]]&lt;&gt;"",BD_MO[[#This Row],[PULVERULENTA (N° CART.)]]*PE_PULV_65[PE],"")</f>
        <v>0</v>
      </c>
      <c r="AT221" s="24">
        <f>+IF(BD_MO[[#This Row],[N° DISP]]&lt;&gt;"",BD_MO[[#This Row],[SEMIGELATINA (N° CART.)]]*PE_SEMIGEL_65[PE],"")</f>
        <v>0</v>
      </c>
      <c r="AU221" s="24">
        <f>+IF(BD_MO[N° VALE]&lt;&gt;"",BD_MO[[#This Row],[KG EXPLO SEMIGEL]]+BD_MO[[#This Row],[KG EXPLO PULVE]]+BD_MO[[#This Row],[KG EXPLO EMULN 3000]]+BD_MO[[#This Row],[KG EXPLO EMULN 1000]],"")</f>
        <v>2.5569000000000002</v>
      </c>
      <c r="AV221" s="46">
        <v>9</v>
      </c>
      <c r="AW221" s="46"/>
      <c r="AX221" s="46">
        <f>+IF(BD_MO[[#This Row],[MINERAL (U-35)]]&lt;&gt;"",BD_MO[[#This Row],[MINERAL (U-35)]]*1.45,"-")</f>
        <v>13.049999999999999</v>
      </c>
      <c r="AY221" s="46" t="str">
        <f>+IF(BD_MO[[#This Row],[DESMONTE (U-35)]]&lt;&gt;"",BD_MO[[#This Row],[DESMONTE (U-35)]]*1.23,"-")</f>
        <v>-</v>
      </c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2"/>
      <c r="BO221" s="46"/>
      <c r="BP221" s="46"/>
      <c r="BQ221" s="42"/>
      <c r="BR221" s="46"/>
      <c r="BS221" s="42"/>
      <c r="BT221" s="24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24">
        <f>+IF(BD_MO[[#This Row],[FECHA]]&lt;&gt;"",BD_MO[[#This Row],[PUNTAL 4"]]+BD_MO[[#This Row],[PUNTAL 5"]]+BD_MO[[#This Row],[PUNTAL 6"]]+BD_MO[[#This Row],[PUNTAL 7"]]+BD_MO[[#This Row],[PUNTAL 8"]],"")</f>
        <v>0</v>
      </c>
      <c r="CQ221" s="46"/>
      <c r="CR221" s="46"/>
      <c r="CS221" s="46"/>
      <c r="CT221" s="46"/>
      <c r="CU221" s="46"/>
      <c r="CV221" s="46"/>
      <c r="CW221" s="46"/>
      <c r="CX221" s="46"/>
      <c r="CY221" s="24"/>
      <c r="CZ221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21" s="24">
        <f>+IF(BD_MO[[#This Row],[FECHA]]&lt;&gt;"",BD_MO[[#This Row],[DURMIENTE2]]*6.561+BD_MO[[#This Row],[LISTONES]]*4.921+BD_MO[[#This Row],[TABLA 1"x8"x3m]]*6.561+BD_MO[[#This Row],[TABLA 2"x8"x3m]]*13.122,"")</f>
        <v>0</v>
      </c>
      <c r="DB221" s="24">
        <f>+IF(BD_MO[[#This Row],[FECHA]]&lt;&gt;"",BD_MO[[#This Row],[PIE2 MADERA ASERRADA]]*1.95,"")</f>
        <v>0</v>
      </c>
      <c r="DC221" s="24">
        <f>+IF(BD_MO[[#This Row],[FECHA]]&lt;&gt;"",BD_MO[[#This Row],[KG. MADERA REDONDA]]+BD_MO[[#This Row],[KG MADERA ASERRADA]],"")</f>
        <v>0</v>
      </c>
      <c r="DD221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21" s="46"/>
      <c r="DF221" s="46"/>
      <c r="DG221" s="46"/>
      <c r="DH221" s="46"/>
      <c r="DI221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21" s="56"/>
      <c r="DK221" s="56"/>
      <c r="DL221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21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21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21" s="66">
        <v>3.5</v>
      </c>
      <c r="DP221" s="56">
        <f>+IF(BD_MO[[#This Row],[M o D]]&lt;&gt;"",IF(BD_MO[[#This Row],[M o D]]="M",BD_MO[[#This Row],[ROTURA TMH]]/2.65,BD_MO[[#This Row],[ROTURA TMH]]/2.4),"")</f>
        <v>1.3207547169811322</v>
      </c>
      <c r="DQ221" s="56">
        <v>1.1399999999999999</v>
      </c>
      <c r="DR221" s="116">
        <f>IF(BD_MO[[#This Row],[TIPO AVANCE]]="Avance",((BD_MO[[#This Row],[AVANCE (m)]]/BD_MO[[#This Row],[AVANCE TEÓRICO]]))," ")</f>
        <v>1.0555555555555554</v>
      </c>
    </row>
    <row r="222" spans="1:130" ht="18" customHeight="1" x14ac:dyDescent="0.25">
      <c r="A222" s="92">
        <v>44664</v>
      </c>
      <c r="B222" s="40" t="s">
        <v>10655</v>
      </c>
      <c r="C222" s="40" t="s">
        <v>10680</v>
      </c>
      <c r="D222" s="61" t="s">
        <v>12149</v>
      </c>
      <c r="E222" s="42" t="str">
        <f>LEFT(BD_MO[[#This Row],[LABOR]],2)</f>
        <v>Es</v>
      </c>
      <c r="F222" s="46" t="s">
        <v>10687</v>
      </c>
      <c r="G222" s="46" t="s">
        <v>10648</v>
      </c>
      <c r="H222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22" s="42" t="str">
        <f>IF(BD_MO[FECHA]&lt;&gt;"",VLOOKUP(BD_MO[LABOR],TB_CECO[[LABOR]:[CECO_T]],3,FALSE),"")</f>
        <v>VANESSA</v>
      </c>
      <c r="J222" s="42" t="str">
        <f>IF(BD_MO[FECHA]&lt;&gt;"",VLOOKUP(BD_MO[LABOR],D_CECO!B:H,7,FALSE),"")</f>
        <v>LINEAL</v>
      </c>
      <c r="K222" s="42" t="str">
        <f>IF(BD_MO[FECHA]&lt;&gt;"",VLOOKUP(BD_MO[LABOR],D_CECO!B:H,4,FALSE),"")</f>
        <v>EXPLORACION</v>
      </c>
      <c r="L222" s="42"/>
      <c r="M222" s="48" t="s">
        <v>10646</v>
      </c>
      <c r="N222" s="46"/>
      <c r="O222" s="93" t="s">
        <v>11904</v>
      </c>
      <c r="P222" s="93"/>
      <c r="Q222" s="93"/>
      <c r="R222" s="45"/>
      <c r="S222" s="54" t="str">
        <f>IFERROR(VLOOKUP(BD_MO[DNI 4],#REF!,2,FALSE)," ")</f>
        <v xml:space="preserve"> </v>
      </c>
      <c r="T222" s="24">
        <f>+IF(BD_MO[[#This Row],[FECHA]]&lt;&gt;"",COUNTA(BD_MO[[#This Row],[DNI]],BD_MO[[#This Row],[DNI 2]],BD_MO[[#This Row],[DNI 3]],BD_MO[[#This Row],[DNI 4]]),"")</f>
        <v>1</v>
      </c>
      <c r="U222" s="24">
        <v>0.5</v>
      </c>
      <c r="V222" s="24">
        <v>0.3</v>
      </c>
      <c r="W222" s="24"/>
      <c r="X222" s="24">
        <v>0.2</v>
      </c>
      <c r="Y222" s="86">
        <f>SUM(BD_MO[[#This Row],[LIMP]:[SERV]])</f>
        <v>1</v>
      </c>
      <c r="Z222" s="46" t="s">
        <v>12271</v>
      </c>
      <c r="AA222" s="46">
        <f>+IF(BD_MO[[#This Row],[N° VALE]]&lt;&gt;"",1,"")</f>
        <v>1</v>
      </c>
      <c r="AB222" s="40" t="s">
        <v>10710</v>
      </c>
      <c r="AC222" s="46">
        <v>4</v>
      </c>
      <c r="AD222" s="46">
        <f>+IF(BD_MO[[#This Row],[N° VALE]]&lt;&gt;"",BD_MO[[#This Row],[FULMINANTE N° 08]]+BD_MO[CARMEX 7''],"")</f>
        <v>20</v>
      </c>
      <c r="AE222" s="46">
        <v>3</v>
      </c>
      <c r="AF222" s="46">
        <f>+IF(BD_MO[[#This Row],[N° VALE]]&lt;&gt;"",BD_MO[[#This Row],[N° TALADROS]]+BD_MO[[#This Row],[N° TAL. VACIOS]],"")</f>
        <v>23</v>
      </c>
      <c r="AG222" s="55">
        <v>50</v>
      </c>
      <c r="AH222" s="55">
        <v>40</v>
      </c>
      <c r="AI222" s="55"/>
      <c r="AJ222" s="55"/>
      <c r="AK222" s="55">
        <v>20</v>
      </c>
      <c r="AL222" s="55">
        <v>5</v>
      </c>
      <c r="AM222" s="42"/>
      <c r="AN222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22" s="46">
        <f>+IF(BD_MO[[#This Row],[N° VALE]]&lt;&gt;"",IF(BD_MO[[#This Row],[FULMINANTE N° 08]]&lt;&gt;"",BD_MO[[#This Row],[FULMINANTE N° 08]],IF(BD_MO[[#This Row],[CARMEX 7'']]&lt;&gt;0,0,"")),"")</f>
        <v>0</v>
      </c>
      <c r="AP222" s="24">
        <f>+IF(BD_MO[[#This Row],[N° VALE]]&lt;&gt;"",BD_MO[[#This Row],[N°  TOTAL TALADROS]]*BD_MO[[#This Row],[BARRA]]*0.95,"")</f>
        <v>87.399999999999991</v>
      </c>
      <c r="AQ222" s="24">
        <f>+IF(BD_MO[[#This Row],[N° VALE]]&lt;&gt;"",BD_MO[[#This Row],[EMULNOR 1000 (N° CART.)]]*PE_EMUL_1000[PE],"")</f>
        <v>3.7880000000000003</v>
      </c>
      <c r="AR222" s="24">
        <f>+IF(BD_MO[[#This Row],[N° VALE]]&lt;&gt;"",BD_MO[[#This Row],[EMULNOR 3000 (N° CART.)]]*PE_EMUL_3000[PE],"")</f>
        <v>4.8076923076923102</v>
      </c>
      <c r="AS222" s="24">
        <f>+IF(BD_MO[[#This Row],[N° VALE]]&lt;&gt;"",BD_MO[[#This Row],[PULVERULENTA (N° CART.)]]*PE_PULV_65[PE],"")</f>
        <v>0</v>
      </c>
      <c r="AT222" s="24">
        <f>+IF(BD_MO[[#This Row],[N° DISP]]&lt;&gt;"",BD_MO[[#This Row],[SEMIGELATINA (N° CART.)]]*PE_SEMIGEL_65[PE],"")</f>
        <v>0</v>
      </c>
      <c r="AU222" s="24">
        <f>+IF(BD_MO[N° VALE]&lt;&gt;"",BD_MO[[#This Row],[KG EXPLO SEMIGEL]]+BD_MO[[#This Row],[KG EXPLO PULVE]]+BD_MO[[#This Row],[KG EXPLO EMULN 3000]]+BD_MO[[#This Row],[KG EXPLO EMULN 1000]],"")</f>
        <v>8.5956923076923104</v>
      </c>
      <c r="AV222" s="46"/>
      <c r="AW222" s="46">
        <v>6</v>
      </c>
      <c r="AX222" s="46" t="str">
        <f>+IF(BD_MO[[#This Row],[MINERAL (U-35)]]&lt;&gt;"",BD_MO[[#This Row],[MINERAL (U-35)]]*1.45,"-")</f>
        <v>-</v>
      </c>
      <c r="AY222" s="46">
        <f>+IF(BD_MO[[#This Row],[DESMONTE (U-35)]]&lt;&gt;"",BD_MO[[#This Row],[DESMONTE (U-35)]]*1.23,"-")</f>
        <v>7.38</v>
      </c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2"/>
      <c r="BO222" s="46"/>
      <c r="BP222" s="46"/>
      <c r="BQ222" s="42"/>
      <c r="BR222" s="46"/>
      <c r="BS222" s="42"/>
      <c r="BT222" s="24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24">
        <f>+IF(BD_MO[[#This Row],[FECHA]]&lt;&gt;"",BD_MO[[#This Row],[PUNTAL 4"]]+BD_MO[[#This Row],[PUNTAL 5"]]+BD_MO[[#This Row],[PUNTAL 6"]]+BD_MO[[#This Row],[PUNTAL 7"]]+BD_MO[[#This Row],[PUNTAL 8"]],"")</f>
        <v>0</v>
      </c>
      <c r="CQ222" s="46"/>
      <c r="CR222" s="46"/>
      <c r="CS222" s="46"/>
      <c r="CT222" s="46"/>
      <c r="CU222" s="46"/>
      <c r="CV222" s="46"/>
      <c r="CW222" s="46"/>
      <c r="CX222" s="46"/>
      <c r="CY222" s="24"/>
      <c r="CZ222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22" s="24">
        <f>+IF(BD_MO[[#This Row],[FECHA]]&lt;&gt;"",BD_MO[[#This Row],[DURMIENTE2]]*6.561+BD_MO[[#This Row],[LISTONES]]*4.921+BD_MO[[#This Row],[TABLA 1"x8"x3m]]*6.561+BD_MO[[#This Row],[TABLA 2"x8"x3m]]*13.122,"")</f>
        <v>0</v>
      </c>
      <c r="DB222" s="24">
        <f>+IF(BD_MO[[#This Row],[FECHA]]&lt;&gt;"",BD_MO[[#This Row],[PIE2 MADERA ASERRADA]]*1.95,"")</f>
        <v>0</v>
      </c>
      <c r="DC222" s="24">
        <f>+IF(BD_MO[[#This Row],[FECHA]]&lt;&gt;"",BD_MO[[#This Row],[KG. MADERA REDONDA]]+BD_MO[[#This Row],[KG MADERA ASERRADA]],"")</f>
        <v>0</v>
      </c>
      <c r="DD222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22" s="46"/>
      <c r="DF222" s="46"/>
      <c r="DG222" s="46"/>
      <c r="DH222" s="46"/>
      <c r="DI222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22" s="56"/>
      <c r="DK222" s="56"/>
      <c r="DL222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22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22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22" s="181">
        <f>0.3154597*BD_MO[[#This Row],[N°  TOTAL TALADROS]]</f>
        <v>7.2555731000000003</v>
      </c>
      <c r="DP222" s="222">
        <f>+IF(BD_MO[[#This Row],[M o D]]&lt;&gt;"",IF(BD_MO[[#This Row],[M o D]]="M",BD_MO[[#This Row],[ROTURA TMH]]/2.65,BD_MO[[#This Row],[ROTURA TMH]]/2.4),"")</f>
        <v>3.0231554583333335</v>
      </c>
      <c r="DQ222" s="180">
        <v>0.98</v>
      </c>
      <c r="DR222" s="116">
        <f>IF(BD_MO[[#This Row],[TIPO AVANCE]]="Avance",((BD_MO[[#This Row],[AVANCE (m)]]/BD_MO[[#This Row],[AVANCE TEÓRICO]]))," ")</f>
        <v>0.90740740740740733</v>
      </c>
    </row>
    <row r="223" spans="1:130" ht="18" customHeight="1" x14ac:dyDescent="0.25">
      <c r="A223" s="92">
        <v>44664</v>
      </c>
      <c r="B223" s="40" t="s">
        <v>10655</v>
      </c>
      <c r="C223" s="40" t="s">
        <v>10680</v>
      </c>
      <c r="D223" s="61" t="s">
        <v>12149</v>
      </c>
      <c r="E223" s="42" t="str">
        <f>LEFT(BD_MO[[#This Row],[LABOR]],2)</f>
        <v>Es</v>
      </c>
      <c r="F223" s="46" t="s">
        <v>10687</v>
      </c>
      <c r="G223" s="46" t="s">
        <v>10648</v>
      </c>
      <c r="H223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23" s="42" t="str">
        <f>IF(BD_MO[FECHA]&lt;&gt;"",VLOOKUP(BD_MO[LABOR],TB_CECO[[LABOR]:[CECO_T]],3,FALSE),"")</f>
        <v>VANESSA</v>
      </c>
      <c r="J223" s="42" t="str">
        <f>IF(BD_MO[FECHA]&lt;&gt;"",VLOOKUP(BD_MO[LABOR],D_CECO!B:H,7,FALSE),"")</f>
        <v>LINEAL</v>
      </c>
      <c r="K223" s="42" t="str">
        <f>IF(BD_MO[FECHA]&lt;&gt;"",VLOOKUP(BD_MO[LABOR],D_CECO!B:H,4,FALSE),"")</f>
        <v>EXPLORACION</v>
      </c>
      <c r="L223" s="42"/>
      <c r="M223" s="48" t="s">
        <v>10646</v>
      </c>
      <c r="N223" s="46"/>
      <c r="O223" s="93" t="s">
        <v>11926</v>
      </c>
      <c r="P223" s="93"/>
      <c r="Q223" s="93"/>
      <c r="R223" s="45"/>
      <c r="S223" s="54" t="str">
        <f>IFERROR(VLOOKUP(BD_MO[DNI 4],#REF!,2,FALSE)," ")</f>
        <v xml:space="preserve"> </v>
      </c>
      <c r="T223" s="24">
        <f>+IF(BD_MO[[#This Row],[FECHA]]&lt;&gt;"",COUNTA(BD_MO[[#This Row],[DNI]],BD_MO[[#This Row],[DNI 2]],BD_MO[[#This Row],[DNI 3]],BD_MO[[#This Row],[DNI 4]]),"")</f>
        <v>1</v>
      </c>
      <c r="U223" s="24">
        <v>0.5</v>
      </c>
      <c r="V223" s="24">
        <v>0.3</v>
      </c>
      <c r="W223" s="24"/>
      <c r="X223" s="24">
        <v>0.2</v>
      </c>
      <c r="Y223" s="86">
        <f>SUM(BD_MO[[#This Row],[LIMP]:[SERV]])</f>
        <v>1</v>
      </c>
      <c r="Z223" s="46" t="s">
        <v>12272</v>
      </c>
      <c r="AA223" s="46">
        <f>+IF(BD_MO[[#This Row],[N° VALE]]&lt;&gt;"",1,"")</f>
        <v>1</v>
      </c>
      <c r="AB223" s="40" t="s">
        <v>10710</v>
      </c>
      <c r="AC223" s="46">
        <v>4</v>
      </c>
      <c r="AD223" s="46">
        <f>+IF(BD_MO[[#This Row],[N° VALE]]&lt;&gt;"",BD_MO[[#This Row],[FULMINANTE N° 08]]+BD_MO[CARMEX 7''],"")</f>
        <v>16</v>
      </c>
      <c r="AE223" s="46">
        <v>3</v>
      </c>
      <c r="AF223" s="46">
        <f>+IF(BD_MO[[#This Row],[N° VALE]]&lt;&gt;"",BD_MO[[#This Row],[N° TALADROS]]+BD_MO[[#This Row],[N° TAL. VACIOS]],"")</f>
        <v>19</v>
      </c>
      <c r="AG223" s="55">
        <v>40</v>
      </c>
      <c r="AH223" s="55">
        <v>42</v>
      </c>
      <c r="AI223" s="55"/>
      <c r="AJ223" s="55"/>
      <c r="AK223" s="55">
        <v>16</v>
      </c>
      <c r="AL223" s="55">
        <v>4</v>
      </c>
      <c r="AM223" s="42"/>
      <c r="AN223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23" s="46">
        <f>+IF(BD_MO[[#This Row],[N° VALE]]&lt;&gt;"",IF(BD_MO[[#This Row],[FULMINANTE N° 08]]&lt;&gt;"",BD_MO[[#This Row],[FULMINANTE N° 08]],IF(BD_MO[[#This Row],[CARMEX 7'']]&lt;&gt;0,0,"")),"")</f>
        <v>0</v>
      </c>
      <c r="AP223" s="24">
        <f>+IF(BD_MO[[#This Row],[N° VALE]]&lt;&gt;"",BD_MO[[#This Row],[N°  TOTAL TALADROS]]*BD_MO[[#This Row],[BARRA]]*0.95,"")</f>
        <v>72.2</v>
      </c>
      <c r="AQ223" s="24">
        <f>+IF(BD_MO[[#This Row],[N° VALE]]&lt;&gt;"",BD_MO[[#This Row],[EMULNOR 1000 (N° CART.)]]*PE_EMUL_1000[PE],"")</f>
        <v>3.9774000000000003</v>
      </c>
      <c r="AR223" s="24">
        <f>+IF(BD_MO[[#This Row],[N° VALE]]&lt;&gt;"",BD_MO[[#This Row],[EMULNOR 3000 (N° CART.)]]*PE_EMUL_3000[PE],"")</f>
        <v>3.846153846153848</v>
      </c>
      <c r="AS223" s="24">
        <f>+IF(BD_MO[[#This Row],[N° VALE]]&lt;&gt;"",BD_MO[[#This Row],[PULVERULENTA (N° CART.)]]*PE_PULV_65[PE],"")</f>
        <v>0</v>
      </c>
      <c r="AT223" s="24">
        <f>+IF(BD_MO[[#This Row],[N° DISP]]&lt;&gt;"",BD_MO[[#This Row],[SEMIGELATINA (N° CART.)]]*PE_SEMIGEL_65[PE],"")</f>
        <v>0</v>
      </c>
      <c r="AU223" s="24">
        <f>+IF(BD_MO[N° VALE]&lt;&gt;"",BD_MO[[#This Row],[KG EXPLO SEMIGEL]]+BD_MO[[#This Row],[KG EXPLO PULVE]]+BD_MO[[#This Row],[KG EXPLO EMULN 3000]]+BD_MO[[#This Row],[KG EXPLO EMULN 1000]],"")</f>
        <v>7.8235538461538479</v>
      </c>
      <c r="AV223" s="46"/>
      <c r="AW223" s="46">
        <v>6</v>
      </c>
      <c r="AX223" s="46" t="str">
        <f>+IF(BD_MO[[#This Row],[MINERAL (U-35)]]&lt;&gt;"",BD_MO[[#This Row],[MINERAL (U-35)]]*1.45,"-")</f>
        <v>-</v>
      </c>
      <c r="AY223" s="46">
        <f>+IF(BD_MO[[#This Row],[DESMONTE (U-35)]]&lt;&gt;"",BD_MO[[#This Row],[DESMONTE (U-35)]]*1.23,"-")</f>
        <v>7.38</v>
      </c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2"/>
      <c r="BO223" s="46"/>
      <c r="BP223" s="46"/>
      <c r="BQ223" s="42"/>
      <c r="BR223" s="46"/>
      <c r="BS223" s="42"/>
      <c r="BT223" s="24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24">
        <f>+IF(BD_MO[[#This Row],[FECHA]]&lt;&gt;"",BD_MO[[#This Row],[PUNTAL 4"]]+BD_MO[[#This Row],[PUNTAL 5"]]+BD_MO[[#This Row],[PUNTAL 6"]]+BD_MO[[#This Row],[PUNTAL 7"]]+BD_MO[[#This Row],[PUNTAL 8"]],"")</f>
        <v>0</v>
      </c>
      <c r="CQ223" s="46"/>
      <c r="CR223" s="46"/>
      <c r="CS223" s="46"/>
      <c r="CT223" s="46"/>
      <c r="CU223" s="46"/>
      <c r="CV223" s="46"/>
      <c r="CW223" s="46"/>
      <c r="CX223" s="46"/>
      <c r="CY223" s="24"/>
      <c r="CZ223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23" s="24">
        <f>+IF(BD_MO[[#This Row],[FECHA]]&lt;&gt;"",BD_MO[[#This Row],[DURMIENTE2]]*6.561+BD_MO[[#This Row],[LISTONES]]*4.921+BD_MO[[#This Row],[TABLA 1"x8"x3m]]*6.561+BD_MO[[#This Row],[TABLA 2"x8"x3m]]*13.122,"")</f>
        <v>0</v>
      </c>
      <c r="DB223" s="24">
        <f>+IF(BD_MO[[#This Row],[FECHA]]&lt;&gt;"",BD_MO[[#This Row],[PIE2 MADERA ASERRADA]]*1.95,"")</f>
        <v>0</v>
      </c>
      <c r="DC223" s="24">
        <f>+IF(BD_MO[[#This Row],[FECHA]]&lt;&gt;"",BD_MO[[#This Row],[KG. MADERA REDONDA]]+BD_MO[[#This Row],[KG MADERA ASERRADA]],"")</f>
        <v>0</v>
      </c>
      <c r="DD223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23" s="46"/>
      <c r="DF223" s="46"/>
      <c r="DG223" s="46"/>
      <c r="DH223" s="46"/>
      <c r="DI223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23" s="56"/>
      <c r="DK223" s="56"/>
      <c r="DL223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23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23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23" s="181">
        <f>0.3154597*BD_MO[[#This Row],[N°  TOTAL TALADROS]]</f>
        <v>5.9937342999999998</v>
      </c>
      <c r="DP223" s="222">
        <f>+IF(BD_MO[[#This Row],[M o D]]&lt;&gt;"",IF(BD_MO[[#This Row],[M o D]]="M",BD_MO[[#This Row],[ROTURA TMH]]/2.65,BD_MO[[#This Row],[ROTURA TMH]]/2.4),"")</f>
        <v>2.4973892916666669</v>
      </c>
      <c r="DQ223" s="180">
        <v>0.87</v>
      </c>
      <c r="DR223" s="116">
        <f>IF(BD_MO[[#This Row],[TIPO AVANCE]]="Avance",((BD_MO[[#This Row],[AVANCE (m)]]/BD_MO[[#This Row],[AVANCE TEÓRICO]]))," ")</f>
        <v>0.80555555555555547</v>
      </c>
    </row>
    <row r="224" spans="1:130" ht="18" customHeight="1" x14ac:dyDescent="0.25">
      <c r="A224" s="92">
        <v>44664</v>
      </c>
      <c r="B224" s="40" t="s">
        <v>10655</v>
      </c>
      <c r="C224" s="40" t="s">
        <v>10680</v>
      </c>
      <c r="D224" s="61" t="s">
        <v>12176</v>
      </c>
      <c r="E224" s="42" t="str">
        <f>LEFT(BD_MO[[#This Row],[LABOR]],2)</f>
        <v>Sn</v>
      </c>
      <c r="F224" s="46"/>
      <c r="G224" s="46" t="s">
        <v>10669</v>
      </c>
      <c r="H224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24" s="42" t="str">
        <f>IF(BD_MO[FECHA]&lt;&gt;"",VLOOKUP(BD_MO[LABOR],TB_CECO[[LABOR]:[CECO_T]],3,FALSE),"")</f>
        <v>VANESSA</v>
      </c>
      <c r="J224" s="42" t="str">
        <f>IF(BD_MO[FECHA]&lt;&gt;"",VLOOKUP(BD_MO[LABOR],D_CECO!B:H,7,FALSE),"")</f>
        <v>LINEAL</v>
      </c>
      <c r="K224" s="42" t="str">
        <f>IF(BD_MO[FECHA]&lt;&gt;"",VLOOKUP(BD_MO[LABOR],D_CECO!B:H,4,FALSE),"")</f>
        <v>EXPLORACION</v>
      </c>
      <c r="L224" s="42"/>
      <c r="M224" s="48"/>
      <c r="N224" s="46"/>
      <c r="O224" s="93" t="s">
        <v>11911</v>
      </c>
      <c r="P224" s="93" t="s">
        <v>11913</v>
      </c>
      <c r="Q224" s="93"/>
      <c r="R224" s="45"/>
      <c r="S224" s="54" t="str">
        <f>IFERROR(VLOOKUP(BD_MO[DNI 4],#REF!,2,FALSE)," ")</f>
        <v xml:space="preserve"> </v>
      </c>
      <c r="T224" s="24">
        <f>+IF(BD_MO[[#This Row],[FECHA]]&lt;&gt;"",COUNTA(BD_MO[[#This Row],[DNI]],BD_MO[[#This Row],[DNI 2]],BD_MO[[#This Row],[DNI 3]],BD_MO[[#This Row],[DNI 4]]),"")</f>
        <v>2</v>
      </c>
      <c r="U224" s="24"/>
      <c r="V224" s="24"/>
      <c r="W224" s="24"/>
      <c r="X224" s="24">
        <v>2</v>
      </c>
      <c r="Y224" s="86">
        <f>SUM(BD_MO[[#This Row],[LIMP]:[SERV]])</f>
        <v>2</v>
      </c>
      <c r="Z224" s="46"/>
      <c r="AA224" s="46" t="str">
        <f>+IF(BD_MO[[#This Row],[N° VALE]]&lt;&gt;"",1,"")</f>
        <v/>
      </c>
      <c r="AB224" s="40"/>
      <c r="AC224" s="46"/>
      <c r="AD224" s="46" t="str">
        <f>+IF(BD_MO[[#This Row],[N° VALE]]&lt;&gt;"",BD_MO[[#This Row],[FULMINANTE N° 08]]+BD_MO[CARMEX 7''],"")</f>
        <v/>
      </c>
      <c r="AE224" s="46"/>
      <c r="AF224" s="46" t="str">
        <f>+IF(BD_MO[[#This Row],[N° VALE]]&lt;&gt;"",BD_MO[[#This Row],[N° TALADROS]]+BD_MO[[#This Row],[N° TAL. VACIOS]],"")</f>
        <v/>
      </c>
      <c r="AG224" s="55"/>
      <c r="AH224" s="55"/>
      <c r="AI224" s="55"/>
      <c r="AJ224" s="55"/>
      <c r="AK224" s="55"/>
      <c r="AL224" s="55"/>
      <c r="AM224" s="42"/>
      <c r="AN224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24" s="46" t="str">
        <f>+IF(BD_MO[[#This Row],[N° VALE]]&lt;&gt;"",IF(BD_MO[[#This Row],[FULMINANTE N° 08]]&lt;&gt;"",BD_MO[[#This Row],[FULMINANTE N° 08]],IF(BD_MO[[#This Row],[CARMEX 7'']]&lt;&gt;0,0,"")),"")</f>
        <v/>
      </c>
      <c r="AP224" s="24" t="str">
        <f>+IF(BD_MO[[#This Row],[N° VALE]]&lt;&gt;"",BD_MO[[#This Row],[N°  TOTAL TALADROS]]*BD_MO[[#This Row],[BARRA]]*0.95,"")</f>
        <v/>
      </c>
      <c r="AQ224" s="24" t="str">
        <f>+IF(BD_MO[[#This Row],[N° VALE]]&lt;&gt;"",BD_MO[[#This Row],[EMULNOR 1000 (N° CART.)]]*PE_EMUL_1000[PE],"")</f>
        <v/>
      </c>
      <c r="AR224" s="24" t="str">
        <f>+IF(BD_MO[[#This Row],[N° VALE]]&lt;&gt;"",BD_MO[[#This Row],[EMULNOR 3000 (N° CART.)]]*PE_EMUL_3000[PE],"")</f>
        <v/>
      </c>
      <c r="AS224" s="24" t="str">
        <f>+IF(BD_MO[[#This Row],[N° VALE]]&lt;&gt;"",BD_MO[[#This Row],[PULVERULENTA (N° CART.)]]*PE_PULV_65[PE],"")</f>
        <v/>
      </c>
      <c r="AT224" s="24" t="str">
        <f>+IF(BD_MO[[#This Row],[N° DISP]]&lt;&gt;"",BD_MO[[#This Row],[SEMIGELATINA (N° CART.)]]*PE_SEMIGEL_65[PE],"")</f>
        <v/>
      </c>
      <c r="AU224" s="24" t="str">
        <f>+IF(BD_MO[N° VALE]&lt;&gt;"",BD_MO[[#This Row],[KG EXPLO SEMIGEL]]+BD_MO[[#This Row],[KG EXPLO PULVE]]+BD_MO[[#This Row],[KG EXPLO EMULN 3000]]+BD_MO[[#This Row],[KG EXPLO EMULN 1000]],"")</f>
        <v/>
      </c>
      <c r="AV224" s="46"/>
      <c r="AW224" s="46"/>
      <c r="AX224" s="46" t="str">
        <f>+IF(BD_MO[[#This Row],[MINERAL (U-35)]]&lt;&gt;"",BD_MO[[#This Row],[MINERAL (U-35)]]*1.45,"-")</f>
        <v>-</v>
      </c>
      <c r="AY224" s="46" t="str">
        <f>+IF(BD_MO[[#This Row],[DESMONTE (U-35)]]&lt;&gt;"",BD_MO[[#This Row],[DESMONTE (U-35)]]*1.23,"-")</f>
        <v>-</v>
      </c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2"/>
      <c r="BO224" s="46"/>
      <c r="BP224" s="46"/>
      <c r="BQ224" s="42"/>
      <c r="BR224" s="46"/>
      <c r="BS224" s="42"/>
      <c r="BT224" s="24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24">
        <f>+IF(BD_MO[[#This Row],[FECHA]]&lt;&gt;"",BD_MO[[#This Row],[PUNTAL 4"]]+BD_MO[[#This Row],[PUNTAL 5"]]+BD_MO[[#This Row],[PUNTAL 6"]]+BD_MO[[#This Row],[PUNTAL 7"]]+BD_MO[[#This Row],[PUNTAL 8"]],"")</f>
        <v>0</v>
      </c>
      <c r="CQ224" s="46"/>
      <c r="CR224" s="46"/>
      <c r="CS224" s="46"/>
      <c r="CT224" s="46"/>
      <c r="CU224" s="46"/>
      <c r="CV224" s="46"/>
      <c r="CW224" s="46"/>
      <c r="CX224" s="46"/>
      <c r="CY224" s="24"/>
      <c r="CZ224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24" s="24">
        <f>+IF(BD_MO[[#This Row],[FECHA]]&lt;&gt;"",BD_MO[[#This Row],[DURMIENTE2]]*6.561+BD_MO[[#This Row],[LISTONES]]*4.921+BD_MO[[#This Row],[TABLA 1"x8"x3m]]*6.561+BD_MO[[#This Row],[TABLA 2"x8"x3m]]*13.122,"")</f>
        <v>0</v>
      </c>
      <c r="DB224" s="24">
        <f>+IF(BD_MO[[#This Row],[FECHA]]&lt;&gt;"",BD_MO[[#This Row],[PIE2 MADERA ASERRADA]]*1.95,"")</f>
        <v>0</v>
      </c>
      <c r="DC224" s="24">
        <f>+IF(BD_MO[[#This Row],[FECHA]]&lt;&gt;"",BD_MO[[#This Row],[KG. MADERA REDONDA]]+BD_MO[[#This Row],[KG MADERA ASERRADA]],"")</f>
        <v>0</v>
      </c>
      <c r="DD224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24" s="46"/>
      <c r="DF224" s="46"/>
      <c r="DG224" s="46"/>
      <c r="DH224" s="46"/>
      <c r="DI224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24" s="56"/>
      <c r="DK224" s="56"/>
      <c r="DL224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24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24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24" s="66"/>
      <c r="DP224" s="56" t="str">
        <f>+IF(BD_MO[[#This Row],[M o D]]&lt;&gt;"",IF(BD_MO[[#This Row],[M o D]]="M",BD_MO[[#This Row],[ROTURA TMH]]/2.65,BD_MO[[#This Row],[ROTURA TMH]]/2.4),"")</f>
        <v/>
      </c>
      <c r="DQ224" s="56"/>
      <c r="DR224" s="116" t="str">
        <f>IF(BD_MO[[#This Row],[TIPO AVANCE]]="Avance",((BD_MO[[#This Row],[AVANCE (m)]]/BD_MO[[#This Row],[AVANCE TEÓRICO]]))," ")</f>
        <v xml:space="preserve"> </v>
      </c>
    </row>
    <row r="225" spans="1:130" ht="18" customHeight="1" x14ac:dyDescent="0.25">
      <c r="A225" s="92">
        <v>44664</v>
      </c>
      <c r="B225" s="40" t="s">
        <v>10655</v>
      </c>
      <c r="C225" s="40" t="s">
        <v>10680</v>
      </c>
      <c r="D225" s="61" t="s">
        <v>12149</v>
      </c>
      <c r="E225" s="42" t="str">
        <f>LEFT(BD_MO[[#This Row],[LABOR]],2)</f>
        <v>Es</v>
      </c>
      <c r="F225" s="46"/>
      <c r="G225" s="46" t="s">
        <v>10669</v>
      </c>
      <c r="H225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25" s="42" t="str">
        <f>IF(BD_MO[FECHA]&lt;&gt;"",VLOOKUP(BD_MO[LABOR],TB_CECO[[LABOR]:[CECO_T]],3,FALSE),"")</f>
        <v>VANESSA</v>
      </c>
      <c r="J225" s="42" t="str">
        <f>IF(BD_MO[FECHA]&lt;&gt;"",VLOOKUP(BD_MO[LABOR],D_CECO!B:H,7,FALSE),"")</f>
        <v>LINEAL</v>
      </c>
      <c r="K225" s="42" t="str">
        <f>IF(BD_MO[FECHA]&lt;&gt;"",VLOOKUP(BD_MO[LABOR],D_CECO!B:H,4,FALSE),"")</f>
        <v>EXPLORACION</v>
      </c>
      <c r="L225" s="42"/>
      <c r="M225" s="48"/>
      <c r="N225" s="46"/>
      <c r="O225" s="93" t="s">
        <v>12151</v>
      </c>
      <c r="P225" s="93"/>
      <c r="Q225" s="93"/>
      <c r="R225" s="45"/>
      <c r="S225" s="54" t="str">
        <f>IFERROR(VLOOKUP(BD_MO[DNI 4],#REF!,2,FALSE)," ")</f>
        <v xml:space="preserve"> </v>
      </c>
      <c r="T225" s="24">
        <f>+IF(BD_MO[[#This Row],[FECHA]]&lt;&gt;"",COUNTA(BD_MO[[#This Row],[DNI]],BD_MO[[#This Row],[DNI 2]],BD_MO[[#This Row],[DNI 3]],BD_MO[[#This Row],[DNI 4]]),"")</f>
        <v>1</v>
      </c>
      <c r="U225" s="24"/>
      <c r="V225" s="24"/>
      <c r="W225" s="24"/>
      <c r="X225" s="24">
        <v>1</v>
      </c>
      <c r="Y225" s="86">
        <f>SUM(BD_MO[[#This Row],[LIMP]:[SERV]])</f>
        <v>1</v>
      </c>
      <c r="Z225" s="46"/>
      <c r="AA225" s="46" t="str">
        <f>+IF(BD_MO[[#This Row],[N° VALE]]&lt;&gt;"",1,"")</f>
        <v/>
      </c>
      <c r="AB225" s="40"/>
      <c r="AC225" s="46"/>
      <c r="AD225" s="46" t="str">
        <f>+IF(BD_MO[[#This Row],[N° VALE]]&lt;&gt;"",BD_MO[[#This Row],[FULMINANTE N° 08]]+BD_MO[CARMEX 7''],"")</f>
        <v/>
      </c>
      <c r="AE225" s="46"/>
      <c r="AF225" s="46" t="str">
        <f>+IF(BD_MO[[#This Row],[N° VALE]]&lt;&gt;"",BD_MO[[#This Row],[N° TALADROS]]+BD_MO[[#This Row],[N° TAL. VACIOS]],"")</f>
        <v/>
      </c>
      <c r="AG225" s="55"/>
      <c r="AH225" s="55"/>
      <c r="AI225" s="55"/>
      <c r="AJ225" s="55"/>
      <c r="AK225" s="55"/>
      <c r="AL225" s="55"/>
      <c r="AM225" s="42"/>
      <c r="AN225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25" s="46" t="str">
        <f>+IF(BD_MO[[#This Row],[N° VALE]]&lt;&gt;"",IF(BD_MO[[#This Row],[FULMINANTE N° 08]]&lt;&gt;"",BD_MO[[#This Row],[FULMINANTE N° 08]],IF(BD_MO[[#This Row],[CARMEX 7'']]&lt;&gt;0,0,"")),"")</f>
        <v/>
      </c>
      <c r="AP225" s="24" t="str">
        <f>+IF(BD_MO[[#This Row],[N° VALE]]&lt;&gt;"",BD_MO[[#This Row],[N°  TOTAL TALADROS]]*BD_MO[[#This Row],[BARRA]]*0.95,"")</f>
        <v/>
      </c>
      <c r="AQ225" s="24" t="str">
        <f>+IF(BD_MO[[#This Row],[N° VALE]]&lt;&gt;"",BD_MO[[#This Row],[EMULNOR 1000 (N° CART.)]]*PE_EMUL_1000[PE],"")</f>
        <v/>
      </c>
      <c r="AR225" s="24" t="str">
        <f>+IF(BD_MO[[#This Row],[N° VALE]]&lt;&gt;"",BD_MO[[#This Row],[EMULNOR 3000 (N° CART.)]]*PE_EMUL_3000[PE],"")</f>
        <v/>
      </c>
      <c r="AS225" s="24" t="str">
        <f>+IF(BD_MO[[#This Row],[N° VALE]]&lt;&gt;"",BD_MO[[#This Row],[PULVERULENTA (N° CART.)]]*PE_PULV_65[PE],"")</f>
        <v/>
      </c>
      <c r="AT225" s="24" t="str">
        <f>+IF(BD_MO[[#This Row],[N° DISP]]&lt;&gt;"",BD_MO[[#This Row],[SEMIGELATINA (N° CART.)]]*PE_SEMIGEL_65[PE],"")</f>
        <v/>
      </c>
      <c r="AU225" s="24" t="str">
        <f>+IF(BD_MO[N° VALE]&lt;&gt;"",BD_MO[[#This Row],[KG EXPLO SEMIGEL]]+BD_MO[[#This Row],[KG EXPLO PULVE]]+BD_MO[[#This Row],[KG EXPLO EMULN 3000]]+BD_MO[[#This Row],[KG EXPLO EMULN 1000]],"")</f>
        <v/>
      </c>
      <c r="AV225" s="46"/>
      <c r="AW225" s="46"/>
      <c r="AX225" s="46" t="str">
        <f>+IF(BD_MO[[#This Row],[MINERAL (U-35)]]&lt;&gt;"",BD_MO[[#This Row],[MINERAL (U-35)]]*1.45,"-")</f>
        <v>-</v>
      </c>
      <c r="AY225" s="46" t="str">
        <f>+IF(BD_MO[[#This Row],[DESMONTE (U-35)]]&lt;&gt;"",BD_MO[[#This Row],[DESMONTE (U-35)]]*1.23,"-")</f>
        <v>-</v>
      </c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2"/>
      <c r="BO225" s="46"/>
      <c r="BP225" s="46"/>
      <c r="BQ225" s="42"/>
      <c r="BR225" s="46"/>
      <c r="BS225" s="42"/>
      <c r="BT225" s="24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24">
        <f>+IF(BD_MO[[#This Row],[FECHA]]&lt;&gt;"",BD_MO[[#This Row],[PUNTAL 4"]]+BD_MO[[#This Row],[PUNTAL 5"]]+BD_MO[[#This Row],[PUNTAL 6"]]+BD_MO[[#This Row],[PUNTAL 7"]]+BD_MO[[#This Row],[PUNTAL 8"]],"")</f>
        <v>0</v>
      </c>
      <c r="CQ225" s="46"/>
      <c r="CR225" s="46"/>
      <c r="CS225" s="46"/>
      <c r="CT225" s="46"/>
      <c r="CU225" s="46"/>
      <c r="CV225" s="46"/>
      <c r="CW225" s="46"/>
      <c r="CX225" s="46"/>
      <c r="CY225" s="24"/>
      <c r="CZ225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25" s="24">
        <f>+IF(BD_MO[[#This Row],[FECHA]]&lt;&gt;"",BD_MO[[#This Row],[DURMIENTE2]]*6.561+BD_MO[[#This Row],[LISTONES]]*4.921+BD_MO[[#This Row],[TABLA 1"x8"x3m]]*6.561+BD_MO[[#This Row],[TABLA 2"x8"x3m]]*13.122,"")</f>
        <v>0</v>
      </c>
      <c r="DB225" s="24">
        <f>+IF(BD_MO[[#This Row],[FECHA]]&lt;&gt;"",BD_MO[[#This Row],[PIE2 MADERA ASERRADA]]*1.95,"")</f>
        <v>0</v>
      </c>
      <c r="DC225" s="24">
        <f>+IF(BD_MO[[#This Row],[FECHA]]&lt;&gt;"",BD_MO[[#This Row],[KG. MADERA REDONDA]]+BD_MO[[#This Row],[KG MADERA ASERRADA]],"")</f>
        <v>0</v>
      </c>
      <c r="DD225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25" s="46"/>
      <c r="DF225" s="46"/>
      <c r="DG225" s="46"/>
      <c r="DH225" s="46"/>
      <c r="DI225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25" s="56"/>
      <c r="DK225" s="56"/>
      <c r="DL225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25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25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25" s="66"/>
      <c r="DP225" s="56" t="str">
        <f>+IF(BD_MO[[#This Row],[M o D]]&lt;&gt;"",IF(BD_MO[[#This Row],[M o D]]="M",BD_MO[[#This Row],[ROTURA TMH]]/2.65,BD_MO[[#This Row],[ROTURA TMH]]/2.4),"")</f>
        <v/>
      </c>
      <c r="DQ225" s="56"/>
      <c r="DR225" s="116" t="str">
        <f>IF(BD_MO[[#This Row],[TIPO AVANCE]]="Avance",((BD_MO[[#This Row],[AVANCE (m)]]/BD_MO[[#This Row],[AVANCE TEÓRICO]]))," ")</f>
        <v xml:space="preserve"> </v>
      </c>
    </row>
    <row r="226" spans="1:130" ht="18" customHeight="1" x14ac:dyDescent="0.25">
      <c r="A226" s="92">
        <v>44664</v>
      </c>
      <c r="B226" s="40" t="s">
        <v>10655</v>
      </c>
      <c r="C226" s="40" t="s">
        <v>10680</v>
      </c>
      <c r="D226" s="61" t="s">
        <v>10952</v>
      </c>
      <c r="E226" s="214" t="str">
        <f>LEFT(BD_MO[[#This Row],[LABOR]],2)</f>
        <v>In</v>
      </c>
      <c r="F226" s="215"/>
      <c r="G226" s="46" t="s">
        <v>10669</v>
      </c>
      <c r="H226" s="21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26" s="214" t="str">
        <f>IF(BD_MO[FECHA]&lt;&gt;"",VLOOKUP(BD_MO[LABOR],TB_CECO[[LABOR]:[CECO_T]],3,FALSE),"")</f>
        <v>VANESSA</v>
      </c>
      <c r="J226" s="214" t="str">
        <f>IF(BD_MO[FECHA]&lt;&gt;"",VLOOKUP(BD_MO[LABOR],D_CECO!B:H,7,FALSE),"")</f>
        <v>LINEAL</v>
      </c>
      <c r="K226" s="214" t="str">
        <f>IF(BD_MO[FECHA]&lt;&gt;"",VLOOKUP(BD_MO[LABOR],D_CECO!B:H,4,FALSE),"")</f>
        <v>EXPLORACION</v>
      </c>
      <c r="L226" s="214"/>
      <c r="M226" s="216"/>
      <c r="N226" s="215"/>
      <c r="O226" s="93" t="s">
        <v>11925</v>
      </c>
      <c r="P226" s="93" t="s">
        <v>12267</v>
      </c>
      <c r="Q226" s="173"/>
      <c r="R226" s="217"/>
      <c r="S226" s="218" t="str">
        <f>IFERROR(VLOOKUP(BD_MO[DNI 4],#REF!,2,FALSE)," ")</f>
        <v xml:space="preserve"> </v>
      </c>
      <c r="T226" s="219">
        <f>+IF(BD_MO[[#This Row],[FECHA]]&lt;&gt;"",COUNTA(BD_MO[[#This Row],[DNI]],BD_MO[[#This Row],[DNI 2]],BD_MO[[#This Row],[DNI 3]],BD_MO[[#This Row],[DNI 4]]),"")</f>
        <v>2</v>
      </c>
      <c r="U226" s="219"/>
      <c r="V226" s="219"/>
      <c r="W226" s="219"/>
      <c r="X226" s="219">
        <v>2</v>
      </c>
      <c r="Y226" s="177">
        <v>2</v>
      </c>
      <c r="Z226" s="215"/>
      <c r="AA226" s="215" t="str">
        <f>+IF(BD_MO[[#This Row],[N° VALE]]&lt;&gt;"",1,"")</f>
        <v/>
      </c>
      <c r="AB226" s="169"/>
      <c r="AC226" s="215"/>
      <c r="AD226" s="215" t="str">
        <f>+IF(BD_MO[[#This Row],[N° VALE]]&lt;&gt;"",BD_MO[[#This Row],[FULMINANTE N° 08]]+BD_MO[CARMEX 7''],"")</f>
        <v/>
      </c>
      <c r="AE226" s="215"/>
      <c r="AF226" s="215" t="str">
        <f>+IF(BD_MO[[#This Row],[N° VALE]]&lt;&gt;"",BD_MO[[#This Row],[N° TALADROS]]+BD_MO[[#This Row],[N° TAL. VACIOS]],"")</f>
        <v/>
      </c>
      <c r="AG226" s="220"/>
      <c r="AH226" s="220"/>
      <c r="AI226" s="220"/>
      <c r="AJ226" s="220"/>
      <c r="AK226" s="220"/>
      <c r="AL226" s="220"/>
      <c r="AM226" s="214"/>
      <c r="AN226" s="21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26" s="215" t="str">
        <f>+IF(BD_MO[[#This Row],[N° VALE]]&lt;&gt;"",IF(BD_MO[[#This Row],[FULMINANTE N° 08]]&lt;&gt;"",BD_MO[[#This Row],[FULMINANTE N° 08]],IF(BD_MO[[#This Row],[CARMEX 7'']]&lt;&gt;0,0,"")),"")</f>
        <v/>
      </c>
      <c r="AP226" s="219" t="str">
        <f>+IF(BD_MO[[#This Row],[N° VALE]]&lt;&gt;"",BD_MO[[#This Row],[N°  TOTAL TALADROS]]*BD_MO[[#This Row],[BARRA]]*0.95,"")</f>
        <v/>
      </c>
      <c r="AQ226" s="219" t="str">
        <f>+IF(BD_MO[[#This Row],[N° VALE]]&lt;&gt;"",BD_MO[[#This Row],[EMULNOR 1000 (N° CART.)]]*PE_EMUL_1000[PE],"")</f>
        <v/>
      </c>
      <c r="AR226" s="219" t="str">
        <f>+IF(BD_MO[[#This Row],[N° VALE]]&lt;&gt;"",BD_MO[[#This Row],[EMULNOR 3000 (N° CART.)]]*PE_EMUL_3000[PE],"")</f>
        <v/>
      </c>
      <c r="AS226" s="219" t="str">
        <f>+IF(BD_MO[[#This Row],[N° VALE]]&lt;&gt;"",BD_MO[[#This Row],[PULVERULENTA (N° CART.)]]*PE_PULV_65[PE],"")</f>
        <v/>
      </c>
      <c r="AT226" s="219" t="str">
        <f>+IF(BD_MO[[#This Row],[N° DISP]]&lt;&gt;"",BD_MO[[#This Row],[SEMIGELATINA (N° CART.)]]*PE_SEMIGEL_65[PE],"")</f>
        <v/>
      </c>
      <c r="AU226" s="219" t="str">
        <f>+IF(BD_MO[N° VALE]&lt;&gt;"",BD_MO[[#This Row],[KG EXPLO SEMIGEL]]+BD_MO[[#This Row],[KG EXPLO PULVE]]+BD_MO[[#This Row],[KG EXPLO EMULN 3000]]+BD_MO[[#This Row],[KG EXPLO EMULN 1000]],"")</f>
        <v/>
      </c>
      <c r="AV226" s="215"/>
      <c r="AW226" s="215"/>
      <c r="AX226" s="215" t="str">
        <f>+IF(BD_MO[[#This Row],[MINERAL (U-35)]]&lt;&gt;"",BD_MO[[#This Row],[MINERAL (U-35)]]*1.45,"-")</f>
        <v>-</v>
      </c>
      <c r="AY226" s="215" t="str">
        <f>+IF(BD_MO[[#This Row],[DESMONTE (U-35)]]&lt;&gt;"",BD_MO[[#This Row],[DESMONTE (U-35)]]*1.23,"-")</f>
        <v>-</v>
      </c>
      <c r="AZ226" s="215"/>
      <c r="BA226" s="215"/>
      <c r="BB226" s="215"/>
      <c r="BC226" s="215"/>
      <c r="BD226" s="215"/>
      <c r="BE226" s="215"/>
      <c r="BF226" s="215"/>
      <c r="BG226" s="215"/>
      <c r="BH226" s="215"/>
      <c r="BI226" s="215"/>
      <c r="BJ226" s="215"/>
      <c r="BK226" s="215"/>
      <c r="BL226" s="215"/>
      <c r="BM226" s="215"/>
      <c r="BN226" s="214"/>
      <c r="BO226" s="215"/>
      <c r="BP226" s="215"/>
      <c r="BQ226" s="214"/>
      <c r="BR226" s="215"/>
      <c r="BS226" s="214"/>
      <c r="BT226" s="219"/>
      <c r="BU226" s="215"/>
      <c r="BV226" s="215"/>
      <c r="BW226" s="215"/>
      <c r="BX226" s="215"/>
      <c r="BY226" s="215"/>
      <c r="BZ226" s="215"/>
      <c r="CA226" s="215"/>
      <c r="CB226" s="215"/>
      <c r="CC226" s="215"/>
      <c r="CD226" s="215"/>
      <c r="CE226" s="215"/>
      <c r="CF226" s="215"/>
      <c r="CG226" s="215"/>
      <c r="CH226" s="215"/>
      <c r="CI226" s="215"/>
      <c r="CJ226" s="215"/>
      <c r="CK226" s="215"/>
      <c r="CL226" s="215"/>
      <c r="CM226" s="215"/>
      <c r="CN226" s="215"/>
      <c r="CO226" s="215"/>
      <c r="CP226" s="219">
        <f>+IF(BD_MO[[#This Row],[FECHA]]&lt;&gt;"",BD_MO[[#This Row],[PUNTAL 4"]]+BD_MO[[#This Row],[PUNTAL 5"]]+BD_MO[[#This Row],[PUNTAL 6"]]+BD_MO[[#This Row],[PUNTAL 7"]]+BD_MO[[#This Row],[PUNTAL 8"]],"")</f>
        <v>0</v>
      </c>
      <c r="CQ226" s="215"/>
      <c r="CR226" s="215"/>
      <c r="CS226" s="215"/>
      <c r="CT226" s="215"/>
      <c r="CU226" s="215"/>
      <c r="CV226" s="215"/>
      <c r="CW226" s="215"/>
      <c r="CX226" s="215"/>
      <c r="CY226" s="219"/>
      <c r="CZ226" s="21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26" s="219">
        <f>+IF(BD_MO[[#This Row],[FECHA]]&lt;&gt;"",BD_MO[[#This Row],[DURMIENTE2]]*6.561+BD_MO[[#This Row],[LISTONES]]*4.921+BD_MO[[#This Row],[TABLA 1"x8"x3m]]*6.561+BD_MO[[#This Row],[TABLA 2"x8"x3m]]*13.122,"")</f>
        <v>0</v>
      </c>
      <c r="DB226" s="219">
        <f>+IF(BD_MO[[#This Row],[FECHA]]&lt;&gt;"",BD_MO[[#This Row],[PIE2 MADERA ASERRADA]]*1.95,"")</f>
        <v>0</v>
      </c>
      <c r="DC226" s="219">
        <f>+IF(BD_MO[[#This Row],[FECHA]]&lt;&gt;"",BD_MO[[#This Row],[KG. MADERA REDONDA]]+BD_MO[[#This Row],[KG MADERA ASERRADA]],"")</f>
        <v>0</v>
      </c>
      <c r="DD226" s="22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26" s="215"/>
      <c r="DF226" s="215"/>
      <c r="DG226" s="46" t="s">
        <v>12239</v>
      </c>
      <c r="DH226" s="215">
        <v>7</v>
      </c>
      <c r="DI226" s="22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26" s="222"/>
      <c r="DK226" s="222"/>
      <c r="DL226" s="22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26" s="22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26" s="22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26" s="197"/>
      <c r="DP226" s="222" t="str">
        <f>+IF(BD_MO[[#This Row],[M o D]]&lt;&gt;"",IF(BD_MO[[#This Row],[M o D]]="M",BD_MO[[#This Row],[ROTURA TMH]]/2.65,BD_MO[[#This Row],[ROTURA TMH]]/2.4),"")</f>
        <v/>
      </c>
      <c r="DQ226" s="222"/>
      <c r="DR226" s="116" t="str">
        <f>IF(BD_MO[[#This Row],[TIPO AVANCE]]="Avance",((BD_MO[[#This Row],[AVANCE (m)]]/BD_MO[[#This Row],[AVANCE TEÓRICO]]))," ")</f>
        <v xml:space="preserve"> </v>
      </c>
    </row>
    <row r="227" spans="1:130" ht="18" customHeight="1" x14ac:dyDescent="0.25">
      <c r="A227" s="92">
        <v>44664</v>
      </c>
      <c r="B227" s="40" t="s">
        <v>10655</v>
      </c>
      <c r="C227" s="40" t="s">
        <v>10680</v>
      </c>
      <c r="D227" s="61" t="s">
        <v>11872</v>
      </c>
      <c r="E227" s="42" t="str">
        <f>LEFT(BD_MO[[#This Row],[LABOR]],2)</f>
        <v>PQ</v>
      </c>
      <c r="F227" s="46"/>
      <c r="G227" s="46" t="s">
        <v>10669</v>
      </c>
      <c r="H227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27" s="42" t="str">
        <f>IF(BD_MO[FECHA]&lt;&gt;"",VLOOKUP(BD_MO[LABOR],TB_CECO[[LABOR]:[CECO_T]],3,FALSE),"")</f>
        <v>ANDREA</v>
      </c>
      <c r="J227" s="42" t="str">
        <f>IF(BD_MO[FECHA]&lt;&gt;"",VLOOKUP(BD_MO[LABOR],D_CECO!B:H,7,FALSE),"")</f>
        <v>LINEAL</v>
      </c>
      <c r="K227" s="42" t="str">
        <f>IF(BD_MO[FECHA]&lt;&gt;"",VLOOKUP(BD_MO[LABOR],D_CECO!B:H,4,FALSE),"")</f>
        <v>EXPLOTACION</v>
      </c>
      <c r="L227" s="42"/>
      <c r="M227" s="48"/>
      <c r="N227" s="46"/>
      <c r="O227" s="93" t="s">
        <v>11908</v>
      </c>
      <c r="P227" s="93" t="s">
        <v>11905</v>
      </c>
      <c r="Q227" s="93" t="s">
        <v>12211</v>
      </c>
      <c r="R227" s="45"/>
      <c r="S227" s="54" t="str">
        <f>IFERROR(VLOOKUP(BD_MO[DNI 4],#REF!,2,FALSE)," ")</f>
        <v xml:space="preserve"> </v>
      </c>
      <c r="T227" s="24">
        <f>+IF(BD_MO[[#This Row],[FECHA]]&lt;&gt;"",COUNTA(BD_MO[[#This Row],[DNI]],BD_MO[[#This Row],[DNI 2]],BD_MO[[#This Row],[DNI 3]],BD_MO[[#This Row],[DNI 4]]),"")</f>
        <v>3</v>
      </c>
      <c r="U227" s="24"/>
      <c r="V227" s="24"/>
      <c r="W227" s="24"/>
      <c r="X227" s="24">
        <v>3</v>
      </c>
      <c r="Y227" s="86">
        <f>SUM(BD_MO[[#This Row],[LIMP]:[SERV]])</f>
        <v>3</v>
      </c>
      <c r="Z227" s="46"/>
      <c r="AA227" s="46" t="str">
        <f>+IF(BD_MO[[#This Row],[N° VALE]]&lt;&gt;"",1,"")</f>
        <v/>
      </c>
      <c r="AB227" s="40"/>
      <c r="AC227" s="46"/>
      <c r="AD227" s="46" t="str">
        <f>+IF(BD_MO[[#This Row],[N° VALE]]&lt;&gt;"",BD_MO[[#This Row],[FULMINANTE N° 08]]+BD_MO[CARMEX 7''],"")</f>
        <v/>
      </c>
      <c r="AE227" s="46"/>
      <c r="AF227" s="46" t="str">
        <f>+IF(BD_MO[[#This Row],[N° VALE]]&lt;&gt;"",BD_MO[[#This Row],[N° TALADROS]]+BD_MO[[#This Row],[N° TAL. VACIOS]],"")</f>
        <v/>
      </c>
      <c r="AG227" s="55"/>
      <c r="AH227" s="55"/>
      <c r="AI227" s="55"/>
      <c r="AJ227" s="55"/>
      <c r="AK227" s="55"/>
      <c r="AL227" s="55"/>
      <c r="AM227" s="42"/>
      <c r="AN227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27" s="46" t="str">
        <f>+IF(BD_MO[[#This Row],[N° VALE]]&lt;&gt;"",IF(BD_MO[[#This Row],[FULMINANTE N° 08]]&lt;&gt;"",BD_MO[[#This Row],[FULMINANTE N° 08]],IF(BD_MO[[#This Row],[CARMEX 7'']]&lt;&gt;0,0,"")),"")</f>
        <v/>
      </c>
      <c r="AP227" s="24" t="str">
        <f>+IF(BD_MO[[#This Row],[N° VALE]]&lt;&gt;"",BD_MO[[#This Row],[N°  TOTAL TALADROS]]*BD_MO[[#This Row],[BARRA]]*0.95,"")</f>
        <v/>
      </c>
      <c r="AQ227" s="24" t="str">
        <f>+IF(BD_MO[[#This Row],[N° VALE]]&lt;&gt;"",BD_MO[[#This Row],[EMULNOR 1000 (N° CART.)]]*PE_EMUL_1000[PE],"")</f>
        <v/>
      </c>
      <c r="AR227" s="24" t="str">
        <f>+IF(BD_MO[[#This Row],[N° VALE]]&lt;&gt;"",BD_MO[[#This Row],[EMULNOR 3000 (N° CART.)]]*PE_EMUL_3000[PE],"")</f>
        <v/>
      </c>
      <c r="AS227" s="24" t="str">
        <f>+IF(BD_MO[[#This Row],[N° VALE]]&lt;&gt;"",BD_MO[[#This Row],[PULVERULENTA (N° CART.)]]*PE_PULV_65[PE],"")</f>
        <v/>
      </c>
      <c r="AT227" s="24" t="str">
        <f>+IF(BD_MO[[#This Row],[N° DISP]]&lt;&gt;"",BD_MO[[#This Row],[SEMIGELATINA (N° CART.)]]*PE_SEMIGEL_65[PE],"")</f>
        <v/>
      </c>
      <c r="AU227" s="24" t="str">
        <f>+IF(BD_MO[N° VALE]&lt;&gt;"",BD_MO[[#This Row],[KG EXPLO SEMIGEL]]+BD_MO[[#This Row],[KG EXPLO PULVE]]+BD_MO[[#This Row],[KG EXPLO EMULN 3000]]+BD_MO[[#This Row],[KG EXPLO EMULN 1000]],"")</f>
        <v/>
      </c>
      <c r="AV227" s="46"/>
      <c r="AW227" s="46"/>
      <c r="AX227" s="46" t="str">
        <f>+IF(BD_MO[[#This Row],[MINERAL (U-35)]]&lt;&gt;"",BD_MO[[#This Row],[MINERAL (U-35)]]*1.45,"-")</f>
        <v>-</v>
      </c>
      <c r="AY227" s="46" t="str">
        <f>+IF(BD_MO[[#This Row],[DESMONTE (U-35)]]&lt;&gt;"",BD_MO[[#This Row],[DESMONTE (U-35)]]*1.23,"-")</f>
        <v>-</v>
      </c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2"/>
      <c r="BO227" s="46"/>
      <c r="BP227" s="46"/>
      <c r="BQ227" s="42"/>
      <c r="BR227" s="46"/>
      <c r="BS227" s="42"/>
      <c r="BT227" s="24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24">
        <f>+IF(BD_MO[[#This Row],[FECHA]]&lt;&gt;"",BD_MO[[#This Row],[PUNTAL 4"]]+BD_MO[[#This Row],[PUNTAL 5"]]+BD_MO[[#This Row],[PUNTAL 6"]]+BD_MO[[#This Row],[PUNTAL 7"]]+BD_MO[[#This Row],[PUNTAL 8"]],"")</f>
        <v>0</v>
      </c>
      <c r="CQ227" s="46"/>
      <c r="CR227" s="46"/>
      <c r="CS227" s="46"/>
      <c r="CT227" s="46"/>
      <c r="CU227" s="46"/>
      <c r="CV227" s="46"/>
      <c r="CW227" s="46"/>
      <c r="CX227" s="46"/>
      <c r="CY227" s="24"/>
      <c r="CZ227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27" s="24">
        <f>+IF(BD_MO[[#This Row],[FECHA]]&lt;&gt;"",BD_MO[[#This Row],[DURMIENTE2]]*6.561+BD_MO[[#This Row],[LISTONES]]*4.921+BD_MO[[#This Row],[TABLA 1"x8"x3m]]*6.561+BD_MO[[#This Row],[TABLA 2"x8"x3m]]*13.122,"")</f>
        <v>0</v>
      </c>
      <c r="DB227" s="24">
        <f>+IF(BD_MO[[#This Row],[FECHA]]&lt;&gt;"",BD_MO[[#This Row],[PIE2 MADERA ASERRADA]]*1.95,"")</f>
        <v>0</v>
      </c>
      <c r="DC227" s="24">
        <f>+IF(BD_MO[[#This Row],[FECHA]]&lt;&gt;"",BD_MO[[#This Row],[KG. MADERA REDONDA]]+BD_MO[[#This Row],[KG MADERA ASERRADA]],"")</f>
        <v>0</v>
      </c>
      <c r="DD227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27" s="46"/>
      <c r="DF227" s="46"/>
      <c r="DG227" s="46" t="s">
        <v>12238</v>
      </c>
      <c r="DH227" s="46">
        <v>7</v>
      </c>
      <c r="DI227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27" s="56"/>
      <c r="DK227" s="56"/>
      <c r="DL227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27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27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27" s="66"/>
      <c r="DP227" s="56" t="str">
        <f>+IF(BD_MO[[#This Row],[M o D]]&lt;&gt;"",IF(BD_MO[[#This Row],[M o D]]="M",BD_MO[[#This Row],[ROTURA TMH]]/2.65,BD_MO[[#This Row],[ROTURA TMH]]/2.4),"")</f>
        <v/>
      </c>
      <c r="DQ227" s="56"/>
      <c r="DR227" s="116" t="str">
        <f>IF(BD_MO[[#This Row],[TIPO AVANCE]]="Avance",((BD_MO[[#This Row],[AVANCE (m)]]/BD_MO[[#This Row],[AVANCE TEÓRICO]]))," ")</f>
        <v xml:space="preserve"> </v>
      </c>
    </row>
    <row r="228" spans="1:130" ht="18" customHeight="1" x14ac:dyDescent="0.25">
      <c r="A228" s="92">
        <v>44664</v>
      </c>
      <c r="B228" s="40" t="s">
        <v>10655</v>
      </c>
      <c r="C228" s="40" t="s">
        <v>10680</v>
      </c>
      <c r="D228" s="61" t="s">
        <v>10717</v>
      </c>
      <c r="E228" s="42" t="str">
        <f>LEFT(BD_MO[[#This Row],[LABOR]],2)</f>
        <v>BO</v>
      </c>
      <c r="F228" s="46"/>
      <c r="G228" s="46" t="s">
        <v>10669</v>
      </c>
      <c r="H228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28" s="42" t="str">
        <f>IF(BD_MO[FECHA]&lt;&gt;"",VLOOKUP(BD_MO[LABOR],TB_CECO[[LABOR]:[CECO_T]],3,FALSE),"")</f>
        <v>CACHORRO</v>
      </c>
      <c r="J228" s="42" t="str">
        <f>IF(BD_MO[FECHA]&lt;&gt;"",VLOOKUP(BD_MO[LABOR],D_CECO!B:H,7,FALSE),"")</f>
        <v>SERVICIOS</v>
      </c>
      <c r="K228" s="42" t="str">
        <f>IF(BD_MO[FECHA]&lt;&gt;"",VLOOKUP(BD_MO[LABOR],D_CECO!B:H,4,FALSE),"")</f>
        <v>SERVICIOS</v>
      </c>
      <c r="L228" s="42"/>
      <c r="M228" s="48"/>
      <c r="N228" s="46"/>
      <c r="O228" s="93" t="s">
        <v>11909</v>
      </c>
      <c r="P228" s="93"/>
      <c r="Q228" s="93"/>
      <c r="R228" s="45"/>
      <c r="S228" s="54" t="str">
        <f>IFERROR(VLOOKUP(BD_MO[DNI 4],#REF!,2,FALSE)," ")</f>
        <v xml:space="preserve"> </v>
      </c>
      <c r="T228" s="24">
        <f>+IF(BD_MO[[#This Row],[FECHA]]&lt;&gt;"",COUNTA(BD_MO[[#This Row],[DNI]],BD_MO[[#This Row],[DNI 2]],BD_MO[[#This Row],[DNI 3]],BD_MO[[#This Row],[DNI 4]]),"")</f>
        <v>1</v>
      </c>
      <c r="U228" s="24"/>
      <c r="V228" s="24"/>
      <c r="W228" s="24"/>
      <c r="X228" s="24">
        <v>1</v>
      </c>
      <c r="Y228" s="86">
        <f>SUM(BD_MO[[#This Row],[LIMP]:[SERV]])</f>
        <v>1</v>
      </c>
      <c r="Z228" s="46"/>
      <c r="AA228" s="46" t="str">
        <f>+IF(BD_MO[[#This Row],[N° VALE]]&lt;&gt;"",1,"")</f>
        <v/>
      </c>
      <c r="AB228" s="40"/>
      <c r="AC228" s="46"/>
      <c r="AD228" s="46" t="str">
        <f>+IF(BD_MO[[#This Row],[N° VALE]]&lt;&gt;"",BD_MO[[#This Row],[FULMINANTE N° 08]]+BD_MO[CARMEX 7''],"")</f>
        <v/>
      </c>
      <c r="AE228" s="46"/>
      <c r="AF228" s="46" t="str">
        <f>+IF(BD_MO[[#This Row],[N° VALE]]&lt;&gt;"",BD_MO[[#This Row],[N° TALADROS]]+BD_MO[[#This Row],[N° TAL. VACIOS]],"")</f>
        <v/>
      </c>
      <c r="AG228" s="55"/>
      <c r="AH228" s="55"/>
      <c r="AI228" s="55"/>
      <c r="AJ228" s="55"/>
      <c r="AK228" s="55"/>
      <c r="AL228" s="55"/>
      <c r="AM228" s="42"/>
      <c r="AN228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28" s="46" t="str">
        <f>+IF(BD_MO[[#This Row],[N° VALE]]&lt;&gt;"",IF(BD_MO[[#This Row],[FULMINANTE N° 08]]&lt;&gt;"",BD_MO[[#This Row],[FULMINANTE N° 08]],IF(BD_MO[[#This Row],[CARMEX 7'']]&lt;&gt;0,0,"")),"")</f>
        <v/>
      </c>
      <c r="AP228" s="24" t="str">
        <f>+IF(BD_MO[[#This Row],[N° VALE]]&lt;&gt;"",BD_MO[[#This Row],[N°  TOTAL TALADROS]]*BD_MO[[#This Row],[BARRA]]*0.95,"")</f>
        <v/>
      </c>
      <c r="AQ228" s="24" t="str">
        <f>+IF(BD_MO[[#This Row],[N° VALE]]&lt;&gt;"",BD_MO[[#This Row],[EMULNOR 1000 (N° CART.)]]*PE_EMUL_1000[PE],"")</f>
        <v/>
      </c>
      <c r="AR228" s="24" t="str">
        <f>+IF(BD_MO[[#This Row],[N° VALE]]&lt;&gt;"",BD_MO[[#This Row],[EMULNOR 3000 (N° CART.)]]*PE_EMUL_3000[PE],"")</f>
        <v/>
      </c>
      <c r="AS228" s="24" t="str">
        <f>+IF(BD_MO[[#This Row],[N° VALE]]&lt;&gt;"",BD_MO[[#This Row],[PULVERULENTA (N° CART.)]]*PE_PULV_65[PE],"")</f>
        <v/>
      </c>
      <c r="AT228" s="24" t="str">
        <f>+IF(BD_MO[[#This Row],[N° DISP]]&lt;&gt;"",BD_MO[[#This Row],[SEMIGELATINA (N° CART.)]]*PE_SEMIGEL_65[PE],"")</f>
        <v/>
      </c>
      <c r="AU228" s="24" t="str">
        <f>+IF(BD_MO[N° VALE]&lt;&gt;"",BD_MO[[#This Row],[KG EXPLO SEMIGEL]]+BD_MO[[#This Row],[KG EXPLO PULVE]]+BD_MO[[#This Row],[KG EXPLO EMULN 3000]]+BD_MO[[#This Row],[KG EXPLO EMULN 1000]],"")</f>
        <v/>
      </c>
      <c r="AV228" s="46"/>
      <c r="AW228" s="46"/>
      <c r="AX228" s="46" t="str">
        <f>+IF(BD_MO[[#This Row],[MINERAL (U-35)]]&lt;&gt;"",BD_MO[[#This Row],[MINERAL (U-35)]]*1.45,"-")</f>
        <v>-</v>
      </c>
      <c r="AY228" s="46" t="str">
        <f>+IF(BD_MO[[#This Row],[DESMONTE (U-35)]]&lt;&gt;"",BD_MO[[#This Row],[DESMONTE (U-35)]]*1.23,"-")</f>
        <v>-</v>
      </c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2"/>
      <c r="BO228" s="46"/>
      <c r="BP228" s="46"/>
      <c r="BQ228" s="42"/>
      <c r="BR228" s="46"/>
      <c r="BS228" s="42"/>
      <c r="BT228" s="24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24">
        <f>+IF(BD_MO[[#This Row],[FECHA]]&lt;&gt;"",BD_MO[[#This Row],[PUNTAL 4"]]+BD_MO[[#This Row],[PUNTAL 5"]]+BD_MO[[#This Row],[PUNTAL 6"]]+BD_MO[[#This Row],[PUNTAL 7"]]+BD_MO[[#This Row],[PUNTAL 8"]],"")</f>
        <v>0</v>
      </c>
      <c r="CQ228" s="46"/>
      <c r="CR228" s="46"/>
      <c r="CS228" s="46"/>
      <c r="CT228" s="46"/>
      <c r="CU228" s="46"/>
      <c r="CV228" s="46"/>
      <c r="CW228" s="46"/>
      <c r="CX228" s="46"/>
      <c r="CY228" s="24"/>
      <c r="CZ228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28" s="24">
        <f>+IF(BD_MO[[#This Row],[FECHA]]&lt;&gt;"",BD_MO[[#This Row],[DURMIENTE2]]*6.561+BD_MO[[#This Row],[LISTONES]]*4.921+BD_MO[[#This Row],[TABLA 1"x8"x3m]]*6.561+BD_MO[[#This Row],[TABLA 2"x8"x3m]]*13.122,"")</f>
        <v>0</v>
      </c>
      <c r="DB228" s="24">
        <f>+IF(BD_MO[[#This Row],[FECHA]]&lt;&gt;"",BD_MO[[#This Row],[PIE2 MADERA ASERRADA]]*1.95,"")</f>
        <v>0</v>
      </c>
      <c r="DC228" s="24">
        <f>+IF(BD_MO[[#This Row],[FECHA]]&lt;&gt;"",BD_MO[[#This Row],[KG. MADERA REDONDA]]+BD_MO[[#This Row],[KG MADERA ASERRADA]],"")</f>
        <v>0</v>
      </c>
      <c r="DD228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28" s="46"/>
      <c r="DF228" s="46"/>
      <c r="DG228" s="46"/>
      <c r="DH228" s="46"/>
      <c r="DI228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28" s="56"/>
      <c r="DK228" s="56"/>
      <c r="DL228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28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28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28" s="66"/>
      <c r="DP228" s="56" t="str">
        <f>+IF(BD_MO[[#This Row],[M o D]]&lt;&gt;"",IF(BD_MO[[#This Row],[M o D]]="M",BD_MO[[#This Row],[ROTURA TMH]]/2.65,BD_MO[[#This Row],[ROTURA TMH]]/2.4),"")</f>
        <v/>
      </c>
      <c r="DQ228" s="56"/>
      <c r="DR228" s="116" t="str">
        <f>IF(BD_MO[[#This Row],[TIPO AVANCE]]="Avance",((BD_MO[[#This Row],[AVANCE (m)]]/BD_MO[[#This Row],[AVANCE TEÓRICO]]))," ")</f>
        <v xml:space="preserve"> </v>
      </c>
    </row>
    <row r="229" spans="1:130" s="115" customFormat="1" ht="18" customHeight="1" thickBot="1" x14ac:dyDescent="0.3">
      <c r="A229" s="130">
        <v>44664</v>
      </c>
      <c r="B229" s="117" t="s">
        <v>10655</v>
      </c>
      <c r="C229" s="117" t="s">
        <v>10680</v>
      </c>
      <c r="D229" s="118" t="s">
        <v>10954</v>
      </c>
      <c r="E229" s="119" t="str">
        <f>LEFT(BD_MO[[#This Row],[LABOR]],2)</f>
        <v>MO</v>
      </c>
      <c r="F229" s="120"/>
      <c r="G229" s="120" t="s">
        <v>10669</v>
      </c>
      <c r="H229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29" s="119" t="str">
        <f>IF(BD_MO[FECHA]&lt;&gt;"",VLOOKUP(BD_MO[LABOR],TB_CECO[[LABOR]:[CECO_T]],3,FALSE),"")</f>
        <v>INCA</v>
      </c>
      <c r="J229" s="119" t="str">
        <f>IF(BD_MO[FECHA]&lt;&gt;"",VLOOKUP(BD_MO[LABOR],D_CECO!B:H,7,FALSE),"")</f>
        <v>SERVICIOS</v>
      </c>
      <c r="K229" s="119" t="str">
        <f>IF(BD_MO[FECHA]&lt;&gt;"",VLOOKUP(BD_MO[LABOR],D_CECO!B:H,4,FALSE),"")</f>
        <v>SERVICIOS</v>
      </c>
      <c r="L229" s="119"/>
      <c r="M229" s="117"/>
      <c r="N229" s="120"/>
      <c r="O229" s="121" t="s">
        <v>12117</v>
      </c>
      <c r="P229" s="121" t="s">
        <v>11907</v>
      </c>
      <c r="Q229" s="121"/>
      <c r="R229" s="122"/>
      <c r="S229" s="123" t="str">
        <f>IFERROR(VLOOKUP(BD_MO[DNI 4],#REF!,2,FALSE)," ")</f>
        <v xml:space="preserve"> </v>
      </c>
      <c r="T229" s="124">
        <f>+IF(BD_MO[[#This Row],[FECHA]]&lt;&gt;"",COUNTA(BD_MO[[#This Row],[DNI]],BD_MO[[#This Row],[DNI 2]],BD_MO[[#This Row],[DNI 3]],BD_MO[[#This Row],[DNI 4]]),"")</f>
        <v>2</v>
      </c>
      <c r="U229" s="124"/>
      <c r="V229" s="124"/>
      <c r="W229" s="124"/>
      <c r="X229" s="124">
        <v>2</v>
      </c>
      <c r="Y229" s="125">
        <f>SUM(BD_MO[[#This Row],[LIMP]:[SERV]])</f>
        <v>2</v>
      </c>
      <c r="Z229" s="120"/>
      <c r="AA229" s="120" t="str">
        <f>+IF(BD_MO[[#This Row],[N° VALE]]&lt;&gt;"",1,"")</f>
        <v/>
      </c>
      <c r="AB229" s="117"/>
      <c r="AC229" s="120"/>
      <c r="AD229" s="120" t="str">
        <f>+IF(BD_MO[[#This Row],[N° VALE]]&lt;&gt;"",BD_MO[[#This Row],[FULMINANTE N° 08]]+BD_MO[CARMEX 7''],"")</f>
        <v/>
      </c>
      <c r="AE229" s="120"/>
      <c r="AF229" s="120" t="str">
        <f>+IF(BD_MO[[#This Row],[N° VALE]]&lt;&gt;"",BD_MO[[#This Row],[N° TALADROS]]+BD_MO[[#This Row],[N° TAL. VACIOS]],"")</f>
        <v/>
      </c>
      <c r="AG229" s="126"/>
      <c r="AH229" s="126"/>
      <c r="AI229" s="126"/>
      <c r="AJ229" s="126"/>
      <c r="AK229" s="126"/>
      <c r="AL229" s="126"/>
      <c r="AM229" s="119"/>
      <c r="AN229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29" s="120" t="str">
        <f>+IF(BD_MO[[#This Row],[N° VALE]]&lt;&gt;"",IF(BD_MO[[#This Row],[FULMINANTE N° 08]]&lt;&gt;"",BD_MO[[#This Row],[FULMINANTE N° 08]],IF(BD_MO[[#This Row],[CARMEX 7'']]&lt;&gt;0,0,"")),"")</f>
        <v/>
      </c>
      <c r="AP229" s="124" t="str">
        <f>+IF(BD_MO[[#This Row],[N° VALE]]&lt;&gt;"",BD_MO[[#This Row],[N°  TOTAL TALADROS]]*BD_MO[[#This Row],[BARRA]]*0.95,"")</f>
        <v/>
      </c>
      <c r="AQ229" s="124" t="str">
        <f>+IF(BD_MO[[#This Row],[N° VALE]]&lt;&gt;"",BD_MO[[#This Row],[EMULNOR 1000 (N° CART.)]]*PE_EMUL_1000[PE],"")</f>
        <v/>
      </c>
      <c r="AR229" s="124" t="str">
        <f>+IF(BD_MO[[#This Row],[N° VALE]]&lt;&gt;"",BD_MO[[#This Row],[EMULNOR 3000 (N° CART.)]]*PE_EMUL_3000[PE],"")</f>
        <v/>
      </c>
      <c r="AS229" s="124" t="str">
        <f>+IF(BD_MO[[#This Row],[N° VALE]]&lt;&gt;"",BD_MO[[#This Row],[PULVERULENTA (N° CART.)]]*PE_PULV_65[PE],"")</f>
        <v/>
      </c>
      <c r="AT229" s="124" t="str">
        <f>+IF(BD_MO[[#This Row],[N° DISP]]&lt;&gt;"",BD_MO[[#This Row],[SEMIGELATINA (N° CART.)]]*PE_SEMIGEL_65[PE],"")</f>
        <v/>
      </c>
      <c r="AU229" s="124" t="str">
        <f>+IF(BD_MO[N° VALE]&lt;&gt;"",BD_MO[[#This Row],[KG EXPLO SEMIGEL]]+BD_MO[[#This Row],[KG EXPLO PULVE]]+BD_MO[[#This Row],[KG EXPLO EMULN 3000]]+BD_MO[[#This Row],[KG EXPLO EMULN 1000]],"")</f>
        <v/>
      </c>
      <c r="AV229" s="120"/>
      <c r="AW229" s="120"/>
      <c r="AX229" s="120" t="str">
        <f>+IF(BD_MO[[#This Row],[MINERAL (U-35)]]&lt;&gt;"",BD_MO[[#This Row],[MINERAL (U-35)]]*1.45,"-")</f>
        <v>-</v>
      </c>
      <c r="AY229" s="120" t="str">
        <f>+IF(BD_MO[[#This Row],[DESMONTE (U-35)]]&lt;&gt;"",BD_MO[[#This Row],[DESMONTE (U-35)]]*1.23,"-")</f>
        <v>-</v>
      </c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20"/>
      <c r="BN229" s="119"/>
      <c r="BO229" s="120"/>
      <c r="BP229" s="120"/>
      <c r="BQ229" s="119"/>
      <c r="BR229" s="120"/>
      <c r="BS229" s="119"/>
      <c r="BT229" s="124"/>
      <c r="BU229" s="120"/>
      <c r="BV229" s="120"/>
      <c r="BW229" s="120"/>
      <c r="BX229" s="120"/>
      <c r="BY229" s="120"/>
      <c r="BZ229" s="120"/>
      <c r="CA229" s="120"/>
      <c r="CB229" s="120"/>
      <c r="CC229" s="120"/>
      <c r="CD229" s="120"/>
      <c r="CE229" s="120"/>
      <c r="CF229" s="120"/>
      <c r="CG229" s="120"/>
      <c r="CH229" s="120"/>
      <c r="CI229" s="120"/>
      <c r="CJ229" s="120"/>
      <c r="CK229" s="120"/>
      <c r="CL229" s="120"/>
      <c r="CM229" s="120"/>
      <c r="CN229" s="120"/>
      <c r="CO229" s="120"/>
      <c r="CP229" s="124">
        <f>+IF(BD_MO[[#This Row],[FECHA]]&lt;&gt;"",BD_MO[[#This Row],[PUNTAL 4"]]+BD_MO[[#This Row],[PUNTAL 5"]]+BD_MO[[#This Row],[PUNTAL 6"]]+BD_MO[[#This Row],[PUNTAL 7"]]+BD_MO[[#This Row],[PUNTAL 8"]],"")</f>
        <v>0</v>
      </c>
      <c r="CQ229" s="120"/>
      <c r="CR229" s="120"/>
      <c r="CS229" s="120"/>
      <c r="CT229" s="120"/>
      <c r="CU229" s="120"/>
      <c r="CV229" s="120"/>
      <c r="CW229" s="120"/>
      <c r="CX229" s="120"/>
      <c r="CY229" s="124"/>
      <c r="CZ229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29" s="124">
        <f>+IF(BD_MO[[#This Row],[FECHA]]&lt;&gt;"",BD_MO[[#This Row],[DURMIENTE2]]*6.561+BD_MO[[#This Row],[LISTONES]]*4.921+BD_MO[[#This Row],[TABLA 1"x8"x3m]]*6.561+BD_MO[[#This Row],[TABLA 2"x8"x3m]]*13.122,"")</f>
        <v>0</v>
      </c>
      <c r="DB229" s="124">
        <f>+IF(BD_MO[[#This Row],[FECHA]]&lt;&gt;"",BD_MO[[#This Row],[PIE2 MADERA ASERRADA]]*1.95,"")</f>
        <v>0</v>
      </c>
      <c r="DC229" s="124">
        <f>+IF(BD_MO[[#This Row],[FECHA]]&lt;&gt;"",BD_MO[[#This Row],[KG. MADERA REDONDA]]+BD_MO[[#This Row],[KG MADERA ASERRADA]],"")</f>
        <v>0</v>
      </c>
      <c r="DD229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29" s="120"/>
      <c r="DF229" s="120"/>
      <c r="DG229" s="120"/>
      <c r="DH229" s="120"/>
      <c r="DI229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29" s="128"/>
      <c r="DK229" s="128"/>
      <c r="DL229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29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29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29" s="129"/>
      <c r="DP229" s="128" t="str">
        <f>+IF(BD_MO[[#This Row],[M o D]]&lt;&gt;"",IF(BD_MO[[#This Row],[M o D]]="M",BD_MO[[#This Row],[ROTURA TMH]]/2.65,BD_MO[[#This Row],[ROTURA TMH]]/2.4),"")</f>
        <v/>
      </c>
      <c r="DQ229" s="128"/>
      <c r="DR229" s="116" t="str">
        <f>IF(BD_MO[[#This Row],[TIPO AVANCE]]="Avance",((BD_MO[[#This Row],[AVANCE (m)]]/BD_MO[[#This Row],[AVANCE TEÓRICO]]))," ")</f>
        <v xml:space="preserve"> </v>
      </c>
      <c r="DS229" s="113"/>
      <c r="DT229" s="113"/>
      <c r="DU229" s="113"/>
      <c r="DV229" s="113"/>
      <c r="DW229" s="113"/>
      <c r="DX229" s="114"/>
      <c r="DY229" s="114"/>
      <c r="DZ229" s="114"/>
    </row>
    <row r="230" spans="1:130" ht="18" customHeight="1" x14ac:dyDescent="0.25">
      <c r="A230" s="250">
        <v>44665</v>
      </c>
      <c r="B230" s="251" t="s">
        <v>10647</v>
      </c>
      <c r="C230" s="251" t="s">
        <v>10672</v>
      </c>
      <c r="D230" s="61" t="s">
        <v>11595</v>
      </c>
      <c r="E230" s="253" t="str">
        <f>LEFT(BD_MO[[#This Row],[LABOR]],2)</f>
        <v>Tj</v>
      </c>
      <c r="F230" s="254" t="s">
        <v>10950</v>
      </c>
      <c r="G230" s="254" t="s">
        <v>10648</v>
      </c>
      <c r="H230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30" s="253" t="str">
        <f>IF(BD_MO[FECHA]&lt;&gt;"",VLOOKUP(BD_MO[LABOR],TB_CECO[[LABOR]:[CECO_T]],3,FALSE),"")</f>
        <v>ESCONDIDA</v>
      </c>
      <c r="J230" s="253" t="str">
        <f>IF(BD_MO[FECHA]&lt;&gt;"",VLOOKUP(BD_MO[LABOR],D_CECO!B:H,7,FALSE),"")</f>
        <v>TAJO</v>
      </c>
      <c r="K230" s="253" t="str">
        <f>IF(BD_MO[FECHA]&lt;&gt;"",VLOOKUP(BD_MO[LABOR],D_CECO!B:H,4,FALSE),"")</f>
        <v>EXPLOTACION</v>
      </c>
      <c r="L230" s="253"/>
      <c r="M230" s="255" t="s">
        <v>10654</v>
      </c>
      <c r="N230" s="254"/>
      <c r="O230" s="256" t="s">
        <v>12192</v>
      </c>
      <c r="P230" s="256"/>
      <c r="Q230" s="256"/>
      <c r="R230" s="257"/>
      <c r="S230" s="258" t="str">
        <f>IFERROR(VLOOKUP(BD_MO[DNI 4],#REF!,2,FALSE)," ")</f>
        <v xml:space="preserve"> </v>
      </c>
      <c r="T230" s="259">
        <f>+IF(BD_MO[[#This Row],[FECHA]]&lt;&gt;"",COUNTA(BD_MO[[#This Row],[DNI]],BD_MO[[#This Row],[DNI 2]],BD_MO[[#This Row],[DNI 3]],BD_MO[[#This Row],[DNI 4]]),"")</f>
        <v>1</v>
      </c>
      <c r="U230" s="259"/>
      <c r="V230" s="259">
        <v>0.71</v>
      </c>
      <c r="W230" s="259"/>
      <c r="X230" s="259">
        <v>0.28999999999999998</v>
      </c>
      <c r="Y230" s="260">
        <f>SUM(BD_MO[[#This Row],[LIMP]:[SERV]])</f>
        <v>1</v>
      </c>
      <c r="Z230" s="254" t="s">
        <v>12274</v>
      </c>
      <c r="AA230" s="254">
        <f>+IF(BD_MO[[#This Row],[N° VALE]]&lt;&gt;"",1,"")</f>
        <v>1</v>
      </c>
      <c r="AB230" s="251" t="s">
        <v>10666</v>
      </c>
      <c r="AC230" s="254">
        <v>4</v>
      </c>
      <c r="AD230" s="254">
        <f>+IF(BD_MO[[#This Row],[N° VALE]]&lt;&gt;"",BD_MO[[#This Row],[FULMINANTE N° 08]]+BD_MO[CARMEX 7''],"")</f>
        <v>50</v>
      </c>
      <c r="AE230" s="254"/>
      <c r="AF230" s="254">
        <f>+IF(BD_MO[[#This Row],[N° VALE]]&lt;&gt;"",BD_MO[[#This Row],[N° TALADROS]]+BD_MO[[#This Row],[N° TAL. VACIOS]],"")</f>
        <v>50</v>
      </c>
      <c r="AG230" s="261">
        <v>100</v>
      </c>
      <c r="AH230" s="261">
        <v>100</v>
      </c>
      <c r="AI230" s="261"/>
      <c r="AJ230" s="261"/>
      <c r="AK230" s="261">
        <v>50</v>
      </c>
      <c r="AL230" s="261">
        <v>9</v>
      </c>
      <c r="AM230" s="253"/>
      <c r="AN230" s="254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30" s="254">
        <f>+IF(BD_MO[[#This Row],[N° VALE]]&lt;&gt;"",IF(BD_MO[[#This Row],[FULMINANTE N° 08]]&lt;&gt;"",BD_MO[[#This Row],[FULMINANTE N° 08]],IF(BD_MO[[#This Row],[CARMEX 7'']]&lt;&gt;0,0,"")),"")</f>
        <v>0</v>
      </c>
      <c r="AP230" s="259">
        <f>+IF(BD_MO[[#This Row],[N° VALE]]&lt;&gt;"",BD_MO[[#This Row],[N°  TOTAL TALADROS]]*BD_MO[[#This Row],[BARRA]]*0.95,"")</f>
        <v>190</v>
      </c>
      <c r="AQ230" s="259">
        <f>+IF(BD_MO[[#This Row],[N° VALE]]&lt;&gt;"",BD_MO[[#This Row],[EMULNOR 1000 (N° CART.)]]*PE_EMUL_1000[PE],"")</f>
        <v>9.4700000000000006</v>
      </c>
      <c r="AR230" s="259">
        <f>+IF(BD_MO[[#This Row],[N° VALE]]&lt;&gt;"",BD_MO[[#This Row],[EMULNOR 3000 (N° CART.)]]*PE_EMUL_3000[PE],"")</f>
        <v>9.6153846153846203</v>
      </c>
      <c r="AS230" s="259">
        <f>+IF(BD_MO[[#This Row],[N° VALE]]&lt;&gt;"",BD_MO[[#This Row],[PULVERULENTA (N° CART.)]]*PE_PULV_65[PE],"")</f>
        <v>0</v>
      </c>
      <c r="AT230" s="259">
        <f>+IF(BD_MO[[#This Row],[N° DISP]]&lt;&gt;"",BD_MO[[#This Row],[SEMIGELATINA (N° CART.)]]*PE_SEMIGEL_65[PE],"")</f>
        <v>0</v>
      </c>
      <c r="AU230" s="259">
        <f>+IF(BD_MO[N° VALE]&lt;&gt;"",BD_MO[[#This Row],[KG EXPLO SEMIGEL]]+BD_MO[[#This Row],[KG EXPLO PULVE]]+BD_MO[[#This Row],[KG EXPLO EMULN 3000]]+BD_MO[[#This Row],[KG EXPLO EMULN 1000]],"")</f>
        <v>19.085384615384619</v>
      </c>
      <c r="AV230" s="254"/>
      <c r="AW230" s="254"/>
      <c r="AX230" s="254" t="str">
        <f>+IF(BD_MO[[#This Row],[MINERAL (U-35)]]&lt;&gt;"",BD_MO[[#This Row],[MINERAL (U-35)]]*1.45,"-")</f>
        <v>-</v>
      </c>
      <c r="AY230" s="254" t="str">
        <f>+IF(BD_MO[[#This Row],[DESMONTE (U-35)]]&lt;&gt;"",BD_MO[[#This Row],[DESMONTE (U-35)]]*1.23,"-")</f>
        <v>-</v>
      </c>
      <c r="AZ230" s="254"/>
      <c r="BA230" s="254"/>
      <c r="BB230" s="254"/>
      <c r="BC230" s="254"/>
      <c r="BD230" s="254"/>
      <c r="BE230" s="254"/>
      <c r="BF230" s="254"/>
      <c r="BG230" s="254"/>
      <c r="BH230" s="254"/>
      <c r="BI230" s="254"/>
      <c r="BJ230" s="254"/>
      <c r="BK230" s="254"/>
      <c r="BL230" s="254"/>
      <c r="BM230" s="254"/>
      <c r="BN230" s="253"/>
      <c r="BO230" s="254"/>
      <c r="BP230" s="254"/>
      <c r="BQ230" s="253"/>
      <c r="BR230" s="254"/>
      <c r="BS230" s="253"/>
      <c r="BT230" s="259"/>
      <c r="BU230" s="254"/>
      <c r="BV230" s="254"/>
      <c r="BW230" s="254"/>
      <c r="BX230" s="254"/>
      <c r="BY230" s="254"/>
      <c r="BZ230" s="254"/>
      <c r="CA230" s="254"/>
      <c r="CB230" s="254"/>
      <c r="CC230" s="254"/>
      <c r="CD230" s="254"/>
      <c r="CE230" s="254"/>
      <c r="CF230" s="254"/>
      <c r="CG230" s="254"/>
      <c r="CH230" s="254"/>
      <c r="CI230" s="254"/>
      <c r="CJ230" s="254"/>
      <c r="CK230" s="254"/>
      <c r="CL230" s="254"/>
      <c r="CM230" s="254"/>
      <c r="CN230" s="254"/>
      <c r="CO230" s="254"/>
      <c r="CP230" s="259">
        <f>+IF(BD_MO[[#This Row],[FECHA]]&lt;&gt;"",BD_MO[[#This Row],[PUNTAL 4"]]+BD_MO[[#This Row],[PUNTAL 5"]]+BD_MO[[#This Row],[PUNTAL 6"]]+BD_MO[[#This Row],[PUNTAL 7"]]+BD_MO[[#This Row],[PUNTAL 8"]],"")</f>
        <v>0</v>
      </c>
      <c r="CQ230" s="254"/>
      <c r="CR230" s="254"/>
      <c r="CS230" s="254"/>
      <c r="CT230" s="254"/>
      <c r="CU230" s="254"/>
      <c r="CV230" s="254"/>
      <c r="CW230" s="254"/>
      <c r="CX230" s="254"/>
      <c r="CY230" s="259"/>
      <c r="CZ230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30" s="259">
        <f>+IF(BD_MO[[#This Row],[FECHA]]&lt;&gt;"",BD_MO[[#This Row],[DURMIENTE2]]*6.561+BD_MO[[#This Row],[LISTONES]]*4.921+BD_MO[[#This Row],[TABLA 1"x8"x3m]]*6.561+BD_MO[[#This Row],[TABLA 2"x8"x3m]]*13.122,"")</f>
        <v>0</v>
      </c>
      <c r="DB230" s="259">
        <f>+IF(BD_MO[[#This Row],[FECHA]]&lt;&gt;"",BD_MO[[#This Row],[PIE2 MADERA ASERRADA]]*1.95,"")</f>
        <v>0</v>
      </c>
      <c r="DC230" s="259">
        <f>+IF(BD_MO[[#This Row],[FECHA]]&lt;&gt;"",BD_MO[[#This Row],[KG. MADERA REDONDA]]+BD_MO[[#This Row],[KG MADERA ASERRADA]],"")</f>
        <v>0</v>
      </c>
      <c r="DD230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30" s="254"/>
      <c r="DF230" s="254"/>
      <c r="DG230" s="254"/>
      <c r="DH230" s="254"/>
      <c r="DI230" s="263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30" s="263"/>
      <c r="DK230" s="263"/>
      <c r="DL230" s="263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11.67</v>
      </c>
      <c r="DM230" s="263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12.136800000000001</v>
      </c>
      <c r="DN230" s="263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30" s="66">
        <f>0.24*BD_MO[[#This Row],[N° TALADROS]]</f>
        <v>12</v>
      </c>
      <c r="DP230" s="263">
        <f>+IF(BD_MO[[#This Row],[M o D]]&lt;&gt;"",IF(BD_MO[[#This Row],[M o D]]="M",BD_MO[[#This Row],[ROTURA TMH]]/2.65,BD_MO[[#This Row],[ROTURA TMH]]/2.4),"")</f>
        <v>4.5283018867924527</v>
      </c>
      <c r="DQ230" s="263">
        <v>0</v>
      </c>
      <c r="DR230" s="116" t="str">
        <f>IF(BD_MO[[#This Row],[TIPO AVANCE]]="Avance",((BD_MO[[#This Row],[AVANCE (m)]]/BD_MO[[#This Row],[AVANCE TEÓRICO]]))," ")</f>
        <v xml:space="preserve"> </v>
      </c>
    </row>
    <row r="231" spans="1:130" ht="18" customHeight="1" x14ac:dyDescent="0.25">
      <c r="A231" s="250">
        <v>44665</v>
      </c>
      <c r="B231" s="251" t="s">
        <v>10647</v>
      </c>
      <c r="C231" s="251" t="s">
        <v>10672</v>
      </c>
      <c r="D231" s="252" t="s">
        <v>11595</v>
      </c>
      <c r="E231" s="253" t="str">
        <f>LEFT(BD_MO[[#This Row],[LABOR]],2)</f>
        <v>Tj</v>
      </c>
      <c r="F231" s="254" t="s">
        <v>10950</v>
      </c>
      <c r="G231" s="254" t="s">
        <v>10648</v>
      </c>
      <c r="H231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31" s="253" t="str">
        <f>IF(BD_MO[FECHA]&lt;&gt;"",VLOOKUP(BD_MO[LABOR],TB_CECO[[LABOR]:[CECO_T]],3,FALSE),"")</f>
        <v>ESCONDIDA</v>
      </c>
      <c r="J231" s="253" t="str">
        <f>IF(BD_MO[FECHA]&lt;&gt;"",VLOOKUP(BD_MO[LABOR],D_CECO!B:H,7,FALSE),"")</f>
        <v>TAJO</v>
      </c>
      <c r="K231" s="253" t="str">
        <f>IF(BD_MO[FECHA]&lt;&gt;"",VLOOKUP(BD_MO[LABOR],D_CECO!B:H,4,FALSE),"")</f>
        <v>EXPLOTACION</v>
      </c>
      <c r="L231" s="253"/>
      <c r="M231" s="255" t="s">
        <v>10654</v>
      </c>
      <c r="N231" s="254"/>
      <c r="O231" s="256" t="s">
        <v>12205</v>
      </c>
      <c r="P231" s="256"/>
      <c r="Q231" s="256"/>
      <c r="R231" s="257"/>
      <c r="S231" s="258" t="str">
        <f>IFERROR(VLOOKUP(BD_MO[DNI 4],#REF!,2,FALSE)," ")</f>
        <v xml:space="preserve"> </v>
      </c>
      <c r="T231" s="259">
        <f>+IF(BD_MO[[#This Row],[FECHA]]&lt;&gt;"",COUNTA(BD_MO[[#This Row],[DNI]],BD_MO[[#This Row],[DNI 2]],BD_MO[[#This Row],[DNI 3]],BD_MO[[#This Row],[DNI 4]]),"")</f>
        <v>1</v>
      </c>
      <c r="U231" s="259"/>
      <c r="V231" s="259">
        <v>0.71</v>
      </c>
      <c r="W231" s="259"/>
      <c r="X231" s="259">
        <v>0.28999999999999998</v>
      </c>
      <c r="Y231" s="260">
        <f>SUM(BD_MO[[#This Row],[LIMP]:[SERV]])</f>
        <v>1</v>
      </c>
      <c r="Z231" s="254" t="s">
        <v>12275</v>
      </c>
      <c r="AA231" s="254">
        <f>+IF(BD_MO[[#This Row],[N° VALE]]&lt;&gt;"",1,"")</f>
        <v>1</v>
      </c>
      <c r="AB231" s="251" t="s">
        <v>10666</v>
      </c>
      <c r="AC231" s="254">
        <v>4</v>
      </c>
      <c r="AD231" s="254">
        <f>+IF(BD_MO[[#This Row],[N° VALE]]&lt;&gt;"",BD_MO[[#This Row],[FULMINANTE N° 08]]+BD_MO[CARMEX 7''],"")</f>
        <v>10</v>
      </c>
      <c r="AE231" s="254"/>
      <c r="AF231" s="254">
        <f>+IF(BD_MO[[#This Row],[N° VALE]]&lt;&gt;"",BD_MO[[#This Row],[N° TALADROS]]+BD_MO[[#This Row],[N° TAL. VACIOS]],"")</f>
        <v>10</v>
      </c>
      <c r="AG231" s="261">
        <v>20</v>
      </c>
      <c r="AH231" s="261">
        <v>22</v>
      </c>
      <c r="AI231" s="261"/>
      <c r="AJ231" s="261"/>
      <c r="AK231" s="261">
        <v>10</v>
      </c>
      <c r="AL231" s="261">
        <v>3</v>
      </c>
      <c r="AM231" s="253"/>
      <c r="AN231" s="254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31" s="254">
        <f>+IF(BD_MO[[#This Row],[N° VALE]]&lt;&gt;"",IF(BD_MO[[#This Row],[FULMINANTE N° 08]]&lt;&gt;"",BD_MO[[#This Row],[FULMINANTE N° 08]],IF(BD_MO[[#This Row],[CARMEX 7'']]&lt;&gt;0,0,"")),"")</f>
        <v>0</v>
      </c>
      <c r="AP231" s="259">
        <f>+IF(BD_MO[[#This Row],[N° VALE]]&lt;&gt;"",BD_MO[[#This Row],[N°  TOTAL TALADROS]]*BD_MO[[#This Row],[BARRA]]*0.95,"")</f>
        <v>38</v>
      </c>
      <c r="AQ231" s="259">
        <f>+IF(BD_MO[[#This Row],[N° VALE]]&lt;&gt;"",BD_MO[[#This Row],[EMULNOR 1000 (N° CART.)]]*PE_EMUL_1000[PE],"")</f>
        <v>2.0834000000000001</v>
      </c>
      <c r="AR231" s="259">
        <f>+IF(BD_MO[[#This Row],[N° VALE]]&lt;&gt;"",BD_MO[[#This Row],[EMULNOR 3000 (N° CART.)]]*PE_EMUL_3000[PE],"")</f>
        <v>1.923076923076924</v>
      </c>
      <c r="AS231" s="259">
        <f>+IF(BD_MO[[#This Row],[N° VALE]]&lt;&gt;"",BD_MO[[#This Row],[PULVERULENTA (N° CART.)]]*PE_PULV_65[PE],"")</f>
        <v>0</v>
      </c>
      <c r="AT231" s="259">
        <f>+IF(BD_MO[[#This Row],[N° DISP]]&lt;&gt;"",BD_MO[[#This Row],[SEMIGELATINA (N° CART.)]]*PE_SEMIGEL_65[PE],"")</f>
        <v>0</v>
      </c>
      <c r="AU231" s="259">
        <f>+IF(BD_MO[N° VALE]&lt;&gt;"",BD_MO[[#This Row],[KG EXPLO SEMIGEL]]+BD_MO[[#This Row],[KG EXPLO PULVE]]+BD_MO[[#This Row],[KG EXPLO EMULN 3000]]+BD_MO[[#This Row],[KG EXPLO EMULN 1000]],"")</f>
        <v>4.0064769230769244</v>
      </c>
      <c r="AV231" s="254"/>
      <c r="AW231" s="254"/>
      <c r="AX231" s="254" t="str">
        <f>+IF(BD_MO[[#This Row],[MINERAL (U-35)]]&lt;&gt;"",BD_MO[[#This Row],[MINERAL (U-35)]]*1.45,"-")</f>
        <v>-</v>
      </c>
      <c r="AY231" s="254" t="str">
        <f>+IF(BD_MO[[#This Row],[DESMONTE (U-35)]]&lt;&gt;"",BD_MO[[#This Row],[DESMONTE (U-35)]]*1.23,"-")</f>
        <v>-</v>
      </c>
      <c r="AZ231" s="254"/>
      <c r="BA231" s="254"/>
      <c r="BB231" s="254"/>
      <c r="BC231" s="254"/>
      <c r="BD231" s="254"/>
      <c r="BE231" s="254"/>
      <c r="BF231" s="254"/>
      <c r="BG231" s="254"/>
      <c r="BH231" s="254"/>
      <c r="BI231" s="254"/>
      <c r="BJ231" s="254"/>
      <c r="BK231" s="254"/>
      <c r="BL231" s="254"/>
      <c r="BM231" s="254"/>
      <c r="BN231" s="253"/>
      <c r="BO231" s="254"/>
      <c r="BP231" s="254"/>
      <c r="BQ231" s="253"/>
      <c r="BR231" s="254"/>
      <c r="BS231" s="253"/>
      <c r="BT231" s="259"/>
      <c r="BU231" s="254"/>
      <c r="BV231" s="254"/>
      <c r="BW231" s="254"/>
      <c r="BX231" s="254"/>
      <c r="BY231" s="254"/>
      <c r="BZ231" s="254"/>
      <c r="CA231" s="254"/>
      <c r="CB231" s="254"/>
      <c r="CC231" s="254"/>
      <c r="CD231" s="254"/>
      <c r="CE231" s="254"/>
      <c r="CF231" s="254"/>
      <c r="CG231" s="254"/>
      <c r="CH231" s="254"/>
      <c r="CI231" s="254"/>
      <c r="CJ231" s="254"/>
      <c r="CK231" s="254"/>
      <c r="CL231" s="254"/>
      <c r="CM231" s="254"/>
      <c r="CN231" s="254"/>
      <c r="CO231" s="254"/>
      <c r="CP231" s="259">
        <f>+IF(BD_MO[[#This Row],[FECHA]]&lt;&gt;"",BD_MO[[#This Row],[PUNTAL 4"]]+BD_MO[[#This Row],[PUNTAL 5"]]+BD_MO[[#This Row],[PUNTAL 6"]]+BD_MO[[#This Row],[PUNTAL 7"]]+BD_MO[[#This Row],[PUNTAL 8"]],"")</f>
        <v>0</v>
      </c>
      <c r="CQ231" s="254"/>
      <c r="CR231" s="254"/>
      <c r="CS231" s="254"/>
      <c r="CT231" s="254"/>
      <c r="CU231" s="254"/>
      <c r="CV231" s="254"/>
      <c r="CW231" s="254"/>
      <c r="CX231" s="254"/>
      <c r="CY231" s="259"/>
      <c r="CZ231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31" s="259">
        <f>+IF(BD_MO[[#This Row],[FECHA]]&lt;&gt;"",BD_MO[[#This Row],[DURMIENTE2]]*6.561+BD_MO[[#This Row],[LISTONES]]*4.921+BD_MO[[#This Row],[TABLA 1"x8"x3m]]*6.561+BD_MO[[#This Row],[TABLA 2"x8"x3m]]*13.122,"")</f>
        <v>0</v>
      </c>
      <c r="DB231" s="259">
        <f>+IF(BD_MO[[#This Row],[FECHA]]&lt;&gt;"",BD_MO[[#This Row],[PIE2 MADERA ASERRADA]]*1.95,"")</f>
        <v>0</v>
      </c>
      <c r="DC231" s="259">
        <f>+IF(BD_MO[[#This Row],[FECHA]]&lt;&gt;"",BD_MO[[#This Row],[KG. MADERA REDONDA]]+BD_MO[[#This Row],[KG MADERA ASERRADA]],"")</f>
        <v>0</v>
      </c>
      <c r="DD231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31" s="254"/>
      <c r="DF231" s="254"/>
      <c r="DG231" s="254"/>
      <c r="DH231" s="254"/>
      <c r="DI231" s="263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31" s="263"/>
      <c r="DK231" s="263"/>
      <c r="DL231" s="263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231" s="263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231" s="263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31" s="66">
        <f>0.24*BD_MO[[#This Row],[N° TALADROS]]</f>
        <v>2.4</v>
      </c>
      <c r="DP231" s="263">
        <f>+IF(BD_MO[[#This Row],[M o D]]&lt;&gt;"",IF(BD_MO[[#This Row],[M o D]]="M",BD_MO[[#This Row],[ROTURA TMH]]/2.65,BD_MO[[#This Row],[ROTURA TMH]]/2.4),"")</f>
        <v>0.90566037735849059</v>
      </c>
      <c r="DQ231" s="263">
        <v>0</v>
      </c>
      <c r="DR231" s="116" t="str">
        <f>IF(BD_MO[[#This Row],[TIPO AVANCE]]="Avance",((BD_MO[[#This Row],[AVANCE (m)]]/BD_MO[[#This Row],[AVANCE TEÓRICO]]))," ")</f>
        <v xml:space="preserve"> </v>
      </c>
    </row>
    <row r="232" spans="1:130" ht="18" customHeight="1" x14ac:dyDescent="0.25">
      <c r="A232" s="250">
        <v>44665</v>
      </c>
      <c r="B232" s="251" t="s">
        <v>10647</v>
      </c>
      <c r="C232" s="251" t="s">
        <v>10672</v>
      </c>
      <c r="D232" s="61" t="s">
        <v>11827</v>
      </c>
      <c r="E232" s="253" t="str">
        <f>LEFT(BD_MO[[#This Row],[LABOR]],2)</f>
        <v>Tj</v>
      </c>
      <c r="F232" s="254" t="s">
        <v>10950</v>
      </c>
      <c r="G232" s="254" t="s">
        <v>10648</v>
      </c>
      <c r="H232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32" s="253" t="s">
        <v>12246</v>
      </c>
      <c r="J232" s="42" t="s">
        <v>10502</v>
      </c>
      <c r="K232" s="42" t="s">
        <v>12249</v>
      </c>
      <c r="L232" s="253"/>
      <c r="M232" s="255" t="s">
        <v>10654</v>
      </c>
      <c r="N232" s="254"/>
      <c r="O232" s="256" t="s">
        <v>12194</v>
      </c>
      <c r="P232" s="256"/>
      <c r="Q232" s="256"/>
      <c r="R232" s="257"/>
      <c r="S232" s="258" t="str">
        <f>IFERROR(VLOOKUP(BD_MO[DNI 4],#REF!,2,FALSE)," ")</f>
        <v xml:space="preserve"> </v>
      </c>
      <c r="T232" s="259">
        <f>+IF(BD_MO[[#This Row],[FECHA]]&lt;&gt;"",COUNTA(BD_MO[[#This Row],[DNI]],BD_MO[[#This Row],[DNI 2]],BD_MO[[#This Row],[DNI 3]],BD_MO[[#This Row],[DNI 4]]),"")</f>
        <v>1</v>
      </c>
      <c r="U232" s="259">
        <v>0.38</v>
      </c>
      <c r="V232" s="259">
        <v>0.28999999999999998</v>
      </c>
      <c r="W232" s="259">
        <v>0.14000000000000001</v>
      </c>
      <c r="X232" s="259">
        <v>0.19</v>
      </c>
      <c r="Y232" s="260">
        <f>SUM(BD_MO[[#This Row],[LIMP]:[SERV]])</f>
        <v>1</v>
      </c>
      <c r="Z232" s="254" t="s">
        <v>12276</v>
      </c>
      <c r="AA232" s="254">
        <f>+IF(BD_MO[[#This Row],[N° VALE]]&lt;&gt;"",1,"")</f>
        <v>1</v>
      </c>
      <c r="AB232" s="251" t="s">
        <v>10705</v>
      </c>
      <c r="AC232" s="254">
        <v>4</v>
      </c>
      <c r="AD232" s="254">
        <f>+IF(BD_MO[[#This Row],[N° VALE]]&lt;&gt;"",BD_MO[[#This Row],[FULMINANTE N° 08]]+BD_MO[CARMEX 7''],"")</f>
        <v>20</v>
      </c>
      <c r="AE232" s="254"/>
      <c r="AF232" s="254">
        <f>+IF(BD_MO[[#This Row],[N° VALE]]&lt;&gt;"",BD_MO[[#This Row],[N° TALADROS]]+BD_MO[[#This Row],[N° TAL. VACIOS]],"")</f>
        <v>20</v>
      </c>
      <c r="AG232" s="261">
        <v>54</v>
      </c>
      <c r="AH232" s="261">
        <v>45</v>
      </c>
      <c r="AI232" s="261"/>
      <c r="AJ232" s="261"/>
      <c r="AK232" s="261">
        <v>20</v>
      </c>
      <c r="AL232" s="261">
        <v>4</v>
      </c>
      <c r="AM232" s="253"/>
      <c r="AN232" s="254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32" s="254">
        <f>+IF(BD_MO[[#This Row],[N° VALE]]&lt;&gt;"",IF(BD_MO[[#This Row],[FULMINANTE N° 08]]&lt;&gt;"",BD_MO[[#This Row],[FULMINANTE N° 08]],IF(BD_MO[[#This Row],[CARMEX 7'']]&lt;&gt;0,0,"")),"")</f>
        <v>0</v>
      </c>
      <c r="AP232" s="259">
        <f>+IF(BD_MO[[#This Row],[N° VALE]]&lt;&gt;"",BD_MO[[#This Row],[N°  TOTAL TALADROS]]*BD_MO[[#This Row],[BARRA]]*0.95,"")</f>
        <v>76</v>
      </c>
      <c r="AQ232" s="259">
        <f>+IF(BD_MO[[#This Row],[N° VALE]]&lt;&gt;"",BD_MO[[#This Row],[EMULNOR 1000 (N° CART.)]]*PE_EMUL_1000[PE],"")</f>
        <v>4.2614999999999998</v>
      </c>
      <c r="AR232" s="259">
        <f>+IF(BD_MO[[#This Row],[N° VALE]]&lt;&gt;"",BD_MO[[#This Row],[EMULNOR 3000 (N° CART.)]]*PE_EMUL_3000[PE],"")</f>
        <v>5.1923076923076952</v>
      </c>
      <c r="AS232" s="259">
        <f>+IF(BD_MO[[#This Row],[N° VALE]]&lt;&gt;"",BD_MO[[#This Row],[PULVERULENTA (N° CART.)]]*PE_PULV_65[PE],"")</f>
        <v>0</v>
      </c>
      <c r="AT232" s="259">
        <f>+IF(BD_MO[[#This Row],[N° DISP]]&lt;&gt;"",BD_MO[[#This Row],[SEMIGELATINA (N° CART.)]]*PE_SEMIGEL_65[PE],"")</f>
        <v>0</v>
      </c>
      <c r="AU232" s="259">
        <f>+IF(BD_MO[N° VALE]&lt;&gt;"",BD_MO[[#This Row],[KG EXPLO SEMIGEL]]+BD_MO[[#This Row],[KG EXPLO PULVE]]+BD_MO[[#This Row],[KG EXPLO EMULN 3000]]+BD_MO[[#This Row],[KG EXPLO EMULN 1000]],"")</f>
        <v>9.453807692307695</v>
      </c>
      <c r="AV232" s="254">
        <v>10</v>
      </c>
      <c r="AW232" s="254"/>
      <c r="AX232" s="254">
        <f>+IF(BD_MO[[#This Row],[MINERAL (U-35)]]&lt;&gt;"",BD_MO[[#This Row],[MINERAL (U-35)]]*1.45,"-")</f>
        <v>14.5</v>
      </c>
      <c r="AY232" s="254" t="str">
        <f>+IF(BD_MO[[#This Row],[DESMONTE (U-35)]]&lt;&gt;"",BD_MO[[#This Row],[DESMONTE (U-35)]]*1.23,"-")</f>
        <v>-</v>
      </c>
      <c r="AZ232" s="254"/>
      <c r="BA232" s="254"/>
      <c r="BB232" s="254"/>
      <c r="BC232" s="254"/>
      <c r="BD232" s="254"/>
      <c r="BE232" s="254"/>
      <c r="BF232" s="254"/>
      <c r="BG232" s="254"/>
      <c r="BH232" s="254"/>
      <c r="BI232" s="254"/>
      <c r="BJ232" s="254"/>
      <c r="BK232" s="254"/>
      <c r="BL232" s="254"/>
      <c r="BM232" s="254"/>
      <c r="BN232" s="253"/>
      <c r="BO232" s="254"/>
      <c r="BP232" s="254"/>
      <c r="BQ232" s="253"/>
      <c r="BR232" s="254"/>
      <c r="BS232" s="253"/>
      <c r="BT232" s="259"/>
      <c r="BU232" s="254"/>
      <c r="BV232" s="254"/>
      <c r="BW232" s="254"/>
      <c r="BX232" s="254">
        <v>2</v>
      </c>
      <c r="BY232" s="254"/>
      <c r="BZ232" s="254"/>
      <c r="CA232" s="254"/>
      <c r="CB232" s="254"/>
      <c r="CC232" s="254"/>
      <c r="CD232" s="254"/>
      <c r="CE232" s="254"/>
      <c r="CF232" s="254"/>
      <c r="CG232" s="254"/>
      <c r="CH232" s="254"/>
      <c r="CI232" s="254"/>
      <c r="CJ232" s="254"/>
      <c r="CK232" s="254"/>
      <c r="CL232" s="254"/>
      <c r="CM232" s="254"/>
      <c r="CN232" s="254"/>
      <c r="CO232" s="254"/>
      <c r="CP232" s="259">
        <f>+IF(BD_MO[[#This Row],[FECHA]]&lt;&gt;"",BD_MO[[#This Row],[PUNTAL 4"]]+BD_MO[[#This Row],[PUNTAL 5"]]+BD_MO[[#This Row],[PUNTAL 6"]]+BD_MO[[#This Row],[PUNTAL 7"]]+BD_MO[[#This Row],[PUNTAL 8"]],"")</f>
        <v>0</v>
      </c>
      <c r="CQ232" s="254"/>
      <c r="CR232" s="254"/>
      <c r="CS232" s="254"/>
      <c r="CT232" s="254"/>
      <c r="CU232" s="254"/>
      <c r="CV232" s="254"/>
      <c r="CW232" s="254"/>
      <c r="CX232" s="254"/>
      <c r="CY232" s="259"/>
      <c r="CZ232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32" s="259">
        <f>+IF(BD_MO[[#This Row],[FECHA]]&lt;&gt;"",BD_MO[[#This Row],[DURMIENTE2]]*6.561+BD_MO[[#This Row],[LISTONES]]*4.921+BD_MO[[#This Row],[TABLA 1"x8"x3m]]*6.561+BD_MO[[#This Row],[TABLA 2"x8"x3m]]*13.122,"")</f>
        <v>0</v>
      </c>
      <c r="DB232" s="259">
        <f>+IF(BD_MO[[#This Row],[FECHA]]&lt;&gt;"",BD_MO[[#This Row],[PIE2 MADERA ASERRADA]]*1.95,"")</f>
        <v>0</v>
      </c>
      <c r="DC232" s="259">
        <f>+IF(BD_MO[[#This Row],[FECHA]]&lt;&gt;"",BD_MO[[#This Row],[KG. MADERA REDONDA]]+BD_MO[[#This Row],[KG MADERA ASERRADA]],"")</f>
        <v>0</v>
      </c>
      <c r="DD232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32" s="254"/>
      <c r="DF232" s="254"/>
      <c r="DG232" s="254"/>
      <c r="DH232" s="254"/>
      <c r="DI232" s="263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32" s="263"/>
      <c r="DK232" s="263"/>
      <c r="DL232" s="263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4.67</v>
      </c>
      <c r="DM232" s="263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4.8567999999999998</v>
      </c>
      <c r="DN232" s="263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32" s="66">
        <f>0.83*BD_MO[[#This Row],[N° TALADROS]]</f>
        <v>16.599999999999998</v>
      </c>
      <c r="DP232" s="56">
        <f>+IF(BD_MO[[#This Row],[M o D]]&lt;&gt;"",IF(BD_MO[[#This Row],[M o D]]="M",BD_MO[[#This Row],[ROTURA TMH]]/2.65,BD_MO[[#This Row],[ROTURA TMH]]/2.4),"")</f>
        <v>6.2641509433962259</v>
      </c>
      <c r="DQ232" s="263"/>
      <c r="DR232" s="116" t="str">
        <f>IF(BD_MO[[#This Row],[TIPO AVANCE]]="Avance",((BD_MO[[#This Row],[AVANCE (m)]]/BD_MO[[#This Row],[AVANCE TEÓRICO]]))," ")</f>
        <v xml:space="preserve"> </v>
      </c>
    </row>
    <row r="233" spans="1:130" ht="18" customHeight="1" x14ac:dyDescent="0.25">
      <c r="A233" s="250">
        <v>44665</v>
      </c>
      <c r="B233" s="251" t="s">
        <v>10647</v>
      </c>
      <c r="C233" s="251" t="s">
        <v>10672</v>
      </c>
      <c r="D233" s="252" t="s">
        <v>12253</v>
      </c>
      <c r="E233" s="253" t="str">
        <f>LEFT(BD_MO[[#This Row],[LABOR]],2)</f>
        <v>Sn</v>
      </c>
      <c r="F233" s="254" t="s">
        <v>10950</v>
      </c>
      <c r="G233" s="254" t="s">
        <v>10648</v>
      </c>
      <c r="H233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33" s="253" t="s">
        <v>12246</v>
      </c>
      <c r="J233" s="253" t="s">
        <v>10525</v>
      </c>
      <c r="K233" s="253" t="s">
        <v>12247</v>
      </c>
      <c r="L233" s="253"/>
      <c r="M233" s="255" t="s">
        <v>10679</v>
      </c>
      <c r="N233" s="254"/>
      <c r="O233" s="256" t="s">
        <v>12195</v>
      </c>
      <c r="P233" s="256"/>
      <c r="Q233" s="256"/>
      <c r="R233" s="257"/>
      <c r="S233" s="258" t="str">
        <f>IFERROR(VLOOKUP(BD_MO[DNI 4],#REF!,2,FALSE)," ")</f>
        <v xml:space="preserve"> </v>
      </c>
      <c r="T233" s="259">
        <f>+IF(BD_MO[[#This Row],[FECHA]]&lt;&gt;"",COUNTA(BD_MO[[#This Row],[DNI]],BD_MO[[#This Row],[DNI 2]],BD_MO[[#This Row],[DNI 3]],BD_MO[[#This Row],[DNI 4]]),"")</f>
        <v>1</v>
      </c>
      <c r="U233" s="259">
        <v>0.38</v>
      </c>
      <c r="V233" s="259">
        <v>0.28999999999999998</v>
      </c>
      <c r="W233" s="259">
        <v>0.14000000000000001</v>
      </c>
      <c r="X233" s="259">
        <v>0.19</v>
      </c>
      <c r="Y233" s="260">
        <f>SUM(BD_MO[[#This Row],[LIMP]:[SERV]])</f>
        <v>1</v>
      </c>
      <c r="Z233" s="254" t="s">
        <v>12277</v>
      </c>
      <c r="AA233" s="254">
        <f>+IF(BD_MO[[#This Row],[N° VALE]]&lt;&gt;"",1,"")</f>
        <v>1</v>
      </c>
      <c r="AB233" s="251" t="s">
        <v>10705</v>
      </c>
      <c r="AC233" s="254">
        <v>4</v>
      </c>
      <c r="AD233" s="254">
        <f>+IF(BD_MO[[#This Row],[N° VALE]]&lt;&gt;"",BD_MO[[#This Row],[FULMINANTE N° 08]]+BD_MO[CARMEX 7''],"")</f>
        <v>15</v>
      </c>
      <c r="AE233" s="254"/>
      <c r="AF233" s="254">
        <f>+IF(BD_MO[[#This Row],[N° VALE]]&lt;&gt;"",BD_MO[[#This Row],[N° TALADROS]]+BD_MO[[#This Row],[N° TAL. VACIOS]],"")</f>
        <v>15</v>
      </c>
      <c r="AG233" s="261">
        <v>15</v>
      </c>
      <c r="AH233" s="261">
        <v>45</v>
      </c>
      <c r="AI233" s="261"/>
      <c r="AJ233" s="261"/>
      <c r="AK233" s="261">
        <v>15</v>
      </c>
      <c r="AL233" s="261">
        <v>3</v>
      </c>
      <c r="AM233" s="253"/>
      <c r="AN233" s="254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33" s="254">
        <f>+IF(BD_MO[[#This Row],[N° VALE]]&lt;&gt;"",IF(BD_MO[[#This Row],[FULMINANTE N° 08]]&lt;&gt;"",BD_MO[[#This Row],[FULMINANTE N° 08]],IF(BD_MO[[#This Row],[CARMEX 7'']]&lt;&gt;0,0,"")),"")</f>
        <v>0</v>
      </c>
      <c r="AP233" s="259">
        <f>+IF(BD_MO[[#This Row],[N° VALE]]&lt;&gt;"",BD_MO[[#This Row],[N°  TOTAL TALADROS]]*BD_MO[[#This Row],[BARRA]]*0.95,"")</f>
        <v>57</v>
      </c>
      <c r="AQ233" s="259">
        <f>+IF(BD_MO[[#This Row],[N° VALE]]&lt;&gt;"",BD_MO[[#This Row],[EMULNOR 1000 (N° CART.)]]*PE_EMUL_1000[PE],"")</f>
        <v>4.2614999999999998</v>
      </c>
      <c r="AR233" s="259">
        <f>+IF(BD_MO[[#This Row],[N° VALE]]&lt;&gt;"",BD_MO[[#This Row],[EMULNOR 3000 (N° CART.)]]*PE_EMUL_3000[PE],"")</f>
        <v>1.442307692307693</v>
      </c>
      <c r="AS233" s="259">
        <f>+IF(BD_MO[[#This Row],[N° VALE]]&lt;&gt;"",BD_MO[[#This Row],[PULVERULENTA (N° CART.)]]*PE_PULV_65[PE],"")</f>
        <v>0</v>
      </c>
      <c r="AT233" s="259">
        <f>+IF(BD_MO[[#This Row],[N° DISP]]&lt;&gt;"",BD_MO[[#This Row],[SEMIGELATINA (N° CART.)]]*PE_SEMIGEL_65[PE],"")</f>
        <v>0</v>
      </c>
      <c r="AU233" s="259">
        <f>+IF(BD_MO[N° VALE]&lt;&gt;"",BD_MO[[#This Row],[KG EXPLO SEMIGEL]]+BD_MO[[#This Row],[KG EXPLO PULVE]]+BD_MO[[#This Row],[KG EXPLO EMULN 3000]]+BD_MO[[#This Row],[KG EXPLO EMULN 1000]],"")</f>
        <v>5.7038076923076932</v>
      </c>
      <c r="AV233" s="254">
        <v>10</v>
      </c>
      <c r="AW233" s="254"/>
      <c r="AX233" s="254">
        <f>+IF(BD_MO[[#This Row],[MINERAL (U-35)]]&lt;&gt;"",BD_MO[[#This Row],[MINERAL (U-35)]]*1.45,"-")</f>
        <v>14.5</v>
      </c>
      <c r="AY233" s="254" t="str">
        <f>+IF(BD_MO[[#This Row],[DESMONTE (U-35)]]&lt;&gt;"",BD_MO[[#This Row],[DESMONTE (U-35)]]*1.23,"-")</f>
        <v>-</v>
      </c>
      <c r="AZ233" s="254"/>
      <c r="BA233" s="254"/>
      <c r="BB233" s="254"/>
      <c r="BC233" s="254"/>
      <c r="BD233" s="254"/>
      <c r="BE233" s="254"/>
      <c r="BF233" s="254"/>
      <c r="BG233" s="254"/>
      <c r="BH233" s="254"/>
      <c r="BI233" s="254"/>
      <c r="BJ233" s="254"/>
      <c r="BK233" s="254"/>
      <c r="BL233" s="254"/>
      <c r="BM233" s="254"/>
      <c r="BN233" s="253"/>
      <c r="BO233" s="254"/>
      <c r="BP233" s="254"/>
      <c r="BQ233" s="253"/>
      <c r="BR233" s="254"/>
      <c r="BS233" s="253"/>
      <c r="BT233" s="259"/>
      <c r="BU233" s="254"/>
      <c r="BV233" s="254"/>
      <c r="BW233" s="254"/>
      <c r="BX233" s="254"/>
      <c r="BY233" s="254"/>
      <c r="BZ233" s="254"/>
      <c r="CA233" s="254"/>
      <c r="CB233" s="254"/>
      <c r="CC233" s="254"/>
      <c r="CD233" s="254"/>
      <c r="CE233" s="254"/>
      <c r="CF233" s="254"/>
      <c r="CG233" s="254"/>
      <c r="CH233" s="254"/>
      <c r="CI233" s="254"/>
      <c r="CJ233" s="254"/>
      <c r="CK233" s="254"/>
      <c r="CL233" s="254"/>
      <c r="CM233" s="254"/>
      <c r="CN233" s="254"/>
      <c r="CO233" s="254"/>
      <c r="CP233" s="259">
        <f>+IF(BD_MO[[#This Row],[FECHA]]&lt;&gt;"",BD_MO[[#This Row],[PUNTAL 4"]]+BD_MO[[#This Row],[PUNTAL 5"]]+BD_MO[[#This Row],[PUNTAL 6"]]+BD_MO[[#This Row],[PUNTAL 7"]]+BD_MO[[#This Row],[PUNTAL 8"]],"")</f>
        <v>0</v>
      </c>
      <c r="CQ233" s="254"/>
      <c r="CR233" s="254"/>
      <c r="CS233" s="254"/>
      <c r="CT233" s="254"/>
      <c r="CU233" s="254"/>
      <c r="CV233" s="254"/>
      <c r="CW233" s="254"/>
      <c r="CX233" s="254"/>
      <c r="CY233" s="259"/>
      <c r="CZ233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33" s="259">
        <f>+IF(BD_MO[[#This Row],[FECHA]]&lt;&gt;"",BD_MO[[#This Row],[DURMIENTE2]]*6.561+BD_MO[[#This Row],[LISTONES]]*4.921+BD_MO[[#This Row],[TABLA 1"x8"x3m]]*6.561+BD_MO[[#This Row],[TABLA 2"x8"x3m]]*13.122,"")</f>
        <v>0</v>
      </c>
      <c r="DB233" s="259">
        <f>+IF(BD_MO[[#This Row],[FECHA]]&lt;&gt;"",BD_MO[[#This Row],[PIE2 MADERA ASERRADA]]*1.95,"")</f>
        <v>0</v>
      </c>
      <c r="DC233" s="259">
        <f>+IF(BD_MO[[#This Row],[FECHA]]&lt;&gt;"",BD_MO[[#This Row],[KG. MADERA REDONDA]]+BD_MO[[#This Row],[KG MADERA ASERRADA]],"")</f>
        <v>0</v>
      </c>
      <c r="DD233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33" s="254"/>
      <c r="DF233" s="254"/>
      <c r="DG233" s="254"/>
      <c r="DH233" s="254"/>
      <c r="DI233" s="263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33" s="263"/>
      <c r="DK233" s="263"/>
      <c r="DL233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33" s="263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33" s="263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33" s="264">
        <v>15</v>
      </c>
      <c r="DP233" s="263">
        <f>+IF(BD_MO[[#This Row],[M o D]]&lt;&gt;"",IF(BD_MO[[#This Row],[M o D]]="M",BD_MO[[#This Row],[ROTURA TMH]]/2.65,BD_MO[[#This Row],[ROTURA TMH]]/2.4),"")</f>
        <v>5.6603773584905666</v>
      </c>
      <c r="DQ233" s="263">
        <v>0.59</v>
      </c>
      <c r="DR233" s="116" t="str">
        <f>IF(BD_MO[[#This Row],[TIPO AVANCE]]="Avance",((BD_MO[[#This Row],[AVANCE (m)]]/BD_MO[[#This Row],[AVANCE TEÓRICO]]))," ")</f>
        <v xml:space="preserve"> </v>
      </c>
    </row>
    <row r="234" spans="1:130" ht="18" customHeight="1" x14ac:dyDescent="0.25">
      <c r="A234" s="250">
        <v>44665</v>
      </c>
      <c r="B234" s="251" t="s">
        <v>10647</v>
      </c>
      <c r="C234" s="251" t="s">
        <v>10672</v>
      </c>
      <c r="D234" s="252" t="s">
        <v>12149</v>
      </c>
      <c r="E234" s="253" t="str">
        <f>LEFT(BD_MO[[#This Row],[LABOR]],2)</f>
        <v>Es</v>
      </c>
      <c r="F234" s="254" t="s">
        <v>10950</v>
      </c>
      <c r="G234" s="254" t="s">
        <v>10648</v>
      </c>
      <c r="H234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34" s="253" t="str">
        <f>IF(BD_MO[FECHA]&lt;&gt;"",VLOOKUP(BD_MO[LABOR],TB_CECO[[LABOR]:[CECO_T]],3,FALSE),"")</f>
        <v>VANESSA</v>
      </c>
      <c r="J234" s="253" t="str">
        <f>IF(BD_MO[FECHA]&lt;&gt;"",VLOOKUP(BD_MO[LABOR],D_CECO!B:H,7,FALSE),"")</f>
        <v>LINEAL</v>
      </c>
      <c r="K234" s="253" t="str">
        <f>IF(BD_MO[FECHA]&lt;&gt;"",VLOOKUP(BD_MO[LABOR],D_CECO!B:H,4,FALSE),"")</f>
        <v>EXPLORACION</v>
      </c>
      <c r="L234" s="253"/>
      <c r="M234" s="255" t="s">
        <v>10646</v>
      </c>
      <c r="N234" s="254"/>
      <c r="O234" s="256" t="s">
        <v>12233</v>
      </c>
      <c r="P234" s="256" t="s">
        <v>12197</v>
      </c>
      <c r="Q234" s="256"/>
      <c r="R234" s="257"/>
      <c r="S234" s="258" t="str">
        <f>IFERROR(VLOOKUP(BD_MO[DNI 4],#REF!,2,FALSE)," ")</f>
        <v xml:space="preserve"> </v>
      </c>
      <c r="T234" s="259">
        <f>+IF(BD_MO[[#This Row],[FECHA]]&lt;&gt;"",COUNTA(BD_MO[[#This Row],[DNI]],BD_MO[[#This Row],[DNI 2]],BD_MO[[#This Row],[DNI 3]],BD_MO[[#This Row],[DNI 4]]),"")</f>
        <v>2</v>
      </c>
      <c r="U234" s="259">
        <v>0.96</v>
      </c>
      <c r="V234" s="259">
        <v>0.28000000000000003</v>
      </c>
      <c r="W234" s="259"/>
      <c r="X234" s="259">
        <v>0.76</v>
      </c>
      <c r="Y234" s="260">
        <f>SUM(BD_MO[[#This Row],[LIMP]:[SERV]])</f>
        <v>2</v>
      </c>
      <c r="Z234" s="254" t="s">
        <v>12278</v>
      </c>
      <c r="AA234" s="254">
        <f>+IF(BD_MO[[#This Row],[N° VALE]]&lt;&gt;"",1,"")</f>
        <v>1</v>
      </c>
      <c r="AB234" s="251" t="s">
        <v>10710</v>
      </c>
      <c r="AC234" s="254">
        <v>4</v>
      </c>
      <c r="AD234" s="254">
        <f>+IF(BD_MO[[#This Row],[N° VALE]]&lt;&gt;"",BD_MO[[#This Row],[FULMINANTE N° 08]]+BD_MO[CARMEX 7''],"")</f>
        <v>10</v>
      </c>
      <c r="AE234" s="254"/>
      <c r="AF234" s="254">
        <f>+IF(BD_MO[[#This Row],[N° VALE]]&lt;&gt;"",BD_MO[[#This Row],[N° TALADROS]]+BD_MO[[#This Row],[N° TAL. VACIOS]],"")</f>
        <v>10</v>
      </c>
      <c r="AG234" s="261">
        <v>20</v>
      </c>
      <c r="AH234" s="261">
        <v>20</v>
      </c>
      <c r="AI234" s="261"/>
      <c r="AJ234" s="261"/>
      <c r="AK234" s="261">
        <v>10</v>
      </c>
      <c r="AL234" s="261">
        <v>10</v>
      </c>
      <c r="AM234" s="253"/>
      <c r="AN234" s="254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34" s="254">
        <f>+IF(BD_MO[[#This Row],[N° VALE]]&lt;&gt;"",IF(BD_MO[[#This Row],[FULMINANTE N° 08]]&lt;&gt;"",BD_MO[[#This Row],[FULMINANTE N° 08]],IF(BD_MO[[#This Row],[CARMEX 7'']]&lt;&gt;0,0,"")),"")</f>
        <v>0</v>
      </c>
      <c r="AP234" s="259">
        <f>+IF(BD_MO[[#This Row],[N° VALE]]&lt;&gt;"",BD_MO[[#This Row],[N°  TOTAL TALADROS]]*BD_MO[[#This Row],[BARRA]]*0.95,"")</f>
        <v>38</v>
      </c>
      <c r="AQ234" s="259">
        <f>+IF(BD_MO[[#This Row],[N° VALE]]&lt;&gt;"",BD_MO[[#This Row],[EMULNOR 1000 (N° CART.)]]*PE_EMUL_1000[PE],"")</f>
        <v>1.8940000000000001</v>
      </c>
      <c r="AR234" s="259">
        <f>+IF(BD_MO[[#This Row],[N° VALE]]&lt;&gt;"",BD_MO[[#This Row],[EMULNOR 3000 (N° CART.)]]*PE_EMUL_3000[PE],"")</f>
        <v>1.923076923076924</v>
      </c>
      <c r="AS234" s="259">
        <f>+IF(BD_MO[[#This Row],[N° VALE]]&lt;&gt;"",BD_MO[[#This Row],[PULVERULENTA (N° CART.)]]*PE_PULV_65[PE],"")</f>
        <v>0</v>
      </c>
      <c r="AT234" s="259">
        <f>+IF(BD_MO[[#This Row],[N° DISP]]&lt;&gt;"",BD_MO[[#This Row],[SEMIGELATINA (N° CART.)]]*PE_SEMIGEL_65[PE],"")</f>
        <v>0</v>
      </c>
      <c r="AU234" s="259">
        <f>+IF(BD_MO[N° VALE]&lt;&gt;"",BD_MO[[#This Row],[KG EXPLO SEMIGEL]]+BD_MO[[#This Row],[KG EXPLO PULVE]]+BD_MO[[#This Row],[KG EXPLO EMULN 3000]]+BD_MO[[#This Row],[KG EXPLO EMULN 1000]],"")</f>
        <v>3.8170769230769244</v>
      </c>
      <c r="AV234" s="254"/>
      <c r="AW234" s="254">
        <v>5</v>
      </c>
      <c r="AX234" s="254" t="str">
        <f>+IF(BD_MO[[#This Row],[MINERAL (U-35)]]&lt;&gt;"",BD_MO[[#This Row],[MINERAL (U-35)]]*1.45,"-")</f>
        <v>-</v>
      </c>
      <c r="AY234" s="254">
        <f>+IF(BD_MO[[#This Row],[DESMONTE (U-35)]]&lt;&gt;"",BD_MO[[#This Row],[DESMONTE (U-35)]]*1.23,"-")</f>
        <v>6.15</v>
      </c>
      <c r="AZ234" s="254"/>
      <c r="BA234" s="254"/>
      <c r="BB234" s="254"/>
      <c r="BC234" s="254"/>
      <c r="BD234" s="254"/>
      <c r="BE234" s="254"/>
      <c r="BF234" s="254"/>
      <c r="BG234" s="254"/>
      <c r="BH234" s="254"/>
      <c r="BI234" s="254"/>
      <c r="BJ234" s="254"/>
      <c r="BK234" s="254"/>
      <c r="BL234" s="254"/>
      <c r="BM234" s="254"/>
      <c r="BN234" s="253"/>
      <c r="BO234" s="254"/>
      <c r="BP234" s="254"/>
      <c r="BQ234" s="253"/>
      <c r="BR234" s="254"/>
      <c r="BS234" s="253"/>
      <c r="BT234" s="259"/>
      <c r="BU234" s="254"/>
      <c r="BV234" s="254"/>
      <c r="BW234" s="254"/>
      <c r="BX234" s="254"/>
      <c r="BY234" s="254"/>
      <c r="BZ234" s="254"/>
      <c r="CA234" s="254"/>
      <c r="CB234" s="254"/>
      <c r="CC234" s="254"/>
      <c r="CD234" s="254"/>
      <c r="CE234" s="254"/>
      <c r="CF234" s="254"/>
      <c r="CG234" s="254"/>
      <c r="CH234" s="254"/>
      <c r="CI234" s="254"/>
      <c r="CJ234" s="254"/>
      <c r="CK234" s="254"/>
      <c r="CL234" s="254"/>
      <c r="CM234" s="254"/>
      <c r="CN234" s="254"/>
      <c r="CO234" s="254"/>
      <c r="CP234" s="259">
        <f>+IF(BD_MO[[#This Row],[FECHA]]&lt;&gt;"",BD_MO[[#This Row],[PUNTAL 4"]]+BD_MO[[#This Row],[PUNTAL 5"]]+BD_MO[[#This Row],[PUNTAL 6"]]+BD_MO[[#This Row],[PUNTAL 7"]]+BD_MO[[#This Row],[PUNTAL 8"]],"")</f>
        <v>0</v>
      </c>
      <c r="CQ234" s="254"/>
      <c r="CR234" s="254"/>
      <c r="CS234" s="254"/>
      <c r="CT234" s="254"/>
      <c r="CU234" s="254"/>
      <c r="CV234" s="254"/>
      <c r="CW234" s="254"/>
      <c r="CX234" s="254"/>
      <c r="CY234" s="259"/>
      <c r="CZ234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34" s="259">
        <f>+IF(BD_MO[[#This Row],[FECHA]]&lt;&gt;"",BD_MO[[#This Row],[DURMIENTE2]]*6.561+BD_MO[[#This Row],[LISTONES]]*4.921+BD_MO[[#This Row],[TABLA 1"x8"x3m]]*6.561+BD_MO[[#This Row],[TABLA 2"x8"x3m]]*13.122,"")</f>
        <v>0</v>
      </c>
      <c r="DB234" s="259">
        <f>+IF(BD_MO[[#This Row],[FECHA]]&lt;&gt;"",BD_MO[[#This Row],[PIE2 MADERA ASERRADA]]*1.95,"")</f>
        <v>0</v>
      </c>
      <c r="DC234" s="259">
        <f>+IF(BD_MO[[#This Row],[FECHA]]&lt;&gt;"",BD_MO[[#This Row],[KG. MADERA REDONDA]]+BD_MO[[#This Row],[KG MADERA ASERRADA]],"")</f>
        <v>0</v>
      </c>
      <c r="DD234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34" s="254"/>
      <c r="DF234" s="254"/>
      <c r="DG234" s="254"/>
      <c r="DH234" s="254"/>
      <c r="DI234" s="263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34" s="263"/>
      <c r="DK234" s="263"/>
      <c r="DL234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34" s="263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34" s="263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34" s="66">
        <f>0.3154597*BD_MO[[#This Row],[N° TALADROS]]</f>
        <v>3.1545969999999999</v>
      </c>
      <c r="DP234" s="263">
        <f>+IF(BD_MO[[#This Row],[M o D]]&lt;&gt;"",IF(BD_MO[[#This Row],[M o D]]="M",BD_MO[[#This Row],[ROTURA TMH]]/2.65,BD_MO[[#This Row],[ROTURA TMH]]/2.4),"")</f>
        <v>1.190413962264151</v>
      </c>
      <c r="DQ234" s="180">
        <v>0.97</v>
      </c>
      <c r="DR234" s="116">
        <f>IF(BD_MO[[#This Row],[TIPO AVANCE]]="Avance",((BD_MO[[#This Row],[AVANCE (m)]]/BD_MO[[#This Row],[AVANCE TEÓRICO]]))," ")</f>
        <v>0.89814814814814803</v>
      </c>
    </row>
    <row r="235" spans="1:130" ht="18" customHeight="1" x14ac:dyDescent="0.25">
      <c r="A235" s="250">
        <v>44665</v>
      </c>
      <c r="B235" s="251" t="s">
        <v>10647</v>
      </c>
      <c r="C235" s="251" t="s">
        <v>10672</v>
      </c>
      <c r="D235" s="252" t="s">
        <v>12176</v>
      </c>
      <c r="E235" s="253" t="str">
        <f>LEFT(BD_MO[[#This Row],[LABOR]],2)</f>
        <v>Sn</v>
      </c>
      <c r="F235" s="254"/>
      <c r="G235" s="254" t="s">
        <v>10669</v>
      </c>
      <c r="H235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35" s="253" t="str">
        <f>IF(BD_MO[FECHA]&lt;&gt;"",VLOOKUP(BD_MO[LABOR],TB_CECO[[LABOR]:[CECO_T]],3,FALSE),"")</f>
        <v>VANESSA</v>
      </c>
      <c r="J235" s="253" t="str">
        <f>IF(BD_MO[FECHA]&lt;&gt;"",VLOOKUP(BD_MO[LABOR],D_CECO!B:H,7,FALSE),"")</f>
        <v>LINEAL</v>
      </c>
      <c r="K235" s="253" t="str">
        <f>IF(BD_MO[FECHA]&lt;&gt;"",VLOOKUP(BD_MO[LABOR],D_CECO!B:H,4,FALSE),"")</f>
        <v>EXPLORACION</v>
      </c>
      <c r="L235" s="253"/>
      <c r="M235" s="255"/>
      <c r="N235" s="254"/>
      <c r="O235" s="256" t="s">
        <v>12196</v>
      </c>
      <c r="P235" s="256" t="s">
        <v>12207</v>
      </c>
      <c r="Q235" s="256"/>
      <c r="R235" s="257"/>
      <c r="S235" s="258" t="str">
        <f>IFERROR(VLOOKUP(BD_MO[DNI 4],#REF!,2,FALSE)," ")</f>
        <v xml:space="preserve"> </v>
      </c>
      <c r="T235" s="259">
        <f>+IF(BD_MO[[#This Row],[FECHA]]&lt;&gt;"",COUNTA(BD_MO[[#This Row],[DNI]],BD_MO[[#This Row],[DNI 2]],BD_MO[[#This Row],[DNI 3]],BD_MO[[#This Row],[DNI 4]]),"")</f>
        <v>2</v>
      </c>
      <c r="U235" s="259"/>
      <c r="V235" s="259"/>
      <c r="W235" s="259"/>
      <c r="X235" s="259">
        <v>2</v>
      </c>
      <c r="Y235" s="260">
        <f>SUM(BD_MO[[#This Row],[LIMP]:[SERV]])</f>
        <v>2</v>
      </c>
      <c r="Z235" s="254"/>
      <c r="AA235" s="254" t="str">
        <f>+IF(BD_MO[[#This Row],[N° VALE]]&lt;&gt;"",1,"")</f>
        <v/>
      </c>
      <c r="AB235" s="251"/>
      <c r="AC235" s="254"/>
      <c r="AD235" s="254" t="str">
        <f>+IF(BD_MO[[#This Row],[N° VALE]]&lt;&gt;"",BD_MO[[#This Row],[FULMINANTE N° 08]]+BD_MO[CARMEX 7''],"")</f>
        <v/>
      </c>
      <c r="AE235" s="254"/>
      <c r="AF235" s="254" t="str">
        <f>+IF(BD_MO[[#This Row],[N° VALE]]&lt;&gt;"",BD_MO[[#This Row],[N° TALADROS]]+BD_MO[[#This Row],[N° TAL. VACIOS]],"")</f>
        <v/>
      </c>
      <c r="AG235" s="261"/>
      <c r="AH235" s="261"/>
      <c r="AI235" s="261"/>
      <c r="AJ235" s="261"/>
      <c r="AK235" s="261"/>
      <c r="AL235" s="261"/>
      <c r="AM235" s="253"/>
      <c r="AN235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35" s="254" t="str">
        <f>+IF(BD_MO[[#This Row],[N° VALE]]&lt;&gt;"",IF(BD_MO[[#This Row],[FULMINANTE N° 08]]&lt;&gt;"",BD_MO[[#This Row],[FULMINANTE N° 08]],IF(BD_MO[[#This Row],[CARMEX 7'']]&lt;&gt;0,0,"")),"")</f>
        <v/>
      </c>
      <c r="AP235" s="259" t="str">
        <f>+IF(BD_MO[[#This Row],[N° VALE]]&lt;&gt;"",BD_MO[[#This Row],[N°  TOTAL TALADROS]]*BD_MO[[#This Row],[BARRA]]*0.95,"")</f>
        <v/>
      </c>
      <c r="AQ235" s="259" t="str">
        <f>+IF(BD_MO[[#This Row],[N° VALE]]&lt;&gt;"",BD_MO[[#This Row],[EMULNOR 1000 (N° CART.)]]*PE_EMUL_1000[PE],"")</f>
        <v/>
      </c>
      <c r="AR235" s="259" t="str">
        <f>+IF(BD_MO[[#This Row],[N° VALE]]&lt;&gt;"",BD_MO[[#This Row],[EMULNOR 3000 (N° CART.)]]*PE_EMUL_3000[PE],"")</f>
        <v/>
      </c>
      <c r="AS235" s="259" t="str">
        <f>+IF(BD_MO[[#This Row],[N° VALE]]&lt;&gt;"",BD_MO[[#This Row],[PULVERULENTA (N° CART.)]]*PE_PULV_65[PE],"")</f>
        <v/>
      </c>
      <c r="AT235" s="259" t="str">
        <f>+IF(BD_MO[[#This Row],[N° DISP]]&lt;&gt;"",BD_MO[[#This Row],[SEMIGELATINA (N° CART.)]]*PE_SEMIGEL_65[PE],"")</f>
        <v/>
      </c>
      <c r="AU235" s="259" t="str">
        <f>+IF(BD_MO[N° VALE]&lt;&gt;"",BD_MO[[#This Row],[KG EXPLO SEMIGEL]]+BD_MO[[#This Row],[KG EXPLO PULVE]]+BD_MO[[#This Row],[KG EXPLO EMULN 3000]]+BD_MO[[#This Row],[KG EXPLO EMULN 1000]],"")</f>
        <v/>
      </c>
      <c r="AV235" s="254"/>
      <c r="AW235" s="254"/>
      <c r="AX235" s="254" t="str">
        <f>+IF(BD_MO[[#This Row],[MINERAL (U-35)]]&lt;&gt;"",BD_MO[[#This Row],[MINERAL (U-35)]]*1.45,"-")</f>
        <v>-</v>
      </c>
      <c r="AY235" s="254" t="str">
        <f>+IF(BD_MO[[#This Row],[DESMONTE (U-35)]]&lt;&gt;"",BD_MO[[#This Row],[DESMONTE (U-35)]]*1.23,"-")</f>
        <v>-</v>
      </c>
      <c r="AZ235" s="254"/>
      <c r="BA235" s="254"/>
      <c r="BB235" s="254"/>
      <c r="BC235" s="254"/>
      <c r="BD235" s="254"/>
      <c r="BE235" s="254"/>
      <c r="BF235" s="254"/>
      <c r="BG235" s="254"/>
      <c r="BH235" s="254"/>
      <c r="BI235" s="254"/>
      <c r="BJ235" s="254"/>
      <c r="BK235" s="254"/>
      <c r="BL235" s="254"/>
      <c r="BM235" s="254"/>
      <c r="BN235" s="253"/>
      <c r="BO235" s="254"/>
      <c r="BP235" s="254"/>
      <c r="BQ235" s="253"/>
      <c r="BR235" s="254"/>
      <c r="BS235" s="253">
        <f>1.8*1.2</f>
        <v>2.16</v>
      </c>
      <c r="BT235" s="259"/>
      <c r="BU235" s="254"/>
      <c r="BV235" s="254"/>
      <c r="BW235" s="254"/>
      <c r="BX235" s="254"/>
      <c r="BY235" s="254"/>
      <c r="BZ235" s="254"/>
      <c r="CA235" s="254"/>
      <c r="CB235" s="254"/>
      <c r="CC235" s="254"/>
      <c r="CD235" s="254"/>
      <c r="CE235" s="254"/>
      <c r="CF235" s="254"/>
      <c r="CG235" s="254"/>
      <c r="CH235" s="254"/>
      <c r="CI235" s="254"/>
      <c r="CJ235" s="254"/>
      <c r="CK235" s="254"/>
      <c r="CL235" s="254"/>
      <c r="CM235" s="254"/>
      <c r="CN235" s="254"/>
      <c r="CO235" s="254"/>
      <c r="CP235" s="259">
        <f>+IF(BD_MO[[#This Row],[FECHA]]&lt;&gt;"",BD_MO[[#This Row],[PUNTAL 4"]]+BD_MO[[#This Row],[PUNTAL 5"]]+BD_MO[[#This Row],[PUNTAL 6"]]+BD_MO[[#This Row],[PUNTAL 7"]]+BD_MO[[#This Row],[PUNTAL 8"]],"")</f>
        <v>0</v>
      </c>
      <c r="CQ235" s="254"/>
      <c r="CR235" s="254"/>
      <c r="CS235" s="254"/>
      <c r="CT235" s="254"/>
      <c r="CU235" s="254"/>
      <c r="CV235" s="254"/>
      <c r="CW235" s="254"/>
      <c r="CX235" s="254"/>
      <c r="CY235" s="259"/>
      <c r="CZ235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35" s="259">
        <f>+IF(BD_MO[[#This Row],[FECHA]]&lt;&gt;"",BD_MO[[#This Row],[DURMIENTE2]]*6.561+BD_MO[[#This Row],[LISTONES]]*4.921+BD_MO[[#This Row],[TABLA 1"x8"x3m]]*6.561+BD_MO[[#This Row],[TABLA 2"x8"x3m]]*13.122,"")</f>
        <v>0</v>
      </c>
      <c r="DB235" s="259">
        <f>+IF(BD_MO[[#This Row],[FECHA]]&lt;&gt;"",BD_MO[[#This Row],[PIE2 MADERA ASERRADA]]*1.95,"")</f>
        <v>0</v>
      </c>
      <c r="DC235" s="259">
        <f>+IF(BD_MO[[#This Row],[FECHA]]&lt;&gt;"",BD_MO[[#This Row],[KG. MADERA REDONDA]]+BD_MO[[#This Row],[KG MADERA ASERRADA]],"")</f>
        <v>0</v>
      </c>
      <c r="DD235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35" s="254"/>
      <c r="DF235" s="254"/>
      <c r="DG235" s="254"/>
      <c r="DH235" s="254"/>
      <c r="DI235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35" s="263"/>
      <c r="DK235" s="263"/>
      <c r="DL235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35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35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35" s="264"/>
      <c r="DP235" s="263" t="str">
        <f>+IF(BD_MO[[#This Row],[M o D]]&lt;&gt;"",IF(BD_MO[[#This Row],[M o D]]="M",BD_MO[[#This Row],[ROTURA TMH]]/2.65,BD_MO[[#This Row],[ROTURA TMH]]/2.4),"")</f>
        <v/>
      </c>
      <c r="DQ235" s="263"/>
      <c r="DR235" s="116" t="str">
        <f>IF(BD_MO[[#This Row],[TIPO AVANCE]]="Avance",((BD_MO[[#This Row],[AVANCE (m)]]/BD_MO[[#This Row],[AVANCE TEÓRICO]]))," ")</f>
        <v xml:space="preserve"> </v>
      </c>
    </row>
    <row r="236" spans="1:130" ht="18" customHeight="1" x14ac:dyDescent="0.25">
      <c r="A236" s="250">
        <v>44665</v>
      </c>
      <c r="B236" s="251" t="s">
        <v>10647</v>
      </c>
      <c r="C236" s="251" t="s">
        <v>10672</v>
      </c>
      <c r="D236" s="252" t="s">
        <v>11872</v>
      </c>
      <c r="E236" s="253" t="str">
        <f>LEFT(BD_MO[[#This Row],[LABOR]],2)</f>
        <v>PQ</v>
      </c>
      <c r="F236" s="254"/>
      <c r="G236" s="254" t="s">
        <v>10669</v>
      </c>
      <c r="H236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36" s="253" t="str">
        <f>IF(BD_MO[FECHA]&lt;&gt;"",VLOOKUP(BD_MO[LABOR],TB_CECO[[LABOR]:[CECO_T]],3,FALSE),"")</f>
        <v>ANDREA</v>
      </c>
      <c r="J236" s="253" t="str">
        <f>IF(BD_MO[FECHA]&lt;&gt;"",VLOOKUP(BD_MO[LABOR],D_CECO!B:H,7,FALSE),"")</f>
        <v>LINEAL</v>
      </c>
      <c r="K236" s="253" t="str">
        <f>IF(BD_MO[FECHA]&lt;&gt;"",VLOOKUP(BD_MO[LABOR],D_CECO!B:H,4,FALSE),"")</f>
        <v>EXPLOTACION</v>
      </c>
      <c r="L236" s="253"/>
      <c r="M236" s="255"/>
      <c r="N236" s="254"/>
      <c r="O236" s="256" t="s">
        <v>12273</v>
      </c>
      <c r="P236" s="256" t="s">
        <v>12220</v>
      </c>
      <c r="Q236" s="256"/>
      <c r="R236" s="257"/>
      <c r="S236" s="258" t="str">
        <f>IFERROR(VLOOKUP(BD_MO[DNI 4],#REF!,2,FALSE)," ")</f>
        <v xml:space="preserve"> </v>
      </c>
      <c r="T236" s="259">
        <f>+IF(BD_MO[[#This Row],[FECHA]]&lt;&gt;"",COUNTA(BD_MO[[#This Row],[DNI]],BD_MO[[#This Row],[DNI 2]],BD_MO[[#This Row],[DNI 3]],BD_MO[[#This Row],[DNI 4]]),"")</f>
        <v>2</v>
      </c>
      <c r="U236" s="259"/>
      <c r="V236" s="259"/>
      <c r="W236" s="259"/>
      <c r="X236" s="259">
        <v>2</v>
      </c>
      <c r="Y236" s="260">
        <f>SUM(BD_MO[[#This Row],[LIMP]:[SERV]])</f>
        <v>2</v>
      </c>
      <c r="Z236" s="254"/>
      <c r="AA236" s="254" t="str">
        <f>+IF(BD_MO[[#This Row],[N° VALE]]&lt;&gt;"",1,"")</f>
        <v/>
      </c>
      <c r="AB236" s="251"/>
      <c r="AC236" s="254"/>
      <c r="AD236" s="254" t="str">
        <f>+IF(BD_MO[[#This Row],[N° VALE]]&lt;&gt;"",BD_MO[[#This Row],[FULMINANTE N° 08]]+BD_MO[CARMEX 7''],"")</f>
        <v/>
      </c>
      <c r="AE236" s="254"/>
      <c r="AF236" s="254" t="str">
        <f>+IF(BD_MO[[#This Row],[N° VALE]]&lt;&gt;"",BD_MO[[#This Row],[N° TALADROS]]+BD_MO[[#This Row],[N° TAL. VACIOS]],"")</f>
        <v/>
      </c>
      <c r="AG236" s="261"/>
      <c r="AH236" s="261"/>
      <c r="AI236" s="261"/>
      <c r="AJ236" s="261"/>
      <c r="AK236" s="261"/>
      <c r="AL236" s="261"/>
      <c r="AM236" s="253"/>
      <c r="AN236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36" s="254" t="str">
        <f>+IF(BD_MO[[#This Row],[N° VALE]]&lt;&gt;"",IF(BD_MO[[#This Row],[FULMINANTE N° 08]]&lt;&gt;"",BD_MO[[#This Row],[FULMINANTE N° 08]],IF(BD_MO[[#This Row],[CARMEX 7'']]&lt;&gt;0,0,"")),"")</f>
        <v/>
      </c>
      <c r="AP236" s="259" t="str">
        <f>+IF(BD_MO[[#This Row],[N° VALE]]&lt;&gt;"",BD_MO[[#This Row],[N°  TOTAL TALADROS]]*BD_MO[[#This Row],[BARRA]]*0.95,"")</f>
        <v/>
      </c>
      <c r="AQ236" s="259" t="str">
        <f>+IF(BD_MO[[#This Row],[N° VALE]]&lt;&gt;"",BD_MO[[#This Row],[EMULNOR 1000 (N° CART.)]]*PE_EMUL_1000[PE],"")</f>
        <v/>
      </c>
      <c r="AR236" s="259" t="str">
        <f>+IF(BD_MO[[#This Row],[N° VALE]]&lt;&gt;"",BD_MO[[#This Row],[EMULNOR 3000 (N° CART.)]]*PE_EMUL_3000[PE],"")</f>
        <v/>
      </c>
      <c r="AS236" s="259" t="str">
        <f>+IF(BD_MO[[#This Row],[N° VALE]]&lt;&gt;"",BD_MO[[#This Row],[PULVERULENTA (N° CART.)]]*PE_PULV_65[PE],"")</f>
        <v/>
      </c>
      <c r="AT236" s="259" t="str">
        <f>+IF(BD_MO[[#This Row],[N° DISP]]&lt;&gt;"",BD_MO[[#This Row],[SEMIGELATINA (N° CART.)]]*PE_SEMIGEL_65[PE],"")</f>
        <v/>
      </c>
      <c r="AU236" s="259" t="str">
        <f>+IF(BD_MO[N° VALE]&lt;&gt;"",BD_MO[[#This Row],[KG EXPLO SEMIGEL]]+BD_MO[[#This Row],[KG EXPLO PULVE]]+BD_MO[[#This Row],[KG EXPLO EMULN 3000]]+BD_MO[[#This Row],[KG EXPLO EMULN 1000]],"")</f>
        <v/>
      </c>
      <c r="AV236" s="254"/>
      <c r="AW236" s="254"/>
      <c r="AX236" s="254" t="str">
        <f>+IF(BD_MO[[#This Row],[MINERAL (U-35)]]&lt;&gt;"",BD_MO[[#This Row],[MINERAL (U-35)]]*1.45,"-")</f>
        <v>-</v>
      </c>
      <c r="AY236" s="254" t="str">
        <f>+IF(BD_MO[[#This Row],[DESMONTE (U-35)]]&lt;&gt;"",BD_MO[[#This Row],[DESMONTE (U-35)]]*1.23,"-")</f>
        <v>-</v>
      </c>
      <c r="AZ236" s="254"/>
      <c r="BA236" s="254"/>
      <c r="BB236" s="254"/>
      <c r="BC236" s="254"/>
      <c r="BD236" s="254"/>
      <c r="BE236" s="254"/>
      <c r="BF236" s="254"/>
      <c r="BG236" s="254"/>
      <c r="BH236" s="254"/>
      <c r="BI236" s="254"/>
      <c r="BJ236" s="254"/>
      <c r="BK236" s="254"/>
      <c r="BL236" s="254"/>
      <c r="BM236" s="254"/>
      <c r="BN236" s="253"/>
      <c r="BO236" s="254"/>
      <c r="BP236" s="254"/>
      <c r="BQ236" s="253"/>
      <c r="BR236" s="254"/>
      <c r="BS236" s="253"/>
      <c r="BT236" s="259"/>
      <c r="BU236" s="254"/>
      <c r="BV236" s="254"/>
      <c r="BW236" s="254"/>
      <c r="BX236" s="254"/>
      <c r="BY236" s="254"/>
      <c r="BZ236" s="254"/>
      <c r="CA236" s="254"/>
      <c r="CB236" s="254"/>
      <c r="CC236" s="254"/>
      <c r="CD236" s="254"/>
      <c r="CE236" s="254"/>
      <c r="CF236" s="254"/>
      <c r="CG236" s="254"/>
      <c r="CH236" s="254"/>
      <c r="CI236" s="254"/>
      <c r="CJ236" s="254"/>
      <c r="CK236" s="254"/>
      <c r="CL236" s="254"/>
      <c r="CM236" s="254"/>
      <c r="CN236" s="254"/>
      <c r="CO236" s="254"/>
      <c r="CP236" s="259">
        <f>+IF(BD_MO[[#This Row],[FECHA]]&lt;&gt;"",BD_MO[[#This Row],[PUNTAL 4"]]+BD_MO[[#This Row],[PUNTAL 5"]]+BD_MO[[#This Row],[PUNTAL 6"]]+BD_MO[[#This Row],[PUNTAL 7"]]+BD_MO[[#This Row],[PUNTAL 8"]],"")</f>
        <v>0</v>
      </c>
      <c r="CQ236" s="254"/>
      <c r="CR236" s="254"/>
      <c r="CS236" s="254"/>
      <c r="CT236" s="254"/>
      <c r="CU236" s="254"/>
      <c r="CV236" s="254"/>
      <c r="CW236" s="254"/>
      <c r="CX236" s="254"/>
      <c r="CY236" s="259"/>
      <c r="CZ236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36" s="259">
        <f>+IF(BD_MO[[#This Row],[FECHA]]&lt;&gt;"",BD_MO[[#This Row],[DURMIENTE2]]*6.561+BD_MO[[#This Row],[LISTONES]]*4.921+BD_MO[[#This Row],[TABLA 1"x8"x3m]]*6.561+BD_MO[[#This Row],[TABLA 2"x8"x3m]]*13.122,"")</f>
        <v>0</v>
      </c>
      <c r="DB236" s="259">
        <f>+IF(BD_MO[[#This Row],[FECHA]]&lt;&gt;"",BD_MO[[#This Row],[PIE2 MADERA ASERRADA]]*1.95,"")</f>
        <v>0</v>
      </c>
      <c r="DC236" s="259">
        <f>+IF(BD_MO[[#This Row],[FECHA]]&lt;&gt;"",BD_MO[[#This Row],[KG. MADERA REDONDA]]+BD_MO[[#This Row],[KG MADERA ASERRADA]],"")</f>
        <v>0</v>
      </c>
      <c r="DD236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36" s="254"/>
      <c r="DF236" s="254"/>
      <c r="DG236" s="254" t="s">
        <v>12238</v>
      </c>
      <c r="DH236" s="254">
        <v>8</v>
      </c>
      <c r="DI236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36" s="263"/>
      <c r="DK236" s="263"/>
      <c r="DL236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36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36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36" s="264"/>
      <c r="DP236" s="263" t="str">
        <f>+IF(BD_MO[[#This Row],[M o D]]&lt;&gt;"",IF(BD_MO[[#This Row],[M o D]]="M",BD_MO[[#This Row],[ROTURA TMH]]/2.65,BD_MO[[#This Row],[ROTURA TMH]]/2.4),"")</f>
        <v/>
      </c>
      <c r="DQ236" s="263"/>
      <c r="DR236" s="116" t="str">
        <f>IF(BD_MO[[#This Row],[TIPO AVANCE]]="Avance",((BD_MO[[#This Row],[AVANCE (m)]]/BD_MO[[#This Row],[AVANCE TEÓRICO]]))," ")</f>
        <v xml:space="preserve"> </v>
      </c>
    </row>
    <row r="237" spans="1:130" ht="18" customHeight="1" x14ac:dyDescent="0.25">
      <c r="A237" s="250">
        <v>44665</v>
      </c>
      <c r="B237" s="251" t="s">
        <v>10647</v>
      </c>
      <c r="C237" s="251" t="s">
        <v>10672</v>
      </c>
      <c r="D237" s="252" t="s">
        <v>10952</v>
      </c>
      <c r="E237" s="253" t="str">
        <f>LEFT(BD_MO[[#This Row],[LABOR]],2)</f>
        <v>In</v>
      </c>
      <c r="F237" s="254"/>
      <c r="G237" s="254" t="s">
        <v>10669</v>
      </c>
      <c r="H237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37" s="253" t="str">
        <f>IF(BD_MO[FECHA]&lt;&gt;"",VLOOKUP(BD_MO[LABOR],TB_CECO[[LABOR]:[CECO_T]],3,FALSE),"")</f>
        <v>VANESSA</v>
      </c>
      <c r="J237" s="253" t="str">
        <f>IF(BD_MO[FECHA]&lt;&gt;"",VLOOKUP(BD_MO[LABOR],D_CECO!B:H,7,FALSE),"")</f>
        <v>LINEAL</v>
      </c>
      <c r="K237" s="253" t="str">
        <f>IF(BD_MO[FECHA]&lt;&gt;"",VLOOKUP(BD_MO[LABOR],D_CECO!B:H,4,FALSE),"")</f>
        <v>EXPLORACION</v>
      </c>
      <c r="L237" s="253"/>
      <c r="M237" s="255"/>
      <c r="N237" s="254"/>
      <c r="O237" s="256" t="s">
        <v>12198</v>
      </c>
      <c r="P237" s="256" t="s">
        <v>12234</v>
      </c>
      <c r="Q237" s="256"/>
      <c r="R237" s="257"/>
      <c r="S237" s="258" t="str">
        <f>IFERROR(VLOOKUP(BD_MO[DNI 4],#REF!,2,FALSE)," ")</f>
        <v xml:space="preserve"> </v>
      </c>
      <c r="T237" s="259">
        <f>+IF(BD_MO[[#This Row],[FECHA]]&lt;&gt;"",COUNTA(BD_MO[[#This Row],[DNI]],BD_MO[[#This Row],[DNI 2]],BD_MO[[#This Row],[DNI 3]],BD_MO[[#This Row],[DNI 4]]),"")</f>
        <v>2</v>
      </c>
      <c r="U237" s="259"/>
      <c r="V237" s="259"/>
      <c r="W237" s="259"/>
      <c r="X237" s="259">
        <v>2</v>
      </c>
      <c r="Y237" s="260">
        <f>SUM(BD_MO[[#This Row],[LIMP]:[SERV]])</f>
        <v>2</v>
      </c>
      <c r="Z237" s="254"/>
      <c r="AA237" s="254" t="str">
        <f>+IF(BD_MO[[#This Row],[N° VALE]]&lt;&gt;"",1,"")</f>
        <v/>
      </c>
      <c r="AB237" s="251"/>
      <c r="AC237" s="254"/>
      <c r="AD237" s="254" t="str">
        <f>+IF(BD_MO[[#This Row],[N° VALE]]&lt;&gt;"",BD_MO[[#This Row],[FULMINANTE N° 08]]+BD_MO[CARMEX 7''],"")</f>
        <v/>
      </c>
      <c r="AE237" s="254"/>
      <c r="AF237" s="254" t="str">
        <f>+IF(BD_MO[[#This Row],[N° VALE]]&lt;&gt;"",BD_MO[[#This Row],[N° TALADROS]]+BD_MO[[#This Row],[N° TAL. VACIOS]],"")</f>
        <v/>
      </c>
      <c r="AG237" s="261"/>
      <c r="AH237" s="261"/>
      <c r="AI237" s="261"/>
      <c r="AJ237" s="261"/>
      <c r="AK237" s="261"/>
      <c r="AL237" s="261"/>
      <c r="AM237" s="253"/>
      <c r="AN237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37" s="254" t="str">
        <f>+IF(BD_MO[[#This Row],[N° VALE]]&lt;&gt;"",IF(BD_MO[[#This Row],[FULMINANTE N° 08]]&lt;&gt;"",BD_MO[[#This Row],[FULMINANTE N° 08]],IF(BD_MO[[#This Row],[CARMEX 7'']]&lt;&gt;0,0,"")),"")</f>
        <v/>
      </c>
      <c r="AP237" s="259" t="str">
        <f>+IF(BD_MO[[#This Row],[N° VALE]]&lt;&gt;"",BD_MO[[#This Row],[N°  TOTAL TALADROS]]*BD_MO[[#This Row],[BARRA]]*0.95,"")</f>
        <v/>
      </c>
      <c r="AQ237" s="259" t="str">
        <f>+IF(BD_MO[[#This Row],[N° VALE]]&lt;&gt;"",BD_MO[[#This Row],[EMULNOR 1000 (N° CART.)]]*PE_EMUL_1000[PE],"")</f>
        <v/>
      </c>
      <c r="AR237" s="259" t="str">
        <f>+IF(BD_MO[[#This Row],[N° VALE]]&lt;&gt;"",BD_MO[[#This Row],[EMULNOR 3000 (N° CART.)]]*PE_EMUL_3000[PE],"")</f>
        <v/>
      </c>
      <c r="AS237" s="259" t="str">
        <f>+IF(BD_MO[[#This Row],[N° VALE]]&lt;&gt;"",BD_MO[[#This Row],[PULVERULENTA (N° CART.)]]*PE_PULV_65[PE],"")</f>
        <v/>
      </c>
      <c r="AT237" s="259" t="str">
        <f>+IF(BD_MO[[#This Row],[N° DISP]]&lt;&gt;"",BD_MO[[#This Row],[SEMIGELATINA (N° CART.)]]*PE_SEMIGEL_65[PE],"")</f>
        <v/>
      </c>
      <c r="AU237" s="259" t="str">
        <f>+IF(BD_MO[N° VALE]&lt;&gt;"",BD_MO[[#This Row],[KG EXPLO SEMIGEL]]+BD_MO[[#This Row],[KG EXPLO PULVE]]+BD_MO[[#This Row],[KG EXPLO EMULN 3000]]+BD_MO[[#This Row],[KG EXPLO EMULN 1000]],"")</f>
        <v/>
      </c>
      <c r="AV237" s="254"/>
      <c r="AW237" s="254"/>
      <c r="AX237" s="254" t="str">
        <f>+IF(BD_MO[[#This Row],[MINERAL (U-35)]]&lt;&gt;"",BD_MO[[#This Row],[MINERAL (U-35)]]*1.45,"-")</f>
        <v>-</v>
      </c>
      <c r="AY237" s="254" t="str">
        <f>+IF(BD_MO[[#This Row],[DESMONTE (U-35)]]&lt;&gt;"",BD_MO[[#This Row],[DESMONTE (U-35)]]*1.23,"-")</f>
        <v>-</v>
      </c>
      <c r="AZ237" s="254"/>
      <c r="BA237" s="254"/>
      <c r="BB237" s="254"/>
      <c r="BC237" s="254"/>
      <c r="BD237" s="254"/>
      <c r="BE237" s="254"/>
      <c r="BF237" s="254"/>
      <c r="BG237" s="254"/>
      <c r="BH237" s="254"/>
      <c r="BI237" s="254"/>
      <c r="BJ237" s="254"/>
      <c r="BK237" s="254"/>
      <c r="BL237" s="254"/>
      <c r="BM237" s="254"/>
      <c r="BN237" s="253"/>
      <c r="BO237" s="254"/>
      <c r="BP237" s="254"/>
      <c r="BQ237" s="253"/>
      <c r="BR237" s="254"/>
      <c r="BS237" s="253"/>
      <c r="BT237" s="259"/>
      <c r="BU237" s="254"/>
      <c r="BV237" s="254"/>
      <c r="BW237" s="254"/>
      <c r="BX237" s="254"/>
      <c r="BY237" s="254"/>
      <c r="BZ237" s="254"/>
      <c r="CA237" s="254"/>
      <c r="CB237" s="254"/>
      <c r="CC237" s="254"/>
      <c r="CD237" s="254"/>
      <c r="CE237" s="254"/>
      <c r="CF237" s="254"/>
      <c r="CG237" s="254"/>
      <c r="CH237" s="254"/>
      <c r="CI237" s="254"/>
      <c r="CJ237" s="254"/>
      <c r="CK237" s="254"/>
      <c r="CL237" s="254"/>
      <c r="CM237" s="254"/>
      <c r="CN237" s="254"/>
      <c r="CO237" s="254"/>
      <c r="CP237" s="259">
        <f>+IF(BD_MO[[#This Row],[FECHA]]&lt;&gt;"",BD_MO[[#This Row],[PUNTAL 4"]]+BD_MO[[#This Row],[PUNTAL 5"]]+BD_MO[[#This Row],[PUNTAL 6"]]+BD_MO[[#This Row],[PUNTAL 7"]]+BD_MO[[#This Row],[PUNTAL 8"]],"")</f>
        <v>0</v>
      </c>
      <c r="CQ237" s="254"/>
      <c r="CR237" s="254"/>
      <c r="CS237" s="254"/>
      <c r="CT237" s="254"/>
      <c r="CU237" s="254"/>
      <c r="CV237" s="254"/>
      <c r="CW237" s="254"/>
      <c r="CX237" s="254"/>
      <c r="CY237" s="259"/>
      <c r="CZ237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37" s="259">
        <f>+IF(BD_MO[[#This Row],[FECHA]]&lt;&gt;"",BD_MO[[#This Row],[DURMIENTE2]]*6.561+BD_MO[[#This Row],[LISTONES]]*4.921+BD_MO[[#This Row],[TABLA 1"x8"x3m]]*6.561+BD_MO[[#This Row],[TABLA 2"x8"x3m]]*13.122,"")</f>
        <v>0</v>
      </c>
      <c r="DB237" s="259">
        <f>+IF(BD_MO[[#This Row],[FECHA]]&lt;&gt;"",BD_MO[[#This Row],[PIE2 MADERA ASERRADA]]*1.95,"")</f>
        <v>0</v>
      </c>
      <c r="DC237" s="259">
        <f>+IF(BD_MO[[#This Row],[FECHA]]&lt;&gt;"",BD_MO[[#This Row],[KG. MADERA REDONDA]]+BD_MO[[#This Row],[KG MADERA ASERRADA]],"")</f>
        <v>0</v>
      </c>
      <c r="DD237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37" s="254"/>
      <c r="DF237" s="254"/>
      <c r="DG237" s="254" t="s">
        <v>12239</v>
      </c>
      <c r="DH237" s="254">
        <v>8</v>
      </c>
      <c r="DI237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37" s="263"/>
      <c r="DK237" s="263"/>
      <c r="DL237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37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37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37" s="264"/>
      <c r="DP237" s="263" t="str">
        <f>+IF(BD_MO[[#This Row],[M o D]]&lt;&gt;"",IF(BD_MO[[#This Row],[M o D]]="M",BD_MO[[#This Row],[ROTURA TMH]]/2.65,BD_MO[[#This Row],[ROTURA TMH]]/2.4),"")</f>
        <v/>
      </c>
      <c r="DQ237" s="263"/>
      <c r="DR237" s="116" t="str">
        <f>IF(BD_MO[[#This Row],[TIPO AVANCE]]="Avance",((BD_MO[[#This Row],[AVANCE (m)]]/BD_MO[[#This Row],[AVANCE TEÓRICO]]))," ")</f>
        <v xml:space="preserve"> </v>
      </c>
    </row>
    <row r="238" spans="1:130" ht="18" customHeight="1" x14ac:dyDescent="0.25">
      <c r="A238" s="250">
        <v>44665</v>
      </c>
      <c r="B238" s="251" t="s">
        <v>10647</v>
      </c>
      <c r="C238" s="251" t="s">
        <v>10672</v>
      </c>
      <c r="D238" s="252" t="s">
        <v>10954</v>
      </c>
      <c r="E238" s="253" t="str">
        <f>LEFT(BD_MO[[#This Row],[LABOR]],2)</f>
        <v>MO</v>
      </c>
      <c r="F238" s="254"/>
      <c r="G238" s="254" t="s">
        <v>10669</v>
      </c>
      <c r="H238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38" s="253" t="str">
        <f>IF(BD_MO[FECHA]&lt;&gt;"",VLOOKUP(BD_MO[LABOR],TB_CECO[[LABOR]:[CECO_T]],3,FALSE),"")</f>
        <v>INCA</v>
      </c>
      <c r="J238" s="253" t="str">
        <f>IF(BD_MO[FECHA]&lt;&gt;"",VLOOKUP(BD_MO[LABOR],D_CECO!B:H,7,FALSE),"")</f>
        <v>SERVICIOS</v>
      </c>
      <c r="K238" s="253" t="str">
        <f>IF(BD_MO[FECHA]&lt;&gt;"",VLOOKUP(BD_MO[LABOR],D_CECO!B:H,4,FALSE),"")</f>
        <v>SERVICIOS</v>
      </c>
      <c r="L238" s="253"/>
      <c r="M238" s="255"/>
      <c r="N238" s="254"/>
      <c r="O238" s="256" t="s">
        <v>12221</v>
      </c>
      <c r="P238" s="256" t="s">
        <v>12209</v>
      </c>
      <c r="Q238" s="256"/>
      <c r="R238" s="257"/>
      <c r="S238" s="258" t="str">
        <f>IFERROR(VLOOKUP(BD_MO[DNI 4],#REF!,2,FALSE)," ")</f>
        <v xml:space="preserve"> </v>
      </c>
      <c r="T238" s="259">
        <f>+IF(BD_MO[[#This Row],[FECHA]]&lt;&gt;"",COUNTA(BD_MO[[#This Row],[DNI]],BD_MO[[#This Row],[DNI 2]],BD_MO[[#This Row],[DNI 3]],BD_MO[[#This Row],[DNI 4]]),"")</f>
        <v>2</v>
      </c>
      <c r="U238" s="259"/>
      <c r="V238" s="259"/>
      <c r="W238" s="259"/>
      <c r="X238" s="259">
        <v>2</v>
      </c>
      <c r="Y238" s="260">
        <f>SUM(BD_MO[[#This Row],[LIMP]:[SERV]])</f>
        <v>2</v>
      </c>
      <c r="Z238" s="254"/>
      <c r="AA238" s="254" t="str">
        <f>+IF(BD_MO[[#This Row],[N° VALE]]&lt;&gt;"",1,"")</f>
        <v/>
      </c>
      <c r="AB238" s="251"/>
      <c r="AC238" s="254"/>
      <c r="AD238" s="254" t="str">
        <f>+IF(BD_MO[[#This Row],[N° VALE]]&lt;&gt;"",BD_MO[[#This Row],[FULMINANTE N° 08]]+BD_MO[CARMEX 7''],"")</f>
        <v/>
      </c>
      <c r="AE238" s="254"/>
      <c r="AF238" s="254" t="str">
        <f>+IF(BD_MO[[#This Row],[N° VALE]]&lt;&gt;"",BD_MO[[#This Row],[N° TALADROS]]+BD_MO[[#This Row],[N° TAL. VACIOS]],"")</f>
        <v/>
      </c>
      <c r="AG238" s="261"/>
      <c r="AH238" s="261"/>
      <c r="AI238" s="261"/>
      <c r="AJ238" s="261"/>
      <c r="AK238" s="261"/>
      <c r="AL238" s="261"/>
      <c r="AM238" s="253"/>
      <c r="AN238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38" s="254" t="str">
        <f>+IF(BD_MO[[#This Row],[N° VALE]]&lt;&gt;"",IF(BD_MO[[#This Row],[FULMINANTE N° 08]]&lt;&gt;"",BD_MO[[#This Row],[FULMINANTE N° 08]],IF(BD_MO[[#This Row],[CARMEX 7'']]&lt;&gt;0,0,"")),"")</f>
        <v/>
      </c>
      <c r="AP238" s="259" t="str">
        <f>+IF(BD_MO[[#This Row],[N° VALE]]&lt;&gt;"",BD_MO[[#This Row],[N°  TOTAL TALADROS]]*BD_MO[[#This Row],[BARRA]]*0.95,"")</f>
        <v/>
      </c>
      <c r="AQ238" s="259" t="str">
        <f>+IF(BD_MO[[#This Row],[N° VALE]]&lt;&gt;"",BD_MO[[#This Row],[EMULNOR 1000 (N° CART.)]]*PE_EMUL_1000[PE],"")</f>
        <v/>
      </c>
      <c r="AR238" s="259" t="str">
        <f>+IF(BD_MO[[#This Row],[N° VALE]]&lt;&gt;"",BD_MO[[#This Row],[EMULNOR 3000 (N° CART.)]]*PE_EMUL_3000[PE],"")</f>
        <v/>
      </c>
      <c r="AS238" s="259" t="str">
        <f>+IF(BD_MO[[#This Row],[N° VALE]]&lt;&gt;"",BD_MO[[#This Row],[PULVERULENTA (N° CART.)]]*PE_PULV_65[PE],"")</f>
        <v/>
      </c>
      <c r="AT238" s="259" t="str">
        <f>+IF(BD_MO[[#This Row],[N° DISP]]&lt;&gt;"",BD_MO[[#This Row],[SEMIGELATINA (N° CART.)]]*PE_SEMIGEL_65[PE],"")</f>
        <v/>
      </c>
      <c r="AU238" s="259" t="str">
        <f>+IF(BD_MO[N° VALE]&lt;&gt;"",BD_MO[[#This Row],[KG EXPLO SEMIGEL]]+BD_MO[[#This Row],[KG EXPLO PULVE]]+BD_MO[[#This Row],[KG EXPLO EMULN 3000]]+BD_MO[[#This Row],[KG EXPLO EMULN 1000]],"")</f>
        <v/>
      </c>
      <c r="AV238" s="254"/>
      <c r="AW238" s="254"/>
      <c r="AX238" s="254" t="str">
        <f>+IF(BD_MO[[#This Row],[MINERAL (U-35)]]&lt;&gt;"",BD_MO[[#This Row],[MINERAL (U-35)]]*1.45,"-")</f>
        <v>-</v>
      </c>
      <c r="AY238" s="254" t="str">
        <f>+IF(BD_MO[[#This Row],[DESMONTE (U-35)]]&lt;&gt;"",BD_MO[[#This Row],[DESMONTE (U-35)]]*1.23,"-")</f>
        <v>-</v>
      </c>
      <c r="AZ238" s="254"/>
      <c r="BA238" s="254"/>
      <c r="BB238" s="254"/>
      <c r="BC238" s="254"/>
      <c r="BD238" s="254"/>
      <c r="BE238" s="254"/>
      <c r="BF238" s="254"/>
      <c r="BG238" s="254"/>
      <c r="BH238" s="254"/>
      <c r="BI238" s="254"/>
      <c r="BJ238" s="254"/>
      <c r="BK238" s="254"/>
      <c r="BL238" s="254"/>
      <c r="BM238" s="254"/>
      <c r="BN238" s="253"/>
      <c r="BO238" s="254"/>
      <c r="BP238" s="254"/>
      <c r="BQ238" s="253"/>
      <c r="BR238" s="254"/>
      <c r="BS238" s="253"/>
      <c r="BT238" s="259"/>
      <c r="BU238" s="254"/>
      <c r="BV238" s="254"/>
      <c r="BW238" s="254"/>
      <c r="BX238" s="254"/>
      <c r="BY238" s="254"/>
      <c r="BZ238" s="254"/>
      <c r="CA238" s="254"/>
      <c r="CB238" s="254"/>
      <c r="CC238" s="254"/>
      <c r="CD238" s="254"/>
      <c r="CE238" s="254"/>
      <c r="CF238" s="254"/>
      <c r="CG238" s="254"/>
      <c r="CH238" s="254"/>
      <c r="CI238" s="254"/>
      <c r="CJ238" s="254"/>
      <c r="CK238" s="254"/>
      <c r="CL238" s="254"/>
      <c r="CM238" s="254"/>
      <c r="CN238" s="254"/>
      <c r="CO238" s="254"/>
      <c r="CP238" s="259">
        <f>+IF(BD_MO[[#This Row],[FECHA]]&lt;&gt;"",BD_MO[[#This Row],[PUNTAL 4"]]+BD_MO[[#This Row],[PUNTAL 5"]]+BD_MO[[#This Row],[PUNTAL 6"]]+BD_MO[[#This Row],[PUNTAL 7"]]+BD_MO[[#This Row],[PUNTAL 8"]],"")</f>
        <v>0</v>
      </c>
      <c r="CQ238" s="254"/>
      <c r="CR238" s="254"/>
      <c r="CS238" s="254"/>
      <c r="CT238" s="254"/>
      <c r="CU238" s="254"/>
      <c r="CV238" s="254"/>
      <c r="CW238" s="254"/>
      <c r="CX238" s="254"/>
      <c r="CY238" s="259"/>
      <c r="CZ238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38" s="259">
        <f>+IF(BD_MO[[#This Row],[FECHA]]&lt;&gt;"",BD_MO[[#This Row],[DURMIENTE2]]*6.561+BD_MO[[#This Row],[LISTONES]]*4.921+BD_MO[[#This Row],[TABLA 1"x8"x3m]]*6.561+BD_MO[[#This Row],[TABLA 2"x8"x3m]]*13.122,"")</f>
        <v>0</v>
      </c>
      <c r="DB238" s="259">
        <f>+IF(BD_MO[[#This Row],[FECHA]]&lt;&gt;"",BD_MO[[#This Row],[PIE2 MADERA ASERRADA]]*1.95,"")</f>
        <v>0</v>
      </c>
      <c r="DC238" s="259">
        <f>+IF(BD_MO[[#This Row],[FECHA]]&lt;&gt;"",BD_MO[[#This Row],[KG. MADERA REDONDA]]+BD_MO[[#This Row],[KG MADERA ASERRADA]],"")</f>
        <v>0</v>
      </c>
      <c r="DD238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38" s="254"/>
      <c r="DF238" s="254"/>
      <c r="DG238" s="254"/>
      <c r="DH238" s="254"/>
      <c r="DI238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38" s="263"/>
      <c r="DK238" s="263"/>
      <c r="DL238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38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38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38" s="264"/>
      <c r="DP238" s="263" t="str">
        <f>+IF(BD_MO[[#This Row],[M o D]]&lt;&gt;"",IF(BD_MO[[#This Row],[M o D]]="M",BD_MO[[#This Row],[ROTURA TMH]]/2.65,BD_MO[[#This Row],[ROTURA TMH]]/2.4),"")</f>
        <v/>
      </c>
      <c r="DQ238" s="263"/>
      <c r="DR238" s="116" t="str">
        <f>IF(BD_MO[[#This Row],[TIPO AVANCE]]="Avance",((BD_MO[[#This Row],[AVANCE (m)]]/BD_MO[[#This Row],[AVANCE TEÓRICO]]))," ")</f>
        <v xml:space="preserve"> </v>
      </c>
    </row>
    <row r="239" spans="1:130" s="115" customFormat="1" ht="18" customHeight="1" thickBot="1" x14ac:dyDescent="0.3">
      <c r="A239" s="265">
        <v>44665</v>
      </c>
      <c r="B239" s="266" t="s">
        <v>10647</v>
      </c>
      <c r="C239" s="266" t="s">
        <v>10672</v>
      </c>
      <c r="D239" s="267" t="s">
        <v>10717</v>
      </c>
      <c r="E239" s="268" t="str">
        <f>LEFT(BD_MO[[#This Row],[LABOR]],2)</f>
        <v>BO</v>
      </c>
      <c r="F239" s="269"/>
      <c r="G239" s="269" t="s">
        <v>10669</v>
      </c>
      <c r="H239" s="26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39" s="268" t="str">
        <f>IF(BD_MO[FECHA]&lt;&gt;"",VLOOKUP(BD_MO[LABOR],TB_CECO[[LABOR]:[CECO_T]],3,FALSE),"")</f>
        <v>CACHORRO</v>
      </c>
      <c r="J239" s="268" t="str">
        <f>IF(BD_MO[FECHA]&lt;&gt;"",VLOOKUP(BD_MO[LABOR],D_CECO!B:H,7,FALSE),"")</f>
        <v>SERVICIOS</v>
      </c>
      <c r="K239" s="268" t="str">
        <f>IF(BD_MO[FECHA]&lt;&gt;"",VLOOKUP(BD_MO[LABOR],D_CECO!B:H,4,FALSE),"")</f>
        <v>SERVICIOS</v>
      </c>
      <c r="L239" s="268"/>
      <c r="M239" s="266"/>
      <c r="N239" s="269"/>
      <c r="O239" s="270" t="s">
        <v>12202</v>
      </c>
      <c r="P239" s="270"/>
      <c r="Q239" s="270"/>
      <c r="R239" s="271"/>
      <c r="S239" s="272" t="str">
        <f>IFERROR(VLOOKUP(BD_MO[DNI 4],#REF!,2,FALSE)," ")</f>
        <v xml:space="preserve"> </v>
      </c>
      <c r="T239" s="273">
        <f>+IF(BD_MO[[#This Row],[FECHA]]&lt;&gt;"",COUNTA(BD_MO[[#This Row],[DNI]],BD_MO[[#This Row],[DNI 2]],BD_MO[[#This Row],[DNI 3]],BD_MO[[#This Row],[DNI 4]]),"")</f>
        <v>1</v>
      </c>
      <c r="U239" s="273"/>
      <c r="V239" s="273"/>
      <c r="W239" s="273"/>
      <c r="X239" s="273">
        <v>1</v>
      </c>
      <c r="Y239" s="274">
        <f>SUM(BD_MO[[#This Row],[LIMP]:[SERV]])</f>
        <v>1</v>
      </c>
      <c r="Z239" s="269"/>
      <c r="AA239" s="269" t="str">
        <f>+IF(BD_MO[[#This Row],[N° VALE]]&lt;&gt;"",1,"")</f>
        <v/>
      </c>
      <c r="AB239" s="266"/>
      <c r="AC239" s="269"/>
      <c r="AD239" s="269" t="str">
        <f>+IF(BD_MO[[#This Row],[N° VALE]]&lt;&gt;"",BD_MO[[#This Row],[FULMINANTE N° 08]]+BD_MO[CARMEX 7''],"")</f>
        <v/>
      </c>
      <c r="AE239" s="269"/>
      <c r="AF239" s="269" t="str">
        <f>+IF(BD_MO[[#This Row],[N° VALE]]&lt;&gt;"",BD_MO[[#This Row],[N° TALADROS]]+BD_MO[[#This Row],[N° TAL. VACIOS]],"")</f>
        <v/>
      </c>
      <c r="AG239" s="275"/>
      <c r="AH239" s="275"/>
      <c r="AI239" s="275"/>
      <c r="AJ239" s="275"/>
      <c r="AK239" s="275"/>
      <c r="AL239" s="275"/>
      <c r="AM239" s="268"/>
      <c r="AN239" s="26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39" s="269" t="str">
        <f>+IF(BD_MO[[#This Row],[N° VALE]]&lt;&gt;"",IF(BD_MO[[#This Row],[FULMINANTE N° 08]]&lt;&gt;"",BD_MO[[#This Row],[FULMINANTE N° 08]],IF(BD_MO[[#This Row],[CARMEX 7'']]&lt;&gt;0,0,"")),"")</f>
        <v/>
      </c>
      <c r="AP239" s="273" t="str">
        <f>+IF(BD_MO[[#This Row],[N° VALE]]&lt;&gt;"",BD_MO[[#This Row],[N°  TOTAL TALADROS]]*BD_MO[[#This Row],[BARRA]]*0.95,"")</f>
        <v/>
      </c>
      <c r="AQ239" s="273" t="str">
        <f>+IF(BD_MO[[#This Row],[N° VALE]]&lt;&gt;"",BD_MO[[#This Row],[EMULNOR 1000 (N° CART.)]]*PE_EMUL_1000[PE],"")</f>
        <v/>
      </c>
      <c r="AR239" s="273" t="str">
        <f>+IF(BD_MO[[#This Row],[N° VALE]]&lt;&gt;"",BD_MO[[#This Row],[EMULNOR 3000 (N° CART.)]]*PE_EMUL_3000[PE],"")</f>
        <v/>
      </c>
      <c r="AS239" s="273" t="str">
        <f>+IF(BD_MO[[#This Row],[N° VALE]]&lt;&gt;"",BD_MO[[#This Row],[PULVERULENTA (N° CART.)]]*PE_PULV_65[PE],"")</f>
        <v/>
      </c>
      <c r="AT239" s="273" t="str">
        <f>+IF(BD_MO[[#This Row],[N° DISP]]&lt;&gt;"",BD_MO[[#This Row],[SEMIGELATINA (N° CART.)]]*PE_SEMIGEL_65[PE],"")</f>
        <v/>
      </c>
      <c r="AU239" s="273" t="str">
        <f>+IF(BD_MO[N° VALE]&lt;&gt;"",BD_MO[[#This Row],[KG EXPLO SEMIGEL]]+BD_MO[[#This Row],[KG EXPLO PULVE]]+BD_MO[[#This Row],[KG EXPLO EMULN 3000]]+BD_MO[[#This Row],[KG EXPLO EMULN 1000]],"")</f>
        <v/>
      </c>
      <c r="AV239" s="269"/>
      <c r="AW239" s="269"/>
      <c r="AX239" s="269" t="str">
        <f>+IF(BD_MO[[#This Row],[MINERAL (U-35)]]&lt;&gt;"",BD_MO[[#This Row],[MINERAL (U-35)]]*1.45,"-")</f>
        <v>-</v>
      </c>
      <c r="AY239" s="269" t="str">
        <f>+IF(BD_MO[[#This Row],[DESMONTE (U-35)]]&lt;&gt;"",BD_MO[[#This Row],[DESMONTE (U-35)]]*1.23,"-")</f>
        <v>-</v>
      </c>
      <c r="AZ239" s="269"/>
      <c r="BA239" s="269"/>
      <c r="BB239" s="269"/>
      <c r="BC239" s="269"/>
      <c r="BD239" s="269"/>
      <c r="BE239" s="269"/>
      <c r="BF239" s="269"/>
      <c r="BG239" s="269"/>
      <c r="BH239" s="269"/>
      <c r="BI239" s="269"/>
      <c r="BJ239" s="269"/>
      <c r="BK239" s="269"/>
      <c r="BL239" s="269"/>
      <c r="BM239" s="269"/>
      <c r="BN239" s="268"/>
      <c r="BO239" s="269"/>
      <c r="BP239" s="269"/>
      <c r="BQ239" s="268"/>
      <c r="BR239" s="269"/>
      <c r="BS239" s="268"/>
      <c r="BT239" s="273"/>
      <c r="BU239" s="269"/>
      <c r="BV239" s="269"/>
      <c r="BW239" s="269"/>
      <c r="BX239" s="269"/>
      <c r="BY239" s="269"/>
      <c r="BZ239" s="269"/>
      <c r="CA239" s="269"/>
      <c r="CB239" s="269"/>
      <c r="CC239" s="269"/>
      <c r="CD239" s="269"/>
      <c r="CE239" s="269"/>
      <c r="CF239" s="269"/>
      <c r="CG239" s="269"/>
      <c r="CH239" s="269"/>
      <c r="CI239" s="269"/>
      <c r="CJ239" s="269"/>
      <c r="CK239" s="269"/>
      <c r="CL239" s="269"/>
      <c r="CM239" s="269"/>
      <c r="CN239" s="269"/>
      <c r="CO239" s="269"/>
      <c r="CP239" s="273">
        <f>+IF(BD_MO[[#This Row],[FECHA]]&lt;&gt;"",BD_MO[[#This Row],[PUNTAL 4"]]+BD_MO[[#This Row],[PUNTAL 5"]]+BD_MO[[#This Row],[PUNTAL 6"]]+BD_MO[[#This Row],[PUNTAL 7"]]+BD_MO[[#This Row],[PUNTAL 8"]],"")</f>
        <v>0</v>
      </c>
      <c r="CQ239" s="269"/>
      <c r="CR239" s="269"/>
      <c r="CS239" s="269"/>
      <c r="CT239" s="269"/>
      <c r="CU239" s="269"/>
      <c r="CV239" s="269"/>
      <c r="CW239" s="269"/>
      <c r="CX239" s="269"/>
      <c r="CY239" s="273"/>
      <c r="CZ239" s="27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39" s="273">
        <f>+IF(BD_MO[[#This Row],[FECHA]]&lt;&gt;"",BD_MO[[#This Row],[DURMIENTE2]]*6.561+BD_MO[[#This Row],[LISTONES]]*4.921+BD_MO[[#This Row],[TABLA 1"x8"x3m]]*6.561+BD_MO[[#This Row],[TABLA 2"x8"x3m]]*13.122,"")</f>
        <v>0</v>
      </c>
      <c r="DB239" s="273">
        <f>+IF(BD_MO[[#This Row],[FECHA]]&lt;&gt;"",BD_MO[[#This Row],[PIE2 MADERA ASERRADA]]*1.95,"")</f>
        <v>0</v>
      </c>
      <c r="DC239" s="273">
        <f>+IF(BD_MO[[#This Row],[FECHA]]&lt;&gt;"",BD_MO[[#This Row],[KG. MADERA REDONDA]]+BD_MO[[#This Row],[KG MADERA ASERRADA]],"")</f>
        <v>0</v>
      </c>
      <c r="DD239" s="27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39" s="269"/>
      <c r="DF239" s="269"/>
      <c r="DG239" s="269"/>
      <c r="DH239" s="269"/>
      <c r="DI239" s="27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39" s="277"/>
      <c r="DK239" s="277"/>
      <c r="DL239" s="27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39" s="27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39" s="27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39" s="278"/>
      <c r="DP239" s="277" t="str">
        <f>+IF(BD_MO[[#This Row],[M o D]]&lt;&gt;"",IF(BD_MO[[#This Row],[M o D]]="M",BD_MO[[#This Row],[ROTURA TMH]]/2.65,BD_MO[[#This Row],[ROTURA TMH]]/2.4),"")</f>
        <v/>
      </c>
      <c r="DQ239" s="277"/>
      <c r="DR239" s="116" t="str">
        <f>IF(BD_MO[[#This Row],[TIPO AVANCE]]="Avance",((BD_MO[[#This Row],[AVANCE (m)]]/BD_MO[[#This Row],[AVANCE TEÓRICO]]))," ")</f>
        <v xml:space="preserve"> </v>
      </c>
      <c r="DS239" s="113"/>
      <c r="DT239" s="113"/>
      <c r="DU239" s="113"/>
      <c r="DV239" s="113"/>
      <c r="DW239" s="113"/>
      <c r="DX239" s="114"/>
      <c r="DY239" s="114"/>
      <c r="DZ239" s="114"/>
    </row>
    <row r="240" spans="1:130" ht="18" customHeight="1" x14ac:dyDescent="0.25">
      <c r="A240" s="250">
        <v>44665</v>
      </c>
      <c r="B240" s="251" t="s">
        <v>10655</v>
      </c>
      <c r="C240" s="251" t="s">
        <v>10680</v>
      </c>
      <c r="D240" s="279" t="s">
        <v>11595</v>
      </c>
      <c r="E240" s="253" t="str">
        <f>LEFT(BD_MO[[#This Row],[LABOR]],2)</f>
        <v>Tj</v>
      </c>
      <c r="F240" s="254"/>
      <c r="G240" s="254" t="s">
        <v>10656</v>
      </c>
      <c r="H240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240" s="253" t="str">
        <f>IF(BD_MO[FECHA]&lt;&gt;"",VLOOKUP(BD_MO[LABOR],TB_CECO[[LABOR]:[CECO_T]],3,FALSE),"")</f>
        <v>ESCONDIDA</v>
      </c>
      <c r="J240" s="253" t="str">
        <f>IF(BD_MO[FECHA]&lt;&gt;"",VLOOKUP(BD_MO[LABOR],D_CECO!B:H,7,FALSE),"")</f>
        <v>TAJO</v>
      </c>
      <c r="K240" s="253" t="str">
        <f>IF(BD_MO[FECHA]&lt;&gt;"",VLOOKUP(BD_MO[LABOR],D_CECO!B:H,4,FALSE),"")</f>
        <v>EXPLOTACION</v>
      </c>
      <c r="L240" s="253"/>
      <c r="M240" s="255"/>
      <c r="N240" s="254"/>
      <c r="O240" s="256" t="s">
        <v>11976</v>
      </c>
      <c r="P240" s="256" t="s">
        <v>12279</v>
      </c>
      <c r="Q240" s="256"/>
      <c r="R240" s="257"/>
      <c r="S240" s="258" t="str">
        <f>IFERROR(VLOOKUP(BD_MO[DNI 4],#REF!,2,FALSE)," ")</f>
        <v xml:space="preserve"> </v>
      </c>
      <c r="T240" s="259">
        <f>+IF(BD_MO[[#This Row],[FECHA]]&lt;&gt;"",COUNTA(BD_MO[[#This Row],[DNI]],BD_MO[[#This Row],[DNI 2]],BD_MO[[#This Row],[DNI 3]],BD_MO[[#This Row],[DNI 4]]),"")</f>
        <v>2</v>
      </c>
      <c r="U240" s="259">
        <v>1</v>
      </c>
      <c r="V240" s="259"/>
      <c r="W240" s="259"/>
      <c r="X240" s="259">
        <v>1</v>
      </c>
      <c r="Y240" s="260">
        <f>SUM(BD_MO[[#This Row],[LIMP]:[SERV]])</f>
        <v>2</v>
      </c>
      <c r="Z240" s="254"/>
      <c r="AA240" s="254" t="str">
        <f>+IF(BD_MO[[#This Row],[N° VALE]]&lt;&gt;"",1,"")</f>
        <v/>
      </c>
      <c r="AB240" s="251"/>
      <c r="AC240" s="254"/>
      <c r="AD240" s="254" t="str">
        <f>+IF(BD_MO[[#This Row],[N° VALE]]&lt;&gt;"",BD_MO[[#This Row],[FULMINANTE N° 08]]+BD_MO[CARMEX 7''],"")</f>
        <v/>
      </c>
      <c r="AE240" s="254"/>
      <c r="AF240" s="254" t="str">
        <f>+IF(BD_MO[[#This Row],[N° VALE]]&lt;&gt;"",BD_MO[[#This Row],[N° TALADROS]]+BD_MO[[#This Row],[N° TAL. VACIOS]],"")</f>
        <v/>
      </c>
      <c r="AG240" s="261"/>
      <c r="AH240" s="261"/>
      <c r="AI240" s="261"/>
      <c r="AJ240" s="261"/>
      <c r="AK240" s="261"/>
      <c r="AL240" s="261"/>
      <c r="AM240" s="253"/>
      <c r="AN240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40" s="254" t="str">
        <f>+IF(BD_MO[[#This Row],[N° VALE]]&lt;&gt;"",IF(BD_MO[[#This Row],[FULMINANTE N° 08]]&lt;&gt;"",BD_MO[[#This Row],[FULMINANTE N° 08]],IF(BD_MO[[#This Row],[CARMEX 7'']]&lt;&gt;0,0,"")),"")</f>
        <v/>
      </c>
      <c r="AP240" s="259" t="str">
        <f>+IF(BD_MO[[#This Row],[N° VALE]]&lt;&gt;"",BD_MO[[#This Row],[N°  TOTAL TALADROS]]*BD_MO[[#This Row],[BARRA]]*0.95,"")</f>
        <v/>
      </c>
      <c r="AQ240" s="259" t="str">
        <f>+IF(BD_MO[[#This Row],[N° VALE]]&lt;&gt;"",BD_MO[[#This Row],[EMULNOR 1000 (N° CART.)]]*PE_EMUL_1000[PE],"")</f>
        <v/>
      </c>
      <c r="AR240" s="259" t="str">
        <f>+IF(BD_MO[[#This Row],[N° VALE]]&lt;&gt;"",BD_MO[[#This Row],[EMULNOR 3000 (N° CART.)]]*PE_EMUL_3000[PE],"")</f>
        <v/>
      </c>
      <c r="AS240" s="259" t="str">
        <f>+IF(BD_MO[[#This Row],[N° VALE]]&lt;&gt;"",BD_MO[[#This Row],[PULVERULENTA (N° CART.)]]*PE_PULV_65[PE],"")</f>
        <v/>
      </c>
      <c r="AT240" s="259" t="str">
        <f>+IF(BD_MO[[#This Row],[N° DISP]]&lt;&gt;"",BD_MO[[#This Row],[SEMIGELATINA (N° CART.)]]*PE_SEMIGEL_65[PE],"")</f>
        <v/>
      </c>
      <c r="AU240" s="259" t="str">
        <f>+IF(BD_MO[N° VALE]&lt;&gt;"",BD_MO[[#This Row],[KG EXPLO SEMIGEL]]+BD_MO[[#This Row],[KG EXPLO PULVE]]+BD_MO[[#This Row],[KG EXPLO EMULN 3000]]+BD_MO[[#This Row],[KG EXPLO EMULN 1000]],"")</f>
        <v/>
      </c>
      <c r="AV240" s="254"/>
      <c r="AW240" s="254"/>
      <c r="AX240" s="254" t="str">
        <f>+IF(BD_MO[[#This Row],[MINERAL (U-35)]]&lt;&gt;"",BD_MO[[#This Row],[MINERAL (U-35)]]*1.45,"-")</f>
        <v>-</v>
      </c>
      <c r="AY240" s="254" t="str">
        <f>+IF(BD_MO[[#This Row],[DESMONTE (U-35)]]&lt;&gt;"",BD_MO[[#This Row],[DESMONTE (U-35)]]*1.23,"-")</f>
        <v>-</v>
      </c>
      <c r="AZ240" s="254"/>
      <c r="BA240" s="254"/>
      <c r="BB240" s="254"/>
      <c r="BC240" s="254"/>
      <c r="BD240" s="254"/>
      <c r="BE240" s="254"/>
      <c r="BF240" s="254"/>
      <c r="BG240" s="254"/>
      <c r="BH240" s="254"/>
      <c r="BI240" s="254"/>
      <c r="BJ240" s="254"/>
      <c r="BK240" s="254"/>
      <c r="BL240" s="254"/>
      <c r="BM240" s="254"/>
      <c r="BN240" s="253"/>
      <c r="BO240" s="254"/>
      <c r="BP240" s="254"/>
      <c r="BQ240" s="253"/>
      <c r="BR240" s="254"/>
      <c r="BS240" s="253"/>
      <c r="BT240" s="259"/>
      <c r="BU240" s="254"/>
      <c r="BV240" s="254"/>
      <c r="BW240" s="254"/>
      <c r="BX240" s="254"/>
      <c r="BY240" s="254"/>
      <c r="BZ240" s="254"/>
      <c r="CA240" s="254"/>
      <c r="CB240" s="254"/>
      <c r="CC240" s="254"/>
      <c r="CD240" s="254"/>
      <c r="CE240" s="254"/>
      <c r="CF240" s="254"/>
      <c r="CG240" s="254"/>
      <c r="CH240" s="254"/>
      <c r="CI240" s="254"/>
      <c r="CJ240" s="254"/>
      <c r="CK240" s="254"/>
      <c r="CL240" s="254"/>
      <c r="CM240" s="254"/>
      <c r="CN240" s="254"/>
      <c r="CO240" s="254"/>
      <c r="CP240" s="259">
        <f>+IF(BD_MO[[#This Row],[FECHA]]&lt;&gt;"",BD_MO[[#This Row],[PUNTAL 4"]]+BD_MO[[#This Row],[PUNTAL 5"]]+BD_MO[[#This Row],[PUNTAL 6"]]+BD_MO[[#This Row],[PUNTAL 7"]]+BD_MO[[#This Row],[PUNTAL 8"]],"")</f>
        <v>0</v>
      </c>
      <c r="CQ240" s="254"/>
      <c r="CR240" s="254"/>
      <c r="CS240" s="254"/>
      <c r="CT240" s="254"/>
      <c r="CU240" s="254"/>
      <c r="CV240" s="254"/>
      <c r="CW240" s="254"/>
      <c r="CX240" s="254"/>
      <c r="CY240" s="259"/>
      <c r="CZ240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40" s="259">
        <f>+IF(BD_MO[[#This Row],[FECHA]]&lt;&gt;"",BD_MO[[#This Row],[DURMIENTE2]]*6.561+BD_MO[[#This Row],[LISTONES]]*4.921+BD_MO[[#This Row],[TABLA 1"x8"x3m]]*6.561+BD_MO[[#This Row],[TABLA 2"x8"x3m]]*13.122,"")</f>
        <v>0</v>
      </c>
      <c r="DB240" s="259">
        <f>+IF(BD_MO[[#This Row],[FECHA]]&lt;&gt;"",BD_MO[[#This Row],[PIE2 MADERA ASERRADA]]*1.95,"")</f>
        <v>0</v>
      </c>
      <c r="DC240" s="259">
        <f>+IF(BD_MO[[#This Row],[FECHA]]&lt;&gt;"",BD_MO[[#This Row],[KG. MADERA REDONDA]]+BD_MO[[#This Row],[KG MADERA ASERRADA]],"")</f>
        <v>0</v>
      </c>
      <c r="DD240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40" s="254"/>
      <c r="DF240" s="254"/>
      <c r="DG240" s="254"/>
      <c r="DH240" s="254"/>
      <c r="DI240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40" s="263"/>
      <c r="DK240" s="263"/>
      <c r="DL240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40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40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40" s="264"/>
      <c r="DP240" s="263" t="str">
        <f>+IF(BD_MO[[#This Row],[M o D]]&lt;&gt;"",IF(BD_MO[[#This Row],[M o D]]="M",BD_MO[[#This Row],[ROTURA TMH]]/2.65,BD_MO[[#This Row],[ROTURA TMH]]/2.4),"")</f>
        <v/>
      </c>
      <c r="DQ240" s="263"/>
      <c r="DR240" s="116" t="str">
        <f>IF(BD_MO[[#This Row],[TIPO AVANCE]]="Avance",((BD_MO[[#This Row],[AVANCE (m)]]/BD_MO[[#This Row],[AVANCE TEÓRICO]]))," ")</f>
        <v xml:space="preserve"> </v>
      </c>
    </row>
    <row r="241" spans="1:130" ht="18" customHeight="1" x14ac:dyDescent="0.25">
      <c r="A241" s="250">
        <v>44665</v>
      </c>
      <c r="B241" s="251" t="s">
        <v>10655</v>
      </c>
      <c r="C241" s="251" t="s">
        <v>10680</v>
      </c>
      <c r="D241" s="252" t="s">
        <v>11928</v>
      </c>
      <c r="E241" s="253" t="str">
        <f>LEFT(BD_MO[[#This Row],[LABOR]],2)</f>
        <v>Tj</v>
      </c>
      <c r="F241" s="254"/>
      <c r="G241" s="254" t="s">
        <v>10656</v>
      </c>
      <c r="H241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241" s="253" t="str">
        <f>IF(BD_MO[FECHA]&lt;&gt;"",VLOOKUP(BD_MO[LABOR],TB_CECO[[LABOR]:[CECO_T]],3,FALSE),"")</f>
        <v>ESCONDIDA</v>
      </c>
      <c r="J241" s="253" t="str">
        <f>IF(BD_MO[FECHA]&lt;&gt;"",VLOOKUP(BD_MO[LABOR],D_CECO!B:H,7,FALSE),"")</f>
        <v>TAJO</v>
      </c>
      <c r="K241" s="253" t="str">
        <f>IF(BD_MO[FECHA]&lt;&gt;"",VLOOKUP(BD_MO[LABOR],D_CECO!B:H,4,FALSE),"")</f>
        <v>EXPLOTACION</v>
      </c>
      <c r="L241" s="253"/>
      <c r="M241" s="255"/>
      <c r="N241" s="254"/>
      <c r="O241" s="256" t="s">
        <v>11911</v>
      </c>
      <c r="P241" s="256" t="s">
        <v>11913</v>
      </c>
      <c r="Q241" s="256"/>
      <c r="R241" s="257"/>
      <c r="S241" s="258" t="str">
        <f>IFERROR(VLOOKUP(BD_MO[DNI 4],#REF!,2,FALSE)," ")</f>
        <v xml:space="preserve"> </v>
      </c>
      <c r="T241" s="259">
        <f>+IF(BD_MO[[#This Row],[FECHA]]&lt;&gt;"",COUNTA(BD_MO[[#This Row],[DNI]],BD_MO[[#This Row],[DNI 2]],BD_MO[[#This Row],[DNI 3]],BD_MO[[#This Row],[DNI 4]]),"")</f>
        <v>2</v>
      </c>
      <c r="U241" s="259">
        <v>1.4</v>
      </c>
      <c r="V241" s="259"/>
      <c r="W241" s="259"/>
      <c r="X241" s="259">
        <v>0.6</v>
      </c>
      <c r="Y241" s="260">
        <f>SUM(BD_MO[[#This Row],[LIMP]:[SERV]])</f>
        <v>2</v>
      </c>
      <c r="Z241" s="254"/>
      <c r="AA241" s="254" t="str">
        <f>+IF(BD_MO[[#This Row],[N° VALE]]&lt;&gt;"",1,"")</f>
        <v/>
      </c>
      <c r="AB241" s="251"/>
      <c r="AC241" s="254"/>
      <c r="AD241" s="254" t="str">
        <f>+IF(BD_MO[[#This Row],[N° VALE]]&lt;&gt;"",BD_MO[[#This Row],[FULMINANTE N° 08]]+BD_MO[CARMEX 7''],"")</f>
        <v/>
      </c>
      <c r="AE241" s="254"/>
      <c r="AF241" s="254" t="str">
        <f>+IF(BD_MO[[#This Row],[N° VALE]]&lt;&gt;"",BD_MO[[#This Row],[N° TALADROS]]+BD_MO[[#This Row],[N° TAL. VACIOS]],"")</f>
        <v/>
      </c>
      <c r="AG241" s="261"/>
      <c r="AH241" s="261"/>
      <c r="AI241" s="261"/>
      <c r="AJ241" s="261"/>
      <c r="AK241" s="261"/>
      <c r="AL241" s="261"/>
      <c r="AM241" s="253"/>
      <c r="AN241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41" s="254" t="str">
        <f>+IF(BD_MO[[#This Row],[N° VALE]]&lt;&gt;"",IF(BD_MO[[#This Row],[FULMINANTE N° 08]]&lt;&gt;"",BD_MO[[#This Row],[FULMINANTE N° 08]],IF(BD_MO[[#This Row],[CARMEX 7'']]&lt;&gt;0,0,"")),"")</f>
        <v/>
      </c>
      <c r="AP241" s="259" t="str">
        <f>+IF(BD_MO[[#This Row],[N° VALE]]&lt;&gt;"",BD_MO[[#This Row],[N°  TOTAL TALADROS]]*BD_MO[[#This Row],[BARRA]]*0.95,"")</f>
        <v/>
      </c>
      <c r="AQ241" s="259" t="str">
        <f>+IF(BD_MO[[#This Row],[N° VALE]]&lt;&gt;"",BD_MO[[#This Row],[EMULNOR 1000 (N° CART.)]]*PE_EMUL_1000[PE],"")</f>
        <v/>
      </c>
      <c r="AR241" s="259" t="str">
        <f>+IF(BD_MO[[#This Row],[N° VALE]]&lt;&gt;"",BD_MO[[#This Row],[EMULNOR 3000 (N° CART.)]]*PE_EMUL_3000[PE],"")</f>
        <v/>
      </c>
      <c r="AS241" s="259" t="str">
        <f>+IF(BD_MO[[#This Row],[N° VALE]]&lt;&gt;"",BD_MO[[#This Row],[PULVERULENTA (N° CART.)]]*PE_PULV_65[PE],"")</f>
        <v/>
      </c>
      <c r="AT241" s="259" t="str">
        <f>+IF(BD_MO[[#This Row],[N° DISP]]&lt;&gt;"",BD_MO[[#This Row],[SEMIGELATINA (N° CART.)]]*PE_SEMIGEL_65[PE],"")</f>
        <v/>
      </c>
      <c r="AU241" s="259" t="str">
        <f>+IF(BD_MO[N° VALE]&lt;&gt;"",BD_MO[[#This Row],[KG EXPLO SEMIGEL]]+BD_MO[[#This Row],[KG EXPLO PULVE]]+BD_MO[[#This Row],[KG EXPLO EMULN 3000]]+BD_MO[[#This Row],[KG EXPLO EMULN 1000]],"")</f>
        <v/>
      </c>
      <c r="AV241" s="254">
        <v>6</v>
      </c>
      <c r="AW241" s="254"/>
      <c r="AX241" s="254">
        <f>+IF(BD_MO[[#This Row],[MINERAL (U-35)]]&lt;&gt;"",BD_MO[[#This Row],[MINERAL (U-35)]]*1.45,"-")</f>
        <v>8.6999999999999993</v>
      </c>
      <c r="AY241" s="254" t="str">
        <f>+IF(BD_MO[[#This Row],[DESMONTE (U-35)]]&lt;&gt;"",BD_MO[[#This Row],[DESMONTE (U-35)]]*1.23,"-")</f>
        <v>-</v>
      </c>
      <c r="AZ241" s="254"/>
      <c r="BA241" s="254"/>
      <c r="BB241" s="254"/>
      <c r="BC241" s="254"/>
      <c r="BD241" s="254"/>
      <c r="BE241" s="254"/>
      <c r="BF241" s="254"/>
      <c r="BG241" s="254"/>
      <c r="BH241" s="254"/>
      <c r="BI241" s="254"/>
      <c r="BJ241" s="254"/>
      <c r="BK241" s="254"/>
      <c r="BL241" s="254"/>
      <c r="BM241" s="254"/>
      <c r="BN241" s="253"/>
      <c r="BO241" s="254"/>
      <c r="BP241" s="254"/>
      <c r="BQ241" s="253"/>
      <c r="BR241" s="254"/>
      <c r="BS241" s="253"/>
      <c r="BT241" s="259"/>
      <c r="BU241" s="254"/>
      <c r="BV241" s="254"/>
      <c r="BW241" s="254"/>
      <c r="BX241" s="254"/>
      <c r="BY241" s="254"/>
      <c r="BZ241" s="254"/>
      <c r="CA241" s="254"/>
      <c r="CB241" s="254"/>
      <c r="CC241" s="254"/>
      <c r="CD241" s="254"/>
      <c r="CE241" s="254"/>
      <c r="CF241" s="254"/>
      <c r="CG241" s="254"/>
      <c r="CH241" s="254"/>
      <c r="CI241" s="254"/>
      <c r="CJ241" s="254"/>
      <c r="CK241" s="254"/>
      <c r="CL241" s="254"/>
      <c r="CM241" s="254"/>
      <c r="CN241" s="254"/>
      <c r="CO241" s="254"/>
      <c r="CP241" s="259">
        <f>+IF(BD_MO[[#This Row],[FECHA]]&lt;&gt;"",BD_MO[[#This Row],[PUNTAL 4"]]+BD_MO[[#This Row],[PUNTAL 5"]]+BD_MO[[#This Row],[PUNTAL 6"]]+BD_MO[[#This Row],[PUNTAL 7"]]+BD_MO[[#This Row],[PUNTAL 8"]],"")</f>
        <v>0</v>
      </c>
      <c r="CQ241" s="254"/>
      <c r="CR241" s="254"/>
      <c r="CS241" s="254"/>
      <c r="CT241" s="254"/>
      <c r="CU241" s="254"/>
      <c r="CV241" s="254"/>
      <c r="CW241" s="254"/>
      <c r="CX241" s="254"/>
      <c r="CY241" s="259"/>
      <c r="CZ241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41" s="259">
        <f>+IF(BD_MO[[#This Row],[FECHA]]&lt;&gt;"",BD_MO[[#This Row],[DURMIENTE2]]*6.561+BD_MO[[#This Row],[LISTONES]]*4.921+BD_MO[[#This Row],[TABLA 1"x8"x3m]]*6.561+BD_MO[[#This Row],[TABLA 2"x8"x3m]]*13.122,"")</f>
        <v>0</v>
      </c>
      <c r="DB241" s="259">
        <f>+IF(BD_MO[[#This Row],[FECHA]]&lt;&gt;"",BD_MO[[#This Row],[PIE2 MADERA ASERRADA]]*1.95,"")</f>
        <v>0</v>
      </c>
      <c r="DC241" s="259">
        <f>+IF(BD_MO[[#This Row],[FECHA]]&lt;&gt;"",BD_MO[[#This Row],[KG. MADERA REDONDA]]+BD_MO[[#This Row],[KG MADERA ASERRADA]],"")</f>
        <v>0</v>
      </c>
      <c r="DD241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41" s="254"/>
      <c r="DF241" s="254"/>
      <c r="DG241" s="254"/>
      <c r="DH241" s="254"/>
      <c r="DI241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41" s="263"/>
      <c r="DK241" s="263"/>
      <c r="DL241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41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41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41" s="264"/>
      <c r="DP241" s="263" t="str">
        <f>+IF(BD_MO[[#This Row],[M o D]]&lt;&gt;"",IF(BD_MO[[#This Row],[M o D]]="M",BD_MO[[#This Row],[ROTURA TMH]]/2.65,BD_MO[[#This Row],[ROTURA TMH]]/2.4),"")</f>
        <v/>
      </c>
      <c r="DQ241" s="263"/>
      <c r="DR241" s="116" t="str">
        <f>IF(BD_MO[[#This Row],[TIPO AVANCE]]="Avance",((BD_MO[[#This Row],[AVANCE (m)]]/BD_MO[[#This Row],[AVANCE TEÓRICO]]))," ")</f>
        <v xml:space="preserve"> </v>
      </c>
    </row>
    <row r="242" spans="1:130" ht="18" customHeight="1" x14ac:dyDescent="0.25">
      <c r="A242" s="250">
        <v>44665</v>
      </c>
      <c r="B242" s="251" t="s">
        <v>10655</v>
      </c>
      <c r="C242" s="251" t="s">
        <v>10680</v>
      </c>
      <c r="D242" s="252" t="s">
        <v>12253</v>
      </c>
      <c r="E242" s="253" t="str">
        <f>LEFT(BD_MO[[#This Row],[LABOR]],2)</f>
        <v>Sn</v>
      </c>
      <c r="F242" s="254" t="s">
        <v>10950</v>
      </c>
      <c r="G242" s="254" t="s">
        <v>10648</v>
      </c>
      <c r="H242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42" s="253" t="s">
        <v>12246</v>
      </c>
      <c r="J242" s="253" t="s">
        <v>10525</v>
      </c>
      <c r="K242" s="253" t="s">
        <v>12247</v>
      </c>
      <c r="L242" s="253"/>
      <c r="M242" s="255" t="s">
        <v>10646</v>
      </c>
      <c r="N242" s="254"/>
      <c r="O242" s="256" t="s">
        <v>11910</v>
      </c>
      <c r="P242" s="256" t="s">
        <v>11912</v>
      </c>
      <c r="Q242" s="256"/>
      <c r="R242" s="257"/>
      <c r="S242" s="258" t="str">
        <f>IFERROR(VLOOKUP(BD_MO[DNI 4],#REF!,2,FALSE)," ")</f>
        <v xml:space="preserve"> </v>
      </c>
      <c r="T242" s="259">
        <f>+IF(BD_MO[[#This Row],[FECHA]]&lt;&gt;"",COUNTA(BD_MO[[#This Row],[DNI]],BD_MO[[#This Row],[DNI 2]],BD_MO[[#This Row],[DNI 3]],BD_MO[[#This Row],[DNI 4]]),"")</f>
        <v>2</v>
      </c>
      <c r="U242" s="259">
        <v>1</v>
      </c>
      <c r="V242" s="259">
        <v>0.3</v>
      </c>
      <c r="W242" s="259">
        <v>0.4</v>
      </c>
      <c r="X242" s="259">
        <v>0.3</v>
      </c>
      <c r="Y242" s="260">
        <f>SUM(BD_MO[[#This Row],[LIMP]:[SERV]])</f>
        <v>2</v>
      </c>
      <c r="Z242" s="254" t="s">
        <v>12280</v>
      </c>
      <c r="AA242" s="254">
        <f>+IF(BD_MO[[#This Row],[N° VALE]]&lt;&gt;"",1,"")</f>
        <v>1</v>
      </c>
      <c r="AB242" s="251" t="s">
        <v>10709</v>
      </c>
      <c r="AC242" s="254">
        <v>4</v>
      </c>
      <c r="AD242" s="254">
        <f>+IF(BD_MO[[#This Row],[N° VALE]]&lt;&gt;"",BD_MO[[#This Row],[FULMINANTE N° 08]]+BD_MO[CARMEX 7''],"")</f>
        <v>18</v>
      </c>
      <c r="AE242" s="254">
        <v>3</v>
      </c>
      <c r="AF242" s="254">
        <f>+IF(BD_MO[[#This Row],[N° VALE]]&lt;&gt;"",BD_MO[[#This Row],[N° TALADROS]]+BD_MO[[#This Row],[N° TAL. VACIOS]],"")</f>
        <v>21</v>
      </c>
      <c r="AG242" s="261">
        <v>31</v>
      </c>
      <c r="AH242" s="261">
        <v>58</v>
      </c>
      <c r="AI242" s="261"/>
      <c r="AJ242" s="261"/>
      <c r="AK242" s="261">
        <v>18</v>
      </c>
      <c r="AL242" s="261">
        <v>5</v>
      </c>
      <c r="AM242" s="253"/>
      <c r="AN242" s="254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42" s="254">
        <f>+IF(BD_MO[[#This Row],[N° VALE]]&lt;&gt;"",IF(BD_MO[[#This Row],[FULMINANTE N° 08]]&lt;&gt;"",BD_MO[[#This Row],[FULMINANTE N° 08]],IF(BD_MO[[#This Row],[CARMEX 7'']]&lt;&gt;0,0,"")),"")</f>
        <v>0</v>
      </c>
      <c r="AP242" s="259">
        <f>+IF(BD_MO[[#This Row],[N° VALE]]&lt;&gt;"",BD_MO[[#This Row],[N°  TOTAL TALADROS]]*BD_MO[[#This Row],[BARRA]]*0.95,"")</f>
        <v>79.8</v>
      </c>
      <c r="AQ242" s="259">
        <f>+IF(BD_MO[[#This Row],[N° VALE]]&lt;&gt;"",BD_MO[[#This Row],[EMULNOR 1000 (N° CART.)]]*PE_EMUL_1000[PE],"")</f>
        <v>5.4926000000000004</v>
      </c>
      <c r="AR242" s="259">
        <f>+IF(BD_MO[[#This Row],[N° VALE]]&lt;&gt;"",BD_MO[[#This Row],[EMULNOR 3000 (N° CART.)]]*PE_EMUL_3000[PE],"")</f>
        <v>2.9807692307692322</v>
      </c>
      <c r="AS242" s="259">
        <f>+IF(BD_MO[[#This Row],[N° VALE]]&lt;&gt;"",BD_MO[[#This Row],[PULVERULENTA (N° CART.)]]*PE_PULV_65[PE],"")</f>
        <v>0</v>
      </c>
      <c r="AT242" s="259">
        <f>+IF(BD_MO[[#This Row],[N° DISP]]&lt;&gt;"",BD_MO[[#This Row],[SEMIGELATINA (N° CART.)]]*PE_SEMIGEL_65[PE],"")</f>
        <v>0</v>
      </c>
      <c r="AU242" s="259">
        <f>+IF(BD_MO[N° VALE]&lt;&gt;"",BD_MO[[#This Row],[KG EXPLO SEMIGEL]]+BD_MO[[#This Row],[KG EXPLO PULVE]]+BD_MO[[#This Row],[KG EXPLO EMULN 3000]]+BD_MO[[#This Row],[KG EXPLO EMULN 1000]],"")</f>
        <v>8.473369230769233</v>
      </c>
      <c r="AV242" s="254">
        <v>19</v>
      </c>
      <c r="AW242" s="254"/>
      <c r="AX242" s="254">
        <f>+IF(BD_MO[[#This Row],[MINERAL (U-35)]]&lt;&gt;"",BD_MO[[#This Row],[MINERAL (U-35)]]*1.45,"-")</f>
        <v>27.55</v>
      </c>
      <c r="AY242" s="254" t="str">
        <f>+IF(BD_MO[[#This Row],[DESMONTE (U-35)]]&lt;&gt;"",BD_MO[[#This Row],[DESMONTE (U-35)]]*1.23,"-")</f>
        <v>-</v>
      </c>
      <c r="AZ242" s="254"/>
      <c r="BA242" s="254"/>
      <c r="BB242" s="254"/>
      <c r="BC242" s="254"/>
      <c r="BD242" s="254"/>
      <c r="BE242" s="254"/>
      <c r="BF242" s="254"/>
      <c r="BG242" s="254"/>
      <c r="BH242" s="254"/>
      <c r="BI242" s="254"/>
      <c r="BJ242" s="254"/>
      <c r="BK242" s="254"/>
      <c r="BL242" s="254"/>
      <c r="BM242" s="254"/>
      <c r="BN242" s="253"/>
      <c r="BO242" s="254"/>
      <c r="BP242" s="254"/>
      <c r="BQ242" s="253"/>
      <c r="BR242" s="254"/>
      <c r="BS242" s="253"/>
      <c r="BT242" s="259"/>
      <c r="BU242" s="254"/>
      <c r="BV242" s="254"/>
      <c r="BW242" s="254"/>
      <c r="BX242" s="254">
        <v>4</v>
      </c>
      <c r="BY242" s="254"/>
      <c r="BZ242" s="254"/>
      <c r="CA242" s="254"/>
      <c r="CB242" s="254"/>
      <c r="CC242" s="254"/>
      <c r="CD242" s="254"/>
      <c r="CE242" s="254"/>
      <c r="CF242" s="254"/>
      <c r="CG242" s="254"/>
      <c r="CH242" s="254"/>
      <c r="CI242" s="254"/>
      <c r="CJ242" s="254"/>
      <c r="CK242" s="254"/>
      <c r="CL242" s="254"/>
      <c r="CM242" s="254"/>
      <c r="CN242" s="254"/>
      <c r="CO242" s="254"/>
      <c r="CP242" s="259">
        <f>+IF(BD_MO[[#This Row],[FECHA]]&lt;&gt;"",BD_MO[[#This Row],[PUNTAL 4"]]+BD_MO[[#This Row],[PUNTAL 5"]]+BD_MO[[#This Row],[PUNTAL 6"]]+BD_MO[[#This Row],[PUNTAL 7"]]+BD_MO[[#This Row],[PUNTAL 8"]],"")</f>
        <v>0</v>
      </c>
      <c r="CQ242" s="254"/>
      <c r="CR242" s="254"/>
      <c r="CS242" s="254"/>
      <c r="CT242" s="254"/>
      <c r="CU242" s="254"/>
      <c r="CV242" s="254"/>
      <c r="CW242" s="254"/>
      <c r="CX242" s="254"/>
      <c r="CY242" s="259"/>
      <c r="CZ242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42" s="259">
        <f>+IF(BD_MO[[#This Row],[FECHA]]&lt;&gt;"",BD_MO[[#This Row],[DURMIENTE2]]*6.561+BD_MO[[#This Row],[LISTONES]]*4.921+BD_MO[[#This Row],[TABLA 1"x8"x3m]]*6.561+BD_MO[[#This Row],[TABLA 2"x8"x3m]]*13.122,"")</f>
        <v>0</v>
      </c>
      <c r="DB242" s="259">
        <f>+IF(BD_MO[[#This Row],[FECHA]]&lt;&gt;"",BD_MO[[#This Row],[PIE2 MADERA ASERRADA]]*1.95,"")</f>
        <v>0</v>
      </c>
      <c r="DC242" s="259">
        <f>+IF(BD_MO[[#This Row],[FECHA]]&lt;&gt;"",BD_MO[[#This Row],[KG. MADERA REDONDA]]+BD_MO[[#This Row],[KG MADERA ASERRADA]],"")</f>
        <v>0</v>
      </c>
      <c r="DD242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42" s="254"/>
      <c r="DF242" s="254"/>
      <c r="DG242" s="254"/>
      <c r="DH242" s="254"/>
      <c r="DI242" s="263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42" s="263"/>
      <c r="DK242" s="263"/>
      <c r="DL242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42" s="263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42" s="263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42" s="264">
        <v>8.1999999999999993</v>
      </c>
      <c r="DP242" s="263">
        <f>+IF(BD_MO[[#This Row],[M o D]]&lt;&gt;"",IF(BD_MO[[#This Row],[M o D]]="M",BD_MO[[#This Row],[ROTURA TMH]]/2.65,BD_MO[[#This Row],[ROTURA TMH]]/2.4),"")</f>
        <v>3.0943396226415092</v>
      </c>
      <c r="DQ242" s="263">
        <v>1.1000000000000001</v>
      </c>
      <c r="DR242" s="116">
        <f>IF(BD_MO[[#This Row],[TIPO AVANCE]]="Avance",((BD_MO[[#This Row],[AVANCE (m)]]/BD_MO[[#This Row],[AVANCE TEÓRICO]]))," ")</f>
        <v>1.0185185185185186</v>
      </c>
    </row>
    <row r="243" spans="1:130" ht="18" customHeight="1" x14ac:dyDescent="0.25">
      <c r="A243" s="250">
        <v>44665</v>
      </c>
      <c r="B243" s="251" t="s">
        <v>10655</v>
      </c>
      <c r="C243" s="251" t="s">
        <v>10680</v>
      </c>
      <c r="D243" s="252" t="s">
        <v>12149</v>
      </c>
      <c r="E243" s="253" t="str">
        <f>LEFT(BD_MO[[#This Row],[LABOR]],2)</f>
        <v>Es</v>
      </c>
      <c r="F243" s="254"/>
      <c r="G243" s="254" t="s">
        <v>10662</v>
      </c>
      <c r="H243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243" s="253" t="str">
        <f>IF(BD_MO[FECHA]&lt;&gt;"",VLOOKUP(BD_MO[LABOR],TB_CECO[[LABOR]:[CECO_T]],3,FALSE),"")</f>
        <v>VANESSA</v>
      </c>
      <c r="J243" s="253" t="str">
        <f>IF(BD_MO[FECHA]&lt;&gt;"",VLOOKUP(BD_MO[LABOR],D_CECO!B:H,7,FALSE),"")</f>
        <v>LINEAL</v>
      </c>
      <c r="K243" s="253" t="str">
        <f>IF(BD_MO[FECHA]&lt;&gt;"",VLOOKUP(BD_MO[LABOR],D_CECO!B:H,4,FALSE),"")</f>
        <v>EXPLORACION</v>
      </c>
      <c r="L243" s="253"/>
      <c r="M243" s="255"/>
      <c r="N243" s="254"/>
      <c r="O243" s="256" t="s">
        <v>11904</v>
      </c>
      <c r="P243" s="256" t="s">
        <v>11926</v>
      </c>
      <c r="Q243" s="256"/>
      <c r="R243" s="257"/>
      <c r="S243" s="258" t="str">
        <f>IFERROR(VLOOKUP(BD_MO[DNI 4],#REF!,2,FALSE)," ")</f>
        <v xml:space="preserve"> </v>
      </c>
      <c r="T243" s="259">
        <f>+IF(BD_MO[[#This Row],[FECHA]]&lt;&gt;"",COUNTA(BD_MO[[#This Row],[DNI]],BD_MO[[#This Row],[DNI 2]],BD_MO[[#This Row],[DNI 3]],BD_MO[[#This Row],[DNI 4]]),"")</f>
        <v>2</v>
      </c>
      <c r="U243" s="259">
        <v>0.4</v>
      </c>
      <c r="V243" s="259">
        <v>0.3</v>
      </c>
      <c r="W243" s="259">
        <v>1</v>
      </c>
      <c r="X243" s="259">
        <v>0.3</v>
      </c>
      <c r="Y243" s="260">
        <f>SUM(BD_MO[[#This Row],[LIMP]:[SERV]])</f>
        <v>2</v>
      </c>
      <c r="Z243" s="254"/>
      <c r="AA243" s="254" t="str">
        <f>+IF(BD_MO[[#This Row],[N° VALE]]&lt;&gt;"",1,"")</f>
        <v/>
      </c>
      <c r="AB243" s="251"/>
      <c r="AC243" s="254"/>
      <c r="AD243" s="254" t="str">
        <f>+IF(BD_MO[[#This Row],[N° VALE]]&lt;&gt;"",BD_MO[[#This Row],[FULMINANTE N° 08]]+BD_MO[CARMEX 7''],"")</f>
        <v/>
      </c>
      <c r="AE243" s="254"/>
      <c r="AF243" s="254" t="str">
        <f>+IF(BD_MO[[#This Row],[N° VALE]]&lt;&gt;"",BD_MO[[#This Row],[N° TALADROS]]+BD_MO[[#This Row],[N° TAL. VACIOS]],"")</f>
        <v/>
      </c>
      <c r="AG243" s="261"/>
      <c r="AH243" s="261"/>
      <c r="AI243" s="261"/>
      <c r="AJ243" s="261"/>
      <c r="AK243" s="261"/>
      <c r="AL243" s="261"/>
      <c r="AM243" s="253"/>
      <c r="AN243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43" s="254" t="str">
        <f>+IF(BD_MO[[#This Row],[N° VALE]]&lt;&gt;"",IF(BD_MO[[#This Row],[FULMINANTE N° 08]]&lt;&gt;"",BD_MO[[#This Row],[FULMINANTE N° 08]],IF(BD_MO[[#This Row],[CARMEX 7'']]&lt;&gt;0,0,"")),"")</f>
        <v/>
      </c>
      <c r="AP243" s="259" t="str">
        <f>+IF(BD_MO[[#This Row],[N° VALE]]&lt;&gt;"",BD_MO[[#This Row],[N°  TOTAL TALADROS]]*BD_MO[[#This Row],[BARRA]]*0.95,"")</f>
        <v/>
      </c>
      <c r="AQ243" s="259" t="str">
        <f>+IF(BD_MO[[#This Row],[N° VALE]]&lt;&gt;"",BD_MO[[#This Row],[EMULNOR 1000 (N° CART.)]]*PE_EMUL_1000[PE],"")</f>
        <v/>
      </c>
      <c r="AR243" s="259" t="str">
        <f>+IF(BD_MO[[#This Row],[N° VALE]]&lt;&gt;"",BD_MO[[#This Row],[EMULNOR 3000 (N° CART.)]]*PE_EMUL_3000[PE],"")</f>
        <v/>
      </c>
      <c r="AS243" s="259" t="str">
        <f>+IF(BD_MO[[#This Row],[N° VALE]]&lt;&gt;"",BD_MO[[#This Row],[PULVERULENTA (N° CART.)]]*PE_PULV_65[PE],"")</f>
        <v/>
      </c>
      <c r="AT243" s="259" t="str">
        <f>+IF(BD_MO[[#This Row],[N° DISP]]&lt;&gt;"",BD_MO[[#This Row],[SEMIGELATINA (N° CART.)]]*PE_SEMIGEL_65[PE],"")</f>
        <v/>
      </c>
      <c r="AU243" s="259" t="str">
        <f>+IF(BD_MO[N° VALE]&lt;&gt;"",BD_MO[[#This Row],[KG EXPLO SEMIGEL]]+BD_MO[[#This Row],[KG EXPLO PULVE]]+BD_MO[[#This Row],[KG EXPLO EMULN 3000]]+BD_MO[[#This Row],[KG EXPLO EMULN 1000]],"")</f>
        <v/>
      </c>
      <c r="AV243" s="254"/>
      <c r="AW243" s="254"/>
      <c r="AX243" s="254" t="str">
        <f>+IF(BD_MO[[#This Row],[MINERAL (U-35)]]&lt;&gt;"",BD_MO[[#This Row],[MINERAL (U-35)]]*1.45,"-")</f>
        <v>-</v>
      </c>
      <c r="AY243" s="254" t="str">
        <f>+IF(BD_MO[[#This Row],[DESMONTE (U-35)]]&lt;&gt;"",BD_MO[[#This Row],[DESMONTE (U-35)]]*1.23,"-")</f>
        <v>-</v>
      </c>
      <c r="AZ243" s="254"/>
      <c r="BA243" s="254"/>
      <c r="BB243" s="254"/>
      <c r="BC243" s="254">
        <v>2</v>
      </c>
      <c r="BD243" s="254"/>
      <c r="BE243" s="254"/>
      <c r="BF243" s="254"/>
      <c r="BG243" s="254"/>
      <c r="BH243" s="254"/>
      <c r="BI243" s="254"/>
      <c r="BJ243" s="254"/>
      <c r="BK243" s="254"/>
      <c r="BL243" s="254"/>
      <c r="BM243" s="254"/>
      <c r="BN243" s="253"/>
      <c r="BO243" s="254"/>
      <c r="BP243" s="254"/>
      <c r="BQ243" s="253"/>
      <c r="BR243" s="254"/>
      <c r="BS243" s="253"/>
      <c r="BT243" s="259"/>
      <c r="BU243" s="254"/>
      <c r="BV243" s="254"/>
      <c r="BW243" s="254"/>
      <c r="BX243" s="254"/>
      <c r="BY243" s="254"/>
      <c r="BZ243" s="254"/>
      <c r="CA243" s="254"/>
      <c r="CB243" s="254"/>
      <c r="CC243" s="254"/>
      <c r="CD243" s="254"/>
      <c r="CE243" s="254"/>
      <c r="CF243" s="254"/>
      <c r="CG243" s="254"/>
      <c r="CH243" s="254"/>
      <c r="CI243" s="254"/>
      <c r="CJ243" s="254"/>
      <c r="CK243" s="254"/>
      <c r="CL243" s="254"/>
      <c r="CM243" s="254"/>
      <c r="CN243" s="254"/>
      <c r="CO243" s="254"/>
      <c r="CP243" s="259">
        <f>+IF(BD_MO[[#This Row],[FECHA]]&lt;&gt;"",BD_MO[[#This Row],[PUNTAL 4"]]+BD_MO[[#This Row],[PUNTAL 5"]]+BD_MO[[#This Row],[PUNTAL 6"]]+BD_MO[[#This Row],[PUNTAL 7"]]+BD_MO[[#This Row],[PUNTAL 8"]],"")</f>
        <v>0</v>
      </c>
      <c r="CQ243" s="254"/>
      <c r="CR243" s="254"/>
      <c r="CS243" s="254"/>
      <c r="CT243" s="254"/>
      <c r="CU243" s="254"/>
      <c r="CV243" s="254"/>
      <c r="CW243" s="254"/>
      <c r="CX243" s="254"/>
      <c r="CY243" s="259"/>
      <c r="CZ243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43" s="259">
        <f>+IF(BD_MO[[#This Row],[FECHA]]&lt;&gt;"",BD_MO[[#This Row],[DURMIENTE2]]*6.561+BD_MO[[#This Row],[LISTONES]]*4.921+BD_MO[[#This Row],[TABLA 1"x8"x3m]]*6.561+BD_MO[[#This Row],[TABLA 2"x8"x3m]]*13.122,"")</f>
        <v>0</v>
      </c>
      <c r="DB243" s="259">
        <f>+IF(BD_MO[[#This Row],[FECHA]]&lt;&gt;"",BD_MO[[#This Row],[PIE2 MADERA ASERRADA]]*1.95,"")</f>
        <v>0</v>
      </c>
      <c r="DC243" s="259">
        <f>+IF(BD_MO[[#This Row],[FECHA]]&lt;&gt;"",BD_MO[[#This Row],[KG. MADERA REDONDA]]+BD_MO[[#This Row],[KG MADERA ASERRADA]],"")</f>
        <v>0</v>
      </c>
      <c r="DD243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43" s="254"/>
      <c r="DF243" s="254"/>
      <c r="DG243" s="254"/>
      <c r="DH243" s="254"/>
      <c r="DI243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43" s="263"/>
      <c r="DK243" s="263"/>
      <c r="DL243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43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43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43" s="264"/>
      <c r="DP243" s="263" t="str">
        <f>+IF(BD_MO[[#This Row],[M o D]]&lt;&gt;"",IF(BD_MO[[#This Row],[M o D]]="M",BD_MO[[#This Row],[ROTURA TMH]]/2.65,BD_MO[[#This Row],[ROTURA TMH]]/2.4),"")</f>
        <v/>
      </c>
      <c r="DQ243" s="263"/>
      <c r="DR243" s="116" t="str">
        <f>IF(BD_MO[[#This Row],[TIPO AVANCE]]="Avance",((BD_MO[[#This Row],[AVANCE (m)]]/BD_MO[[#This Row],[AVANCE TEÓRICO]]))," ")</f>
        <v xml:space="preserve"> </v>
      </c>
    </row>
    <row r="244" spans="1:130" ht="18" customHeight="1" x14ac:dyDescent="0.25">
      <c r="A244" s="250">
        <v>44665</v>
      </c>
      <c r="B244" s="251" t="s">
        <v>10655</v>
      </c>
      <c r="C244" s="251" t="s">
        <v>10680</v>
      </c>
      <c r="D244" s="252" t="s">
        <v>12176</v>
      </c>
      <c r="E244" s="253" t="str">
        <f>LEFT(BD_MO[[#This Row],[LABOR]],2)</f>
        <v>Sn</v>
      </c>
      <c r="F244" s="254"/>
      <c r="G244" s="254" t="s">
        <v>10669</v>
      </c>
      <c r="H244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44" s="253" t="str">
        <f>IF(BD_MO[FECHA]&lt;&gt;"",VLOOKUP(BD_MO[LABOR],TB_CECO[[LABOR]:[CECO_T]],3,FALSE),"")</f>
        <v>VANESSA</v>
      </c>
      <c r="J244" s="253" t="str">
        <f>IF(BD_MO[FECHA]&lt;&gt;"",VLOOKUP(BD_MO[LABOR],D_CECO!B:H,7,FALSE),"")</f>
        <v>LINEAL</v>
      </c>
      <c r="K244" s="253" t="str">
        <f>IF(BD_MO[FECHA]&lt;&gt;"",VLOOKUP(BD_MO[LABOR],D_CECO!B:H,4,FALSE),"")</f>
        <v>EXPLORACION</v>
      </c>
      <c r="L244" s="253"/>
      <c r="M244" s="255"/>
      <c r="N244" s="254"/>
      <c r="O244" s="256" t="s">
        <v>12151</v>
      </c>
      <c r="P244" s="256"/>
      <c r="Q244" s="256"/>
      <c r="R244" s="257"/>
      <c r="S244" s="258" t="str">
        <f>IFERROR(VLOOKUP(BD_MO[DNI 4],#REF!,2,FALSE)," ")</f>
        <v xml:space="preserve"> </v>
      </c>
      <c r="T244" s="259">
        <f>+IF(BD_MO[[#This Row],[FECHA]]&lt;&gt;"",COUNTA(BD_MO[[#This Row],[DNI]],BD_MO[[#This Row],[DNI 2]],BD_MO[[#This Row],[DNI 3]],BD_MO[[#This Row],[DNI 4]]),"")</f>
        <v>1</v>
      </c>
      <c r="U244" s="259"/>
      <c r="V244" s="259"/>
      <c r="W244" s="259"/>
      <c r="X244" s="259">
        <v>1</v>
      </c>
      <c r="Y244" s="260">
        <f>SUM(BD_MO[[#This Row],[LIMP]:[SERV]])</f>
        <v>1</v>
      </c>
      <c r="Z244" s="254"/>
      <c r="AA244" s="254" t="str">
        <f>+IF(BD_MO[[#This Row],[N° VALE]]&lt;&gt;"",1,"")</f>
        <v/>
      </c>
      <c r="AB244" s="251"/>
      <c r="AC244" s="254"/>
      <c r="AD244" s="254" t="str">
        <f>+IF(BD_MO[[#This Row],[N° VALE]]&lt;&gt;"",BD_MO[[#This Row],[FULMINANTE N° 08]]+BD_MO[CARMEX 7''],"")</f>
        <v/>
      </c>
      <c r="AE244" s="254"/>
      <c r="AF244" s="254" t="str">
        <f>+IF(BD_MO[[#This Row],[N° VALE]]&lt;&gt;"",BD_MO[[#This Row],[N° TALADROS]]+BD_MO[[#This Row],[N° TAL. VACIOS]],"")</f>
        <v/>
      </c>
      <c r="AG244" s="261"/>
      <c r="AH244" s="261"/>
      <c r="AI244" s="261"/>
      <c r="AJ244" s="261"/>
      <c r="AK244" s="261"/>
      <c r="AL244" s="261"/>
      <c r="AM244" s="253"/>
      <c r="AN244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44" s="254" t="str">
        <f>+IF(BD_MO[[#This Row],[N° VALE]]&lt;&gt;"",IF(BD_MO[[#This Row],[FULMINANTE N° 08]]&lt;&gt;"",BD_MO[[#This Row],[FULMINANTE N° 08]],IF(BD_MO[[#This Row],[CARMEX 7'']]&lt;&gt;0,0,"")),"")</f>
        <v/>
      </c>
      <c r="AP244" s="259" t="str">
        <f>+IF(BD_MO[[#This Row],[N° VALE]]&lt;&gt;"",BD_MO[[#This Row],[N°  TOTAL TALADROS]]*BD_MO[[#This Row],[BARRA]]*0.95,"")</f>
        <v/>
      </c>
      <c r="AQ244" s="259" t="str">
        <f>+IF(BD_MO[[#This Row],[N° VALE]]&lt;&gt;"",BD_MO[[#This Row],[EMULNOR 1000 (N° CART.)]]*PE_EMUL_1000[PE],"")</f>
        <v/>
      </c>
      <c r="AR244" s="259" t="str">
        <f>+IF(BD_MO[[#This Row],[N° VALE]]&lt;&gt;"",BD_MO[[#This Row],[EMULNOR 3000 (N° CART.)]]*PE_EMUL_3000[PE],"")</f>
        <v/>
      </c>
      <c r="AS244" s="259" t="str">
        <f>+IF(BD_MO[[#This Row],[N° VALE]]&lt;&gt;"",BD_MO[[#This Row],[PULVERULENTA (N° CART.)]]*PE_PULV_65[PE],"")</f>
        <v/>
      </c>
      <c r="AT244" s="259" t="str">
        <f>+IF(BD_MO[[#This Row],[N° DISP]]&lt;&gt;"",BD_MO[[#This Row],[SEMIGELATINA (N° CART.)]]*PE_SEMIGEL_65[PE],"")</f>
        <v/>
      </c>
      <c r="AU244" s="259" t="str">
        <f>+IF(BD_MO[N° VALE]&lt;&gt;"",BD_MO[[#This Row],[KG EXPLO SEMIGEL]]+BD_MO[[#This Row],[KG EXPLO PULVE]]+BD_MO[[#This Row],[KG EXPLO EMULN 3000]]+BD_MO[[#This Row],[KG EXPLO EMULN 1000]],"")</f>
        <v/>
      </c>
      <c r="AV244" s="254"/>
      <c r="AW244" s="254"/>
      <c r="AX244" s="254" t="str">
        <f>+IF(BD_MO[[#This Row],[MINERAL (U-35)]]&lt;&gt;"",BD_MO[[#This Row],[MINERAL (U-35)]]*1.45,"-")</f>
        <v>-</v>
      </c>
      <c r="AY244" s="254" t="str">
        <f>+IF(BD_MO[[#This Row],[DESMONTE (U-35)]]&lt;&gt;"",BD_MO[[#This Row],[DESMONTE (U-35)]]*1.23,"-")</f>
        <v>-</v>
      </c>
      <c r="AZ244" s="254"/>
      <c r="BA244" s="254"/>
      <c r="BB244" s="254"/>
      <c r="BC244" s="254"/>
      <c r="BD244" s="254"/>
      <c r="BE244" s="254"/>
      <c r="BF244" s="254"/>
      <c r="BG244" s="254"/>
      <c r="BH244" s="254"/>
      <c r="BI244" s="254"/>
      <c r="BJ244" s="254"/>
      <c r="BK244" s="254"/>
      <c r="BL244" s="254"/>
      <c r="BM244" s="254"/>
      <c r="BN244" s="253"/>
      <c r="BO244" s="254"/>
      <c r="BP244" s="254"/>
      <c r="BQ244" s="253"/>
      <c r="BR244" s="254"/>
      <c r="BS244" s="253"/>
      <c r="BT244" s="259"/>
      <c r="BU244" s="254"/>
      <c r="BV244" s="254"/>
      <c r="BW244" s="254"/>
      <c r="BX244" s="254"/>
      <c r="BY244" s="254"/>
      <c r="BZ244" s="254"/>
      <c r="CA244" s="254"/>
      <c r="CB244" s="254"/>
      <c r="CC244" s="254"/>
      <c r="CD244" s="254"/>
      <c r="CE244" s="254"/>
      <c r="CF244" s="254"/>
      <c r="CG244" s="254"/>
      <c r="CH244" s="254"/>
      <c r="CI244" s="254"/>
      <c r="CJ244" s="254"/>
      <c r="CK244" s="254"/>
      <c r="CL244" s="254"/>
      <c r="CM244" s="254"/>
      <c r="CN244" s="254"/>
      <c r="CO244" s="254"/>
      <c r="CP244" s="259">
        <f>+IF(BD_MO[[#This Row],[FECHA]]&lt;&gt;"",BD_MO[[#This Row],[PUNTAL 4"]]+BD_MO[[#This Row],[PUNTAL 5"]]+BD_MO[[#This Row],[PUNTAL 6"]]+BD_MO[[#This Row],[PUNTAL 7"]]+BD_MO[[#This Row],[PUNTAL 8"]],"")</f>
        <v>0</v>
      </c>
      <c r="CQ244" s="254"/>
      <c r="CR244" s="254"/>
      <c r="CS244" s="254"/>
      <c r="CT244" s="254"/>
      <c r="CU244" s="254"/>
      <c r="CV244" s="254"/>
      <c r="CW244" s="254"/>
      <c r="CX244" s="254"/>
      <c r="CY244" s="259"/>
      <c r="CZ244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44" s="259">
        <f>+IF(BD_MO[[#This Row],[FECHA]]&lt;&gt;"",BD_MO[[#This Row],[DURMIENTE2]]*6.561+BD_MO[[#This Row],[LISTONES]]*4.921+BD_MO[[#This Row],[TABLA 1"x8"x3m]]*6.561+BD_MO[[#This Row],[TABLA 2"x8"x3m]]*13.122,"")</f>
        <v>0</v>
      </c>
      <c r="DB244" s="259">
        <f>+IF(BD_MO[[#This Row],[FECHA]]&lt;&gt;"",BD_MO[[#This Row],[PIE2 MADERA ASERRADA]]*1.95,"")</f>
        <v>0</v>
      </c>
      <c r="DC244" s="259">
        <f>+IF(BD_MO[[#This Row],[FECHA]]&lt;&gt;"",BD_MO[[#This Row],[KG. MADERA REDONDA]]+BD_MO[[#This Row],[KG MADERA ASERRADA]],"")</f>
        <v>0</v>
      </c>
      <c r="DD244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44" s="254"/>
      <c r="DF244" s="254"/>
      <c r="DG244" s="254"/>
      <c r="DH244" s="254"/>
      <c r="DI244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44" s="263"/>
      <c r="DK244" s="263"/>
      <c r="DL244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44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44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44" s="264"/>
      <c r="DP244" s="263" t="str">
        <f>+IF(BD_MO[[#This Row],[M o D]]&lt;&gt;"",IF(BD_MO[[#This Row],[M o D]]="M",BD_MO[[#This Row],[ROTURA TMH]]/2.65,BD_MO[[#This Row],[ROTURA TMH]]/2.4),"")</f>
        <v/>
      </c>
      <c r="DQ244" s="263"/>
      <c r="DR244" s="116" t="str">
        <f>IF(BD_MO[[#This Row],[TIPO AVANCE]]="Avance",((BD_MO[[#This Row],[AVANCE (m)]]/BD_MO[[#This Row],[AVANCE TEÓRICO]]))," ")</f>
        <v xml:space="preserve"> </v>
      </c>
    </row>
    <row r="245" spans="1:130" ht="18" customHeight="1" x14ac:dyDescent="0.25">
      <c r="A245" s="250">
        <v>44665</v>
      </c>
      <c r="B245" s="251" t="s">
        <v>10655</v>
      </c>
      <c r="C245" s="251" t="s">
        <v>10680</v>
      </c>
      <c r="D245" s="252" t="s">
        <v>10952</v>
      </c>
      <c r="E245" s="253" t="str">
        <f>LEFT(BD_MO[[#This Row],[LABOR]],2)</f>
        <v>In</v>
      </c>
      <c r="F245" s="254"/>
      <c r="G245" s="254" t="s">
        <v>10669</v>
      </c>
      <c r="H245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45" s="253" t="str">
        <f>IF(BD_MO[FECHA]&lt;&gt;"",VLOOKUP(BD_MO[LABOR],TB_CECO[[LABOR]:[CECO_T]],3,FALSE),"")</f>
        <v>VANESSA</v>
      </c>
      <c r="J245" s="253" t="str">
        <f>IF(BD_MO[FECHA]&lt;&gt;"",VLOOKUP(BD_MO[LABOR],D_CECO!B:H,7,FALSE),"")</f>
        <v>LINEAL</v>
      </c>
      <c r="K245" s="253" t="str">
        <f>IF(BD_MO[FECHA]&lt;&gt;"",VLOOKUP(BD_MO[LABOR],D_CECO!B:H,4,FALSE),"")</f>
        <v>EXPLORACION</v>
      </c>
      <c r="L245" s="253"/>
      <c r="M245" s="255"/>
      <c r="N245" s="254"/>
      <c r="O245" s="256" t="s">
        <v>11925</v>
      </c>
      <c r="P245" s="256" t="s">
        <v>11906</v>
      </c>
      <c r="Q245" s="256"/>
      <c r="R245" s="257"/>
      <c r="S245" s="258" t="str">
        <f>IFERROR(VLOOKUP(BD_MO[DNI 4],#REF!,2,FALSE)," ")</f>
        <v xml:space="preserve"> </v>
      </c>
      <c r="T245" s="259">
        <f>+IF(BD_MO[[#This Row],[FECHA]]&lt;&gt;"",COUNTA(BD_MO[[#This Row],[DNI]],BD_MO[[#This Row],[DNI 2]],BD_MO[[#This Row],[DNI 3]],BD_MO[[#This Row],[DNI 4]]),"")</f>
        <v>2</v>
      </c>
      <c r="U245" s="259"/>
      <c r="V245" s="259"/>
      <c r="W245" s="259"/>
      <c r="X245" s="259">
        <v>2</v>
      </c>
      <c r="Y245" s="260">
        <f>SUM(BD_MO[[#This Row],[LIMP]:[SERV]])</f>
        <v>2</v>
      </c>
      <c r="Z245" s="254"/>
      <c r="AA245" s="254" t="str">
        <f>+IF(BD_MO[[#This Row],[N° VALE]]&lt;&gt;"",1,"")</f>
        <v/>
      </c>
      <c r="AB245" s="251"/>
      <c r="AC245" s="254"/>
      <c r="AD245" s="254" t="str">
        <f>+IF(BD_MO[[#This Row],[N° VALE]]&lt;&gt;"",BD_MO[[#This Row],[FULMINANTE N° 08]]+BD_MO[CARMEX 7''],"")</f>
        <v/>
      </c>
      <c r="AE245" s="254"/>
      <c r="AF245" s="254" t="str">
        <f>+IF(BD_MO[[#This Row],[N° VALE]]&lt;&gt;"",BD_MO[[#This Row],[N° TALADROS]]+BD_MO[[#This Row],[N° TAL. VACIOS]],"")</f>
        <v/>
      </c>
      <c r="AG245" s="261"/>
      <c r="AH245" s="261"/>
      <c r="AI245" s="261"/>
      <c r="AJ245" s="261"/>
      <c r="AK245" s="261"/>
      <c r="AL245" s="261"/>
      <c r="AM245" s="253"/>
      <c r="AN245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45" s="254" t="str">
        <f>+IF(BD_MO[[#This Row],[N° VALE]]&lt;&gt;"",IF(BD_MO[[#This Row],[FULMINANTE N° 08]]&lt;&gt;"",BD_MO[[#This Row],[FULMINANTE N° 08]],IF(BD_MO[[#This Row],[CARMEX 7'']]&lt;&gt;0,0,"")),"")</f>
        <v/>
      </c>
      <c r="AP245" s="259" t="str">
        <f>+IF(BD_MO[[#This Row],[N° VALE]]&lt;&gt;"",BD_MO[[#This Row],[N°  TOTAL TALADROS]]*BD_MO[[#This Row],[BARRA]]*0.95,"")</f>
        <v/>
      </c>
      <c r="AQ245" s="259" t="str">
        <f>+IF(BD_MO[[#This Row],[N° VALE]]&lt;&gt;"",BD_MO[[#This Row],[EMULNOR 1000 (N° CART.)]]*PE_EMUL_1000[PE],"")</f>
        <v/>
      </c>
      <c r="AR245" s="259" t="str">
        <f>+IF(BD_MO[[#This Row],[N° VALE]]&lt;&gt;"",BD_MO[[#This Row],[EMULNOR 3000 (N° CART.)]]*PE_EMUL_3000[PE],"")</f>
        <v/>
      </c>
      <c r="AS245" s="259" t="str">
        <f>+IF(BD_MO[[#This Row],[N° VALE]]&lt;&gt;"",BD_MO[[#This Row],[PULVERULENTA (N° CART.)]]*PE_PULV_65[PE],"")</f>
        <v/>
      </c>
      <c r="AT245" s="259" t="str">
        <f>+IF(BD_MO[[#This Row],[N° DISP]]&lt;&gt;"",BD_MO[[#This Row],[SEMIGELATINA (N° CART.)]]*PE_SEMIGEL_65[PE],"")</f>
        <v/>
      </c>
      <c r="AU245" s="259" t="str">
        <f>+IF(BD_MO[N° VALE]&lt;&gt;"",BD_MO[[#This Row],[KG EXPLO SEMIGEL]]+BD_MO[[#This Row],[KG EXPLO PULVE]]+BD_MO[[#This Row],[KG EXPLO EMULN 3000]]+BD_MO[[#This Row],[KG EXPLO EMULN 1000]],"")</f>
        <v/>
      </c>
      <c r="AV245" s="254"/>
      <c r="AW245" s="254"/>
      <c r="AX245" s="254" t="str">
        <f>+IF(BD_MO[[#This Row],[MINERAL (U-35)]]&lt;&gt;"",BD_MO[[#This Row],[MINERAL (U-35)]]*1.45,"-")</f>
        <v>-</v>
      </c>
      <c r="AY245" s="254" t="str">
        <f>+IF(BD_MO[[#This Row],[DESMONTE (U-35)]]&lt;&gt;"",BD_MO[[#This Row],[DESMONTE (U-35)]]*1.23,"-")</f>
        <v>-</v>
      </c>
      <c r="AZ245" s="254"/>
      <c r="BA245" s="254"/>
      <c r="BB245" s="254"/>
      <c r="BC245" s="254"/>
      <c r="BD245" s="254"/>
      <c r="BE245" s="254"/>
      <c r="BF245" s="254"/>
      <c r="BG245" s="254"/>
      <c r="BH245" s="254"/>
      <c r="BI245" s="254"/>
      <c r="BJ245" s="254"/>
      <c r="BK245" s="254"/>
      <c r="BL245" s="254"/>
      <c r="BM245" s="254"/>
      <c r="BN245" s="253"/>
      <c r="BO245" s="254"/>
      <c r="BP245" s="254"/>
      <c r="BQ245" s="253"/>
      <c r="BR245" s="254"/>
      <c r="BS245" s="253"/>
      <c r="BT245" s="259"/>
      <c r="BU245" s="254"/>
      <c r="BV245" s="254"/>
      <c r="BW245" s="254"/>
      <c r="BX245" s="254"/>
      <c r="BY245" s="254"/>
      <c r="BZ245" s="254"/>
      <c r="CA245" s="254"/>
      <c r="CB245" s="254"/>
      <c r="CC245" s="254"/>
      <c r="CD245" s="254"/>
      <c r="CE245" s="254"/>
      <c r="CF245" s="254"/>
      <c r="CG245" s="254"/>
      <c r="CH245" s="254"/>
      <c r="CI245" s="254"/>
      <c r="CJ245" s="254"/>
      <c r="CK245" s="254"/>
      <c r="CL245" s="254"/>
      <c r="CM245" s="254"/>
      <c r="CN245" s="254"/>
      <c r="CO245" s="254"/>
      <c r="CP245" s="259">
        <f>+IF(BD_MO[[#This Row],[FECHA]]&lt;&gt;"",BD_MO[[#This Row],[PUNTAL 4"]]+BD_MO[[#This Row],[PUNTAL 5"]]+BD_MO[[#This Row],[PUNTAL 6"]]+BD_MO[[#This Row],[PUNTAL 7"]]+BD_MO[[#This Row],[PUNTAL 8"]],"")</f>
        <v>0</v>
      </c>
      <c r="CQ245" s="254"/>
      <c r="CR245" s="254"/>
      <c r="CS245" s="254"/>
      <c r="CT245" s="254"/>
      <c r="CU245" s="254"/>
      <c r="CV245" s="254"/>
      <c r="CW245" s="254"/>
      <c r="CX245" s="254"/>
      <c r="CY245" s="259"/>
      <c r="CZ245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45" s="259">
        <f>+IF(BD_MO[[#This Row],[FECHA]]&lt;&gt;"",BD_MO[[#This Row],[DURMIENTE2]]*6.561+BD_MO[[#This Row],[LISTONES]]*4.921+BD_MO[[#This Row],[TABLA 1"x8"x3m]]*6.561+BD_MO[[#This Row],[TABLA 2"x8"x3m]]*13.122,"")</f>
        <v>0</v>
      </c>
      <c r="DB245" s="259">
        <f>+IF(BD_MO[[#This Row],[FECHA]]&lt;&gt;"",BD_MO[[#This Row],[PIE2 MADERA ASERRADA]]*1.95,"")</f>
        <v>0</v>
      </c>
      <c r="DC245" s="259">
        <f>+IF(BD_MO[[#This Row],[FECHA]]&lt;&gt;"",BD_MO[[#This Row],[KG. MADERA REDONDA]]+BD_MO[[#This Row],[KG MADERA ASERRADA]],"")</f>
        <v>0</v>
      </c>
      <c r="DD245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45" s="254"/>
      <c r="DF245" s="254"/>
      <c r="DG245" s="254" t="s">
        <v>12239</v>
      </c>
      <c r="DH245" s="254">
        <v>8</v>
      </c>
      <c r="DI245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45" s="263"/>
      <c r="DK245" s="263"/>
      <c r="DL245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45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45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45" s="264"/>
      <c r="DP245" s="263" t="str">
        <f>+IF(BD_MO[[#This Row],[M o D]]&lt;&gt;"",IF(BD_MO[[#This Row],[M o D]]="M",BD_MO[[#This Row],[ROTURA TMH]]/2.65,BD_MO[[#This Row],[ROTURA TMH]]/2.4),"")</f>
        <v/>
      </c>
      <c r="DQ245" s="263"/>
      <c r="DR245" s="116" t="str">
        <f>IF(BD_MO[[#This Row],[TIPO AVANCE]]="Avance",((BD_MO[[#This Row],[AVANCE (m)]]/BD_MO[[#This Row],[AVANCE TEÓRICO]]))," ")</f>
        <v xml:space="preserve"> </v>
      </c>
    </row>
    <row r="246" spans="1:130" ht="18" customHeight="1" x14ac:dyDescent="0.25">
      <c r="A246" s="250">
        <v>44665</v>
      </c>
      <c r="B246" s="251" t="s">
        <v>10655</v>
      </c>
      <c r="C246" s="251" t="s">
        <v>10680</v>
      </c>
      <c r="D246" s="252" t="s">
        <v>11872</v>
      </c>
      <c r="E246" s="253" t="str">
        <f>LEFT(BD_MO[[#This Row],[LABOR]],2)</f>
        <v>PQ</v>
      </c>
      <c r="F246" s="254"/>
      <c r="G246" s="254" t="s">
        <v>10669</v>
      </c>
      <c r="H246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46" s="253" t="str">
        <f>IF(BD_MO[FECHA]&lt;&gt;"",VLOOKUP(BD_MO[LABOR],TB_CECO[[LABOR]:[CECO_T]],3,FALSE),"")</f>
        <v>ANDREA</v>
      </c>
      <c r="J246" s="253" t="str">
        <f>IF(BD_MO[FECHA]&lt;&gt;"",VLOOKUP(BD_MO[LABOR],D_CECO!B:H,7,FALSE),"")</f>
        <v>LINEAL</v>
      </c>
      <c r="K246" s="253" t="str">
        <f>IF(BD_MO[FECHA]&lt;&gt;"",VLOOKUP(BD_MO[LABOR],D_CECO!B:H,4,FALSE),"")</f>
        <v>EXPLOTACION</v>
      </c>
      <c r="L246" s="253"/>
      <c r="M246" s="255"/>
      <c r="N246" s="254"/>
      <c r="O246" s="256" t="s">
        <v>11908</v>
      </c>
      <c r="P246" s="256" t="s">
        <v>11905</v>
      </c>
      <c r="Q246" s="256" t="s">
        <v>12211</v>
      </c>
      <c r="R246" s="257"/>
      <c r="S246" s="258" t="str">
        <f>IFERROR(VLOOKUP(BD_MO[DNI 4],#REF!,2,FALSE)," ")</f>
        <v xml:space="preserve"> </v>
      </c>
      <c r="T246" s="259">
        <f>+IF(BD_MO[[#This Row],[FECHA]]&lt;&gt;"",COUNTA(BD_MO[[#This Row],[DNI]],BD_MO[[#This Row],[DNI 2]],BD_MO[[#This Row],[DNI 3]],BD_MO[[#This Row],[DNI 4]]),"")</f>
        <v>3</v>
      </c>
      <c r="U246" s="259"/>
      <c r="V246" s="259"/>
      <c r="W246" s="259"/>
      <c r="X246" s="259">
        <v>3</v>
      </c>
      <c r="Y246" s="260">
        <f>SUM(BD_MO[[#This Row],[LIMP]:[SERV]])</f>
        <v>3</v>
      </c>
      <c r="Z246" s="254"/>
      <c r="AA246" s="254" t="str">
        <f>+IF(BD_MO[[#This Row],[N° VALE]]&lt;&gt;"",1,"")</f>
        <v/>
      </c>
      <c r="AB246" s="251"/>
      <c r="AC246" s="254"/>
      <c r="AD246" s="254" t="str">
        <f>+IF(BD_MO[[#This Row],[N° VALE]]&lt;&gt;"",BD_MO[[#This Row],[FULMINANTE N° 08]]+BD_MO[CARMEX 7''],"")</f>
        <v/>
      </c>
      <c r="AE246" s="254"/>
      <c r="AF246" s="254" t="str">
        <f>+IF(BD_MO[[#This Row],[N° VALE]]&lt;&gt;"",BD_MO[[#This Row],[N° TALADROS]]+BD_MO[[#This Row],[N° TAL. VACIOS]],"")</f>
        <v/>
      </c>
      <c r="AG246" s="261"/>
      <c r="AH246" s="261"/>
      <c r="AI246" s="261"/>
      <c r="AJ246" s="261"/>
      <c r="AK246" s="261"/>
      <c r="AL246" s="261"/>
      <c r="AM246" s="253"/>
      <c r="AN246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46" s="254" t="str">
        <f>+IF(BD_MO[[#This Row],[N° VALE]]&lt;&gt;"",IF(BD_MO[[#This Row],[FULMINANTE N° 08]]&lt;&gt;"",BD_MO[[#This Row],[FULMINANTE N° 08]],IF(BD_MO[[#This Row],[CARMEX 7'']]&lt;&gt;0,0,"")),"")</f>
        <v/>
      </c>
      <c r="AP246" s="259" t="str">
        <f>+IF(BD_MO[[#This Row],[N° VALE]]&lt;&gt;"",BD_MO[[#This Row],[N°  TOTAL TALADROS]]*BD_MO[[#This Row],[BARRA]]*0.95,"")</f>
        <v/>
      </c>
      <c r="AQ246" s="259" t="str">
        <f>+IF(BD_MO[[#This Row],[N° VALE]]&lt;&gt;"",BD_MO[[#This Row],[EMULNOR 1000 (N° CART.)]]*PE_EMUL_1000[PE],"")</f>
        <v/>
      </c>
      <c r="AR246" s="259" t="str">
        <f>+IF(BD_MO[[#This Row],[N° VALE]]&lt;&gt;"",BD_MO[[#This Row],[EMULNOR 3000 (N° CART.)]]*PE_EMUL_3000[PE],"")</f>
        <v/>
      </c>
      <c r="AS246" s="259" t="str">
        <f>+IF(BD_MO[[#This Row],[N° VALE]]&lt;&gt;"",BD_MO[[#This Row],[PULVERULENTA (N° CART.)]]*PE_PULV_65[PE],"")</f>
        <v/>
      </c>
      <c r="AT246" s="259" t="str">
        <f>+IF(BD_MO[[#This Row],[N° DISP]]&lt;&gt;"",BD_MO[[#This Row],[SEMIGELATINA (N° CART.)]]*PE_SEMIGEL_65[PE],"")</f>
        <v/>
      </c>
      <c r="AU246" s="259" t="str">
        <f>+IF(BD_MO[N° VALE]&lt;&gt;"",BD_MO[[#This Row],[KG EXPLO SEMIGEL]]+BD_MO[[#This Row],[KG EXPLO PULVE]]+BD_MO[[#This Row],[KG EXPLO EMULN 3000]]+BD_MO[[#This Row],[KG EXPLO EMULN 1000]],"")</f>
        <v/>
      </c>
      <c r="AV246" s="254"/>
      <c r="AW246" s="254"/>
      <c r="AX246" s="254" t="str">
        <f>+IF(BD_MO[[#This Row],[MINERAL (U-35)]]&lt;&gt;"",BD_MO[[#This Row],[MINERAL (U-35)]]*1.45,"-")</f>
        <v>-</v>
      </c>
      <c r="AY246" s="254" t="str">
        <f>+IF(BD_MO[[#This Row],[DESMONTE (U-35)]]&lt;&gt;"",BD_MO[[#This Row],[DESMONTE (U-35)]]*1.23,"-")</f>
        <v>-</v>
      </c>
      <c r="AZ246" s="254"/>
      <c r="BA246" s="254"/>
      <c r="BB246" s="254"/>
      <c r="BC246" s="254"/>
      <c r="BD246" s="254"/>
      <c r="BE246" s="254"/>
      <c r="BF246" s="254"/>
      <c r="BG246" s="254"/>
      <c r="BH246" s="254"/>
      <c r="BI246" s="254"/>
      <c r="BJ246" s="254"/>
      <c r="BK246" s="254"/>
      <c r="BL246" s="254"/>
      <c r="BM246" s="254"/>
      <c r="BN246" s="253"/>
      <c r="BO246" s="254"/>
      <c r="BP246" s="254"/>
      <c r="BQ246" s="253"/>
      <c r="BR246" s="254"/>
      <c r="BS246" s="253"/>
      <c r="BT246" s="259"/>
      <c r="BU246" s="254"/>
      <c r="BV246" s="254"/>
      <c r="BW246" s="254"/>
      <c r="BX246" s="254"/>
      <c r="BY246" s="254"/>
      <c r="BZ246" s="254"/>
      <c r="CA246" s="254"/>
      <c r="CB246" s="254"/>
      <c r="CC246" s="254"/>
      <c r="CD246" s="254"/>
      <c r="CE246" s="254"/>
      <c r="CF246" s="254"/>
      <c r="CG246" s="254"/>
      <c r="CH246" s="254"/>
      <c r="CI246" s="254"/>
      <c r="CJ246" s="254"/>
      <c r="CK246" s="254"/>
      <c r="CL246" s="254"/>
      <c r="CM246" s="254"/>
      <c r="CN246" s="254"/>
      <c r="CO246" s="254"/>
      <c r="CP246" s="259">
        <f>+IF(BD_MO[[#This Row],[FECHA]]&lt;&gt;"",BD_MO[[#This Row],[PUNTAL 4"]]+BD_MO[[#This Row],[PUNTAL 5"]]+BD_MO[[#This Row],[PUNTAL 6"]]+BD_MO[[#This Row],[PUNTAL 7"]]+BD_MO[[#This Row],[PUNTAL 8"]],"")</f>
        <v>0</v>
      </c>
      <c r="CQ246" s="254"/>
      <c r="CR246" s="254"/>
      <c r="CS246" s="254"/>
      <c r="CT246" s="254"/>
      <c r="CU246" s="254"/>
      <c r="CV246" s="254"/>
      <c r="CW246" s="254"/>
      <c r="CX246" s="254"/>
      <c r="CY246" s="259"/>
      <c r="CZ246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46" s="259">
        <f>+IF(BD_MO[[#This Row],[FECHA]]&lt;&gt;"",BD_MO[[#This Row],[DURMIENTE2]]*6.561+BD_MO[[#This Row],[LISTONES]]*4.921+BD_MO[[#This Row],[TABLA 1"x8"x3m]]*6.561+BD_MO[[#This Row],[TABLA 2"x8"x3m]]*13.122,"")</f>
        <v>0</v>
      </c>
      <c r="DB246" s="259">
        <f>+IF(BD_MO[[#This Row],[FECHA]]&lt;&gt;"",BD_MO[[#This Row],[PIE2 MADERA ASERRADA]]*1.95,"")</f>
        <v>0</v>
      </c>
      <c r="DC246" s="259">
        <f>+IF(BD_MO[[#This Row],[FECHA]]&lt;&gt;"",BD_MO[[#This Row],[KG. MADERA REDONDA]]+BD_MO[[#This Row],[KG MADERA ASERRADA]],"")</f>
        <v>0</v>
      </c>
      <c r="DD246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46" s="254"/>
      <c r="DF246" s="254"/>
      <c r="DG246" s="254" t="s">
        <v>12238</v>
      </c>
      <c r="DH246" s="254">
        <v>9</v>
      </c>
      <c r="DI246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46" s="263"/>
      <c r="DK246" s="263"/>
      <c r="DL246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46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46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46" s="264"/>
      <c r="DP246" s="263" t="str">
        <f>+IF(BD_MO[[#This Row],[M o D]]&lt;&gt;"",IF(BD_MO[[#This Row],[M o D]]="M",BD_MO[[#This Row],[ROTURA TMH]]/2.65,BD_MO[[#This Row],[ROTURA TMH]]/2.4),"")</f>
        <v/>
      </c>
      <c r="DQ246" s="263"/>
      <c r="DR246" s="116" t="str">
        <f>IF(BD_MO[[#This Row],[TIPO AVANCE]]="Avance",((BD_MO[[#This Row],[AVANCE (m)]]/BD_MO[[#This Row],[AVANCE TEÓRICO]]))," ")</f>
        <v xml:space="preserve"> </v>
      </c>
    </row>
    <row r="247" spans="1:130" ht="18" customHeight="1" x14ac:dyDescent="0.25">
      <c r="A247" s="250">
        <v>44665</v>
      </c>
      <c r="B247" s="251" t="s">
        <v>10655</v>
      </c>
      <c r="C247" s="251" t="s">
        <v>10680</v>
      </c>
      <c r="D247" s="252" t="s">
        <v>10954</v>
      </c>
      <c r="E247" s="253" t="str">
        <f>LEFT(BD_MO[[#This Row],[LABOR]],2)</f>
        <v>MO</v>
      </c>
      <c r="F247" s="254"/>
      <c r="G247" s="254" t="s">
        <v>10669</v>
      </c>
      <c r="H247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47" s="253" t="str">
        <f>IF(BD_MO[FECHA]&lt;&gt;"",VLOOKUP(BD_MO[LABOR],TB_CECO[[LABOR]:[CECO_T]],3,FALSE),"")</f>
        <v>INCA</v>
      </c>
      <c r="J247" s="253" t="str">
        <f>IF(BD_MO[FECHA]&lt;&gt;"",VLOOKUP(BD_MO[LABOR],D_CECO!B:H,7,FALSE),"")</f>
        <v>SERVICIOS</v>
      </c>
      <c r="K247" s="253" t="str">
        <f>IF(BD_MO[FECHA]&lt;&gt;"",VLOOKUP(BD_MO[LABOR],D_CECO!B:H,4,FALSE),"")</f>
        <v>SERVICIOS</v>
      </c>
      <c r="L247" s="253"/>
      <c r="M247" s="255"/>
      <c r="N247" s="254"/>
      <c r="O247" s="256" t="s">
        <v>12117</v>
      </c>
      <c r="P247" s="256" t="s">
        <v>11907</v>
      </c>
      <c r="Q247" s="256"/>
      <c r="R247" s="257"/>
      <c r="S247" s="258" t="str">
        <f>IFERROR(VLOOKUP(BD_MO[DNI 4],#REF!,2,FALSE)," ")</f>
        <v xml:space="preserve"> </v>
      </c>
      <c r="T247" s="259">
        <f>+IF(BD_MO[[#This Row],[FECHA]]&lt;&gt;"",COUNTA(BD_MO[[#This Row],[DNI]],BD_MO[[#This Row],[DNI 2]],BD_MO[[#This Row],[DNI 3]],BD_MO[[#This Row],[DNI 4]]),"")</f>
        <v>2</v>
      </c>
      <c r="U247" s="259"/>
      <c r="V247" s="259"/>
      <c r="W247" s="259"/>
      <c r="X247" s="259">
        <v>2</v>
      </c>
      <c r="Y247" s="260">
        <f>SUM(BD_MO[[#This Row],[LIMP]:[SERV]])</f>
        <v>2</v>
      </c>
      <c r="Z247" s="254"/>
      <c r="AA247" s="254" t="str">
        <f>+IF(BD_MO[[#This Row],[N° VALE]]&lt;&gt;"",1,"")</f>
        <v/>
      </c>
      <c r="AB247" s="251"/>
      <c r="AC247" s="254"/>
      <c r="AD247" s="254" t="str">
        <f>+IF(BD_MO[[#This Row],[N° VALE]]&lt;&gt;"",BD_MO[[#This Row],[FULMINANTE N° 08]]+BD_MO[CARMEX 7''],"")</f>
        <v/>
      </c>
      <c r="AE247" s="254"/>
      <c r="AF247" s="254" t="str">
        <f>+IF(BD_MO[[#This Row],[N° VALE]]&lt;&gt;"",BD_MO[[#This Row],[N° TALADROS]]+BD_MO[[#This Row],[N° TAL. VACIOS]],"")</f>
        <v/>
      </c>
      <c r="AG247" s="261"/>
      <c r="AH247" s="261"/>
      <c r="AI247" s="261"/>
      <c r="AJ247" s="261"/>
      <c r="AK247" s="261"/>
      <c r="AL247" s="261"/>
      <c r="AM247" s="253"/>
      <c r="AN247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47" s="254" t="str">
        <f>+IF(BD_MO[[#This Row],[N° VALE]]&lt;&gt;"",IF(BD_MO[[#This Row],[FULMINANTE N° 08]]&lt;&gt;"",BD_MO[[#This Row],[FULMINANTE N° 08]],IF(BD_MO[[#This Row],[CARMEX 7'']]&lt;&gt;0,0,"")),"")</f>
        <v/>
      </c>
      <c r="AP247" s="259" t="str">
        <f>+IF(BD_MO[[#This Row],[N° VALE]]&lt;&gt;"",BD_MO[[#This Row],[N°  TOTAL TALADROS]]*BD_MO[[#This Row],[BARRA]]*0.95,"")</f>
        <v/>
      </c>
      <c r="AQ247" s="259" t="str">
        <f>+IF(BD_MO[[#This Row],[N° VALE]]&lt;&gt;"",BD_MO[[#This Row],[EMULNOR 1000 (N° CART.)]]*PE_EMUL_1000[PE],"")</f>
        <v/>
      </c>
      <c r="AR247" s="259" t="str">
        <f>+IF(BD_MO[[#This Row],[N° VALE]]&lt;&gt;"",BD_MO[[#This Row],[EMULNOR 3000 (N° CART.)]]*PE_EMUL_3000[PE],"")</f>
        <v/>
      </c>
      <c r="AS247" s="259" t="str">
        <f>+IF(BD_MO[[#This Row],[N° VALE]]&lt;&gt;"",BD_MO[[#This Row],[PULVERULENTA (N° CART.)]]*PE_PULV_65[PE],"")</f>
        <v/>
      </c>
      <c r="AT247" s="259" t="str">
        <f>+IF(BD_MO[[#This Row],[N° DISP]]&lt;&gt;"",BD_MO[[#This Row],[SEMIGELATINA (N° CART.)]]*PE_SEMIGEL_65[PE],"")</f>
        <v/>
      </c>
      <c r="AU247" s="259" t="str">
        <f>+IF(BD_MO[N° VALE]&lt;&gt;"",BD_MO[[#This Row],[KG EXPLO SEMIGEL]]+BD_MO[[#This Row],[KG EXPLO PULVE]]+BD_MO[[#This Row],[KG EXPLO EMULN 3000]]+BD_MO[[#This Row],[KG EXPLO EMULN 1000]],"")</f>
        <v/>
      </c>
      <c r="AV247" s="254"/>
      <c r="AW247" s="254"/>
      <c r="AX247" s="254" t="str">
        <f>+IF(BD_MO[[#This Row],[MINERAL (U-35)]]&lt;&gt;"",BD_MO[[#This Row],[MINERAL (U-35)]]*1.45,"-")</f>
        <v>-</v>
      </c>
      <c r="AY247" s="254" t="str">
        <f>+IF(BD_MO[[#This Row],[DESMONTE (U-35)]]&lt;&gt;"",BD_MO[[#This Row],[DESMONTE (U-35)]]*1.23,"-")</f>
        <v>-</v>
      </c>
      <c r="AZ247" s="254"/>
      <c r="BA247" s="254"/>
      <c r="BB247" s="254"/>
      <c r="BC247" s="254"/>
      <c r="BD247" s="254"/>
      <c r="BE247" s="254"/>
      <c r="BF247" s="254"/>
      <c r="BG247" s="254"/>
      <c r="BH247" s="254"/>
      <c r="BI247" s="254"/>
      <c r="BJ247" s="254"/>
      <c r="BK247" s="254"/>
      <c r="BL247" s="254"/>
      <c r="BM247" s="254"/>
      <c r="BN247" s="253"/>
      <c r="BO247" s="254"/>
      <c r="BP247" s="254"/>
      <c r="BQ247" s="253"/>
      <c r="BR247" s="254"/>
      <c r="BS247" s="253"/>
      <c r="BT247" s="259"/>
      <c r="BU247" s="254"/>
      <c r="BV247" s="254"/>
      <c r="BW247" s="254"/>
      <c r="BX247" s="254"/>
      <c r="BY247" s="254"/>
      <c r="BZ247" s="254"/>
      <c r="CA247" s="254"/>
      <c r="CB247" s="254"/>
      <c r="CC247" s="254"/>
      <c r="CD247" s="254"/>
      <c r="CE247" s="254"/>
      <c r="CF247" s="254"/>
      <c r="CG247" s="254"/>
      <c r="CH247" s="254"/>
      <c r="CI247" s="254"/>
      <c r="CJ247" s="254"/>
      <c r="CK247" s="254"/>
      <c r="CL247" s="254"/>
      <c r="CM247" s="254"/>
      <c r="CN247" s="254"/>
      <c r="CO247" s="254"/>
      <c r="CP247" s="259">
        <f>+IF(BD_MO[[#This Row],[FECHA]]&lt;&gt;"",BD_MO[[#This Row],[PUNTAL 4"]]+BD_MO[[#This Row],[PUNTAL 5"]]+BD_MO[[#This Row],[PUNTAL 6"]]+BD_MO[[#This Row],[PUNTAL 7"]]+BD_MO[[#This Row],[PUNTAL 8"]],"")</f>
        <v>0</v>
      </c>
      <c r="CQ247" s="254"/>
      <c r="CR247" s="254"/>
      <c r="CS247" s="254"/>
      <c r="CT247" s="254"/>
      <c r="CU247" s="254"/>
      <c r="CV247" s="254"/>
      <c r="CW247" s="254"/>
      <c r="CX247" s="254"/>
      <c r="CY247" s="259"/>
      <c r="CZ247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47" s="259">
        <f>+IF(BD_MO[[#This Row],[FECHA]]&lt;&gt;"",BD_MO[[#This Row],[DURMIENTE2]]*6.561+BD_MO[[#This Row],[LISTONES]]*4.921+BD_MO[[#This Row],[TABLA 1"x8"x3m]]*6.561+BD_MO[[#This Row],[TABLA 2"x8"x3m]]*13.122,"")</f>
        <v>0</v>
      </c>
      <c r="DB247" s="259">
        <f>+IF(BD_MO[[#This Row],[FECHA]]&lt;&gt;"",BD_MO[[#This Row],[PIE2 MADERA ASERRADA]]*1.95,"")</f>
        <v>0</v>
      </c>
      <c r="DC247" s="259">
        <f>+IF(BD_MO[[#This Row],[FECHA]]&lt;&gt;"",BD_MO[[#This Row],[KG. MADERA REDONDA]]+BD_MO[[#This Row],[KG MADERA ASERRADA]],"")</f>
        <v>0</v>
      </c>
      <c r="DD247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47" s="254"/>
      <c r="DF247" s="254"/>
      <c r="DG247" s="254"/>
      <c r="DH247" s="254"/>
      <c r="DI247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47" s="263"/>
      <c r="DK247" s="263"/>
      <c r="DL247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47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47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47" s="264"/>
      <c r="DP247" s="263" t="str">
        <f>+IF(BD_MO[[#This Row],[M o D]]&lt;&gt;"",IF(BD_MO[[#This Row],[M o D]]="M",BD_MO[[#This Row],[ROTURA TMH]]/2.65,BD_MO[[#This Row],[ROTURA TMH]]/2.4),"")</f>
        <v/>
      </c>
      <c r="DQ247" s="263"/>
      <c r="DR247" s="116" t="str">
        <f>IF(BD_MO[[#This Row],[TIPO AVANCE]]="Avance",((BD_MO[[#This Row],[AVANCE (m)]]/BD_MO[[#This Row],[AVANCE TEÓRICO]]))," ")</f>
        <v xml:space="preserve"> </v>
      </c>
    </row>
    <row r="248" spans="1:130" s="115" customFormat="1" ht="18" customHeight="1" thickBot="1" x14ac:dyDescent="0.3">
      <c r="A248" s="265">
        <v>44665</v>
      </c>
      <c r="B248" s="266" t="s">
        <v>10655</v>
      </c>
      <c r="C248" s="266" t="s">
        <v>10680</v>
      </c>
      <c r="D248" s="267" t="s">
        <v>10717</v>
      </c>
      <c r="E248" s="268" t="str">
        <f>LEFT(BD_MO[[#This Row],[LABOR]],2)</f>
        <v>BO</v>
      </c>
      <c r="F248" s="269"/>
      <c r="G248" s="269" t="s">
        <v>10669</v>
      </c>
      <c r="H248" s="26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48" s="268" t="str">
        <f>IF(BD_MO[FECHA]&lt;&gt;"",VLOOKUP(BD_MO[LABOR],TB_CECO[[LABOR]:[CECO_T]],3,FALSE),"")</f>
        <v>CACHORRO</v>
      </c>
      <c r="J248" s="268" t="str">
        <f>IF(BD_MO[FECHA]&lt;&gt;"",VLOOKUP(BD_MO[LABOR],D_CECO!B:H,7,FALSE),"")</f>
        <v>SERVICIOS</v>
      </c>
      <c r="K248" s="268" t="str">
        <f>IF(BD_MO[FECHA]&lt;&gt;"",VLOOKUP(BD_MO[LABOR],D_CECO!B:H,4,FALSE),"")</f>
        <v>SERVICIOS</v>
      </c>
      <c r="L248" s="268"/>
      <c r="M248" s="266"/>
      <c r="N248" s="269"/>
      <c r="O248" s="270" t="s">
        <v>11909</v>
      </c>
      <c r="P248" s="270"/>
      <c r="Q248" s="270"/>
      <c r="R248" s="271"/>
      <c r="S248" s="272" t="str">
        <f>IFERROR(VLOOKUP(BD_MO[DNI 4],#REF!,2,FALSE)," ")</f>
        <v xml:space="preserve"> </v>
      </c>
      <c r="T248" s="273">
        <f>+IF(BD_MO[[#This Row],[FECHA]]&lt;&gt;"",COUNTA(BD_MO[[#This Row],[DNI]],BD_MO[[#This Row],[DNI 2]],BD_MO[[#This Row],[DNI 3]],BD_MO[[#This Row],[DNI 4]]),"")</f>
        <v>1</v>
      </c>
      <c r="U248" s="273"/>
      <c r="V248" s="273"/>
      <c r="W248" s="273"/>
      <c r="X248" s="273">
        <v>1</v>
      </c>
      <c r="Y248" s="274">
        <f>SUM(BD_MO[[#This Row],[LIMP]:[SERV]])</f>
        <v>1</v>
      </c>
      <c r="Z248" s="269"/>
      <c r="AA248" s="269" t="str">
        <f>+IF(BD_MO[[#This Row],[N° VALE]]&lt;&gt;"",1,"")</f>
        <v/>
      </c>
      <c r="AB248" s="266"/>
      <c r="AC248" s="269"/>
      <c r="AD248" s="269" t="str">
        <f>+IF(BD_MO[[#This Row],[N° VALE]]&lt;&gt;"",BD_MO[[#This Row],[FULMINANTE N° 08]]+BD_MO[CARMEX 7''],"")</f>
        <v/>
      </c>
      <c r="AE248" s="269"/>
      <c r="AF248" s="269" t="str">
        <f>+IF(BD_MO[[#This Row],[N° VALE]]&lt;&gt;"",BD_MO[[#This Row],[N° TALADROS]]+BD_MO[[#This Row],[N° TAL. VACIOS]],"")</f>
        <v/>
      </c>
      <c r="AG248" s="275"/>
      <c r="AH248" s="275"/>
      <c r="AI248" s="275"/>
      <c r="AJ248" s="275"/>
      <c r="AK248" s="275"/>
      <c r="AL248" s="275"/>
      <c r="AM248" s="268"/>
      <c r="AN248" s="26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48" s="269" t="str">
        <f>+IF(BD_MO[[#This Row],[N° VALE]]&lt;&gt;"",IF(BD_MO[[#This Row],[FULMINANTE N° 08]]&lt;&gt;"",BD_MO[[#This Row],[FULMINANTE N° 08]],IF(BD_MO[[#This Row],[CARMEX 7'']]&lt;&gt;0,0,"")),"")</f>
        <v/>
      </c>
      <c r="AP248" s="273" t="str">
        <f>+IF(BD_MO[[#This Row],[N° VALE]]&lt;&gt;"",BD_MO[[#This Row],[N°  TOTAL TALADROS]]*BD_MO[[#This Row],[BARRA]]*0.95,"")</f>
        <v/>
      </c>
      <c r="AQ248" s="273" t="str">
        <f>+IF(BD_MO[[#This Row],[N° VALE]]&lt;&gt;"",BD_MO[[#This Row],[EMULNOR 1000 (N° CART.)]]*PE_EMUL_1000[PE],"")</f>
        <v/>
      </c>
      <c r="AR248" s="273" t="str">
        <f>+IF(BD_MO[[#This Row],[N° VALE]]&lt;&gt;"",BD_MO[[#This Row],[EMULNOR 3000 (N° CART.)]]*PE_EMUL_3000[PE],"")</f>
        <v/>
      </c>
      <c r="AS248" s="273" t="str">
        <f>+IF(BD_MO[[#This Row],[N° VALE]]&lt;&gt;"",BD_MO[[#This Row],[PULVERULENTA (N° CART.)]]*PE_PULV_65[PE],"")</f>
        <v/>
      </c>
      <c r="AT248" s="273" t="str">
        <f>+IF(BD_MO[[#This Row],[N° DISP]]&lt;&gt;"",BD_MO[[#This Row],[SEMIGELATINA (N° CART.)]]*PE_SEMIGEL_65[PE],"")</f>
        <v/>
      </c>
      <c r="AU248" s="273" t="str">
        <f>+IF(BD_MO[N° VALE]&lt;&gt;"",BD_MO[[#This Row],[KG EXPLO SEMIGEL]]+BD_MO[[#This Row],[KG EXPLO PULVE]]+BD_MO[[#This Row],[KG EXPLO EMULN 3000]]+BD_MO[[#This Row],[KG EXPLO EMULN 1000]],"")</f>
        <v/>
      </c>
      <c r="AV248" s="269"/>
      <c r="AW248" s="269"/>
      <c r="AX248" s="269" t="str">
        <f>+IF(BD_MO[[#This Row],[MINERAL (U-35)]]&lt;&gt;"",BD_MO[[#This Row],[MINERAL (U-35)]]*1.45,"-")</f>
        <v>-</v>
      </c>
      <c r="AY248" s="269" t="str">
        <f>+IF(BD_MO[[#This Row],[DESMONTE (U-35)]]&lt;&gt;"",BD_MO[[#This Row],[DESMONTE (U-35)]]*1.23,"-")</f>
        <v>-</v>
      </c>
      <c r="AZ248" s="269"/>
      <c r="BA248" s="269"/>
      <c r="BB248" s="269"/>
      <c r="BC248" s="269"/>
      <c r="BD248" s="269"/>
      <c r="BE248" s="269"/>
      <c r="BF248" s="269"/>
      <c r="BG248" s="269"/>
      <c r="BH248" s="269"/>
      <c r="BI248" s="269"/>
      <c r="BJ248" s="269"/>
      <c r="BK248" s="269"/>
      <c r="BL248" s="269"/>
      <c r="BM248" s="269"/>
      <c r="BN248" s="268"/>
      <c r="BO248" s="269"/>
      <c r="BP248" s="269"/>
      <c r="BQ248" s="268"/>
      <c r="BR248" s="269"/>
      <c r="BS248" s="268"/>
      <c r="BT248" s="273"/>
      <c r="BU248" s="269"/>
      <c r="BV248" s="269"/>
      <c r="BW248" s="269"/>
      <c r="BX248" s="269"/>
      <c r="BY248" s="269"/>
      <c r="BZ248" s="269"/>
      <c r="CA248" s="269"/>
      <c r="CB248" s="269"/>
      <c r="CC248" s="269"/>
      <c r="CD248" s="269"/>
      <c r="CE248" s="269"/>
      <c r="CF248" s="269"/>
      <c r="CG248" s="269"/>
      <c r="CH248" s="269"/>
      <c r="CI248" s="269"/>
      <c r="CJ248" s="269"/>
      <c r="CK248" s="269"/>
      <c r="CL248" s="269"/>
      <c r="CM248" s="269"/>
      <c r="CN248" s="269"/>
      <c r="CO248" s="269"/>
      <c r="CP248" s="273">
        <f>+IF(BD_MO[[#This Row],[FECHA]]&lt;&gt;"",BD_MO[[#This Row],[PUNTAL 4"]]+BD_MO[[#This Row],[PUNTAL 5"]]+BD_MO[[#This Row],[PUNTAL 6"]]+BD_MO[[#This Row],[PUNTAL 7"]]+BD_MO[[#This Row],[PUNTAL 8"]],"")</f>
        <v>0</v>
      </c>
      <c r="CQ248" s="269"/>
      <c r="CR248" s="269"/>
      <c r="CS248" s="269"/>
      <c r="CT248" s="269"/>
      <c r="CU248" s="269"/>
      <c r="CV248" s="269"/>
      <c r="CW248" s="269"/>
      <c r="CX248" s="269"/>
      <c r="CY248" s="273"/>
      <c r="CZ248" s="27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48" s="273">
        <f>+IF(BD_MO[[#This Row],[FECHA]]&lt;&gt;"",BD_MO[[#This Row],[DURMIENTE2]]*6.561+BD_MO[[#This Row],[LISTONES]]*4.921+BD_MO[[#This Row],[TABLA 1"x8"x3m]]*6.561+BD_MO[[#This Row],[TABLA 2"x8"x3m]]*13.122,"")</f>
        <v>0</v>
      </c>
      <c r="DB248" s="273">
        <f>+IF(BD_MO[[#This Row],[FECHA]]&lt;&gt;"",BD_MO[[#This Row],[PIE2 MADERA ASERRADA]]*1.95,"")</f>
        <v>0</v>
      </c>
      <c r="DC248" s="273">
        <f>+IF(BD_MO[[#This Row],[FECHA]]&lt;&gt;"",BD_MO[[#This Row],[KG. MADERA REDONDA]]+BD_MO[[#This Row],[KG MADERA ASERRADA]],"")</f>
        <v>0</v>
      </c>
      <c r="DD248" s="27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48" s="269"/>
      <c r="DF248" s="269"/>
      <c r="DG248" s="269"/>
      <c r="DH248" s="269"/>
      <c r="DI248" s="27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48" s="277"/>
      <c r="DK248" s="277"/>
      <c r="DL248" s="27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48" s="27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48" s="27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48" s="278"/>
      <c r="DP248" s="277" t="str">
        <f>+IF(BD_MO[[#This Row],[M o D]]&lt;&gt;"",IF(BD_MO[[#This Row],[M o D]]="M",BD_MO[[#This Row],[ROTURA TMH]]/2.65,BD_MO[[#This Row],[ROTURA TMH]]/2.4),"")</f>
        <v/>
      </c>
      <c r="DQ248" s="277"/>
      <c r="DR248" s="116" t="str">
        <f>IF(BD_MO[[#This Row],[TIPO AVANCE]]="Avance",((BD_MO[[#This Row],[AVANCE (m)]]/BD_MO[[#This Row],[AVANCE TEÓRICO]]))," ")</f>
        <v xml:space="preserve"> </v>
      </c>
      <c r="DS248" s="113"/>
      <c r="DT248" s="113"/>
      <c r="DU248" s="113"/>
      <c r="DV248" s="113"/>
      <c r="DW248" s="113"/>
      <c r="DX248" s="114"/>
      <c r="DY248" s="114"/>
      <c r="DZ248" s="114"/>
    </row>
    <row r="249" spans="1:130" ht="18" customHeight="1" x14ac:dyDescent="0.25">
      <c r="A249" s="250">
        <v>44666</v>
      </c>
      <c r="B249" s="251" t="s">
        <v>10647</v>
      </c>
      <c r="C249" s="251" t="s">
        <v>10672</v>
      </c>
      <c r="D249" s="252" t="s">
        <v>11595</v>
      </c>
      <c r="E249" s="253" t="str">
        <f>LEFT(BD_MO[[#This Row],[LABOR]],2)</f>
        <v>Tj</v>
      </c>
      <c r="F249" s="254"/>
      <c r="G249" s="254" t="s">
        <v>10656</v>
      </c>
      <c r="H249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249" s="253" t="str">
        <f>IF(BD_MO[FECHA]&lt;&gt;"",VLOOKUP(BD_MO[LABOR],TB_CECO[[LABOR]:[CECO_T]],3,FALSE),"")</f>
        <v>ESCONDIDA</v>
      </c>
      <c r="J249" s="253" t="str">
        <f>IF(BD_MO[FECHA]&lt;&gt;"",VLOOKUP(BD_MO[LABOR],D_CECO!B:H,7,FALSE),"")</f>
        <v>TAJO</v>
      </c>
      <c r="K249" s="253" t="str">
        <f>IF(BD_MO[FECHA]&lt;&gt;"",VLOOKUP(BD_MO[LABOR],D_CECO!B:H,4,FALSE),"")</f>
        <v>EXPLOTACION</v>
      </c>
      <c r="L249" s="253"/>
      <c r="M249" s="255"/>
      <c r="N249" s="254"/>
      <c r="O249" s="256" t="s">
        <v>12196</v>
      </c>
      <c r="P249" s="256" t="s">
        <v>12207</v>
      </c>
      <c r="Q249" s="256"/>
      <c r="R249" s="257"/>
      <c r="S249" s="258" t="str">
        <f>IFERROR(VLOOKUP(BD_MO[DNI 4],#REF!,2,FALSE)," ")</f>
        <v xml:space="preserve"> </v>
      </c>
      <c r="T249" s="259">
        <f>+IF(BD_MO[[#This Row],[FECHA]]&lt;&gt;"",COUNTA(BD_MO[[#This Row],[DNI]],BD_MO[[#This Row],[DNI 2]],BD_MO[[#This Row],[DNI 3]],BD_MO[[#This Row],[DNI 4]]),"")</f>
        <v>2</v>
      </c>
      <c r="U249" s="259">
        <v>1.04</v>
      </c>
      <c r="V249" s="259"/>
      <c r="W249" s="259"/>
      <c r="X249" s="259">
        <v>0.96</v>
      </c>
      <c r="Y249" s="260">
        <f>SUM(BD_MO[[#This Row],[LIMP]:[SERV]])</f>
        <v>2</v>
      </c>
      <c r="Z249" s="254"/>
      <c r="AA249" s="254" t="str">
        <f>+IF(BD_MO[[#This Row],[N° VALE]]&lt;&gt;"",1,"")</f>
        <v/>
      </c>
      <c r="AB249" s="251"/>
      <c r="AC249" s="254"/>
      <c r="AD249" s="254" t="str">
        <f>+IF(BD_MO[[#This Row],[N° VALE]]&lt;&gt;"",BD_MO[[#This Row],[FULMINANTE N° 08]]+BD_MO[CARMEX 7''],"")</f>
        <v/>
      </c>
      <c r="AE249" s="254"/>
      <c r="AF249" s="254" t="str">
        <f>+IF(BD_MO[[#This Row],[N° VALE]]&lt;&gt;"",BD_MO[[#This Row],[N° TALADROS]]+BD_MO[[#This Row],[N° TAL. VACIOS]],"")</f>
        <v/>
      </c>
      <c r="AG249" s="261"/>
      <c r="AH249" s="261"/>
      <c r="AI249" s="261"/>
      <c r="AJ249" s="261"/>
      <c r="AK249" s="261"/>
      <c r="AL249" s="261"/>
      <c r="AM249" s="253"/>
      <c r="AN249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49" s="254" t="str">
        <f>+IF(BD_MO[[#This Row],[N° VALE]]&lt;&gt;"",IF(BD_MO[[#This Row],[FULMINANTE N° 08]]&lt;&gt;"",BD_MO[[#This Row],[FULMINANTE N° 08]],IF(BD_MO[[#This Row],[CARMEX 7'']]&lt;&gt;0,0,"")),"")</f>
        <v/>
      </c>
      <c r="AP249" s="259" t="str">
        <f>+IF(BD_MO[[#This Row],[N° VALE]]&lt;&gt;"",BD_MO[[#This Row],[N°  TOTAL TALADROS]]*BD_MO[[#This Row],[BARRA]]*0.95,"")</f>
        <v/>
      </c>
      <c r="AQ249" s="259" t="str">
        <f>+IF(BD_MO[[#This Row],[N° VALE]]&lt;&gt;"",BD_MO[[#This Row],[EMULNOR 1000 (N° CART.)]]*PE_EMUL_1000[PE],"")</f>
        <v/>
      </c>
      <c r="AR249" s="259" t="str">
        <f>+IF(BD_MO[[#This Row],[N° VALE]]&lt;&gt;"",BD_MO[[#This Row],[EMULNOR 3000 (N° CART.)]]*PE_EMUL_3000[PE],"")</f>
        <v/>
      </c>
      <c r="AS249" s="259" t="str">
        <f>+IF(BD_MO[[#This Row],[N° VALE]]&lt;&gt;"",BD_MO[[#This Row],[PULVERULENTA (N° CART.)]]*PE_PULV_65[PE],"")</f>
        <v/>
      </c>
      <c r="AT249" s="259" t="str">
        <f>+IF(BD_MO[[#This Row],[N° DISP]]&lt;&gt;"",BD_MO[[#This Row],[SEMIGELATINA (N° CART.)]]*PE_SEMIGEL_65[PE],"")</f>
        <v/>
      </c>
      <c r="AU249" s="259" t="str">
        <f>+IF(BD_MO[N° VALE]&lt;&gt;"",BD_MO[[#This Row],[KG EXPLO SEMIGEL]]+BD_MO[[#This Row],[KG EXPLO PULVE]]+BD_MO[[#This Row],[KG EXPLO EMULN 3000]]+BD_MO[[#This Row],[KG EXPLO EMULN 1000]],"")</f>
        <v/>
      </c>
      <c r="AV249" s="254">
        <v>16</v>
      </c>
      <c r="AW249" s="254"/>
      <c r="AX249" s="254">
        <f>+IF(BD_MO[[#This Row],[MINERAL (U-35)]]&lt;&gt;"",BD_MO[[#This Row],[MINERAL (U-35)]]*1.45,"-")</f>
        <v>23.2</v>
      </c>
      <c r="AY249" s="254" t="str">
        <f>+IF(BD_MO[[#This Row],[DESMONTE (U-35)]]&lt;&gt;"",BD_MO[[#This Row],[DESMONTE (U-35)]]*1.23,"-")</f>
        <v>-</v>
      </c>
      <c r="AZ249" s="254"/>
      <c r="BA249" s="254"/>
      <c r="BB249" s="254"/>
      <c r="BC249" s="254"/>
      <c r="BD249" s="254"/>
      <c r="BE249" s="254"/>
      <c r="BF249" s="254"/>
      <c r="BG249" s="254"/>
      <c r="BH249" s="254"/>
      <c r="BI249" s="254"/>
      <c r="BJ249" s="254"/>
      <c r="BK249" s="254"/>
      <c r="BL249" s="254"/>
      <c r="BM249" s="254"/>
      <c r="BN249" s="253"/>
      <c r="BO249" s="254"/>
      <c r="BP249" s="254"/>
      <c r="BQ249" s="253"/>
      <c r="BR249" s="254"/>
      <c r="BS249" s="253"/>
      <c r="BT249" s="259"/>
      <c r="BU249" s="254"/>
      <c r="BV249" s="254"/>
      <c r="BW249" s="254"/>
      <c r="BX249" s="254"/>
      <c r="BY249" s="254"/>
      <c r="BZ249" s="254"/>
      <c r="CA249" s="254"/>
      <c r="CB249" s="254"/>
      <c r="CC249" s="254"/>
      <c r="CD249" s="254"/>
      <c r="CE249" s="254"/>
      <c r="CF249" s="254"/>
      <c r="CG249" s="254"/>
      <c r="CH249" s="254"/>
      <c r="CI249" s="254"/>
      <c r="CJ249" s="254"/>
      <c r="CK249" s="254"/>
      <c r="CL249" s="254"/>
      <c r="CM249" s="254"/>
      <c r="CN249" s="254"/>
      <c r="CO249" s="254"/>
      <c r="CP249" s="259">
        <f>+IF(BD_MO[[#This Row],[FECHA]]&lt;&gt;"",BD_MO[[#This Row],[PUNTAL 4"]]+BD_MO[[#This Row],[PUNTAL 5"]]+BD_MO[[#This Row],[PUNTAL 6"]]+BD_MO[[#This Row],[PUNTAL 7"]]+BD_MO[[#This Row],[PUNTAL 8"]],"")</f>
        <v>0</v>
      </c>
      <c r="CQ249" s="254"/>
      <c r="CR249" s="254"/>
      <c r="CS249" s="254"/>
      <c r="CT249" s="254"/>
      <c r="CU249" s="254"/>
      <c r="CV249" s="254"/>
      <c r="CW249" s="254"/>
      <c r="CX249" s="254"/>
      <c r="CY249" s="259"/>
      <c r="CZ249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49" s="259">
        <f>+IF(BD_MO[[#This Row],[FECHA]]&lt;&gt;"",BD_MO[[#This Row],[DURMIENTE2]]*6.561+BD_MO[[#This Row],[LISTONES]]*4.921+BD_MO[[#This Row],[TABLA 1"x8"x3m]]*6.561+BD_MO[[#This Row],[TABLA 2"x8"x3m]]*13.122,"")</f>
        <v>0</v>
      </c>
      <c r="DB249" s="259">
        <f>+IF(BD_MO[[#This Row],[FECHA]]&lt;&gt;"",BD_MO[[#This Row],[PIE2 MADERA ASERRADA]]*1.95,"")</f>
        <v>0</v>
      </c>
      <c r="DC249" s="259">
        <f>+IF(BD_MO[[#This Row],[FECHA]]&lt;&gt;"",BD_MO[[#This Row],[KG. MADERA REDONDA]]+BD_MO[[#This Row],[KG MADERA ASERRADA]],"")</f>
        <v>0</v>
      </c>
      <c r="DD249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49" s="254"/>
      <c r="DF249" s="254"/>
      <c r="DG249" s="254"/>
      <c r="DH249" s="254"/>
      <c r="DI249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49" s="263"/>
      <c r="DK249" s="263"/>
      <c r="DL249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49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49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49" s="264"/>
      <c r="DP249" s="263" t="str">
        <f>+IF(BD_MO[[#This Row],[M o D]]&lt;&gt;"",IF(BD_MO[[#This Row],[M o D]]="M",BD_MO[[#This Row],[ROTURA TMH]]/2.65,BD_MO[[#This Row],[ROTURA TMH]]/2.4),"")</f>
        <v/>
      </c>
      <c r="DQ249" s="263"/>
      <c r="DR249" s="116" t="str">
        <f>IF(BD_MO[[#This Row],[TIPO AVANCE]]="Avance",((BD_MO[[#This Row],[AVANCE (m)]]/BD_MO[[#This Row],[AVANCE TEÓRICO]]))," ")</f>
        <v xml:space="preserve"> </v>
      </c>
    </row>
    <row r="250" spans="1:130" ht="18" customHeight="1" x14ac:dyDescent="0.25">
      <c r="A250" s="250">
        <v>44666</v>
      </c>
      <c r="B250" s="251" t="s">
        <v>10647</v>
      </c>
      <c r="C250" s="251" t="s">
        <v>10672</v>
      </c>
      <c r="D250" s="252" t="s">
        <v>12176</v>
      </c>
      <c r="E250" s="253" t="str">
        <f>LEFT(BD_MO[[#This Row],[LABOR]],2)</f>
        <v>Sn</v>
      </c>
      <c r="F250" s="254"/>
      <c r="G250" s="254" t="s">
        <v>10662</v>
      </c>
      <c r="H250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250" s="253" t="str">
        <f>IF(BD_MO[FECHA]&lt;&gt;"",VLOOKUP(BD_MO[LABOR],TB_CECO[[LABOR]:[CECO_T]],3,FALSE),"")</f>
        <v>VANESSA</v>
      </c>
      <c r="J250" s="253" t="str">
        <f>IF(BD_MO[FECHA]&lt;&gt;"",VLOOKUP(BD_MO[LABOR],D_CECO!B:H,7,FALSE),"")</f>
        <v>LINEAL</v>
      </c>
      <c r="K250" s="253" t="str">
        <f>IF(BD_MO[FECHA]&lt;&gt;"",VLOOKUP(BD_MO[LABOR],D_CECO!B:H,4,FALSE),"")</f>
        <v>EXPLORACION</v>
      </c>
      <c r="L250" s="253"/>
      <c r="M250" s="255"/>
      <c r="N250" s="254"/>
      <c r="O250" s="256" t="s">
        <v>12194</v>
      </c>
      <c r="P250" s="256" t="s">
        <v>12195</v>
      </c>
      <c r="Q250" s="256"/>
      <c r="R250" s="257"/>
      <c r="S250" s="258" t="str">
        <f>IFERROR(VLOOKUP(BD_MO[DNI 4],#REF!,2,FALSE)," ")</f>
        <v xml:space="preserve"> </v>
      </c>
      <c r="T250" s="259">
        <f>+IF(BD_MO[[#This Row],[FECHA]]&lt;&gt;"",COUNTA(BD_MO[[#This Row],[DNI]],BD_MO[[#This Row],[DNI 2]],BD_MO[[#This Row],[DNI 3]],BD_MO[[#This Row],[DNI 4]]),"")</f>
        <v>2</v>
      </c>
      <c r="U250" s="259">
        <v>0.66</v>
      </c>
      <c r="V250" s="259"/>
      <c r="W250" s="259">
        <v>0.76</v>
      </c>
      <c r="X250" s="259">
        <v>0.57999999999999996</v>
      </c>
      <c r="Y250" s="260">
        <f>SUM(BD_MO[[#This Row],[LIMP]:[SERV]])</f>
        <v>2</v>
      </c>
      <c r="Z250" s="254"/>
      <c r="AA250" s="254" t="str">
        <f>+IF(BD_MO[[#This Row],[N° VALE]]&lt;&gt;"",1,"")</f>
        <v/>
      </c>
      <c r="AB250" s="251"/>
      <c r="AC250" s="254"/>
      <c r="AD250" s="254" t="str">
        <f>+IF(BD_MO[[#This Row],[N° VALE]]&lt;&gt;"",BD_MO[[#This Row],[FULMINANTE N° 08]]+BD_MO[CARMEX 7''],"")</f>
        <v/>
      </c>
      <c r="AE250" s="254"/>
      <c r="AF250" s="254" t="str">
        <f>+IF(BD_MO[[#This Row],[N° VALE]]&lt;&gt;"",BD_MO[[#This Row],[N° TALADROS]]+BD_MO[[#This Row],[N° TAL. VACIOS]],"")</f>
        <v/>
      </c>
      <c r="AG250" s="261"/>
      <c r="AH250" s="261"/>
      <c r="AI250" s="261"/>
      <c r="AJ250" s="261"/>
      <c r="AK250" s="261"/>
      <c r="AL250" s="261"/>
      <c r="AM250" s="253"/>
      <c r="AN250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50" s="254" t="str">
        <f>+IF(BD_MO[[#This Row],[N° VALE]]&lt;&gt;"",IF(BD_MO[[#This Row],[FULMINANTE N° 08]]&lt;&gt;"",BD_MO[[#This Row],[FULMINANTE N° 08]],IF(BD_MO[[#This Row],[CARMEX 7'']]&lt;&gt;0,0,"")),"")</f>
        <v/>
      </c>
      <c r="AP250" s="259" t="str">
        <f>+IF(BD_MO[[#This Row],[N° VALE]]&lt;&gt;"",BD_MO[[#This Row],[N°  TOTAL TALADROS]]*BD_MO[[#This Row],[BARRA]]*0.95,"")</f>
        <v/>
      </c>
      <c r="AQ250" s="259" t="str">
        <f>+IF(BD_MO[[#This Row],[N° VALE]]&lt;&gt;"",BD_MO[[#This Row],[EMULNOR 1000 (N° CART.)]]*PE_EMUL_1000[PE],"")</f>
        <v/>
      </c>
      <c r="AR250" s="259" t="str">
        <f>+IF(BD_MO[[#This Row],[N° VALE]]&lt;&gt;"",BD_MO[[#This Row],[EMULNOR 3000 (N° CART.)]]*PE_EMUL_3000[PE],"")</f>
        <v/>
      </c>
      <c r="AS250" s="259" t="str">
        <f>+IF(BD_MO[[#This Row],[N° VALE]]&lt;&gt;"",BD_MO[[#This Row],[PULVERULENTA (N° CART.)]]*PE_PULV_65[PE],"")</f>
        <v/>
      </c>
      <c r="AT250" s="259" t="str">
        <f>+IF(BD_MO[[#This Row],[N° DISP]]&lt;&gt;"",BD_MO[[#This Row],[SEMIGELATINA (N° CART.)]]*PE_SEMIGEL_65[PE],"")</f>
        <v/>
      </c>
      <c r="AU250" s="259" t="str">
        <f>+IF(BD_MO[N° VALE]&lt;&gt;"",BD_MO[[#This Row],[KG EXPLO SEMIGEL]]+BD_MO[[#This Row],[KG EXPLO PULVE]]+BD_MO[[#This Row],[KG EXPLO EMULN 3000]]+BD_MO[[#This Row],[KG EXPLO EMULN 1000]],"")</f>
        <v/>
      </c>
      <c r="AV250" s="254"/>
      <c r="AW250" s="254"/>
      <c r="AX250" s="254" t="str">
        <f>+IF(BD_MO[[#This Row],[MINERAL (U-35)]]&lt;&gt;"",BD_MO[[#This Row],[MINERAL (U-35)]]*1.45,"-")</f>
        <v>-</v>
      </c>
      <c r="AY250" s="254" t="str">
        <f>+IF(BD_MO[[#This Row],[DESMONTE (U-35)]]&lt;&gt;"",BD_MO[[#This Row],[DESMONTE (U-35)]]*1.23,"-")</f>
        <v>-</v>
      </c>
      <c r="AZ250" s="254"/>
      <c r="BA250" s="254"/>
      <c r="BB250" s="254"/>
      <c r="BC250" s="254"/>
      <c r="BD250" s="254"/>
      <c r="BE250" s="254"/>
      <c r="BF250" s="254"/>
      <c r="BG250" s="254"/>
      <c r="BH250" s="254"/>
      <c r="BI250" s="254"/>
      <c r="BJ250" s="254"/>
      <c r="BK250" s="254"/>
      <c r="BL250" s="254"/>
      <c r="BM250" s="254"/>
      <c r="BN250" s="253"/>
      <c r="BO250" s="254"/>
      <c r="BP250" s="254"/>
      <c r="BQ250" s="253"/>
      <c r="BR250" s="254"/>
      <c r="BS250" s="253"/>
      <c r="BT250" s="259"/>
      <c r="BU250" s="254"/>
      <c r="BV250" s="254"/>
      <c r="BW250" s="254"/>
      <c r="BX250" s="254"/>
      <c r="BY250" s="254"/>
      <c r="BZ250" s="254"/>
      <c r="CA250" s="254"/>
      <c r="CB250" s="254">
        <v>6</v>
      </c>
      <c r="CC250" s="254"/>
      <c r="CD250" s="254"/>
      <c r="CE250" s="254"/>
      <c r="CF250" s="254"/>
      <c r="CG250" s="254"/>
      <c r="CH250" s="254"/>
      <c r="CI250" s="254"/>
      <c r="CJ250" s="254"/>
      <c r="CK250" s="254"/>
      <c r="CL250" s="254"/>
      <c r="CM250" s="254"/>
      <c r="CN250" s="254"/>
      <c r="CO250" s="254"/>
      <c r="CP250" s="259">
        <f>+IF(BD_MO[[#This Row],[FECHA]]&lt;&gt;"",BD_MO[[#This Row],[PUNTAL 4"]]+BD_MO[[#This Row],[PUNTAL 5"]]+BD_MO[[#This Row],[PUNTAL 6"]]+BD_MO[[#This Row],[PUNTAL 7"]]+BD_MO[[#This Row],[PUNTAL 8"]],"")</f>
        <v>0</v>
      </c>
      <c r="CQ250" s="254"/>
      <c r="CR250" s="254"/>
      <c r="CS250" s="254"/>
      <c r="CT250" s="254"/>
      <c r="CU250" s="254"/>
      <c r="CV250" s="254"/>
      <c r="CW250" s="254"/>
      <c r="CX250" s="254"/>
      <c r="CY250" s="259"/>
      <c r="CZ250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50" s="259">
        <f>+IF(BD_MO[[#This Row],[FECHA]]&lt;&gt;"",BD_MO[[#This Row],[DURMIENTE2]]*6.561+BD_MO[[#This Row],[LISTONES]]*4.921+BD_MO[[#This Row],[TABLA 1"x8"x3m]]*6.561+BD_MO[[#This Row],[TABLA 2"x8"x3m]]*13.122,"")</f>
        <v>0</v>
      </c>
      <c r="DB250" s="259">
        <f>+IF(BD_MO[[#This Row],[FECHA]]&lt;&gt;"",BD_MO[[#This Row],[PIE2 MADERA ASERRADA]]*1.95,"")</f>
        <v>0</v>
      </c>
      <c r="DC250" s="259">
        <f>+IF(BD_MO[[#This Row],[FECHA]]&lt;&gt;"",BD_MO[[#This Row],[KG. MADERA REDONDA]]+BD_MO[[#This Row],[KG MADERA ASERRADA]],"")</f>
        <v>0</v>
      </c>
      <c r="DD250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50" s="254"/>
      <c r="DF250" s="254"/>
      <c r="DG250" s="254"/>
      <c r="DH250" s="254"/>
      <c r="DI250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50" s="263"/>
      <c r="DK250" s="263"/>
      <c r="DL250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50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50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50" s="264"/>
      <c r="DP250" s="263" t="str">
        <f>+IF(BD_MO[[#This Row],[M o D]]&lt;&gt;"",IF(BD_MO[[#This Row],[M o D]]="M",BD_MO[[#This Row],[ROTURA TMH]]/2.65,BD_MO[[#This Row],[ROTURA TMH]]/2.4),"")</f>
        <v/>
      </c>
      <c r="DQ250" s="263"/>
      <c r="DR250" s="116" t="str">
        <f>IF(BD_MO[[#This Row],[TIPO AVANCE]]="Avance",((BD_MO[[#This Row],[AVANCE (m)]]/BD_MO[[#This Row],[AVANCE TEÓRICO]]))," ")</f>
        <v xml:space="preserve"> </v>
      </c>
    </row>
    <row r="251" spans="1:130" ht="18" customHeight="1" x14ac:dyDescent="0.25">
      <c r="A251" s="250">
        <v>44666</v>
      </c>
      <c r="B251" s="251" t="s">
        <v>10647</v>
      </c>
      <c r="C251" s="251" t="s">
        <v>10672</v>
      </c>
      <c r="D251" s="252" t="s">
        <v>12149</v>
      </c>
      <c r="E251" s="253" t="str">
        <f>LEFT(BD_MO[[#This Row],[LABOR]],2)</f>
        <v>Es</v>
      </c>
      <c r="F251" s="254" t="s">
        <v>10950</v>
      </c>
      <c r="G251" s="254" t="s">
        <v>10648</v>
      </c>
      <c r="H251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51" s="253" t="str">
        <f>IF(BD_MO[FECHA]&lt;&gt;"",VLOOKUP(BD_MO[LABOR],TB_CECO[[LABOR]:[CECO_T]],3,FALSE),"")</f>
        <v>VANESSA</v>
      </c>
      <c r="J251" s="253" t="str">
        <f>IF(BD_MO[FECHA]&lt;&gt;"",VLOOKUP(BD_MO[LABOR],D_CECO!B:H,7,FALSE),"")</f>
        <v>LINEAL</v>
      </c>
      <c r="K251" s="253" t="str">
        <f>IF(BD_MO[FECHA]&lt;&gt;"",VLOOKUP(BD_MO[LABOR],D_CECO!B:H,4,FALSE),"")</f>
        <v>EXPLORACION</v>
      </c>
      <c r="L251" s="253"/>
      <c r="M251" s="255" t="s">
        <v>10679</v>
      </c>
      <c r="N251" s="254"/>
      <c r="O251" s="256" t="s">
        <v>12233</v>
      </c>
      <c r="P251" s="256" t="s">
        <v>12197</v>
      </c>
      <c r="Q251" s="256"/>
      <c r="R251" s="257"/>
      <c r="S251" s="258" t="str">
        <f>IFERROR(VLOOKUP(BD_MO[DNI 4],#REF!,2,FALSE)," ")</f>
        <v xml:space="preserve"> </v>
      </c>
      <c r="T251" s="259">
        <f>+IF(BD_MO[[#This Row],[FECHA]]&lt;&gt;"",COUNTA(BD_MO[[#This Row],[DNI]],BD_MO[[#This Row],[DNI 2]],BD_MO[[#This Row],[DNI 3]],BD_MO[[#This Row],[DNI 4]]),"")</f>
        <v>2</v>
      </c>
      <c r="U251" s="259">
        <v>0.76</v>
      </c>
      <c r="V251" s="259">
        <v>0.28000000000000003</v>
      </c>
      <c r="W251" s="259">
        <v>0.57999999999999996</v>
      </c>
      <c r="X251" s="259">
        <v>0.38</v>
      </c>
      <c r="Y251" s="260">
        <f>SUM(BD_MO[[#This Row],[LIMP]:[SERV]])</f>
        <v>2</v>
      </c>
      <c r="Z251" s="254" t="s">
        <v>12284</v>
      </c>
      <c r="AA251" s="254">
        <f>+IF(BD_MO[[#This Row],[N° VALE]]&lt;&gt;"",1,"")</f>
        <v>1</v>
      </c>
      <c r="AB251" s="251" t="s">
        <v>10710</v>
      </c>
      <c r="AC251" s="254">
        <v>4</v>
      </c>
      <c r="AD251" s="254">
        <f>+IF(BD_MO[[#This Row],[N° VALE]]&lt;&gt;"",BD_MO[[#This Row],[FULMINANTE N° 08]]+BD_MO[CARMEX 7''],"")</f>
        <v>3</v>
      </c>
      <c r="AE251" s="254"/>
      <c r="AF251" s="254">
        <f>+IF(BD_MO[[#This Row],[N° VALE]]&lt;&gt;"",BD_MO[[#This Row],[N° TALADROS]]+BD_MO[[#This Row],[N° TAL. VACIOS]],"")</f>
        <v>3</v>
      </c>
      <c r="AG251" s="261"/>
      <c r="AH251" s="261">
        <v>9</v>
      </c>
      <c r="AI251" s="261"/>
      <c r="AJ251" s="261"/>
      <c r="AK251" s="261">
        <v>3</v>
      </c>
      <c r="AL251" s="261">
        <v>1</v>
      </c>
      <c r="AM251" s="253"/>
      <c r="AN251" s="254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51" s="254">
        <f>+IF(BD_MO[[#This Row],[N° VALE]]&lt;&gt;"",IF(BD_MO[[#This Row],[FULMINANTE N° 08]]&lt;&gt;"",BD_MO[[#This Row],[FULMINANTE N° 08]],IF(BD_MO[[#This Row],[CARMEX 7'']]&lt;&gt;0,0,"")),"")</f>
        <v>0</v>
      </c>
      <c r="AP251" s="259">
        <f>+IF(BD_MO[[#This Row],[N° VALE]]&lt;&gt;"",BD_MO[[#This Row],[N°  TOTAL TALADROS]]*BD_MO[[#This Row],[BARRA]]*0.95,"")</f>
        <v>11.399999999999999</v>
      </c>
      <c r="AQ251" s="259">
        <f>+IF(BD_MO[[#This Row],[N° VALE]]&lt;&gt;"",BD_MO[[#This Row],[EMULNOR 1000 (N° CART.)]]*PE_EMUL_1000[PE],"")</f>
        <v>0.85230000000000006</v>
      </c>
      <c r="AR251" s="259">
        <f>+IF(BD_MO[[#This Row],[N° VALE]]&lt;&gt;"",BD_MO[[#This Row],[EMULNOR 3000 (N° CART.)]]*PE_EMUL_3000[PE],"")</f>
        <v>0</v>
      </c>
      <c r="AS251" s="259">
        <f>+IF(BD_MO[[#This Row],[N° VALE]]&lt;&gt;"",BD_MO[[#This Row],[PULVERULENTA (N° CART.)]]*PE_PULV_65[PE],"")</f>
        <v>0</v>
      </c>
      <c r="AT251" s="259">
        <f>+IF(BD_MO[[#This Row],[N° DISP]]&lt;&gt;"",BD_MO[[#This Row],[SEMIGELATINA (N° CART.)]]*PE_SEMIGEL_65[PE],"")</f>
        <v>0</v>
      </c>
      <c r="AU251" s="259">
        <f>+IF(BD_MO[N° VALE]&lt;&gt;"",BD_MO[[#This Row],[KG EXPLO SEMIGEL]]+BD_MO[[#This Row],[KG EXPLO PULVE]]+BD_MO[[#This Row],[KG EXPLO EMULN 3000]]+BD_MO[[#This Row],[KG EXPLO EMULN 1000]],"")</f>
        <v>0.85230000000000006</v>
      </c>
      <c r="AV251" s="254"/>
      <c r="AW251" s="254">
        <v>8</v>
      </c>
      <c r="AX251" s="254" t="str">
        <f>+IF(BD_MO[[#This Row],[MINERAL (U-35)]]&lt;&gt;"",BD_MO[[#This Row],[MINERAL (U-35)]]*1.45,"-")</f>
        <v>-</v>
      </c>
      <c r="AY251" s="254">
        <f>+IF(BD_MO[[#This Row],[DESMONTE (U-35)]]&lt;&gt;"",BD_MO[[#This Row],[DESMONTE (U-35)]]*1.23,"-")</f>
        <v>9.84</v>
      </c>
      <c r="AZ251" s="254"/>
      <c r="BA251" s="254"/>
      <c r="BB251" s="254"/>
      <c r="BC251" s="254">
        <v>1</v>
      </c>
      <c r="BD251" s="254"/>
      <c r="BE251" s="254"/>
      <c r="BF251" s="254"/>
      <c r="BG251" s="254"/>
      <c r="BH251" s="254"/>
      <c r="BI251" s="254"/>
      <c r="BJ251" s="254"/>
      <c r="BK251" s="254"/>
      <c r="BL251" s="254"/>
      <c r="BM251" s="254"/>
      <c r="BN251" s="253"/>
      <c r="BO251" s="254">
        <v>1</v>
      </c>
      <c r="BP251" s="254"/>
      <c r="BQ251" s="253">
        <v>6.06</v>
      </c>
      <c r="BR251" s="254"/>
      <c r="BS251" s="253"/>
      <c r="BT251" s="259"/>
      <c r="BU251" s="254"/>
      <c r="BV251" s="254"/>
      <c r="BW251" s="254"/>
      <c r="BX251" s="254"/>
      <c r="BY251" s="254"/>
      <c r="BZ251" s="254"/>
      <c r="CA251" s="254"/>
      <c r="CB251" s="254"/>
      <c r="CC251" s="254"/>
      <c r="CD251" s="254"/>
      <c r="CE251" s="254"/>
      <c r="CF251" s="254"/>
      <c r="CG251" s="254"/>
      <c r="CH251" s="254"/>
      <c r="CI251" s="254"/>
      <c r="CJ251" s="254"/>
      <c r="CK251" s="254"/>
      <c r="CL251" s="254">
        <v>2</v>
      </c>
      <c r="CM251" s="254">
        <v>2</v>
      </c>
      <c r="CN251" s="254">
        <v>3</v>
      </c>
      <c r="CO251" s="254"/>
      <c r="CP251" s="259">
        <f>+IF(BD_MO[[#This Row],[FECHA]]&lt;&gt;"",BD_MO[[#This Row],[PUNTAL 4"]]+BD_MO[[#This Row],[PUNTAL 5"]]+BD_MO[[#This Row],[PUNTAL 6"]]+BD_MO[[#This Row],[PUNTAL 7"]]+BD_MO[[#This Row],[PUNTAL 8"]],"")</f>
        <v>7</v>
      </c>
      <c r="CQ251" s="254"/>
      <c r="CR251" s="254"/>
      <c r="CS251" s="254">
        <v>10</v>
      </c>
      <c r="CT251" s="254"/>
      <c r="CU251" s="254"/>
      <c r="CV251" s="254"/>
      <c r="CW251" s="254"/>
      <c r="CX251" s="254"/>
      <c r="CY251" s="259"/>
      <c r="CZ251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581.31100000000004</v>
      </c>
      <c r="DA251" s="259">
        <f>+IF(BD_MO[[#This Row],[FECHA]]&lt;&gt;"",BD_MO[[#This Row],[DURMIENTE2]]*6.561+BD_MO[[#This Row],[LISTONES]]*4.921+BD_MO[[#This Row],[TABLA 1"x8"x3m]]*6.561+BD_MO[[#This Row],[TABLA 2"x8"x3m]]*13.122,"")</f>
        <v>0</v>
      </c>
      <c r="DB251" s="259">
        <f>+IF(BD_MO[[#This Row],[FECHA]]&lt;&gt;"",BD_MO[[#This Row],[PIE2 MADERA ASERRADA]]*1.95,"")</f>
        <v>0</v>
      </c>
      <c r="DC251" s="259">
        <f>+IF(BD_MO[[#This Row],[FECHA]]&lt;&gt;"",BD_MO[[#This Row],[KG. MADERA REDONDA]]+BD_MO[[#This Row],[KG MADERA ASERRADA]],"")</f>
        <v>581.31100000000004</v>
      </c>
      <c r="DD251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247.5</v>
      </c>
      <c r="DE251" s="254"/>
      <c r="DF251" s="254"/>
      <c r="DG251" s="254"/>
      <c r="DH251" s="254"/>
      <c r="DI251" s="263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51" s="263"/>
      <c r="DK251" s="263"/>
      <c r="DL251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51" s="263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51" s="263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51" s="264">
        <v>1.82</v>
      </c>
      <c r="DP251" s="263">
        <f>+IF(BD_MO[[#This Row],[M o D]]&lt;&gt;"",IF(BD_MO[[#This Row],[M o D]]="M",BD_MO[[#This Row],[ROTURA TMH]]/2.65,BD_MO[[#This Row],[ROTURA TMH]]/2.4),"")</f>
        <v>0.68679245283018875</v>
      </c>
      <c r="DQ251" s="180">
        <v>0.87</v>
      </c>
      <c r="DR251" s="116" t="str">
        <f>IF(BD_MO[[#This Row],[TIPO AVANCE]]="Avance",((BD_MO[[#This Row],[AVANCE (m)]]/BD_MO[[#This Row],[AVANCE TEÓRICO]]))," ")</f>
        <v xml:space="preserve"> </v>
      </c>
    </row>
    <row r="252" spans="1:130" ht="18" customHeight="1" x14ac:dyDescent="0.25">
      <c r="A252" s="250">
        <v>44666</v>
      </c>
      <c r="B252" s="251" t="s">
        <v>10647</v>
      </c>
      <c r="C252" s="251" t="s">
        <v>10672</v>
      </c>
      <c r="D252" s="252" t="s">
        <v>11595</v>
      </c>
      <c r="E252" s="253" t="str">
        <f>LEFT(BD_MO[[#This Row],[LABOR]],2)</f>
        <v>Tj</v>
      </c>
      <c r="F252" s="254"/>
      <c r="G252" s="254" t="s">
        <v>10669</v>
      </c>
      <c r="H252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52" s="253" t="str">
        <f>IF(BD_MO[FECHA]&lt;&gt;"",VLOOKUP(BD_MO[LABOR],TB_CECO[[LABOR]:[CECO_T]],3,FALSE),"")</f>
        <v>ESCONDIDA</v>
      </c>
      <c r="J252" s="253" t="str">
        <f>IF(BD_MO[FECHA]&lt;&gt;"",VLOOKUP(BD_MO[LABOR],D_CECO!B:H,7,FALSE),"")</f>
        <v>TAJO</v>
      </c>
      <c r="K252" s="253" t="str">
        <f>IF(BD_MO[FECHA]&lt;&gt;"",VLOOKUP(BD_MO[LABOR],D_CECO!B:H,4,FALSE),"")</f>
        <v>EXPLOTACION</v>
      </c>
      <c r="L252" s="253"/>
      <c r="M252" s="255"/>
      <c r="N252" s="254"/>
      <c r="O252" s="256" t="s">
        <v>12192</v>
      </c>
      <c r="P252" s="256" t="s">
        <v>12205</v>
      </c>
      <c r="Q252" s="256"/>
      <c r="R252" s="257"/>
      <c r="S252" s="258" t="str">
        <f>IFERROR(VLOOKUP(BD_MO[DNI 4],#REF!,2,FALSE)," ")</f>
        <v xml:space="preserve"> </v>
      </c>
      <c r="T252" s="259">
        <f>+IF(BD_MO[[#This Row],[FECHA]]&lt;&gt;"",COUNTA(BD_MO[[#This Row],[DNI]],BD_MO[[#This Row],[DNI 2]],BD_MO[[#This Row],[DNI 3]],BD_MO[[#This Row],[DNI 4]]),"")</f>
        <v>2</v>
      </c>
      <c r="U252" s="259"/>
      <c r="V252" s="259"/>
      <c r="W252" s="259"/>
      <c r="X252" s="259">
        <v>2</v>
      </c>
      <c r="Y252" s="260">
        <f>SUM(BD_MO[[#This Row],[LIMP]:[SERV]])</f>
        <v>2</v>
      </c>
      <c r="Z252" s="254"/>
      <c r="AA252" s="254" t="str">
        <f>+IF(BD_MO[[#This Row],[N° VALE]]&lt;&gt;"",1,"")</f>
        <v/>
      </c>
      <c r="AB252" s="251"/>
      <c r="AC252" s="254"/>
      <c r="AD252" s="254" t="str">
        <f>+IF(BD_MO[[#This Row],[N° VALE]]&lt;&gt;"",BD_MO[[#This Row],[FULMINANTE N° 08]]+BD_MO[CARMEX 7''],"")</f>
        <v/>
      </c>
      <c r="AE252" s="254"/>
      <c r="AF252" s="254" t="str">
        <f>+IF(BD_MO[[#This Row],[N° VALE]]&lt;&gt;"",BD_MO[[#This Row],[N° TALADROS]]+BD_MO[[#This Row],[N° TAL. VACIOS]],"")</f>
        <v/>
      </c>
      <c r="AG252" s="261"/>
      <c r="AH252" s="261"/>
      <c r="AI252" s="261"/>
      <c r="AJ252" s="261"/>
      <c r="AK252" s="261"/>
      <c r="AL252" s="261"/>
      <c r="AM252" s="253"/>
      <c r="AN252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52" s="254" t="str">
        <f>+IF(BD_MO[[#This Row],[N° VALE]]&lt;&gt;"",IF(BD_MO[[#This Row],[FULMINANTE N° 08]]&lt;&gt;"",BD_MO[[#This Row],[FULMINANTE N° 08]],IF(BD_MO[[#This Row],[CARMEX 7'']]&lt;&gt;0,0,"")),"")</f>
        <v/>
      </c>
      <c r="AP252" s="259" t="str">
        <f>+IF(BD_MO[[#This Row],[N° VALE]]&lt;&gt;"",BD_MO[[#This Row],[N°  TOTAL TALADROS]]*BD_MO[[#This Row],[BARRA]]*0.95,"")</f>
        <v/>
      </c>
      <c r="AQ252" s="259" t="str">
        <f>+IF(BD_MO[[#This Row],[N° VALE]]&lt;&gt;"",BD_MO[[#This Row],[EMULNOR 1000 (N° CART.)]]*PE_EMUL_1000[PE],"")</f>
        <v/>
      </c>
      <c r="AR252" s="259" t="str">
        <f>+IF(BD_MO[[#This Row],[N° VALE]]&lt;&gt;"",BD_MO[[#This Row],[EMULNOR 3000 (N° CART.)]]*PE_EMUL_3000[PE],"")</f>
        <v/>
      </c>
      <c r="AS252" s="259" t="str">
        <f>+IF(BD_MO[[#This Row],[N° VALE]]&lt;&gt;"",BD_MO[[#This Row],[PULVERULENTA (N° CART.)]]*PE_PULV_65[PE],"")</f>
        <v/>
      </c>
      <c r="AT252" s="259" t="str">
        <f>+IF(BD_MO[[#This Row],[N° DISP]]&lt;&gt;"",BD_MO[[#This Row],[SEMIGELATINA (N° CART.)]]*PE_SEMIGEL_65[PE],"")</f>
        <v/>
      </c>
      <c r="AU252" s="259" t="str">
        <f>+IF(BD_MO[N° VALE]&lt;&gt;"",BD_MO[[#This Row],[KG EXPLO SEMIGEL]]+BD_MO[[#This Row],[KG EXPLO PULVE]]+BD_MO[[#This Row],[KG EXPLO EMULN 3000]]+BD_MO[[#This Row],[KG EXPLO EMULN 1000]],"")</f>
        <v/>
      </c>
      <c r="AV252" s="254"/>
      <c r="AW252" s="254"/>
      <c r="AX252" s="254" t="str">
        <f>+IF(BD_MO[[#This Row],[MINERAL (U-35)]]&lt;&gt;"",BD_MO[[#This Row],[MINERAL (U-35)]]*1.45,"-")</f>
        <v>-</v>
      </c>
      <c r="AY252" s="254" t="str">
        <f>+IF(BD_MO[[#This Row],[DESMONTE (U-35)]]&lt;&gt;"",BD_MO[[#This Row],[DESMONTE (U-35)]]*1.23,"-")</f>
        <v>-</v>
      </c>
      <c r="AZ252" s="254"/>
      <c r="BA252" s="254"/>
      <c r="BB252" s="254"/>
      <c r="BC252" s="254"/>
      <c r="BD252" s="254"/>
      <c r="BE252" s="254"/>
      <c r="BF252" s="254"/>
      <c r="BG252" s="254"/>
      <c r="BH252" s="254"/>
      <c r="BI252" s="254"/>
      <c r="BJ252" s="254"/>
      <c r="BK252" s="254"/>
      <c r="BL252" s="254"/>
      <c r="BM252" s="254"/>
      <c r="BN252" s="253"/>
      <c r="BO252" s="254"/>
      <c r="BP252" s="254"/>
      <c r="BQ252" s="253"/>
      <c r="BR252" s="254"/>
      <c r="BS252" s="253"/>
      <c r="BT252" s="259"/>
      <c r="BU252" s="254"/>
      <c r="BV252" s="254"/>
      <c r="BW252" s="254"/>
      <c r="BX252" s="254"/>
      <c r="BY252" s="254"/>
      <c r="BZ252" s="254"/>
      <c r="CA252" s="254"/>
      <c r="CB252" s="254"/>
      <c r="CC252" s="254"/>
      <c r="CD252" s="254"/>
      <c r="CE252" s="254"/>
      <c r="CF252" s="254"/>
      <c r="CG252" s="254"/>
      <c r="CH252" s="254"/>
      <c r="CI252" s="254"/>
      <c r="CJ252" s="254"/>
      <c r="CK252" s="254"/>
      <c r="CL252" s="254"/>
      <c r="CM252" s="254"/>
      <c r="CN252" s="254"/>
      <c r="CO252" s="254"/>
      <c r="CP252" s="259">
        <f>+IF(BD_MO[[#This Row],[FECHA]]&lt;&gt;"",BD_MO[[#This Row],[PUNTAL 4"]]+BD_MO[[#This Row],[PUNTAL 5"]]+BD_MO[[#This Row],[PUNTAL 6"]]+BD_MO[[#This Row],[PUNTAL 7"]]+BD_MO[[#This Row],[PUNTAL 8"]],"")</f>
        <v>0</v>
      </c>
      <c r="CQ252" s="254"/>
      <c r="CR252" s="254"/>
      <c r="CS252" s="254"/>
      <c r="CT252" s="254"/>
      <c r="CU252" s="254"/>
      <c r="CV252" s="254"/>
      <c r="CW252" s="254"/>
      <c r="CX252" s="254"/>
      <c r="CY252" s="259"/>
      <c r="CZ252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52" s="259">
        <f>+IF(BD_MO[[#This Row],[FECHA]]&lt;&gt;"",BD_MO[[#This Row],[DURMIENTE2]]*6.561+BD_MO[[#This Row],[LISTONES]]*4.921+BD_MO[[#This Row],[TABLA 1"x8"x3m]]*6.561+BD_MO[[#This Row],[TABLA 2"x8"x3m]]*13.122,"")</f>
        <v>0</v>
      </c>
      <c r="DB252" s="259">
        <f>+IF(BD_MO[[#This Row],[FECHA]]&lt;&gt;"",BD_MO[[#This Row],[PIE2 MADERA ASERRADA]]*1.95,"")</f>
        <v>0</v>
      </c>
      <c r="DC252" s="259">
        <f>+IF(BD_MO[[#This Row],[FECHA]]&lt;&gt;"",BD_MO[[#This Row],[KG. MADERA REDONDA]]+BD_MO[[#This Row],[KG MADERA ASERRADA]],"")</f>
        <v>0</v>
      </c>
      <c r="DD252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52" s="254"/>
      <c r="DF252" s="254"/>
      <c r="DG252" s="254"/>
      <c r="DH252" s="254"/>
      <c r="DI252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52" s="263"/>
      <c r="DK252" s="263"/>
      <c r="DL252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52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52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52" s="264"/>
      <c r="DP252" s="263" t="str">
        <f>+IF(BD_MO[[#This Row],[M o D]]&lt;&gt;"",IF(BD_MO[[#This Row],[M o D]]="M",BD_MO[[#This Row],[ROTURA TMH]]/2.65,BD_MO[[#This Row],[ROTURA TMH]]/2.4),"")</f>
        <v/>
      </c>
      <c r="DQ252" s="263"/>
      <c r="DR252" s="116" t="str">
        <f>IF(BD_MO[[#This Row],[TIPO AVANCE]]="Avance",((BD_MO[[#This Row],[AVANCE (m)]]/BD_MO[[#This Row],[AVANCE TEÓRICO]]))," ")</f>
        <v xml:space="preserve"> </v>
      </c>
    </row>
    <row r="253" spans="1:130" ht="18" customHeight="1" x14ac:dyDescent="0.25">
      <c r="A253" s="250">
        <v>44666</v>
      </c>
      <c r="B253" s="251" t="s">
        <v>10647</v>
      </c>
      <c r="C253" s="251" t="s">
        <v>10672</v>
      </c>
      <c r="D253" s="252" t="s">
        <v>11872</v>
      </c>
      <c r="E253" s="253" t="str">
        <f>LEFT(BD_MO[[#This Row],[LABOR]],2)</f>
        <v>PQ</v>
      </c>
      <c r="F253" s="254"/>
      <c r="G253" s="254" t="s">
        <v>10669</v>
      </c>
      <c r="H253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53" s="253" t="str">
        <f>IF(BD_MO[FECHA]&lt;&gt;"",VLOOKUP(BD_MO[LABOR],TB_CECO[[LABOR]:[CECO_T]],3,FALSE),"")</f>
        <v>ANDREA</v>
      </c>
      <c r="J253" s="253" t="str">
        <f>IF(BD_MO[FECHA]&lt;&gt;"",VLOOKUP(BD_MO[LABOR],D_CECO!B:H,7,FALSE),"")</f>
        <v>LINEAL</v>
      </c>
      <c r="K253" s="253" t="str">
        <f>IF(BD_MO[FECHA]&lt;&gt;"",VLOOKUP(BD_MO[LABOR],D_CECO!B:H,4,FALSE),"")</f>
        <v>EXPLOTACION</v>
      </c>
      <c r="L253" s="253"/>
      <c r="M253" s="255"/>
      <c r="N253" s="254"/>
      <c r="O253" s="256" t="s">
        <v>12199</v>
      </c>
      <c r="P253" s="256" t="s">
        <v>12220</v>
      </c>
      <c r="Q253" s="256"/>
      <c r="R253" s="257"/>
      <c r="S253" s="258" t="str">
        <f>IFERROR(VLOOKUP(BD_MO[DNI 4],#REF!,2,FALSE)," ")</f>
        <v xml:space="preserve"> </v>
      </c>
      <c r="T253" s="259">
        <f>+IF(BD_MO[[#This Row],[FECHA]]&lt;&gt;"",COUNTA(BD_MO[[#This Row],[DNI]],BD_MO[[#This Row],[DNI 2]],BD_MO[[#This Row],[DNI 3]],BD_MO[[#This Row],[DNI 4]]),"")</f>
        <v>2</v>
      </c>
      <c r="U253" s="259"/>
      <c r="V253" s="259"/>
      <c r="W253" s="259"/>
      <c r="X253" s="259">
        <v>2</v>
      </c>
      <c r="Y253" s="260">
        <f>SUM(BD_MO[[#This Row],[LIMP]:[SERV]])</f>
        <v>2</v>
      </c>
      <c r="Z253" s="254"/>
      <c r="AA253" s="254" t="str">
        <f>+IF(BD_MO[[#This Row],[N° VALE]]&lt;&gt;"",1,"")</f>
        <v/>
      </c>
      <c r="AB253" s="251"/>
      <c r="AC253" s="254"/>
      <c r="AD253" s="254" t="str">
        <f>+IF(BD_MO[[#This Row],[N° VALE]]&lt;&gt;"",BD_MO[[#This Row],[FULMINANTE N° 08]]+BD_MO[CARMEX 7''],"")</f>
        <v/>
      </c>
      <c r="AE253" s="254"/>
      <c r="AF253" s="254" t="str">
        <f>+IF(BD_MO[[#This Row],[N° VALE]]&lt;&gt;"",BD_MO[[#This Row],[N° TALADROS]]+BD_MO[[#This Row],[N° TAL. VACIOS]],"")</f>
        <v/>
      </c>
      <c r="AG253" s="261"/>
      <c r="AH253" s="261"/>
      <c r="AI253" s="261"/>
      <c r="AJ253" s="261"/>
      <c r="AK253" s="261"/>
      <c r="AL253" s="261"/>
      <c r="AM253" s="253"/>
      <c r="AN253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53" s="254" t="str">
        <f>+IF(BD_MO[[#This Row],[N° VALE]]&lt;&gt;"",IF(BD_MO[[#This Row],[FULMINANTE N° 08]]&lt;&gt;"",BD_MO[[#This Row],[FULMINANTE N° 08]],IF(BD_MO[[#This Row],[CARMEX 7'']]&lt;&gt;0,0,"")),"")</f>
        <v/>
      </c>
      <c r="AP253" s="259" t="str">
        <f>+IF(BD_MO[[#This Row],[N° VALE]]&lt;&gt;"",BD_MO[[#This Row],[N°  TOTAL TALADROS]]*BD_MO[[#This Row],[BARRA]]*0.95,"")</f>
        <v/>
      </c>
      <c r="AQ253" s="259" t="str">
        <f>+IF(BD_MO[[#This Row],[N° VALE]]&lt;&gt;"",BD_MO[[#This Row],[EMULNOR 1000 (N° CART.)]]*PE_EMUL_1000[PE],"")</f>
        <v/>
      </c>
      <c r="AR253" s="259" t="str">
        <f>+IF(BD_MO[[#This Row],[N° VALE]]&lt;&gt;"",BD_MO[[#This Row],[EMULNOR 3000 (N° CART.)]]*PE_EMUL_3000[PE],"")</f>
        <v/>
      </c>
      <c r="AS253" s="259" t="str">
        <f>+IF(BD_MO[[#This Row],[N° VALE]]&lt;&gt;"",BD_MO[[#This Row],[PULVERULENTA (N° CART.)]]*PE_PULV_65[PE],"")</f>
        <v/>
      </c>
      <c r="AT253" s="259" t="str">
        <f>+IF(BD_MO[[#This Row],[N° DISP]]&lt;&gt;"",BD_MO[[#This Row],[SEMIGELATINA (N° CART.)]]*PE_SEMIGEL_65[PE],"")</f>
        <v/>
      </c>
      <c r="AU253" s="259" t="str">
        <f>+IF(BD_MO[N° VALE]&lt;&gt;"",BD_MO[[#This Row],[KG EXPLO SEMIGEL]]+BD_MO[[#This Row],[KG EXPLO PULVE]]+BD_MO[[#This Row],[KG EXPLO EMULN 3000]]+BD_MO[[#This Row],[KG EXPLO EMULN 1000]],"")</f>
        <v/>
      </c>
      <c r="AV253" s="254"/>
      <c r="AW253" s="254"/>
      <c r="AX253" s="254" t="str">
        <f>+IF(BD_MO[[#This Row],[MINERAL (U-35)]]&lt;&gt;"",BD_MO[[#This Row],[MINERAL (U-35)]]*1.45,"-")</f>
        <v>-</v>
      </c>
      <c r="AY253" s="254" t="str">
        <f>+IF(BD_MO[[#This Row],[DESMONTE (U-35)]]&lt;&gt;"",BD_MO[[#This Row],[DESMONTE (U-35)]]*1.23,"-")</f>
        <v>-</v>
      </c>
      <c r="AZ253" s="254"/>
      <c r="BA253" s="254"/>
      <c r="BB253" s="254"/>
      <c r="BC253" s="254"/>
      <c r="BD253" s="254"/>
      <c r="BE253" s="254"/>
      <c r="BF253" s="254"/>
      <c r="BG253" s="254"/>
      <c r="BH253" s="254"/>
      <c r="BI253" s="254"/>
      <c r="BJ253" s="254"/>
      <c r="BK253" s="254"/>
      <c r="BL253" s="254"/>
      <c r="BM253" s="254"/>
      <c r="BN253" s="253"/>
      <c r="BO253" s="254"/>
      <c r="BP253" s="254"/>
      <c r="BQ253" s="253"/>
      <c r="BR253" s="254"/>
      <c r="BS253" s="253"/>
      <c r="BT253" s="259"/>
      <c r="BU253" s="254"/>
      <c r="BV253" s="254"/>
      <c r="BW253" s="254"/>
      <c r="BX253" s="254"/>
      <c r="BY253" s="254"/>
      <c r="BZ253" s="254"/>
      <c r="CA253" s="254"/>
      <c r="CB253" s="254"/>
      <c r="CC253" s="254"/>
      <c r="CD253" s="254"/>
      <c r="CE253" s="254"/>
      <c r="CF253" s="254"/>
      <c r="CG253" s="254"/>
      <c r="CH253" s="254"/>
      <c r="CI253" s="254"/>
      <c r="CJ253" s="254"/>
      <c r="CK253" s="254"/>
      <c r="CL253" s="254"/>
      <c r="CM253" s="254"/>
      <c r="CN253" s="254"/>
      <c r="CO253" s="254"/>
      <c r="CP253" s="259">
        <f>+IF(BD_MO[[#This Row],[FECHA]]&lt;&gt;"",BD_MO[[#This Row],[PUNTAL 4"]]+BD_MO[[#This Row],[PUNTAL 5"]]+BD_MO[[#This Row],[PUNTAL 6"]]+BD_MO[[#This Row],[PUNTAL 7"]]+BD_MO[[#This Row],[PUNTAL 8"]],"")</f>
        <v>0</v>
      </c>
      <c r="CQ253" s="254"/>
      <c r="CR253" s="254"/>
      <c r="CS253" s="254"/>
      <c r="CT253" s="254"/>
      <c r="CU253" s="254"/>
      <c r="CV253" s="254"/>
      <c r="CW253" s="254"/>
      <c r="CX253" s="254"/>
      <c r="CY253" s="259"/>
      <c r="CZ253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53" s="259">
        <f>+IF(BD_MO[[#This Row],[FECHA]]&lt;&gt;"",BD_MO[[#This Row],[DURMIENTE2]]*6.561+BD_MO[[#This Row],[LISTONES]]*4.921+BD_MO[[#This Row],[TABLA 1"x8"x3m]]*6.561+BD_MO[[#This Row],[TABLA 2"x8"x3m]]*13.122,"")</f>
        <v>0</v>
      </c>
      <c r="DB253" s="259">
        <f>+IF(BD_MO[[#This Row],[FECHA]]&lt;&gt;"",BD_MO[[#This Row],[PIE2 MADERA ASERRADA]]*1.95,"")</f>
        <v>0</v>
      </c>
      <c r="DC253" s="259">
        <f>+IF(BD_MO[[#This Row],[FECHA]]&lt;&gt;"",BD_MO[[#This Row],[KG. MADERA REDONDA]]+BD_MO[[#This Row],[KG MADERA ASERRADA]],"")</f>
        <v>0</v>
      </c>
      <c r="DD253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53" s="254"/>
      <c r="DF253" s="254"/>
      <c r="DG253" s="254" t="s">
        <v>12238</v>
      </c>
      <c r="DH253" s="254">
        <v>8</v>
      </c>
      <c r="DI253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53" s="263"/>
      <c r="DK253" s="263"/>
      <c r="DL253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53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53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53" s="264"/>
      <c r="DP253" s="263" t="str">
        <f>+IF(BD_MO[[#This Row],[M o D]]&lt;&gt;"",IF(BD_MO[[#This Row],[M o D]]="M",BD_MO[[#This Row],[ROTURA TMH]]/2.65,BD_MO[[#This Row],[ROTURA TMH]]/2.4),"")</f>
        <v/>
      </c>
      <c r="DQ253" s="263"/>
      <c r="DR253" s="116" t="str">
        <f>IF(BD_MO[[#This Row],[TIPO AVANCE]]="Avance",((BD_MO[[#This Row],[AVANCE (m)]]/BD_MO[[#This Row],[AVANCE TEÓRICO]]))," ")</f>
        <v xml:space="preserve"> </v>
      </c>
    </row>
    <row r="254" spans="1:130" ht="18" customHeight="1" x14ac:dyDescent="0.25">
      <c r="A254" s="250">
        <v>44666</v>
      </c>
      <c r="B254" s="251" t="s">
        <v>10647</v>
      </c>
      <c r="C254" s="251" t="s">
        <v>10672</v>
      </c>
      <c r="D254" s="252" t="s">
        <v>10952</v>
      </c>
      <c r="E254" s="253" t="str">
        <f>LEFT(BD_MO[[#This Row],[LABOR]],2)</f>
        <v>In</v>
      </c>
      <c r="F254" s="254"/>
      <c r="G254" s="254" t="s">
        <v>10669</v>
      </c>
      <c r="H254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54" s="253" t="str">
        <f>IF(BD_MO[FECHA]&lt;&gt;"",VLOOKUP(BD_MO[LABOR],TB_CECO[[LABOR]:[CECO_T]],3,FALSE),"")</f>
        <v>VANESSA</v>
      </c>
      <c r="J254" s="253" t="str">
        <f>IF(BD_MO[FECHA]&lt;&gt;"",VLOOKUP(BD_MO[LABOR],D_CECO!B:H,7,FALSE),"")</f>
        <v>LINEAL</v>
      </c>
      <c r="K254" s="253" t="str">
        <f>IF(BD_MO[FECHA]&lt;&gt;"",VLOOKUP(BD_MO[LABOR],D_CECO!B:H,4,FALSE),"")</f>
        <v>EXPLORACION</v>
      </c>
      <c r="L254" s="253"/>
      <c r="M254" s="255"/>
      <c r="N254" s="254"/>
      <c r="O254" s="256" t="s">
        <v>12198</v>
      </c>
      <c r="P254" s="256" t="s">
        <v>12234</v>
      </c>
      <c r="Q254" s="256"/>
      <c r="R254" s="257"/>
      <c r="S254" s="258" t="str">
        <f>IFERROR(VLOOKUP(BD_MO[DNI 4],#REF!,2,FALSE)," ")</f>
        <v xml:space="preserve"> </v>
      </c>
      <c r="T254" s="259">
        <f>+IF(BD_MO[[#This Row],[FECHA]]&lt;&gt;"",COUNTA(BD_MO[[#This Row],[DNI]],BD_MO[[#This Row],[DNI 2]],BD_MO[[#This Row],[DNI 3]],BD_MO[[#This Row],[DNI 4]]),"")</f>
        <v>2</v>
      </c>
      <c r="U254" s="259"/>
      <c r="V254" s="259"/>
      <c r="W254" s="259"/>
      <c r="X254" s="259">
        <v>2</v>
      </c>
      <c r="Y254" s="260">
        <f>SUM(BD_MO[[#This Row],[LIMP]:[SERV]])</f>
        <v>2</v>
      </c>
      <c r="Z254" s="254"/>
      <c r="AA254" s="254" t="str">
        <f>+IF(BD_MO[[#This Row],[N° VALE]]&lt;&gt;"",1,"")</f>
        <v/>
      </c>
      <c r="AB254" s="251"/>
      <c r="AC254" s="254"/>
      <c r="AD254" s="254" t="str">
        <f>+IF(BD_MO[[#This Row],[N° VALE]]&lt;&gt;"",BD_MO[[#This Row],[FULMINANTE N° 08]]+BD_MO[CARMEX 7''],"")</f>
        <v/>
      </c>
      <c r="AE254" s="254"/>
      <c r="AF254" s="254" t="str">
        <f>+IF(BD_MO[[#This Row],[N° VALE]]&lt;&gt;"",BD_MO[[#This Row],[N° TALADROS]]+BD_MO[[#This Row],[N° TAL. VACIOS]],"")</f>
        <v/>
      </c>
      <c r="AG254" s="261"/>
      <c r="AH254" s="261"/>
      <c r="AI254" s="261"/>
      <c r="AJ254" s="261"/>
      <c r="AK254" s="261"/>
      <c r="AL254" s="261"/>
      <c r="AM254" s="253"/>
      <c r="AN254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54" s="254" t="str">
        <f>+IF(BD_MO[[#This Row],[N° VALE]]&lt;&gt;"",IF(BD_MO[[#This Row],[FULMINANTE N° 08]]&lt;&gt;"",BD_MO[[#This Row],[FULMINANTE N° 08]],IF(BD_MO[[#This Row],[CARMEX 7'']]&lt;&gt;0,0,"")),"")</f>
        <v/>
      </c>
      <c r="AP254" s="259" t="str">
        <f>+IF(BD_MO[[#This Row],[N° VALE]]&lt;&gt;"",BD_MO[[#This Row],[N°  TOTAL TALADROS]]*BD_MO[[#This Row],[BARRA]]*0.95,"")</f>
        <v/>
      </c>
      <c r="AQ254" s="259" t="str">
        <f>+IF(BD_MO[[#This Row],[N° VALE]]&lt;&gt;"",BD_MO[[#This Row],[EMULNOR 1000 (N° CART.)]]*PE_EMUL_1000[PE],"")</f>
        <v/>
      </c>
      <c r="AR254" s="259" t="str">
        <f>+IF(BD_MO[[#This Row],[N° VALE]]&lt;&gt;"",BD_MO[[#This Row],[EMULNOR 3000 (N° CART.)]]*PE_EMUL_3000[PE],"")</f>
        <v/>
      </c>
      <c r="AS254" s="259" t="str">
        <f>+IF(BD_MO[[#This Row],[N° VALE]]&lt;&gt;"",BD_MO[[#This Row],[PULVERULENTA (N° CART.)]]*PE_PULV_65[PE],"")</f>
        <v/>
      </c>
      <c r="AT254" s="259" t="str">
        <f>+IF(BD_MO[[#This Row],[N° DISP]]&lt;&gt;"",BD_MO[[#This Row],[SEMIGELATINA (N° CART.)]]*PE_SEMIGEL_65[PE],"")</f>
        <v/>
      </c>
      <c r="AU254" s="259" t="str">
        <f>+IF(BD_MO[N° VALE]&lt;&gt;"",BD_MO[[#This Row],[KG EXPLO SEMIGEL]]+BD_MO[[#This Row],[KG EXPLO PULVE]]+BD_MO[[#This Row],[KG EXPLO EMULN 3000]]+BD_MO[[#This Row],[KG EXPLO EMULN 1000]],"")</f>
        <v/>
      </c>
      <c r="AV254" s="254"/>
      <c r="AW254" s="254"/>
      <c r="AX254" s="254" t="str">
        <f>+IF(BD_MO[[#This Row],[MINERAL (U-35)]]&lt;&gt;"",BD_MO[[#This Row],[MINERAL (U-35)]]*1.45,"-")</f>
        <v>-</v>
      </c>
      <c r="AY254" s="254" t="str">
        <f>+IF(BD_MO[[#This Row],[DESMONTE (U-35)]]&lt;&gt;"",BD_MO[[#This Row],[DESMONTE (U-35)]]*1.23,"-")</f>
        <v>-</v>
      </c>
      <c r="AZ254" s="254"/>
      <c r="BA254" s="254"/>
      <c r="BB254" s="254"/>
      <c r="BC254" s="254"/>
      <c r="BD254" s="254"/>
      <c r="BE254" s="254"/>
      <c r="BF254" s="254"/>
      <c r="BG254" s="254"/>
      <c r="BH254" s="254"/>
      <c r="BI254" s="254"/>
      <c r="BJ254" s="254"/>
      <c r="BK254" s="254"/>
      <c r="BL254" s="254"/>
      <c r="BM254" s="254"/>
      <c r="BN254" s="253"/>
      <c r="BO254" s="254"/>
      <c r="BP254" s="254"/>
      <c r="BQ254" s="253"/>
      <c r="BR254" s="254"/>
      <c r="BS254" s="253"/>
      <c r="BT254" s="259"/>
      <c r="BU254" s="254"/>
      <c r="BV254" s="254"/>
      <c r="BW254" s="254"/>
      <c r="BX254" s="254"/>
      <c r="BY254" s="254"/>
      <c r="BZ254" s="254"/>
      <c r="CA254" s="254"/>
      <c r="CB254" s="254"/>
      <c r="CC254" s="254"/>
      <c r="CD254" s="254"/>
      <c r="CE254" s="254"/>
      <c r="CF254" s="254"/>
      <c r="CG254" s="254"/>
      <c r="CH254" s="254"/>
      <c r="CI254" s="254"/>
      <c r="CJ254" s="254"/>
      <c r="CK254" s="254"/>
      <c r="CL254" s="254"/>
      <c r="CM254" s="254"/>
      <c r="CN254" s="254"/>
      <c r="CO254" s="254"/>
      <c r="CP254" s="259">
        <f>+IF(BD_MO[[#This Row],[FECHA]]&lt;&gt;"",BD_MO[[#This Row],[PUNTAL 4"]]+BD_MO[[#This Row],[PUNTAL 5"]]+BD_MO[[#This Row],[PUNTAL 6"]]+BD_MO[[#This Row],[PUNTAL 7"]]+BD_MO[[#This Row],[PUNTAL 8"]],"")</f>
        <v>0</v>
      </c>
      <c r="CQ254" s="254"/>
      <c r="CR254" s="254"/>
      <c r="CS254" s="254"/>
      <c r="CT254" s="254"/>
      <c r="CU254" s="254"/>
      <c r="CV254" s="254"/>
      <c r="CW254" s="254"/>
      <c r="CX254" s="254"/>
      <c r="CY254" s="259"/>
      <c r="CZ254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54" s="259">
        <f>+IF(BD_MO[[#This Row],[FECHA]]&lt;&gt;"",BD_MO[[#This Row],[DURMIENTE2]]*6.561+BD_MO[[#This Row],[LISTONES]]*4.921+BD_MO[[#This Row],[TABLA 1"x8"x3m]]*6.561+BD_MO[[#This Row],[TABLA 2"x8"x3m]]*13.122,"")</f>
        <v>0</v>
      </c>
      <c r="DB254" s="259">
        <f>+IF(BD_MO[[#This Row],[FECHA]]&lt;&gt;"",BD_MO[[#This Row],[PIE2 MADERA ASERRADA]]*1.95,"")</f>
        <v>0</v>
      </c>
      <c r="DC254" s="259">
        <f>+IF(BD_MO[[#This Row],[FECHA]]&lt;&gt;"",BD_MO[[#This Row],[KG. MADERA REDONDA]]+BD_MO[[#This Row],[KG MADERA ASERRADA]],"")</f>
        <v>0</v>
      </c>
      <c r="DD254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54" s="254"/>
      <c r="DF254" s="254"/>
      <c r="DG254" s="254" t="s">
        <v>12239</v>
      </c>
      <c r="DH254" s="254">
        <v>8</v>
      </c>
      <c r="DI254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54" s="263"/>
      <c r="DK254" s="263"/>
      <c r="DL254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54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54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54" s="264"/>
      <c r="DP254" s="263" t="str">
        <f>+IF(BD_MO[[#This Row],[M o D]]&lt;&gt;"",IF(BD_MO[[#This Row],[M o D]]="M",BD_MO[[#This Row],[ROTURA TMH]]/2.65,BD_MO[[#This Row],[ROTURA TMH]]/2.4),"")</f>
        <v/>
      </c>
      <c r="DQ254" s="263"/>
      <c r="DR254" s="116" t="str">
        <f>IF(BD_MO[[#This Row],[TIPO AVANCE]]="Avance",((BD_MO[[#This Row],[AVANCE (m)]]/BD_MO[[#This Row],[AVANCE TEÓRICO]]))," ")</f>
        <v xml:space="preserve"> </v>
      </c>
    </row>
    <row r="255" spans="1:130" ht="18" customHeight="1" x14ac:dyDescent="0.25">
      <c r="A255" s="250">
        <v>44666</v>
      </c>
      <c r="B255" s="251" t="s">
        <v>10647</v>
      </c>
      <c r="C255" s="251" t="s">
        <v>10672</v>
      </c>
      <c r="D255" s="252" t="s">
        <v>10954</v>
      </c>
      <c r="E255" s="253" t="str">
        <f>LEFT(BD_MO[[#This Row],[LABOR]],2)</f>
        <v>MO</v>
      </c>
      <c r="F255" s="254"/>
      <c r="G255" s="254" t="s">
        <v>10669</v>
      </c>
      <c r="H255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55" s="253" t="str">
        <f>IF(BD_MO[FECHA]&lt;&gt;"",VLOOKUP(BD_MO[LABOR],TB_CECO[[LABOR]:[CECO_T]],3,FALSE),"")</f>
        <v>INCA</v>
      </c>
      <c r="J255" s="253" t="str">
        <f>IF(BD_MO[FECHA]&lt;&gt;"",VLOOKUP(BD_MO[LABOR],D_CECO!B:H,7,FALSE),"")</f>
        <v>SERVICIOS</v>
      </c>
      <c r="K255" s="253" t="str">
        <f>IF(BD_MO[FECHA]&lt;&gt;"",VLOOKUP(BD_MO[LABOR],D_CECO!B:H,4,FALSE),"")</f>
        <v>SERVICIOS</v>
      </c>
      <c r="L255" s="253"/>
      <c r="M255" s="255"/>
      <c r="N255" s="254"/>
      <c r="O255" s="256" t="s">
        <v>12281</v>
      </c>
      <c r="P255" s="256" t="s">
        <v>12209</v>
      </c>
      <c r="Q255" s="256"/>
      <c r="R255" s="257"/>
      <c r="S255" s="258" t="str">
        <f>IFERROR(VLOOKUP(BD_MO[DNI 4],#REF!,2,FALSE)," ")</f>
        <v xml:space="preserve"> </v>
      </c>
      <c r="T255" s="259">
        <f>+IF(BD_MO[[#This Row],[FECHA]]&lt;&gt;"",COUNTA(BD_MO[[#This Row],[DNI]],BD_MO[[#This Row],[DNI 2]],BD_MO[[#This Row],[DNI 3]],BD_MO[[#This Row],[DNI 4]]),"")</f>
        <v>2</v>
      </c>
      <c r="U255" s="259"/>
      <c r="V255" s="259"/>
      <c r="W255" s="259"/>
      <c r="X255" s="259">
        <v>2</v>
      </c>
      <c r="Y255" s="260">
        <f>SUM(BD_MO[[#This Row],[LIMP]:[SERV]])</f>
        <v>2</v>
      </c>
      <c r="Z255" s="254"/>
      <c r="AA255" s="254" t="str">
        <f>+IF(BD_MO[[#This Row],[N° VALE]]&lt;&gt;"",1,"")</f>
        <v/>
      </c>
      <c r="AB255" s="251"/>
      <c r="AC255" s="254"/>
      <c r="AD255" s="254" t="str">
        <f>+IF(BD_MO[[#This Row],[N° VALE]]&lt;&gt;"",BD_MO[[#This Row],[FULMINANTE N° 08]]+BD_MO[CARMEX 7''],"")</f>
        <v/>
      </c>
      <c r="AE255" s="254"/>
      <c r="AF255" s="254" t="str">
        <f>+IF(BD_MO[[#This Row],[N° VALE]]&lt;&gt;"",BD_MO[[#This Row],[N° TALADROS]]+BD_MO[[#This Row],[N° TAL. VACIOS]],"")</f>
        <v/>
      </c>
      <c r="AG255" s="261"/>
      <c r="AH255" s="261"/>
      <c r="AI255" s="261"/>
      <c r="AJ255" s="261"/>
      <c r="AK255" s="261"/>
      <c r="AL255" s="261"/>
      <c r="AM255" s="253"/>
      <c r="AN255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55" s="254" t="str">
        <f>+IF(BD_MO[[#This Row],[N° VALE]]&lt;&gt;"",IF(BD_MO[[#This Row],[FULMINANTE N° 08]]&lt;&gt;"",BD_MO[[#This Row],[FULMINANTE N° 08]],IF(BD_MO[[#This Row],[CARMEX 7'']]&lt;&gt;0,0,"")),"")</f>
        <v/>
      </c>
      <c r="AP255" s="259" t="str">
        <f>+IF(BD_MO[[#This Row],[N° VALE]]&lt;&gt;"",BD_MO[[#This Row],[N°  TOTAL TALADROS]]*BD_MO[[#This Row],[BARRA]]*0.95,"")</f>
        <v/>
      </c>
      <c r="AQ255" s="259" t="str">
        <f>+IF(BD_MO[[#This Row],[N° VALE]]&lt;&gt;"",BD_MO[[#This Row],[EMULNOR 1000 (N° CART.)]]*PE_EMUL_1000[PE],"")</f>
        <v/>
      </c>
      <c r="AR255" s="259" t="str">
        <f>+IF(BD_MO[[#This Row],[N° VALE]]&lt;&gt;"",BD_MO[[#This Row],[EMULNOR 3000 (N° CART.)]]*PE_EMUL_3000[PE],"")</f>
        <v/>
      </c>
      <c r="AS255" s="259" t="str">
        <f>+IF(BD_MO[[#This Row],[N° VALE]]&lt;&gt;"",BD_MO[[#This Row],[PULVERULENTA (N° CART.)]]*PE_PULV_65[PE],"")</f>
        <v/>
      </c>
      <c r="AT255" s="259" t="str">
        <f>+IF(BD_MO[[#This Row],[N° DISP]]&lt;&gt;"",BD_MO[[#This Row],[SEMIGELATINA (N° CART.)]]*PE_SEMIGEL_65[PE],"")</f>
        <v/>
      </c>
      <c r="AU255" s="259" t="str">
        <f>+IF(BD_MO[N° VALE]&lt;&gt;"",BD_MO[[#This Row],[KG EXPLO SEMIGEL]]+BD_MO[[#This Row],[KG EXPLO PULVE]]+BD_MO[[#This Row],[KG EXPLO EMULN 3000]]+BD_MO[[#This Row],[KG EXPLO EMULN 1000]],"")</f>
        <v/>
      </c>
      <c r="AV255" s="254"/>
      <c r="AW255" s="254"/>
      <c r="AX255" s="254" t="str">
        <f>+IF(BD_MO[[#This Row],[MINERAL (U-35)]]&lt;&gt;"",BD_MO[[#This Row],[MINERAL (U-35)]]*1.45,"-")</f>
        <v>-</v>
      </c>
      <c r="AY255" s="254" t="str">
        <f>+IF(BD_MO[[#This Row],[DESMONTE (U-35)]]&lt;&gt;"",BD_MO[[#This Row],[DESMONTE (U-35)]]*1.23,"-")</f>
        <v>-</v>
      </c>
      <c r="AZ255" s="254"/>
      <c r="BA255" s="254"/>
      <c r="BB255" s="254"/>
      <c r="BC255" s="254"/>
      <c r="BD255" s="254"/>
      <c r="BE255" s="254"/>
      <c r="BF255" s="254"/>
      <c r="BG255" s="254"/>
      <c r="BH255" s="254"/>
      <c r="BI255" s="254"/>
      <c r="BJ255" s="254"/>
      <c r="BK255" s="254"/>
      <c r="BL255" s="254"/>
      <c r="BM255" s="254"/>
      <c r="BN255" s="253"/>
      <c r="BO255" s="254"/>
      <c r="BP255" s="254"/>
      <c r="BQ255" s="253"/>
      <c r="BR255" s="254"/>
      <c r="BS255" s="253"/>
      <c r="BT255" s="259"/>
      <c r="BU255" s="254"/>
      <c r="BV255" s="254"/>
      <c r="BW255" s="254"/>
      <c r="BX255" s="254"/>
      <c r="BY255" s="254"/>
      <c r="BZ255" s="254"/>
      <c r="CA255" s="254"/>
      <c r="CB255" s="254"/>
      <c r="CC255" s="254"/>
      <c r="CD255" s="254"/>
      <c r="CE255" s="254"/>
      <c r="CF255" s="254"/>
      <c r="CG255" s="254"/>
      <c r="CH255" s="254"/>
      <c r="CI255" s="254"/>
      <c r="CJ255" s="254"/>
      <c r="CK255" s="254"/>
      <c r="CL255" s="254"/>
      <c r="CM255" s="254"/>
      <c r="CN255" s="254"/>
      <c r="CO255" s="254"/>
      <c r="CP255" s="259">
        <f>+IF(BD_MO[[#This Row],[FECHA]]&lt;&gt;"",BD_MO[[#This Row],[PUNTAL 4"]]+BD_MO[[#This Row],[PUNTAL 5"]]+BD_MO[[#This Row],[PUNTAL 6"]]+BD_MO[[#This Row],[PUNTAL 7"]]+BD_MO[[#This Row],[PUNTAL 8"]],"")</f>
        <v>0</v>
      </c>
      <c r="CQ255" s="254"/>
      <c r="CR255" s="254"/>
      <c r="CS255" s="254"/>
      <c r="CT255" s="254"/>
      <c r="CU255" s="254"/>
      <c r="CV255" s="254"/>
      <c r="CW255" s="254"/>
      <c r="CX255" s="254"/>
      <c r="CY255" s="259"/>
      <c r="CZ255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55" s="259">
        <f>+IF(BD_MO[[#This Row],[FECHA]]&lt;&gt;"",BD_MO[[#This Row],[DURMIENTE2]]*6.561+BD_MO[[#This Row],[LISTONES]]*4.921+BD_MO[[#This Row],[TABLA 1"x8"x3m]]*6.561+BD_MO[[#This Row],[TABLA 2"x8"x3m]]*13.122,"")</f>
        <v>0</v>
      </c>
      <c r="DB255" s="259">
        <f>+IF(BD_MO[[#This Row],[FECHA]]&lt;&gt;"",BD_MO[[#This Row],[PIE2 MADERA ASERRADA]]*1.95,"")</f>
        <v>0</v>
      </c>
      <c r="DC255" s="259">
        <f>+IF(BD_MO[[#This Row],[FECHA]]&lt;&gt;"",BD_MO[[#This Row],[KG. MADERA REDONDA]]+BD_MO[[#This Row],[KG MADERA ASERRADA]],"")</f>
        <v>0</v>
      </c>
      <c r="DD255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55" s="254"/>
      <c r="DF255" s="254"/>
      <c r="DG255" s="254"/>
      <c r="DH255" s="254"/>
      <c r="DI255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55" s="263"/>
      <c r="DK255" s="263"/>
      <c r="DL255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55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55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55" s="264"/>
      <c r="DP255" s="263" t="str">
        <f>+IF(BD_MO[[#This Row],[M o D]]&lt;&gt;"",IF(BD_MO[[#This Row],[M o D]]="M",BD_MO[[#This Row],[ROTURA TMH]]/2.65,BD_MO[[#This Row],[ROTURA TMH]]/2.4),"")</f>
        <v/>
      </c>
      <c r="DQ255" s="263"/>
      <c r="DR255" s="116" t="str">
        <f>IF(BD_MO[[#This Row],[TIPO AVANCE]]="Avance",((BD_MO[[#This Row],[AVANCE (m)]]/BD_MO[[#This Row],[AVANCE TEÓRICO]]))," ")</f>
        <v xml:space="preserve"> </v>
      </c>
    </row>
    <row r="256" spans="1:130" s="115" customFormat="1" ht="18" customHeight="1" thickBot="1" x14ac:dyDescent="0.3">
      <c r="A256" s="265">
        <v>44666</v>
      </c>
      <c r="B256" s="266" t="s">
        <v>10647</v>
      </c>
      <c r="C256" s="266" t="s">
        <v>10672</v>
      </c>
      <c r="D256" s="267" t="s">
        <v>10717</v>
      </c>
      <c r="E256" s="268" t="str">
        <f>LEFT(BD_MO[[#This Row],[LABOR]],2)</f>
        <v>BO</v>
      </c>
      <c r="F256" s="269"/>
      <c r="G256" s="269" t="s">
        <v>10669</v>
      </c>
      <c r="H256" s="26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56" s="268" t="str">
        <f>IF(BD_MO[FECHA]&lt;&gt;"",VLOOKUP(BD_MO[LABOR],TB_CECO[[LABOR]:[CECO_T]],3,FALSE),"")</f>
        <v>CACHORRO</v>
      </c>
      <c r="J256" s="268" t="str">
        <f>IF(BD_MO[FECHA]&lt;&gt;"",VLOOKUP(BD_MO[LABOR],D_CECO!B:H,7,FALSE),"")</f>
        <v>SERVICIOS</v>
      </c>
      <c r="K256" s="268" t="str">
        <f>IF(BD_MO[FECHA]&lt;&gt;"",VLOOKUP(BD_MO[LABOR],D_CECO!B:H,4,FALSE),"")</f>
        <v>SERVICIOS</v>
      </c>
      <c r="L256" s="268"/>
      <c r="M256" s="266"/>
      <c r="N256" s="269"/>
      <c r="O256" s="270" t="s">
        <v>12202</v>
      </c>
      <c r="P256" s="270"/>
      <c r="Q256" s="270"/>
      <c r="R256" s="271"/>
      <c r="S256" s="272" t="str">
        <f>IFERROR(VLOOKUP(BD_MO[DNI 4],#REF!,2,FALSE)," ")</f>
        <v xml:space="preserve"> </v>
      </c>
      <c r="T256" s="273">
        <f>+IF(BD_MO[[#This Row],[FECHA]]&lt;&gt;"",COUNTA(BD_MO[[#This Row],[DNI]],BD_MO[[#This Row],[DNI 2]],BD_MO[[#This Row],[DNI 3]],BD_MO[[#This Row],[DNI 4]]),"")</f>
        <v>1</v>
      </c>
      <c r="U256" s="273"/>
      <c r="V256" s="273"/>
      <c r="W256" s="273"/>
      <c r="X256" s="273">
        <v>1</v>
      </c>
      <c r="Y256" s="274">
        <f>SUM(BD_MO[[#This Row],[LIMP]:[SERV]])</f>
        <v>1</v>
      </c>
      <c r="Z256" s="269"/>
      <c r="AA256" s="269" t="str">
        <f>+IF(BD_MO[[#This Row],[N° VALE]]&lt;&gt;"",1,"")</f>
        <v/>
      </c>
      <c r="AB256" s="266"/>
      <c r="AC256" s="269"/>
      <c r="AD256" s="269" t="str">
        <f>+IF(BD_MO[[#This Row],[N° VALE]]&lt;&gt;"",BD_MO[[#This Row],[FULMINANTE N° 08]]+BD_MO[CARMEX 7''],"")</f>
        <v/>
      </c>
      <c r="AE256" s="269"/>
      <c r="AF256" s="269" t="str">
        <f>+IF(BD_MO[[#This Row],[N° VALE]]&lt;&gt;"",BD_MO[[#This Row],[N° TALADROS]]+BD_MO[[#This Row],[N° TAL. VACIOS]],"")</f>
        <v/>
      </c>
      <c r="AG256" s="275"/>
      <c r="AH256" s="275"/>
      <c r="AI256" s="275"/>
      <c r="AJ256" s="275"/>
      <c r="AK256" s="275"/>
      <c r="AL256" s="275"/>
      <c r="AM256" s="268"/>
      <c r="AN256" s="26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56" s="269" t="str">
        <f>+IF(BD_MO[[#This Row],[N° VALE]]&lt;&gt;"",IF(BD_MO[[#This Row],[FULMINANTE N° 08]]&lt;&gt;"",BD_MO[[#This Row],[FULMINANTE N° 08]],IF(BD_MO[[#This Row],[CARMEX 7'']]&lt;&gt;0,0,"")),"")</f>
        <v/>
      </c>
      <c r="AP256" s="273" t="str">
        <f>+IF(BD_MO[[#This Row],[N° VALE]]&lt;&gt;"",BD_MO[[#This Row],[N°  TOTAL TALADROS]]*BD_MO[[#This Row],[BARRA]]*0.95,"")</f>
        <v/>
      </c>
      <c r="AQ256" s="273" t="str">
        <f>+IF(BD_MO[[#This Row],[N° VALE]]&lt;&gt;"",BD_MO[[#This Row],[EMULNOR 1000 (N° CART.)]]*PE_EMUL_1000[PE],"")</f>
        <v/>
      </c>
      <c r="AR256" s="273" t="str">
        <f>+IF(BD_MO[[#This Row],[N° VALE]]&lt;&gt;"",BD_MO[[#This Row],[EMULNOR 3000 (N° CART.)]]*PE_EMUL_3000[PE],"")</f>
        <v/>
      </c>
      <c r="AS256" s="273" t="str">
        <f>+IF(BD_MO[[#This Row],[N° VALE]]&lt;&gt;"",BD_MO[[#This Row],[PULVERULENTA (N° CART.)]]*PE_PULV_65[PE],"")</f>
        <v/>
      </c>
      <c r="AT256" s="273" t="str">
        <f>+IF(BD_MO[[#This Row],[N° DISP]]&lt;&gt;"",BD_MO[[#This Row],[SEMIGELATINA (N° CART.)]]*PE_SEMIGEL_65[PE],"")</f>
        <v/>
      </c>
      <c r="AU256" s="273" t="str">
        <f>+IF(BD_MO[N° VALE]&lt;&gt;"",BD_MO[[#This Row],[KG EXPLO SEMIGEL]]+BD_MO[[#This Row],[KG EXPLO PULVE]]+BD_MO[[#This Row],[KG EXPLO EMULN 3000]]+BD_MO[[#This Row],[KG EXPLO EMULN 1000]],"")</f>
        <v/>
      </c>
      <c r="AV256" s="269"/>
      <c r="AW256" s="269"/>
      <c r="AX256" s="269" t="str">
        <f>+IF(BD_MO[[#This Row],[MINERAL (U-35)]]&lt;&gt;"",BD_MO[[#This Row],[MINERAL (U-35)]]*1.45,"-")</f>
        <v>-</v>
      </c>
      <c r="AY256" s="269" t="str">
        <f>+IF(BD_MO[[#This Row],[DESMONTE (U-35)]]&lt;&gt;"",BD_MO[[#This Row],[DESMONTE (U-35)]]*1.23,"-")</f>
        <v>-</v>
      </c>
      <c r="AZ256" s="269"/>
      <c r="BA256" s="269"/>
      <c r="BB256" s="269"/>
      <c r="BC256" s="269"/>
      <c r="BD256" s="269"/>
      <c r="BE256" s="269"/>
      <c r="BF256" s="269"/>
      <c r="BG256" s="269"/>
      <c r="BH256" s="269"/>
      <c r="BI256" s="269"/>
      <c r="BJ256" s="269"/>
      <c r="BK256" s="269"/>
      <c r="BL256" s="269"/>
      <c r="BM256" s="269"/>
      <c r="BN256" s="268"/>
      <c r="BO256" s="269"/>
      <c r="BP256" s="269"/>
      <c r="BQ256" s="268"/>
      <c r="BR256" s="269"/>
      <c r="BS256" s="268"/>
      <c r="BT256" s="273"/>
      <c r="BU256" s="269"/>
      <c r="BV256" s="269"/>
      <c r="BW256" s="269"/>
      <c r="BX256" s="269"/>
      <c r="BY256" s="269"/>
      <c r="BZ256" s="269"/>
      <c r="CA256" s="269"/>
      <c r="CB256" s="269"/>
      <c r="CC256" s="269"/>
      <c r="CD256" s="269"/>
      <c r="CE256" s="269"/>
      <c r="CF256" s="269"/>
      <c r="CG256" s="269"/>
      <c r="CH256" s="269"/>
      <c r="CI256" s="269"/>
      <c r="CJ256" s="269"/>
      <c r="CK256" s="269"/>
      <c r="CL256" s="269"/>
      <c r="CM256" s="269"/>
      <c r="CN256" s="269"/>
      <c r="CO256" s="269"/>
      <c r="CP256" s="273">
        <f>+IF(BD_MO[[#This Row],[FECHA]]&lt;&gt;"",BD_MO[[#This Row],[PUNTAL 4"]]+BD_MO[[#This Row],[PUNTAL 5"]]+BD_MO[[#This Row],[PUNTAL 6"]]+BD_MO[[#This Row],[PUNTAL 7"]]+BD_MO[[#This Row],[PUNTAL 8"]],"")</f>
        <v>0</v>
      </c>
      <c r="CQ256" s="269"/>
      <c r="CR256" s="269"/>
      <c r="CS256" s="269"/>
      <c r="CT256" s="269"/>
      <c r="CU256" s="269"/>
      <c r="CV256" s="269"/>
      <c r="CW256" s="269"/>
      <c r="CX256" s="269"/>
      <c r="CY256" s="273"/>
      <c r="CZ256" s="27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56" s="273">
        <f>+IF(BD_MO[[#This Row],[FECHA]]&lt;&gt;"",BD_MO[[#This Row],[DURMIENTE2]]*6.561+BD_MO[[#This Row],[LISTONES]]*4.921+BD_MO[[#This Row],[TABLA 1"x8"x3m]]*6.561+BD_MO[[#This Row],[TABLA 2"x8"x3m]]*13.122,"")</f>
        <v>0</v>
      </c>
      <c r="DB256" s="273">
        <f>+IF(BD_MO[[#This Row],[FECHA]]&lt;&gt;"",BD_MO[[#This Row],[PIE2 MADERA ASERRADA]]*1.95,"")</f>
        <v>0</v>
      </c>
      <c r="DC256" s="273">
        <f>+IF(BD_MO[[#This Row],[FECHA]]&lt;&gt;"",BD_MO[[#This Row],[KG. MADERA REDONDA]]+BD_MO[[#This Row],[KG MADERA ASERRADA]],"")</f>
        <v>0</v>
      </c>
      <c r="DD256" s="27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56" s="269"/>
      <c r="DF256" s="269"/>
      <c r="DG256" s="269"/>
      <c r="DH256" s="269"/>
      <c r="DI256" s="27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56" s="277"/>
      <c r="DK256" s="277"/>
      <c r="DL256" s="27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56" s="27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56" s="27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56" s="278"/>
      <c r="DP256" s="277" t="str">
        <f>+IF(BD_MO[[#This Row],[M o D]]&lt;&gt;"",IF(BD_MO[[#This Row],[M o D]]="M",BD_MO[[#This Row],[ROTURA TMH]]/2.65,BD_MO[[#This Row],[ROTURA TMH]]/2.4),"")</f>
        <v/>
      </c>
      <c r="DQ256" s="277"/>
      <c r="DR256" s="116" t="str">
        <f>IF(BD_MO[[#This Row],[TIPO AVANCE]]="Avance",((BD_MO[[#This Row],[AVANCE (m)]]/BD_MO[[#This Row],[AVANCE TEÓRICO]]))," ")</f>
        <v xml:space="preserve"> </v>
      </c>
      <c r="DS256" s="113"/>
      <c r="DT256" s="113"/>
      <c r="DU256" s="113"/>
      <c r="DV256" s="113"/>
      <c r="DW256" s="113"/>
      <c r="DX256" s="114"/>
      <c r="DY256" s="114"/>
      <c r="DZ256" s="114"/>
    </row>
    <row r="257" spans="1:130" ht="18" customHeight="1" x14ac:dyDescent="0.25">
      <c r="A257" s="250">
        <v>44666</v>
      </c>
      <c r="B257" s="251" t="s">
        <v>10655</v>
      </c>
      <c r="C257" s="251" t="s">
        <v>10680</v>
      </c>
      <c r="D257" s="252" t="s">
        <v>11595</v>
      </c>
      <c r="E257" s="253" t="str">
        <f>LEFT(BD_MO[[#This Row],[LABOR]],2)</f>
        <v>Tj</v>
      </c>
      <c r="F257" s="254"/>
      <c r="G257" s="254" t="s">
        <v>10656</v>
      </c>
      <c r="H257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257" s="253" t="str">
        <f>IF(BD_MO[FECHA]&lt;&gt;"",VLOOKUP(BD_MO[LABOR],TB_CECO[[LABOR]:[CECO_T]],3,FALSE),"")</f>
        <v>ESCONDIDA</v>
      </c>
      <c r="J257" s="253" t="str">
        <f>IF(BD_MO[FECHA]&lt;&gt;"",VLOOKUP(BD_MO[LABOR],D_CECO!B:H,7,FALSE),"")</f>
        <v>TAJO</v>
      </c>
      <c r="K257" s="253" t="str">
        <f>IF(BD_MO[FECHA]&lt;&gt;"",VLOOKUP(BD_MO[LABOR],D_CECO!B:H,4,FALSE),"")</f>
        <v>EXPLOTACION</v>
      </c>
      <c r="L257" s="253"/>
      <c r="M257" s="255"/>
      <c r="N257" s="254"/>
      <c r="O257" s="256" t="s">
        <v>11976</v>
      </c>
      <c r="P257" s="256" t="s">
        <v>11924</v>
      </c>
      <c r="Q257" s="256"/>
      <c r="R257" s="257"/>
      <c r="S257" s="258" t="str">
        <f>IFERROR(VLOOKUP(BD_MO[DNI 4],#REF!,2,FALSE)," ")</f>
        <v xml:space="preserve"> </v>
      </c>
      <c r="T257" s="259">
        <f>+IF(BD_MO[[#This Row],[FECHA]]&lt;&gt;"",COUNTA(BD_MO[[#This Row],[DNI]],BD_MO[[#This Row],[DNI 2]],BD_MO[[#This Row],[DNI 3]],BD_MO[[#This Row],[DNI 4]]),"")</f>
        <v>2</v>
      </c>
      <c r="U257" s="259">
        <v>1</v>
      </c>
      <c r="V257" s="259"/>
      <c r="W257" s="259">
        <v>0.6</v>
      </c>
      <c r="X257" s="259">
        <v>0.4</v>
      </c>
      <c r="Y257" s="260">
        <f>SUM(BD_MO[[#This Row],[LIMP]:[SERV]])</f>
        <v>2</v>
      </c>
      <c r="Z257" s="254"/>
      <c r="AA257" s="254" t="str">
        <f>+IF(BD_MO[[#This Row],[N° VALE]]&lt;&gt;"",1,"")</f>
        <v/>
      </c>
      <c r="AB257" s="251"/>
      <c r="AC257" s="254"/>
      <c r="AD257" s="254" t="str">
        <f>+IF(BD_MO[[#This Row],[N° VALE]]&lt;&gt;"",BD_MO[[#This Row],[FULMINANTE N° 08]]+BD_MO[CARMEX 7''],"")</f>
        <v/>
      </c>
      <c r="AE257" s="254"/>
      <c r="AF257" s="254" t="str">
        <f>+IF(BD_MO[[#This Row],[N° VALE]]&lt;&gt;"",BD_MO[[#This Row],[N° TALADROS]]+BD_MO[[#This Row],[N° TAL. VACIOS]],"")</f>
        <v/>
      </c>
      <c r="AG257" s="261"/>
      <c r="AH257" s="261"/>
      <c r="AI257" s="261"/>
      <c r="AJ257" s="261"/>
      <c r="AK257" s="261"/>
      <c r="AL257" s="261"/>
      <c r="AM257" s="253"/>
      <c r="AN257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57" s="254" t="str">
        <f>+IF(BD_MO[[#This Row],[N° VALE]]&lt;&gt;"",IF(BD_MO[[#This Row],[FULMINANTE N° 08]]&lt;&gt;"",BD_MO[[#This Row],[FULMINANTE N° 08]],IF(BD_MO[[#This Row],[CARMEX 7'']]&lt;&gt;0,0,"")),"")</f>
        <v/>
      </c>
      <c r="AP257" s="259" t="str">
        <f>+IF(BD_MO[[#This Row],[N° VALE]]&lt;&gt;"",BD_MO[[#This Row],[N°  TOTAL TALADROS]]*BD_MO[[#This Row],[BARRA]]*0.95,"")</f>
        <v/>
      </c>
      <c r="AQ257" s="259" t="str">
        <f>+IF(BD_MO[[#This Row],[N° VALE]]&lt;&gt;"",BD_MO[[#This Row],[EMULNOR 1000 (N° CART.)]]*PE_EMUL_1000[PE],"")</f>
        <v/>
      </c>
      <c r="AR257" s="259" t="str">
        <f>+IF(BD_MO[[#This Row],[N° VALE]]&lt;&gt;"",BD_MO[[#This Row],[EMULNOR 3000 (N° CART.)]]*PE_EMUL_3000[PE],"")</f>
        <v/>
      </c>
      <c r="AS257" s="259" t="str">
        <f>+IF(BD_MO[[#This Row],[N° VALE]]&lt;&gt;"",BD_MO[[#This Row],[PULVERULENTA (N° CART.)]]*PE_PULV_65[PE],"")</f>
        <v/>
      </c>
      <c r="AT257" s="259" t="str">
        <f>+IF(BD_MO[[#This Row],[N° DISP]]&lt;&gt;"",BD_MO[[#This Row],[SEMIGELATINA (N° CART.)]]*PE_SEMIGEL_65[PE],"")</f>
        <v/>
      </c>
      <c r="AU257" s="259" t="str">
        <f>+IF(BD_MO[N° VALE]&lt;&gt;"",BD_MO[[#This Row],[KG EXPLO SEMIGEL]]+BD_MO[[#This Row],[KG EXPLO PULVE]]+BD_MO[[#This Row],[KG EXPLO EMULN 3000]]+BD_MO[[#This Row],[KG EXPLO EMULN 1000]],"")</f>
        <v/>
      </c>
      <c r="AV257" s="254">
        <v>17</v>
      </c>
      <c r="AW257" s="254"/>
      <c r="AX257" s="254">
        <f>+IF(BD_MO[[#This Row],[MINERAL (U-35)]]&lt;&gt;"",BD_MO[[#This Row],[MINERAL (U-35)]]*1.45,"-")</f>
        <v>24.65</v>
      </c>
      <c r="AY257" s="254" t="str">
        <f>+IF(BD_MO[[#This Row],[DESMONTE (U-35)]]&lt;&gt;"",BD_MO[[#This Row],[DESMONTE (U-35)]]*1.23,"-")</f>
        <v>-</v>
      </c>
      <c r="AZ257" s="254"/>
      <c r="BA257" s="254"/>
      <c r="BB257" s="254"/>
      <c r="BC257" s="254"/>
      <c r="BD257" s="254"/>
      <c r="BE257" s="254"/>
      <c r="BF257" s="254"/>
      <c r="BG257" s="254"/>
      <c r="BH257" s="254"/>
      <c r="BI257" s="254">
        <v>2</v>
      </c>
      <c r="BJ257" s="254"/>
      <c r="BK257" s="254"/>
      <c r="BL257" s="254"/>
      <c r="BM257" s="254"/>
      <c r="BN257" s="253"/>
      <c r="BO257" s="254"/>
      <c r="BP257" s="254"/>
      <c r="BQ257" s="253"/>
      <c r="BR257" s="254"/>
      <c r="BS257" s="253"/>
      <c r="BT257" s="259"/>
      <c r="BU257" s="254"/>
      <c r="BV257" s="254"/>
      <c r="BW257" s="254"/>
      <c r="BX257" s="254"/>
      <c r="BY257" s="254"/>
      <c r="BZ257" s="254"/>
      <c r="CA257" s="254"/>
      <c r="CB257" s="254"/>
      <c r="CC257" s="254"/>
      <c r="CD257" s="254"/>
      <c r="CE257" s="254"/>
      <c r="CF257" s="254"/>
      <c r="CG257" s="254"/>
      <c r="CH257" s="254"/>
      <c r="CI257" s="254"/>
      <c r="CJ257" s="254"/>
      <c r="CK257" s="254"/>
      <c r="CL257" s="254"/>
      <c r="CM257" s="254"/>
      <c r="CN257" s="254">
        <v>2</v>
      </c>
      <c r="CO257" s="254"/>
      <c r="CP257" s="259">
        <f>+IF(BD_MO[[#This Row],[FECHA]]&lt;&gt;"",BD_MO[[#This Row],[PUNTAL 4"]]+BD_MO[[#This Row],[PUNTAL 5"]]+BD_MO[[#This Row],[PUNTAL 6"]]+BD_MO[[#This Row],[PUNTAL 7"]]+BD_MO[[#This Row],[PUNTAL 8"]],"")</f>
        <v>2</v>
      </c>
      <c r="CQ257" s="254"/>
      <c r="CR257" s="254"/>
      <c r="CS257" s="254"/>
      <c r="CT257" s="254"/>
      <c r="CU257" s="254"/>
      <c r="CV257" s="254"/>
      <c r="CW257" s="254"/>
      <c r="CX257" s="254"/>
      <c r="CY257" s="259"/>
      <c r="CZ257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122.158</v>
      </c>
      <c r="DA257" s="259">
        <f>+IF(BD_MO[[#This Row],[FECHA]]&lt;&gt;"",BD_MO[[#This Row],[DURMIENTE2]]*6.561+BD_MO[[#This Row],[LISTONES]]*4.921+BD_MO[[#This Row],[TABLA 1"x8"x3m]]*6.561+BD_MO[[#This Row],[TABLA 2"x8"x3m]]*13.122,"")</f>
        <v>0</v>
      </c>
      <c r="DB257" s="259">
        <f>+IF(BD_MO[[#This Row],[FECHA]]&lt;&gt;"",BD_MO[[#This Row],[PIE2 MADERA ASERRADA]]*1.95,"")</f>
        <v>0</v>
      </c>
      <c r="DC257" s="259">
        <f>+IF(BD_MO[[#This Row],[FECHA]]&lt;&gt;"",BD_MO[[#This Row],[KG. MADERA REDONDA]]+BD_MO[[#This Row],[KG MADERA ASERRADA]],"")</f>
        <v>122.158</v>
      </c>
      <c r="DD257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35.6</v>
      </c>
      <c r="DE257" s="254"/>
      <c r="DF257" s="254"/>
      <c r="DG257" s="254"/>
      <c r="DH257" s="254"/>
      <c r="DI257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57" s="263"/>
      <c r="DK257" s="263"/>
      <c r="DL257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57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57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57" s="264"/>
      <c r="DP257" s="263" t="str">
        <f>+IF(BD_MO[[#This Row],[M o D]]&lt;&gt;"",IF(BD_MO[[#This Row],[M o D]]="M",BD_MO[[#This Row],[ROTURA TMH]]/2.65,BD_MO[[#This Row],[ROTURA TMH]]/2.4),"")</f>
        <v/>
      </c>
      <c r="DQ257" s="263"/>
      <c r="DR257" s="116" t="str">
        <f>IF(BD_MO[[#This Row],[TIPO AVANCE]]="Avance",((BD_MO[[#This Row],[AVANCE (m)]]/BD_MO[[#This Row],[AVANCE TEÓRICO]]))," ")</f>
        <v xml:space="preserve"> </v>
      </c>
    </row>
    <row r="258" spans="1:130" ht="18" customHeight="1" x14ac:dyDescent="0.25">
      <c r="A258" s="250">
        <v>44666</v>
      </c>
      <c r="B258" s="251" t="s">
        <v>10655</v>
      </c>
      <c r="C258" s="251" t="s">
        <v>10680</v>
      </c>
      <c r="D258" s="61" t="s">
        <v>11827</v>
      </c>
      <c r="E258" s="253" t="str">
        <f>LEFT(BD_MO[[#This Row],[LABOR]],2)</f>
        <v>Tj</v>
      </c>
      <c r="F258" s="254"/>
      <c r="G258" s="254" t="s">
        <v>10662</v>
      </c>
      <c r="H258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258" s="253" t="s">
        <v>12246</v>
      </c>
      <c r="J258" s="253" t="s">
        <v>10502</v>
      </c>
      <c r="K258" s="253" t="s">
        <v>12249</v>
      </c>
      <c r="L258" s="253"/>
      <c r="M258" s="255"/>
      <c r="N258" s="254"/>
      <c r="O258" s="256" t="s">
        <v>11910</v>
      </c>
      <c r="P258" s="256" t="s">
        <v>12282</v>
      </c>
      <c r="Q258" s="256"/>
      <c r="R258" s="257"/>
      <c r="S258" s="258" t="str">
        <f>IFERROR(VLOOKUP(BD_MO[DNI 4],#REF!,2,FALSE)," ")</f>
        <v xml:space="preserve"> </v>
      </c>
      <c r="T258" s="259">
        <f>+IF(BD_MO[[#This Row],[FECHA]]&lt;&gt;"",COUNTA(BD_MO[[#This Row],[DNI]],BD_MO[[#This Row],[DNI 2]],BD_MO[[#This Row],[DNI 3]],BD_MO[[#This Row],[DNI 4]]),"")</f>
        <v>2</v>
      </c>
      <c r="U258" s="259">
        <v>0.6</v>
      </c>
      <c r="V258" s="259"/>
      <c r="W258" s="259">
        <v>1</v>
      </c>
      <c r="X258" s="259">
        <v>0.4</v>
      </c>
      <c r="Y258" s="260">
        <f>SUM(BD_MO[[#This Row],[LIMP]:[SERV]])</f>
        <v>2</v>
      </c>
      <c r="Z258" s="254"/>
      <c r="AA258" s="254" t="str">
        <f>+IF(BD_MO[[#This Row],[N° VALE]]&lt;&gt;"",1,"")</f>
        <v/>
      </c>
      <c r="AB258" s="251"/>
      <c r="AC258" s="254"/>
      <c r="AD258" s="254" t="str">
        <f>+IF(BD_MO[[#This Row],[N° VALE]]&lt;&gt;"",BD_MO[[#This Row],[FULMINANTE N° 08]]+BD_MO[CARMEX 7''],"")</f>
        <v/>
      </c>
      <c r="AE258" s="254"/>
      <c r="AF258" s="254" t="str">
        <f>+IF(BD_MO[[#This Row],[N° VALE]]&lt;&gt;"",BD_MO[[#This Row],[N° TALADROS]]+BD_MO[[#This Row],[N° TAL. VACIOS]],"")</f>
        <v/>
      </c>
      <c r="AG258" s="261"/>
      <c r="AH258" s="261"/>
      <c r="AI258" s="261"/>
      <c r="AJ258" s="261"/>
      <c r="AK258" s="261"/>
      <c r="AL258" s="261"/>
      <c r="AM258" s="253"/>
      <c r="AN258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58" s="254" t="str">
        <f>+IF(BD_MO[[#This Row],[N° VALE]]&lt;&gt;"",IF(BD_MO[[#This Row],[FULMINANTE N° 08]]&lt;&gt;"",BD_MO[[#This Row],[FULMINANTE N° 08]],IF(BD_MO[[#This Row],[CARMEX 7'']]&lt;&gt;0,0,"")),"")</f>
        <v/>
      </c>
      <c r="AP258" s="259" t="str">
        <f>+IF(BD_MO[[#This Row],[N° VALE]]&lt;&gt;"",BD_MO[[#This Row],[N°  TOTAL TALADROS]]*BD_MO[[#This Row],[BARRA]]*0.95,"")</f>
        <v/>
      </c>
      <c r="AQ258" s="259" t="str">
        <f>+IF(BD_MO[[#This Row],[N° VALE]]&lt;&gt;"",BD_MO[[#This Row],[EMULNOR 1000 (N° CART.)]]*PE_EMUL_1000[PE],"")</f>
        <v/>
      </c>
      <c r="AR258" s="259" t="str">
        <f>+IF(BD_MO[[#This Row],[N° VALE]]&lt;&gt;"",BD_MO[[#This Row],[EMULNOR 3000 (N° CART.)]]*PE_EMUL_3000[PE],"")</f>
        <v/>
      </c>
      <c r="AS258" s="259" t="str">
        <f>+IF(BD_MO[[#This Row],[N° VALE]]&lt;&gt;"",BD_MO[[#This Row],[PULVERULENTA (N° CART.)]]*PE_PULV_65[PE],"")</f>
        <v/>
      </c>
      <c r="AT258" s="259" t="str">
        <f>+IF(BD_MO[[#This Row],[N° DISP]]&lt;&gt;"",BD_MO[[#This Row],[SEMIGELATINA (N° CART.)]]*PE_SEMIGEL_65[PE],"")</f>
        <v/>
      </c>
      <c r="AU258" s="259" t="str">
        <f>+IF(BD_MO[N° VALE]&lt;&gt;"",BD_MO[[#This Row],[KG EXPLO SEMIGEL]]+BD_MO[[#This Row],[KG EXPLO PULVE]]+BD_MO[[#This Row],[KG EXPLO EMULN 3000]]+BD_MO[[#This Row],[KG EXPLO EMULN 1000]],"")</f>
        <v/>
      </c>
      <c r="AV258" s="254"/>
      <c r="AW258" s="254"/>
      <c r="AX258" s="254" t="str">
        <f>+IF(BD_MO[[#This Row],[MINERAL (U-35)]]&lt;&gt;"",BD_MO[[#This Row],[MINERAL (U-35)]]*1.45,"-")</f>
        <v>-</v>
      </c>
      <c r="AY258" s="254" t="str">
        <f>+IF(BD_MO[[#This Row],[DESMONTE (U-35)]]&lt;&gt;"",BD_MO[[#This Row],[DESMONTE (U-35)]]*1.23,"-")</f>
        <v>-</v>
      </c>
      <c r="AZ258" s="254"/>
      <c r="BA258" s="254"/>
      <c r="BB258" s="254"/>
      <c r="BC258" s="254"/>
      <c r="BD258" s="254"/>
      <c r="BE258" s="254"/>
      <c r="BF258" s="254"/>
      <c r="BG258" s="254"/>
      <c r="BH258" s="254"/>
      <c r="BI258" s="254">
        <v>4</v>
      </c>
      <c r="BJ258" s="254"/>
      <c r="BK258" s="254"/>
      <c r="BL258" s="254"/>
      <c r="BM258" s="254"/>
      <c r="BN258" s="253">
        <v>2</v>
      </c>
      <c r="BO258" s="254"/>
      <c r="BP258" s="254"/>
      <c r="BQ258" s="253"/>
      <c r="BR258" s="254"/>
      <c r="BS258" s="253"/>
      <c r="BT258" s="259"/>
      <c r="BU258" s="254"/>
      <c r="BV258" s="254"/>
      <c r="BW258" s="254"/>
      <c r="BX258" s="254"/>
      <c r="BY258" s="254"/>
      <c r="BZ258" s="254"/>
      <c r="CA258" s="254"/>
      <c r="CB258" s="254"/>
      <c r="CC258" s="254"/>
      <c r="CD258" s="254"/>
      <c r="CE258" s="254"/>
      <c r="CF258" s="254"/>
      <c r="CG258" s="254"/>
      <c r="CH258" s="254"/>
      <c r="CI258" s="254"/>
      <c r="CJ258" s="254"/>
      <c r="CK258" s="254"/>
      <c r="CL258" s="254"/>
      <c r="CM258" s="254"/>
      <c r="CN258" s="254">
        <v>1</v>
      </c>
      <c r="CO258" s="254">
        <v>3</v>
      </c>
      <c r="CP258" s="259">
        <f>+IF(BD_MO[[#This Row],[FECHA]]&lt;&gt;"",BD_MO[[#This Row],[PUNTAL 4"]]+BD_MO[[#This Row],[PUNTAL 5"]]+BD_MO[[#This Row],[PUNTAL 6"]]+BD_MO[[#This Row],[PUNTAL 7"]]+BD_MO[[#This Row],[PUNTAL 8"]],"")</f>
        <v>4</v>
      </c>
      <c r="CQ258" s="254"/>
      <c r="CR258" s="254"/>
      <c r="CS258" s="254"/>
      <c r="CT258" s="254"/>
      <c r="CU258" s="254"/>
      <c r="CV258" s="254"/>
      <c r="CW258" s="254"/>
      <c r="CX258" s="254">
        <v>2</v>
      </c>
      <c r="CY258" s="259"/>
      <c r="CZ258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300.40699999999998</v>
      </c>
      <c r="DA258" s="259">
        <f>+IF(BD_MO[[#This Row],[FECHA]]&lt;&gt;"",BD_MO[[#This Row],[DURMIENTE2]]*6.561+BD_MO[[#This Row],[LISTONES]]*4.921+BD_MO[[#This Row],[TABLA 1"x8"x3m]]*6.561+BD_MO[[#This Row],[TABLA 2"x8"x3m]]*13.122,"")</f>
        <v>26.244</v>
      </c>
      <c r="DB258" s="259">
        <f>+IF(BD_MO[[#This Row],[FECHA]]&lt;&gt;"",BD_MO[[#This Row],[PIE2 MADERA ASERRADA]]*1.95,"")</f>
        <v>51.175799999999995</v>
      </c>
      <c r="DC258" s="259">
        <f>+IF(BD_MO[[#This Row],[FECHA]]&lt;&gt;"",BD_MO[[#This Row],[KG. MADERA REDONDA]]+BD_MO[[#This Row],[KG MADERA ASERRADA]],"")</f>
        <v>351.58279999999996</v>
      </c>
      <c r="DD258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101.64</v>
      </c>
      <c r="DE258" s="254"/>
      <c r="DF258" s="254"/>
      <c r="DG258" s="254"/>
      <c r="DH258" s="254"/>
      <c r="DI258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58" s="263"/>
      <c r="DK258" s="263"/>
      <c r="DL258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58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58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58" s="264"/>
      <c r="DP258" s="263" t="str">
        <f>+IF(BD_MO[[#This Row],[M o D]]&lt;&gt;"",IF(BD_MO[[#This Row],[M o D]]="M",BD_MO[[#This Row],[ROTURA TMH]]/2.65,BD_MO[[#This Row],[ROTURA TMH]]/2.4),"")</f>
        <v/>
      </c>
      <c r="DQ258" s="263"/>
      <c r="DR258" s="116" t="str">
        <f>IF(BD_MO[[#This Row],[TIPO AVANCE]]="Avance",((BD_MO[[#This Row],[AVANCE (m)]]/BD_MO[[#This Row],[AVANCE TEÓRICO]]))," ")</f>
        <v xml:space="preserve"> </v>
      </c>
    </row>
    <row r="259" spans="1:130" ht="18" customHeight="1" x14ac:dyDescent="0.25">
      <c r="A259" s="250">
        <v>44666</v>
      </c>
      <c r="B259" s="251" t="s">
        <v>10655</v>
      </c>
      <c r="C259" s="251" t="s">
        <v>10680</v>
      </c>
      <c r="D259" s="252" t="s">
        <v>12149</v>
      </c>
      <c r="E259" s="253" t="str">
        <f>LEFT(BD_MO[[#This Row],[LABOR]],2)</f>
        <v>Es</v>
      </c>
      <c r="F259" s="254" t="s">
        <v>10687</v>
      </c>
      <c r="G259" s="254" t="s">
        <v>10648</v>
      </c>
      <c r="H259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59" s="253" t="str">
        <f>IF(BD_MO[FECHA]&lt;&gt;"",VLOOKUP(BD_MO[LABOR],TB_CECO[[LABOR]:[CECO_T]],3,FALSE),"")</f>
        <v>VANESSA</v>
      </c>
      <c r="J259" s="253" t="str">
        <f>IF(BD_MO[FECHA]&lt;&gt;"",VLOOKUP(BD_MO[LABOR],D_CECO!B:H,7,FALSE),"")</f>
        <v>LINEAL</v>
      </c>
      <c r="K259" s="253" t="str">
        <f>IF(BD_MO[FECHA]&lt;&gt;"",VLOOKUP(BD_MO[LABOR],D_CECO!B:H,4,FALSE),"")</f>
        <v>EXPLORACION</v>
      </c>
      <c r="L259" s="253"/>
      <c r="M259" s="255" t="s">
        <v>10679</v>
      </c>
      <c r="N259" s="254"/>
      <c r="O259" s="256" t="s">
        <v>11904</v>
      </c>
      <c r="P259" s="256" t="s">
        <v>11926</v>
      </c>
      <c r="Q259" s="256"/>
      <c r="R259" s="257"/>
      <c r="S259" s="258" t="str">
        <f>IFERROR(VLOOKUP(BD_MO[DNI 4],#REF!,2,FALSE)," ")</f>
        <v xml:space="preserve"> </v>
      </c>
      <c r="T259" s="259">
        <f>+IF(BD_MO[[#This Row],[FECHA]]&lt;&gt;"",COUNTA(BD_MO[[#This Row],[DNI]],BD_MO[[#This Row],[DNI 2]],BD_MO[[#This Row],[DNI 3]],BD_MO[[#This Row],[DNI 4]]),"")</f>
        <v>2</v>
      </c>
      <c r="U259" s="259">
        <v>1</v>
      </c>
      <c r="V259" s="259">
        <v>0.2</v>
      </c>
      <c r="W259" s="259">
        <v>0.6</v>
      </c>
      <c r="X259" s="259">
        <v>0.2</v>
      </c>
      <c r="Y259" s="260">
        <f>SUM(BD_MO[[#This Row],[LIMP]:[SERV]])</f>
        <v>1.9999999999999998</v>
      </c>
      <c r="Z259" s="254" t="s">
        <v>12283</v>
      </c>
      <c r="AA259" s="254">
        <f>+IF(BD_MO[[#This Row],[N° VALE]]&lt;&gt;"",1,"")</f>
        <v>1</v>
      </c>
      <c r="AB259" s="251" t="s">
        <v>10710</v>
      </c>
      <c r="AC259" s="254">
        <v>4</v>
      </c>
      <c r="AD259" s="254">
        <f>+IF(BD_MO[[#This Row],[N° VALE]]&lt;&gt;"",BD_MO[[#This Row],[FULMINANTE N° 08]]+BD_MO[CARMEX 7''],"")</f>
        <v>7</v>
      </c>
      <c r="AE259" s="254"/>
      <c r="AF259" s="254">
        <f>+IF(BD_MO[[#This Row],[N° VALE]]&lt;&gt;"",BD_MO[[#This Row],[N° TALADROS]]+BD_MO[[#This Row],[N° TAL. VACIOS]],"")</f>
        <v>7</v>
      </c>
      <c r="AG259" s="261"/>
      <c r="AH259" s="261">
        <v>15</v>
      </c>
      <c r="AI259" s="261"/>
      <c r="AJ259" s="261"/>
      <c r="AK259" s="261">
        <v>7</v>
      </c>
      <c r="AL259" s="261">
        <v>1</v>
      </c>
      <c r="AM259" s="253"/>
      <c r="AN259" s="254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59" s="254">
        <f>+IF(BD_MO[[#This Row],[N° VALE]]&lt;&gt;"",IF(BD_MO[[#This Row],[FULMINANTE N° 08]]&lt;&gt;"",BD_MO[[#This Row],[FULMINANTE N° 08]],IF(BD_MO[[#This Row],[CARMEX 7'']]&lt;&gt;0,0,"")),"")</f>
        <v>0</v>
      </c>
      <c r="AP259" s="259">
        <f>+IF(BD_MO[[#This Row],[N° VALE]]&lt;&gt;"",BD_MO[[#This Row],[N°  TOTAL TALADROS]]*BD_MO[[#This Row],[BARRA]]*0.95,"")</f>
        <v>26.599999999999998</v>
      </c>
      <c r="AQ259" s="259">
        <f>+IF(BD_MO[[#This Row],[N° VALE]]&lt;&gt;"",BD_MO[[#This Row],[EMULNOR 1000 (N° CART.)]]*PE_EMUL_1000[PE],"")</f>
        <v>1.4205000000000001</v>
      </c>
      <c r="AR259" s="259">
        <f>+IF(BD_MO[[#This Row],[N° VALE]]&lt;&gt;"",BD_MO[[#This Row],[EMULNOR 3000 (N° CART.)]]*PE_EMUL_3000[PE],"")</f>
        <v>0</v>
      </c>
      <c r="AS259" s="259">
        <f>+IF(BD_MO[[#This Row],[N° VALE]]&lt;&gt;"",BD_MO[[#This Row],[PULVERULENTA (N° CART.)]]*PE_PULV_65[PE],"")</f>
        <v>0</v>
      </c>
      <c r="AT259" s="259">
        <f>+IF(BD_MO[[#This Row],[N° DISP]]&lt;&gt;"",BD_MO[[#This Row],[SEMIGELATINA (N° CART.)]]*PE_SEMIGEL_65[PE],"")</f>
        <v>0</v>
      </c>
      <c r="AU259" s="259">
        <f>+IF(BD_MO[N° VALE]&lt;&gt;"",BD_MO[[#This Row],[KG EXPLO SEMIGEL]]+BD_MO[[#This Row],[KG EXPLO PULVE]]+BD_MO[[#This Row],[KG EXPLO EMULN 3000]]+BD_MO[[#This Row],[KG EXPLO EMULN 1000]],"")</f>
        <v>1.4205000000000001</v>
      </c>
      <c r="AV259" s="254"/>
      <c r="AW259" s="254">
        <v>5</v>
      </c>
      <c r="AX259" s="254" t="str">
        <f>+IF(BD_MO[[#This Row],[MINERAL (U-35)]]&lt;&gt;"",BD_MO[[#This Row],[MINERAL (U-35)]]*1.45,"-")</f>
        <v>-</v>
      </c>
      <c r="AY259" s="254">
        <f>+IF(BD_MO[[#This Row],[DESMONTE (U-35)]]&lt;&gt;"",BD_MO[[#This Row],[DESMONTE (U-35)]]*1.23,"-")</f>
        <v>6.15</v>
      </c>
      <c r="AZ259" s="254"/>
      <c r="BA259" s="254">
        <v>1</v>
      </c>
      <c r="BB259" s="254"/>
      <c r="BC259" s="254"/>
      <c r="BD259" s="254"/>
      <c r="BE259" s="254"/>
      <c r="BF259" s="254"/>
      <c r="BG259" s="254"/>
      <c r="BH259" s="254"/>
      <c r="BI259" s="254"/>
      <c r="BJ259" s="254"/>
      <c r="BK259" s="254"/>
      <c r="BL259" s="254"/>
      <c r="BM259" s="254"/>
      <c r="BN259" s="253"/>
      <c r="BO259" s="254">
        <v>1</v>
      </c>
      <c r="BP259" s="254"/>
      <c r="BQ259" s="253">
        <v>2</v>
      </c>
      <c r="BR259" s="254"/>
      <c r="BS259" s="253"/>
      <c r="BT259" s="259">
        <v>5</v>
      </c>
      <c r="BU259" s="254"/>
      <c r="BV259" s="254"/>
      <c r="BW259" s="254"/>
      <c r="BX259" s="254"/>
      <c r="BY259" s="254"/>
      <c r="BZ259" s="254"/>
      <c r="CA259" s="254"/>
      <c r="CB259" s="254"/>
      <c r="CC259" s="254"/>
      <c r="CD259" s="254"/>
      <c r="CE259" s="254"/>
      <c r="CF259" s="254"/>
      <c r="CG259" s="254"/>
      <c r="CH259" s="254"/>
      <c r="CI259" s="254"/>
      <c r="CJ259" s="254"/>
      <c r="CK259" s="254"/>
      <c r="CL259" s="254">
        <v>2</v>
      </c>
      <c r="CM259" s="254">
        <v>3</v>
      </c>
      <c r="CN259" s="254">
        <v>3</v>
      </c>
      <c r="CO259" s="254"/>
      <c r="CP259" s="259">
        <f>+IF(BD_MO[[#This Row],[FECHA]]&lt;&gt;"",BD_MO[[#This Row],[PUNTAL 4"]]+BD_MO[[#This Row],[PUNTAL 5"]]+BD_MO[[#This Row],[PUNTAL 6"]]+BD_MO[[#This Row],[PUNTAL 7"]]+BD_MO[[#This Row],[PUNTAL 8"]],"")</f>
        <v>8</v>
      </c>
      <c r="CQ259" s="254"/>
      <c r="CR259" s="254"/>
      <c r="CS259" s="254">
        <v>15</v>
      </c>
      <c r="CT259" s="254"/>
      <c r="CU259" s="254"/>
      <c r="CV259" s="254"/>
      <c r="CW259" s="254"/>
      <c r="CX259" s="254"/>
      <c r="CY259" s="259"/>
      <c r="CZ259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749.18499999999995</v>
      </c>
      <c r="DA259" s="259">
        <f>+IF(BD_MO[[#This Row],[FECHA]]&lt;&gt;"",BD_MO[[#This Row],[DURMIENTE2]]*6.561+BD_MO[[#This Row],[LISTONES]]*4.921+BD_MO[[#This Row],[TABLA 1"x8"x3m]]*6.561+BD_MO[[#This Row],[TABLA 2"x8"x3m]]*13.122,"")</f>
        <v>0</v>
      </c>
      <c r="DB259" s="259">
        <f>+IF(BD_MO[[#This Row],[FECHA]]&lt;&gt;"",BD_MO[[#This Row],[PIE2 MADERA ASERRADA]]*1.95,"")</f>
        <v>0</v>
      </c>
      <c r="DC259" s="259">
        <f>+IF(BD_MO[[#This Row],[FECHA]]&lt;&gt;"",BD_MO[[#This Row],[KG. MADERA REDONDA]]+BD_MO[[#This Row],[KG MADERA ASERRADA]],"")</f>
        <v>749.18499999999995</v>
      </c>
      <c r="DD259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326.75</v>
      </c>
      <c r="DE259" s="254"/>
      <c r="DF259" s="254"/>
      <c r="DG259" s="254"/>
      <c r="DH259" s="254"/>
      <c r="DI259" s="263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59" s="263"/>
      <c r="DK259" s="263"/>
      <c r="DL259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59" s="263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59" s="263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59" s="181">
        <f>0.3154597*BD_MO[[#This Row],[N°  TOTAL TALADROS]]</f>
        <v>2.2082179000000002</v>
      </c>
      <c r="DP259" s="263">
        <f>+IF(BD_MO[[#This Row],[M o D]]&lt;&gt;"",IF(BD_MO[[#This Row],[M o D]]="M",BD_MO[[#This Row],[ROTURA TMH]]/2.65,BD_MO[[#This Row],[ROTURA TMH]]/2.4),"")</f>
        <v>0.92009079166666674</v>
      </c>
      <c r="DQ259" s="263"/>
      <c r="DR259" s="116" t="str">
        <f>IF(BD_MO[[#This Row],[TIPO AVANCE]]="Avance",((BD_MO[[#This Row],[AVANCE (m)]]/BD_MO[[#This Row],[AVANCE TEÓRICO]]))," ")</f>
        <v xml:space="preserve"> </v>
      </c>
    </row>
    <row r="260" spans="1:130" ht="18" customHeight="1" x14ac:dyDescent="0.25">
      <c r="A260" s="250">
        <v>44666</v>
      </c>
      <c r="B260" s="251" t="s">
        <v>10655</v>
      </c>
      <c r="C260" s="251" t="s">
        <v>10680</v>
      </c>
      <c r="D260" s="252" t="s">
        <v>11595</v>
      </c>
      <c r="E260" s="253" t="str">
        <f>LEFT(BD_MO[[#This Row],[LABOR]],2)</f>
        <v>Tj</v>
      </c>
      <c r="F260" s="254"/>
      <c r="G260" s="254" t="s">
        <v>10656</v>
      </c>
      <c r="H260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260" s="253" t="str">
        <f>IF(BD_MO[FECHA]&lt;&gt;"",VLOOKUP(BD_MO[LABOR],TB_CECO[[LABOR]:[CECO_T]],3,FALSE),"")</f>
        <v>ESCONDIDA</v>
      </c>
      <c r="J260" s="253" t="str">
        <f>IF(BD_MO[FECHA]&lt;&gt;"",VLOOKUP(BD_MO[LABOR],D_CECO!B:H,7,FALSE),"")</f>
        <v>TAJO</v>
      </c>
      <c r="K260" s="253" t="str">
        <f>IF(BD_MO[FECHA]&lt;&gt;"",VLOOKUP(BD_MO[LABOR],D_CECO!B:H,4,FALSE),"")</f>
        <v>EXPLOTACION</v>
      </c>
      <c r="L260" s="253"/>
      <c r="M260" s="255"/>
      <c r="N260" s="254"/>
      <c r="O260" s="256" t="s">
        <v>11911</v>
      </c>
      <c r="P260" s="256" t="s">
        <v>11913</v>
      </c>
      <c r="Q260" s="256"/>
      <c r="R260" s="257"/>
      <c r="S260" s="258" t="str">
        <f>IFERROR(VLOOKUP(BD_MO[DNI 4],#REF!,2,FALSE)," ")</f>
        <v xml:space="preserve"> </v>
      </c>
      <c r="T260" s="259">
        <f>+IF(BD_MO[[#This Row],[FECHA]]&lt;&gt;"",COUNTA(BD_MO[[#This Row],[DNI]],BD_MO[[#This Row],[DNI 2]],BD_MO[[#This Row],[DNI 3]],BD_MO[[#This Row],[DNI 4]]),"")</f>
        <v>2</v>
      </c>
      <c r="U260" s="259"/>
      <c r="V260" s="259"/>
      <c r="W260" s="259"/>
      <c r="X260" s="259">
        <v>2</v>
      </c>
      <c r="Y260" s="260">
        <f>SUM(BD_MO[[#This Row],[LIMP]:[SERV]])</f>
        <v>2</v>
      </c>
      <c r="Z260" s="254"/>
      <c r="AA260" s="254" t="str">
        <f>+IF(BD_MO[[#This Row],[N° VALE]]&lt;&gt;"",1,"")</f>
        <v/>
      </c>
      <c r="AB260" s="251"/>
      <c r="AC260" s="254"/>
      <c r="AD260" s="254" t="str">
        <f>+IF(BD_MO[[#This Row],[N° VALE]]&lt;&gt;"",BD_MO[[#This Row],[FULMINANTE N° 08]]+BD_MO[CARMEX 7''],"")</f>
        <v/>
      </c>
      <c r="AE260" s="254"/>
      <c r="AF260" s="254" t="str">
        <f>+IF(BD_MO[[#This Row],[N° VALE]]&lt;&gt;"",BD_MO[[#This Row],[N° TALADROS]]+BD_MO[[#This Row],[N° TAL. VACIOS]],"")</f>
        <v/>
      </c>
      <c r="AG260" s="261"/>
      <c r="AH260" s="261"/>
      <c r="AI260" s="261"/>
      <c r="AJ260" s="261"/>
      <c r="AK260" s="261"/>
      <c r="AL260" s="261"/>
      <c r="AM260" s="253"/>
      <c r="AN260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60" s="254" t="str">
        <f>+IF(BD_MO[[#This Row],[N° VALE]]&lt;&gt;"",IF(BD_MO[[#This Row],[FULMINANTE N° 08]]&lt;&gt;"",BD_MO[[#This Row],[FULMINANTE N° 08]],IF(BD_MO[[#This Row],[CARMEX 7'']]&lt;&gt;0,0,"")),"")</f>
        <v/>
      </c>
      <c r="AP260" s="259" t="str">
        <f>+IF(BD_MO[[#This Row],[N° VALE]]&lt;&gt;"",BD_MO[[#This Row],[N°  TOTAL TALADROS]]*BD_MO[[#This Row],[BARRA]]*0.95,"")</f>
        <v/>
      </c>
      <c r="AQ260" s="259" t="str">
        <f>+IF(BD_MO[[#This Row],[N° VALE]]&lt;&gt;"",BD_MO[[#This Row],[EMULNOR 1000 (N° CART.)]]*PE_EMUL_1000[PE],"")</f>
        <v/>
      </c>
      <c r="AR260" s="259" t="str">
        <f>+IF(BD_MO[[#This Row],[N° VALE]]&lt;&gt;"",BD_MO[[#This Row],[EMULNOR 3000 (N° CART.)]]*PE_EMUL_3000[PE],"")</f>
        <v/>
      </c>
      <c r="AS260" s="259" t="str">
        <f>+IF(BD_MO[[#This Row],[N° VALE]]&lt;&gt;"",BD_MO[[#This Row],[PULVERULENTA (N° CART.)]]*PE_PULV_65[PE],"")</f>
        <v/>
      </c>
      <c r="AT260" s="259" t="str">
        <f>+IF(BD_MO[[#This Row],[N° DISP]]&lt;&gt;"",BD_MO[[#This Row],[SEMIGELATINA (N° CART.)]]*PE_SEMIGEL_65[PE],"")</f>
        <v/>
      </c>
      <c r="AU260" s="259" t="str">
        <f>+IF(BD_MO[N° VALE]&lt;&gt;"",BD_MO[[#This Row],[KG EXPLO SEMIGEL]]+BD_MO[[#This Row],[KG EXPLO PULVE]]+BD_MO[[#This Row],[KG EXPLO EMULN 3000]]+BD_MO[[#This Row],[KG EXPLO EMULN 1000]],"")</f>
        <v/>
      </c>
      <c r="AV260" s="254"/>
      <c r="AW260" s="254"/>
      <c r="AX260" s="254" t="str">
        <f>+IF(BD_MO[[#This Row],[MINERAL (U-35)]]&lt;&gt;"",BD_MO[[#This Row],[MINERAL (U-35)]]*1.45,"-")</f>
        <v>-</v>
      </c>
      <c r="AY260" s="254" t="str">
        <f>+IF(BD_MO[[#This Row],[DESMONTE (U-35)]]&lt;&gt;"",BD_MO[[#This Row],[DESMONTE (U-35)]]*1.23,"-")</f>
        <v>-</v>
      </c>
      <c r="AZ260" s="254"/>
      <c r="BA260" s="254"/>
      <c r="BB260" s="254"/>
      <c r="BC260" s="254"/>
      <c r="BD260" s="254"/>
      <c r="BE260" s="254"/>
      <c r="BF260" s="254"/>
      <c r="BG260" s="254"/>
      <c r="BH260" s="254"/>
      <c r="BI260" s="254"/>
      <c r="BJ260" s="254"/>
      <c r="BK260" s="254"/>
      <c r="BL260" s="254"/>
      <c r="BM260" s="254"/>
      <c r="BN260" s="253"/>
      <c r="BO260" s="254"/>
      <c r="BP260" s="254"/>
      <c r="BQ260" s="253"/>
      <c r="BR260" s="254"/>
      <c r="BS260" s="253"/>
      <c r="BT260" s="259"/>
      <c r="BU260" s="254"/>
      <c r="BV260" s="254"/>
      <c r="BW260" s="254"/>
      <c r="BX260" s="254"/>
      <c r="BY260" s="254"/>
      <c r="BZ260" s="254"/>
      <c r="CA260" s="254"/>
      <c r="CB260" s="254"/>
      <c r="CC260" s="254"/>
      <c r="CD260" s="254"/>
      <c r="CE260" s="254"/>
      <c r="CF260" s="254"/>
      <c r="CG260" s="254"/>
      <c r="CH260" s="254"/>
      <c r="CI260" s="254"/>
      <c r="CJ260" s="254"/>
      <c r="CK260" s="254"/>
      <c r="CL260" s="254"/>
      <c r="CM260" s="254"/>
      <c r="CN260" s="254"/>
      <c r="CO260" s="254"/>
      <c r="CP260" s="259">
        <f>+IF(BD_MO[[#This Row],[FECHA]]&lt;&gt;"",BD_MO[[#This Row],[PUNTAL 4"]]+BD_MO[[#This Row],[PUNTAL 5"]]+BD_MO[[#This Row],[PUNTAL 6"]]+BD_MO[[#This Row],[PUNTAL 7"]]+BD_MO[[#This Row],[PUNTAL 8"]],"")</f>
        <v>0</v>
      </c>
      <c r="CQ260" s="254"/>
      <c r="CR260" s="254"/>
      <c r="CS260" s="254"/>
      <c r="CT260" s="254"/>
      <c r="CU260" s="254"/>
      <c r="CV260" s="254"/>
      <c r="CW260" s="254"/>
      <c r="CX260" s="254"/>
      <c r="CY260" s="259"/>
      <c r="CZ260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60" s="259">
        <f>+IF(BD_MO[[#This Row],[FECHA]]&lt;&gt;"",BD_MO[[#This Row],[DURMIENTE2]]*6.561+BD_MO[[#This Row],[LISTONES]]*4.921+BD_MO[[#This Row],[TABLA 1"x8"x3m]]*6.561+BD_MO[[#This Row],[TABLA 2"x8"x3m]]*13.122,"")</f>
        <v>0</v>
      </c>
      <c r="DB260" s="259">
        <f>+IF(BD_MO[[#This Row],[FECHA]]&lt;&gt;"",BD_MO[[#This Row],[PIE2 MADERA ASERRADA]]*1.95,"")</f>
        <v>0</v>
      </c>
      <c r="DC260" s="259">
        <f>+IF(BD_MO[[#This Row],[FECHA]]&lt;&gt;"",BD_MO[[#This Row],[KG. MADERA REDONDA]]+BD_MO[[#This Row],[KG MADERA ASERRADA]],"")</f>
        <v>0</v>
      </c>
      <c r="DD260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60" s="254"/>
      <c r="DF260" s="254"/>
      <c r="DG260" s="254"/>
      <c r="DH260" s="254"/>
      <c r="DI260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60" s="263"/>
      <c r="DK260" s="263"/>
      <c r="DL260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60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60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60" s="264"/>
      <c r="DP260" s="263" t="str">
        <f>+IF(BD_MO[[#This Row],[M o D]]&lt;&gt;"",IF(BD_MO[[#This Row],[M o D]]="M",BD_MO[[#This Row],[ROTURA TMH]]/2.65,BD_MO[[#This Row],[ROTURA TMH]]/2.4),"")</f>
        <v/>
      </c>
      <c r="DQ260" s="263"/>
      <c r="DR260" s="116" t="str">
        <f>IF(BD_MO[[#This Row],[TIPO AVANCE]]="Avance",((BD_MO[[#This Row],[AVANCE (m)]]/BD_MO[[#This Row],[AVANCE TEÓRICO]]))," ")</f>
        <v xml:space="preserve"> </v>
      </c>
    </row>
    <row r="261" spans="1:130" ht="18" customHeight="1" x14ac:dyDescent="0.25">
      <c r="A261" s="250">
        <v>44666</v>
      </c>
      <c r="B261" s="251" t="s">
        <v>10655</v>
      </c>
      <c r="C261" s="251" t="s">
        <v>10680</v>
      </c>
      <c r="D261" s="252" t="s">
        <v>12149</v>
      </c>
      <c r="E261" s="253" t="str">
        <f>LEFT(BD_MO[[#This Row],[LABOR]],2)</f>
        <v>Es</v>
      </c>
      <c r="F261" s="254"/>
      <c r="G261" s="254" t="s">
        <v>10669</v>
      </c>
      <c r="H261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61" s="253" t="str">
        <f>IF(BD_MO[FECHA]&lt;&gt;"",VLOOKUP(BD_MO[LABOR],TB_CECO[[LABOR]:[CECO_T]],3,FALSE),"")</f>
        <v>VANESSA</v>
      </c>
      <c r="J261" s="253" t="str">
        <f>IF(BD_MO[FECHA]&lt;&gt;"",VLOOKUP(BD_MO[LABOR],D_CECO!B:H,7,FALSE),"")</f>
        <v>LINEAL</v>
      </c>
      <c r="K261" s="253" t="str">
        <f>IF(BD_MO[FECHA]&lt;&gt;"",VLOOKUP(BD_MO[LABOR],D_CECO!B:H,4,FALSE),"")</f>
        <v>EXPLORACION</v>
      </c>
      <c r="L261" s="253"/>
      <c r="M261" s="255"/>
      <c r="N261" s="254"/>
      <c r="O261" s="256" t="s">
        <v>12151</v>
      </c>
      <c r="P261" s="256"/>
      <c r="Q261" s="256"/>
      <c r="R261" s="257"/>
      <c r="S261" s="258" t="str">
        <f>IFERROR(VLOOKUP(BD_MO[DNI 4],#REF!,2,FALSE)," ")</f>
        <v xml:space="preserve"> </v>
      </c>
      <c r="T261" s="259">
        <f>+IF(BD_MO[[#This Row],[FECHA]]&lt;&gt;"",COUNTA(BD_MO[[#This Row],[DNI]],BD_MO[[#This Row],[DNI 2]],BD_MO[[#This Row],[DNI 3]],BD_MO[[#This Row],[DNI 4]]),"")</f>
        <v>1</v>
      </c>
      <c r="U261" s="259"/>
      <c r="V261" s="259"/>
      <c r="W261" s="259"/>
      <c r="X261" s="259">
        <v>1</v>
      </c>
      <c r="Y261" s="260">
        <f>SUM(BD_MO[[#This Row],[LIMP]:[SERV]])</f>
        <v>1</v>
      </c>
      <c r="Z261" s="254"/>
      <c r="AA261" s="254" t="str">
        <f>+IF(BD_MO[[#This Row],[N° VALE]]&lt;&gt;"",1,"")</f>
        <v/>
      </c>
      <c r="AB261" s="251"/>
      <c r="AC261" s="254"/>
      <c r="AD261" s="254" t="str">
        <f>+IF(BD_MO[[#This Row],[N° VALE]]&lt;&gt;"",BD_MO[[#This Row],[FULMINANTE N° 08]]+BD_MO[CARMEX 7''],"")</f>
        <v/>
      </c>
      <c r="AE261" s="254"/>
      <c r="AF261" s="254" t="str">
        <f>+IF(BD_MO[[#This Row],[N° VALE]]&lt;&gt;"",BD_MO[[#This Row],[N° TALADROS]]+BD_MO[[#This Row],[N° TAL. VACIOS]],"")</f>
        <v/>
      </c>
      <c r="AG261" s="261"/>
      <c r="AH261" s="261"/>
      <c r="AI261" s="261"/>
      <c r="AJ261" s="261"/>
      <c r="AK261" s="261"/>
      <c r="AL261" s="261"/>
      <c r="AM261" s="253"/>
      <c r="AN261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61" s="254" t="str">
        <f>+IF(BD_MO[[#This Row],[N° VALE]]&lt;&gt;"",IF(BD_MO[[#This Row],[FULMINANTE N° 08]]&lt;&gt;"",BD_MO[[#This Row],[FULMINANTE N° 08]],IF(BD_MO[[#This Row],[CARMEX 7'']]&lt;&gt;0,0,"")),"")</f>
        <v/>
      </c>
      <c r="AP261" s="259" t="str">
        <f>+IF(BD_MO[[#This Row],[N° VALE]]&lt;&gt;"",BD_MO[[#This Row],[N°  TOTAL TALADROS]]*BD_MO[[#This Row],[BARRA]]*0.95,"")</f>
        <v/>
      </c>
      <c r="AQ261" s="259" t="str">
        <f>+IF(BD_MO[[#This Row],[N° VALE]]&lt;&gt;"",BD_MO[[#This Row],[EMULNOR 1000 (N° CART.)]]*PE_EMUL_1000[PE],"")</f>
        <v/>
      </c>
      <c r="AR261" s="259" t="str">
        <f>+IF(BD_MO[[#This Row],[N° VALE]]&lt;&gt;"",BD_MO[[#This Row],[EMULNOR 3000 (N° CART.)]]*PE_EMUL_3000[PE],"")</f>
        <v/>
      </c>
      <c r="AS261" s="259" t="str">
        <f>+IF(BD_MO[[#This Row],[N° VALE]]&lt;&gt;"",BD_MO[[#This Row],[PULVERULENTA (N° CART.)]]*PE_PULV_65[PE],"")</f>
        <v/>
      </c>
      <c r="AT261" s="259" t="str">
        <f>+IF(BD_MO[[#This Row],[N° DISP]]&lt;&gt;"",BD_MO[[#This Row],[SEMIGELATINA (N° CART.)]]*PE_SEMIGEL_65[PE],"")</f>
        <v/>
      </c>
      <c r="AU261" s="259" t="str">
        <f>+IF(BD_MO[N° VALE]&lt;&gt;"",BD_MO[[#This Row],[KG EXPLO SEMIGEL]]+BD_MO[[#This Row],[KG EXPLO PULVE]]+BD_MO[[#This Row],[KG EXPLO EMULN 3000]]+BD_MO[[#This Row],[KG EXPLO EMULN 1000]],"")</f>
        <v/>
      </c>
      <c r="AV261" s="254"/>
      <c r="AW261" s="254"/>
      <c r="AX261" s="254" t="str">
        <f>+IF(BD_MO[[#This Row],[MINERAL (U-35)]]&lt;&gt;"",BD_MO[[#This Row],[MINERAL (U-35)]]*1.45,"-")</f>
        <v>-</v>
      </c>
      <c r="AY261" s="254" t="str">
        <f>+IF(BD_MO[[#This Row],[DESMONTE (U-35)]]&lt;&gt;"",BD_MO[[#This Row],[DESMONTE (U-35)]]*1.23,"-")</f>
        <v>-</v>
      </c>
      <c r="AZ261" s="254"/>
      <c r="BA261" s="254"/>
      <c r="BB261" s="254"/>
      <c r="BC261" s="254"/>
      <c r="BD261" s="254"/>
      <c r="BE261" s="254"/>
      <c r="BF261" s="254"/>
      <c r="BG261" s="254"/>
      <c r="BH261" s="254"/>
      <c r="BI261" s="254"/>
      <c r="BJ261" s="254"/>
      <c r="BK261" s="254"/>
      <c r="BL261" s="254"/>
      <c r="BM261" s="254"/>
      <c r="BN261" s="253"/>
      <c r="BO261" s="254"/>
      <c r="BP261" s="254"/>
      <c r="BQ261" s="253"/>
      <c r="BR261" s="254"/>
      <c r="BS261" s="253"/>
      <c r="BT261" s="259"/>
      <c r="BU261" s="254"/>
      <c r="BV261" s="254"/>
      <c r="BW261" s="254"/>
      <c r="BX261" s="254"/>
      <c r="BY261" s="254"/>
      <c r="BZ261" s="254"/>
      <c r="CA261" s="254"/>
      <c r="CB261" s="254"/>
      <c r="CC261" s="254"/>
      <c r="CD261" s="254"/>
      <c r="CE261" s="254"/>
      <c r="CF261" s="254"/>
      <c r="CG261" s="254"/>
      <c r="CH261" s="254"/>
      <c r="CI261" s="254"/>
      <c r="CJ261" s="254"/>
      <c r="CK261" s="254"/>
      <c r="CL261" s="254"/>
      <c r="CM261" s="254"/>
      <c r="CN261" s="254"/>
      <c r="CO261" s="254"/>
      <c r="CP261" s="259">
        <f>+IF(BD_MO[[#This Row],[FECHA]]&lt;&gt;"",BD_MO[[#This Row],[PUNTAL 4"]]+BD_MO[[#This Row],[PUNTAL 5"]]+BD_MO[[#This Row],[PUNTAL 6"]]+BD_MO[[#This Row],[PUNTAL 7"]]+BD_MO[[#This Row],[PUNTAL 8"]],"")</f>
        <v>0</v>
      </c>
      <c r="CQ261" s="254"/>
      <c r="CR261" s="254"/>
      <c r="CS261" s="254"/>
      <c r="CT261" s="254"/>
      <c r="CU261" s="254"/>
      <c r="CV261" s="254"/>
      <c r="CW261" s="254"/>
      <c r="CX261" s="254"/>
      <c r="CY261" s="259"/>
      <c r="CZ261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61" s="259">
        <f>+IF(BD_MO[[#This Row],[FECHA]]&lt;&gt;"",BD_MO[[#This Row],[DURMIENTE2]]*6.561+BD_MO[[#This Row],[LISTONES]]*4.921+BD_MO[[#This Row],[TABLA 1"x8"x3m]]*6.561+BD_MO[[#This Row],[TABLA 2"x8"x3m]]*13.122,"")</f>
        <v>0</v>
      </c>
      <c r="DB261" s="259">
        <f>+IF(BD_MO[[#This Row],[FECHA]]&lt;&gt;"",BD_MO[[#This Row],[PIE2 MADERA ASERRADA]]*1.95,"")</f>
        <v>0</v>
      </c>
      <c r="DC261" s="259">
        <f>+IF(BD_MO[[#This Row],[FECHA]]&lt;&gt;"",BD_MO[[#This Row],[KG. MADERA REDONDA]]+BD_MO[[#This Row],[KG MADERA ASERRADA]],"")</f>
        <v>0</v>
      </c>
      <c r="DD261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61" s="254"/>
      <c r="DF261" s="254"/>
      <c r="DG261" s="254"/>
      <c r="DH261" s="254"/>
      <c r="DI261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61" s="263"/>
      <c r="DK261" s="263"/>
      <c r="DL261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61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61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61" s="264"/>
      <c r="DP261" s="263" t="str">
        <f>+IF(BD_MO[[#This Row],[M o D]]&lt;&gt;"",IF(BD_MO[[#This Row],[M o D]]="M",BD_MO[[#This Row],[ROTURA TMH]]/2.65,BD_MO[[#This Row],[ROTURA TMH]]/2.4),"")</f>
        <v/>
      </c>
      <c r="DQ261" s="263"/>
      <c r="DR261" s="116" t="str">
        <f>IF(BD_MO[[#This Row],[TIPO AVANCE]]="Avance",((BD_MO[[#This Row],[AVANCE (m)]]/BD_MO[[#This Row],[AVANCE TEÓRICO]]))," ")</f>
        <v xml:space="preserve"> </v>
      </c>
    </row>
    <row r="262" spans="1:130" ht="18" customHeight="1" x14ac:dyDescent="0.25">
      <c r="A262" s="92">
        <v>44666</v>
      </c>
      <c r="B262" s="251" t="s">
        <v>10655</v>
      </c>
      <c r="C262" s="251" t="s">
        <v>10680</v>
      </c>
      <c r="D262" s="61" t="s">
        <v>10952</v>
      </c>
      <c r="E262" s="42" t="str">
        <f>LEFT(BD_MO[[#This Row],[LABOR]],2)</f>
        <v>In</v>
      </c>
      <c r="F262" s="46"/>
      <c r="G262" s="46" t="s">
        <v>10669</v>
      </c>
      <c r="H262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62" s="42" t="str">
        <f>IF(BD_MO[FECHA]&lt;&gt;"",VLOOKUP(BD_MO[LABOR],TB_CECO[[LABOR]:[CECO_T]],3,FALSE),"")</f>
        <v>VANESSA</v>
      </c>
      <c r="J262" s="42" t="str">
        <f>IF(BD_MO[FECHA]&lt;&gt;"",VLOOKUP(BD_MO[LABOR],D_CECO!B:H,7,FALSE),"")</f>
        <v>LINEAL</v>
      </c>
      <c r="K262" s="42" t="str">
        <f>IF(BD_MO[FECHA]&lt;&gt;"",VLOOKUP(BD_MO[LABOR],D_CECO!B:H,4,FALSE),"")</f>
        <v>EXPLORACION</v>
      </c>
      <c r="L262" s="42"/>
      <c r="M262" s="48"/>
      <c r="N262" s="46"/>
      <c r="O262" s="93" t="s">
        <v>11925</v>
      </c>
      <c r="P262" s="93" t="s">
        <v>11906</v>
      </c>
      <c r="Q262" s="93"/>
      <c r="R262" s="45"/>
      <c r="S262" s="54" t="str">
        <f>IFERROR(VLOOKUP(BD_MO[DNI 4],#REF!,2,FALSE)," ")</f>
        <v xml:space="preserve"> </v>
      </c>
      <c r="T262" s="24">
        <f>+IF(BD_MO[[#This Row],[FECHA]]&lt;&gt;"",COUNTA(BD_MO[[#This Row],[DNI]],BD_MO[[#This Row],[DNI 2]],BD_MO[[#This Row],[DNI 3]],BD_MO[[#This Row],[DNI 4]]),"")</f>
        <v>2</v>
      </c>
      <c r="U262" s="24"/>
      <c r="V262" s="24"/>
      <c r="W262" s="24"/>
      <c r="X262" s="24">
        <v>2</v>
      </c>
      <c r="Y262" s="86">
        <f>SUM(BD_MO[[#This Row],[LIMP]:[SERV]])</f>
        <v>2</v>
      </c>
      <c r="Z262" s="46"/>
      <c r="AA262" s="46" t="str">
        <f>+IF(BD_MO[[#This Row],[N° VALE]]&lt;&gt;"",1,"")</f>
        <v/>
      </c>
      <c r="AB262" s="40"/>
      <c r="AC262" s="46"/>
      <c r="AD262" s="46" t="str">
        <f>+IF(BD_MO[[#This Row],[N° VALE]]&lt;&gt;"",BD_MO[[#This Row],[FULMINANTE N° 08]]+BD_MO[CARMEX 7''],"")</f>
        <v/>
      </c>
      <c r="AE262" s="46"/>
      <c r="AF262" s="46" t="str">
        <f>+IF(BD_MO[[#This Row],[N° VALE]]&lt;&gt;"",BD_MO[[#This Row],[N° TALADROS]]+BD_MO[[#This Row],[N° TAL. VACIOS]],"")</f>
        <v/>
      </c>
      <c r="AG262" s="55"/>
      <c r="AH262" s="55"/>
      <c r="AI262" s="55"/>
      <c r="AJ262" s="55"/>
      <c r="AK262" s="55"/>
      <c r="AL262" s="55"/>
      <c r="AM262" s="42"/>
      <c r="AN262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62" s="46" t="str">
        <f>+IF(BD_MO[[#This Row],[N° VALE]]&lt;&gt;"",IF(BD_MO[[#This Row],[FULMINANTE N° 08]]&lt;&gt;"",BD_MO[[#This Row],[FULMINANTE N° 08]],IF(BD_MO[[#This Row],[CARMEX 7'']]&lt;&gt;0,0,"")),"")</f>
        <v/>
      </c>
      <c r="AP262" s="24" t="str">
        <f>+IF(BD_MO[[#This Row],[N° VALE]]&lt;&gt;"",BD_MO[[#This Row],[N°  TOTAL TALADROS]]*BD_MO[[#This Row],[BARRA]]*0.95,"")</f>
        <v/>
      </c>
      <c r="AQ262" s="24" t="str">
        <f>+IF(BD_MO[[#This Row],[N° VALE]]&lt;&gt;"",BD_MO[[#This Row],[EMULNOR 1000 (N° CART.)]]*PE_EMUL_1000[PE],"")</f>
        <v/>
      </c>
      <c r="AR262" s="24" t="str">
        <f>+IF(BD_MO[[#This Row],[N° VALE]]&lt;&gt;"",BD_MO[[#This Row],[EMULNOR 3000 (N° CART.)]]*PE_EMUL_3000[PE],"")</f>
        <v/>
      </c>
      <c r="AS262" s="24" t="str">
        <f>+IF(BD_MO[[#This Row],[N° VALE]]&lt;&gt;"",BD_MO[[#This Row],[PULVERULENTA (N° CART.)]]*PE_PULV_65[PE],"")</f>
        <v/>
      </c>
      <c r="AT262" s="24" t="str">
        <f>+IF(BD_MO[[#This Row],[N° DISP]]&lt;&gt;"",BD_MO[[#This Row],[SEMIGELATINA (N° CART.)]]*PE_SEMIGEL_65[PE],"")</f>
        <v/>
      </c>
      <c r="AU262" s="24" t="str">
        <f>+IF(BD_MO[N° VALE]&lt;&gt;"",BD_MO[[#This Row],[KG EXPLO SEMIGEL]]+BD_MO[[#This Row],[KG EXPLO PULVE]]+BD_MO[[#This Row],[KG EXPLO EMULN 3000]]+BD_MO[[#This Row],[KG EXPLO EMULN 1000]],"")</f>
        <v/>
      </c>
      <c r="AV262" s="46"/>
      <c r="AW262" s="46"/>
      <c r="AX262" s="46" t="str">
        <f>+IF(BD_MO[[#This Row],[MINERAL (U-35)]]&lt;&gt;"",BD_MO[[#This Row],[MINERAL (U-35)]]*1.45,"-")</f>
        <v>-</v>
      </c>
      <c r="AY262" s="46" t="str">
        <f>+IF(BD_MO[[#This Row],[DESMONTE (U-35)]]&lt;&gt;"",BD_MO[[#This Row],[DESMONTE (U-35)]]*1.23,"-")</f>
        <v>-</v>
      </c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2"/>
      <c r="BO262" s="46"/>
      <c r="BP262" s="46"/>
      <c r="BQ262" s="42"/>
      <c r="BR262" s="46"/>
      <c r="BS262" s="42"/>
      <c r="BT262" s="24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24">
        <f>+IF(BD_MO[[#This Row],[FECHA]]&lt;&gt;"",BD_MO[[#This Row],[PUNTAL 4"]]+BD_MO[[#This Row],[PUNTAL 5"]]+BD_MO[[#This Row],[PUNTAL 6"]]+BD_MO[[#This Row],[PUNTAL 7"]]+BD_MO[[#This Row],[PUNTAL 8"]],"")</f>
        <v>0</v>
      </c>
      <c r="CQ262" s="46"/>
      <c r="CR262" s="46"/>
      <c r="CS262" s="46"/>
      <c r="CT262" s="46"/>
      <c r="CU262" s="46"/>
      <c r="CV262" s="46"/>
      <c r="CW262" s="46"/>
      <c r="CX262" s="46"/>
      <c r="CY262" s="24"/>
      <c r="CZ262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62" s="24">
        <f>+IF(BD_MO[[#This Row],[FECHA]]&lt;&gt;"",BD_MO[[#This Row],[DURMIENTE2]]*6.561+BD_MO[[#This Row],[LISTONES]]*4.921+BD_MO[[#This Row],[TABLA 1"x8"x3m]]*6.561+BD_MO[[#This Row],[TABLA 2"x8"x3m]]*13.122,"")</f>
        <v>0</v>
      </c>
      <c r="DB262" s="24">
        <f>+IF(BD_MO[[#This Row],[FECHA]]&lt;&gt;"",BD_MO[[#This Row],[PIE2 MADERA ASERRADA]]*1.95,"")</f>
        <v>0</v>
      </c>
      <c r="DC262" s="24">
        <f>+IF(BD_MO[[#This Row],[FECHA]]&lt;&gt;"",BD_MO[[#This Row],[KG. MADERA REDONDA]]+BD_MO[[#This Row],[KG MADERA ASERRADA]],"")</f>
        <v>0</v>
      </c>
      <c r="DD262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62" s="46"/>
      <c r="DF262" s="46"/>
      <c r="DG262" s="46"/>
      <c r="DH262" s="46"/>
      <c r="DI262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62" s="56"/>
      <c r="DK262" s="56"/>
      <c r="DL262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62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62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62" s="66"/>
      <c r="DP262" s="56" t="str">
        <f>+IF(BD_MO[[#This Row],[M o D]]&lt;&gt;"",IF(BD_MO[[#This Row],[M o D]]="M",BD_MO[[#This Row],[ROTURA TMH]]/2.65,BD_MO[[#This Row],[ROTURA TMH]]/2.4),"")</f>
        <v/>
      </c>
      <c r="DQ262" s="56"/>
      <c r="DR262" s="116" t="str">
        <f>IF(BD_MO[[#This Row],[TIPO AVANCE]]="Avance",((BD_MO[[#This Row],[AVANCE (m)]]/BD_MO[[#This Row],[AVANCE TEÓRICO]]))," ")</f>
        <v xml:space="preserve"> </v>
      </c>
      <c r="DS262" s="49"/>
      <c r="DT262" s="49"/>
      <c r="DU262" s="49"/>
      <c r="DV262" s="49"/>
      <c r="DW262" s="49"/>
      <c r="DX262" s="49"/>
      <c r="DY262" s="49"/>
      <c r="DZ262" s="49"/>
    </row>
    <row r="263" spans="1:130" ht="18" customHeight="1" x14ac:dyDescent="0.25">
      <c r="A263" s="92">
        <v>44666</v>
      </c>
      <c r="B263" s="251" t="s">
        <v>10655</v>
      </c>
      <c r="C263" s="251" t="s">
        <v>10680</v>
      </c>
      <c r="D263" s="252" t="s">
        <v>11872</v>
      </c>
      <c r="E263" s="253" t="str">
        <f>LEFT(BD_MO[[#This Row],[LABOR]],2)</f>
        <v>PQ</v>
      </c>
      <c r="F263" s="254"/>
      <c r="G263" s="254" t="s">
        <v>10669</v>
      </c>
      <c r="H263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63" s="253" t="str">
        <f>IF(BD_MO[FECHA]&lt;&gt;"",VLOOKUP(BD_MO[LABOR],TB_CECO[[LABOR]:[CECO_T]],3,FALSE),"")</f>
        <v>ANDREA</v>
      </c>
      <c r="J263" s="253" t="str">
        <f>IF(BD_MO[FECHA]&lt;&gt;"",VLOOKUP(BD_MO[LABOR],D_CECO!B:H,7,FALSE),"")</f>
        <v>LINEAL</v>
      </c>
      <c r="K263" s="253" t="str">
        <f>IF(BD_MO[FECHA]&lt;&gt;"",VLOOKUP(BD_MO[LABOR],D_CECO!B:H,4,FALSE),"")</f>
        <v>EXPLOTACION</v>
      </c>
      <c r="L263" s="253"/>
      <c r="M263" s="255"/>
      <c r="N263" s="254"/>
      <c r="O263" s="256" t="s">
        <v>11908</v>
      </c>
      <c r="P263" s="256" t="s">
        <v>11905</v>
      </c>
      <c r="Q263" s="256" t="s">
        <v>12211</v>
      </c>
      <c r="R263" s="257"/>
      <c r="S263" s="258" t="str">
        <f>IFERROR(VLOOKUP(BD_MO[DNI 4],#REF!,2,FALSE)," ")</f>
        <v xml:space="preserve"> </v>
      </c>
      <c r="T263" s="259">
        <f>+IF(BD_MO[[#This Row],[FECHA]]&lt;&gt;"",COUNTA(BD_MO[[#This Row],[DNI]],BD_MO[[#This Row],[DNI 2]],BD_MO[[#This Row],[DNI 3]],BD_MO[[#This Row],[DNI 4]]),"")</f>
        <v>3</v>
      </c>
      <c r="U263" s="259"/>
      <c r="V263" s="259"/>
      <c r="W263" s="259"/>
      <c r="X263" s="259">
        <v>3</v>
      </c>
      <c r="Y263" s="260">
        <f>SUM(BD_MO[[#This Row],[LIMP]:[SERV]])</f>
        <v>3</v>
      </c>
      <c r="Z263" s="254"/>
      <c r="AA263" s="254" t="str">
        <f>+IF(BD_MO[[#This Row],[N° VALE]]&lt;&gt;"",1,"")</f>
        <v/>
      </c>
      <c r="AB263" s="251"/>
      <c r="AC263" s="254"/>
      <c r="AD263" s="254" t="str">
        <f>+IF(BD_MO[[#This Row],[N° VALE]]&lt;&gt;"",BD_MO[[#This Row],[FULMINANTE N° 08]]+BD_MO[CARMEX 7''],"")</f>
        <v/>
      </c>
      <c r="AE263" s="254"/>
      <c r="AF263" s="254" t="str">
        <f>+IF(BD_MO[[#This Row],[N° VALE]]&lt;&gt;"",BD_MO[[#This Row],[N° TALADROS]]+BD_MO[[#This Row],[N° TAL. VACIOS]],"")</f>
        <v/>
      </c>
      <c r="AG263" s="261"/>
      <c r="AH263" s="261"/>
      <c r="AI263" s="261"/>
      <c r="AJ263" s="261"/>
      <c r="AK263" s="261"/>
      <c r="AL263" s="261"/>
      <c r="AM263" s="253"/>
      <c r="AN263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63" s="254" t="str">
        <f>+IF(BD_MO[[#This Row],[N° VALE]]&lt;&gt;"",IF(BD_MO[[#This Row],[FULMINANTE N° 08]]&lt;&gt;"",BD_MO[[#This Row],[FULMINANTE N° 08]],IF(BD_MO[[#This Row],[CARMEX 7'']]&lt;&gt;0,0,"")),"")</f>
        <v/>
      </c>
      <c r="AP263" s="259" t="str">
        <f>+IF(BD_MO[[#This Row],[N° VALE]]&lt;&gt;"",BD_MO[[#This Row],[N°  TOTAL TALADROS]]*BD_MO[[#This Row],[BARRA]]*0.95,"")</f>
        <v/>
      </c>
      <c r="AQ263" s="259" t="str">
        <f>+IF(BD_MO[[#This Row],[N° VALE]]&lt;&gt;"",BD_MO[[#This Row],[EMULNOR 1000 (N° CART.)]]*PE_EMUL_1000[PE],"")</f>
        <v/>
      </c>
      <c r="AR263" s="259" t="str">
        <f>+IF(BD_MO[[#This Row],[N° VALE]]&lt;&gt;"",BD_MO[[#This Row],[EMULNOR 3000 (N° CART.)]]*PE_EMUL_3000[PE],"")</f>
        <v/>
      </c>
      <c r="AS263" s="259" t="str">
        <f>+IF(BD_MO[[#This Row],[N° VALE]]&lt;&gt;"",BD_MO[[#This Row],[PULVERULENTA (N° CART.)]]*PE_PULV_65[PE],"")</f>
        <v/>
      </c>
      <c r="AT263" s="259" t="str">
        <f>+IF(BD_MO[[#This Row],[N° DISP]]&lt;&gt;"",BD_MO[[#This Row],[SEMIGELATINA (N° CART.)]]*PE_SEMIGEL_65[PE],"")</f>
        <v/>
      </c>
      <c r="AU263" s="259" t="str">
        <f>+IF(BD_MO[N° VALE]&lt;&gt;"",BD_MO[[#This Row],[KG EXPLO SEMIGEL]]+BD_MO[[#This Row],[KG EXPLO PULVE]]+BD_MO[[#This Row],[KG EXPLO EMULN 3000]]+BD_MO[[#This Row],[KG EXPLO EMULN 1000]],"")</f>
        <v/>
      </c>
      <c r="AV263" s="254"/>
      <c r="AW263" s="254"/>
      <c r="AX263" s="254" t="str">
        <f>+IF(BD_MO[[#This Row],[MINERAL (U-35)]]&lt;&gt;"",BD_MO[[#This Row],[MINERAL (U-35)]]*1.45,"-")</f>
        <v>-</v>
      </c>
      <c r="AY263" s="254" t="str">
        <f>+IF(BD_MO[[#This Row],[DESMONTE (U-35)]]&lt;&gt;"",BD_MO[[#This Row],[DESMONTE (U-35)]]*1.23,"-")</f>
        <v>-</v>
      </c>
      <c r="AZ263" s="254"/>
      <c r="BA263" s="254"/>
      <c r="BB263" s="254"/>
      <c r="BC263" s="254"/>
      <c r="BD263" s="254"/>
      <c r="BE263" s="254"/>
      <c r="BF263" s="254"/>
      <c r="BG263" s="254"/>
      <c r="BH263" s="254"/>
      <c r="BI263" s="254"/>
      <c r="BJ263" s="254"/>
      <c r="BK263" s="254"/>
      <c r="BL263" s="254"/>
      <c r="BM263" s="254"/>
      <c r="BN263" s="253"/>
      <c r="BO263" s="254"/>
      <c r="BP263" s="254"/>
      <c r="BQ263" s="253"/>
      <c r="BR263" s="254"/>
      <c r="BS263" s="253"/>
      <c r="BT263" s="259"/>
      <c r="BU263" s="254"/>
      <c r="BV263" s="254"/>
      <c r="BW263" s="254"/>
      <c r="BX263" s="254"/>
      <c r="BY263" s="254"/>
      <c r="BZ263" s="254"/>
      <c r="CA263" s="254"/>
      <c r="CB263" s="254"/>
      <c r="CC263" s="254"/>
      <c r="CD263" s="254"/>
      <c r="CE263" s="254"/>
      <c r="CF263" s="254"/>
      <c r="CG263" s="254"/>
      <c r="CH263" s="254"/>
      <c r="CI263" s="254"/>
      <c r="CJ263" s="254"/>
      <c r="CK263" s="254"/>
      <c r="CL263" s="254"/>
      <c r="CM263" s="254"/>
      <c r="CN263" s="254"/>
      <c r="CO263" s="254"/>
      <c r="CP263" s="259">
        <f>+IF(BD_MO[[#This Row],[FECHA]]&lt;&gt;"",BD_MO[[#This Row],[PUNTAL 4"]]+BD_MO[[#This Row],[PUNTAL 5"]]+BD_MO[[#This Row],[PUNTAL 6"]]+BD_MO[[#This Row],[PUNTAL 7"]]+BD_MO[[#This Row],[PUNTAL 8"]],"")</f>
        <v>0</v>
      </c>
      <c r="CQ263" s="254"/>
      <c r="CR263" s="254"/>
      <c r="CS263" s="254"/>
      <c r="CT263" s="254"/>
      <c r="CU263" s="254"/>
      <c r="CV263" s="254"/>
      <c r="CW263" s="254"/>
      <c r="CX263" s="254"/>
      <c r="CY263" s="259"/>
      <c r="CZ263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63" s="259">
        <f>+IF(BD_MO[[#This Row],[FECHA]]&lt;&gt;"",BD_MO[[#This Row],[DURMIENTE2]]*6.561+BD_MO[[#This Row],[LISTONES]]*4.921+BD_MO[[#This Row],[TABLA 1"x8"x3m]]*6.561+BD_MO[[#This Row],[TABLA 2"x8"x3m]]*13.122,"")</f>
        <v>0</v>
      </c>
      <c r="DB263" s="259">
        <f>+IF(BD_MO[[#This Row],[FECHA]]&lt;&gt;"",BD_MO[[#This Row],[PIE2 MADERA ASERRADA]]*1.95,"")</f>
        <v>0</v>
      </c>
      <c r="DC263" s="259">
        <f>+IF(BD_MO[[#This Row],[FECHA]]&lt;&gt;"",BD_MO[[#This Row],[KG. MADERA REDONDA]]+BD_MO[[#This Row],[KG MADERA ASERRADA]],"")</f>
        <v>0</v>
      </c>
      <c r="DD263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63" s="254"/>
      <c r="DF263" s="254"/>
      <c r="DG263" s="254"/>
      <c r="DH263" s="254"/>
      <c r="DI263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63" s="263"/>
      <c r="DK263" s="263"/>
      <c r="DL263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63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63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63" s="264"/>
      <c r="DP263" s="263" t="str">
        <f>+IF(BD_MO[[#This Row],[M o D]]&lt;&gt;"",IF(BD_MO[[#This Row],[M o D]]="M",BD_MO[[#This Row],[ROTURA TMH]]/2.65,BD_MO[[#This Row],[ROTURA TMH]]/2.4),"")</f>
        <v/>
      </c>
      <c r="DQ263" s="263"/>
      <c r="DR263" s="116" t="str">
        <f>IF(BD_MO[[#This Row],[TIPO AVANCE]]="Avance",((BD_MO[[#This Row],[AVANCE (m)]]/BD_MO[[#This Row],[AVANCE TEÓRICO]]))," ")</f>
        <v xml:space="preserve"> </v>
      </c>
      <c r="DS263" s="49"/>
      <c r="DT263" s="49"/>
      <c r="DU263" s="49"/>
      <c r="DV263" s="49"/>
      <c r="DW263" s="49"/>
      <c r="DX263" s="49"/>
      <c r="DY263" s="49"/>
      <c r="DZ263" s="49"/>
    </row>
    <row r="264" spans="1:130" ht="18" customHeight="1" x14ac:dyDescent="0.25">
      <c r="A264" s="92">
        <v>44666</v>
      </c>
      <c r="B264" s="251" t="s">
        <v>10655</v>
      </c>
      <c r="C264" s="251" t="s">
        <v>10680</v>
      </c>
      <c r="D264" s="252" t="s">
        <v>10954</v>
      </c>
      <c r="E264" s="253" t="str">
        <f>LEFT(BD_MO[[#This Row],[LABOR]],2)</f>
        <v>MO</v>
      </c>
      <c r="F264" s="254"/>
      <c r="G264" s="254" t="s">
        <v>10669</v>
      </c>
      <c r="H264" s="25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64" s="253" t="str">
        <f>IF(BD_MO[FECHA]&lt;&gt;"",VLOOKUP(BD_MO[LABOR],TB_CECO[[LABOR]:[CECO_T]],3,FALSE),"")</f>
        <v>INCA</v>
      </c>
      <c r="J264" s="253" t="str">
        <f>IF(BD_MO[FECHA]&lt;&gt;"",VLOOKUP(BD_MO[LABOR],D_CECO!B:H,7,FALSE),"")</f>
        <v>SERVICIOS</v>
      </c>
      <c r="K264" s="253" t="str">
        <f>IF(BD_MO[FECHA]&lt;&gt;"",VLOOKUP(BD_MO[LABOR],D_CECO!B:H,4,FALSE),"")</f>
        <v>SERVICIOS</v>
      </c>
      <c r="L264" s="253"/>
      <c r="M264" s="255"/>
      <c r="N264" s="254"/>
      <c r="O264" s="256" t="s">
        <v>12117</v>
      </c>
      <c r="P264" s="256" t="s">
        <v>11907</v>
      </c>
      <c r="Q264" s="256"/>
      <c r="R264" s="257"/>
      <c r="S264" s="258" t="str">
        <f>IFERROR(VLOOKUP(BD_MO[DNI 4],#REF!,2,FALSE)," ")</f>
        <v xml:space="preserve"> </v>
      </c>
      <c r="T264" s="259">
        <f>+IF(BD_MO[[#This Row],[FECHA]]&lt;&gt;"",COUNTA(BD_MO[[#This Row],[DNI]],BD_MO[[#This Row],[DNI 2]],BD_MO[[#This Row],[DNI 3]],BD_MO[[#This Row],[DNI 4]]),"")</f>
        <v>2</v>
      </c>
      <c r="U264" s="259"/>
      <c r="V264" s="259"/>
      <c r="W264" s="259"/>
      <c r="X264" s="259">
        <v>2</v>
      </c>
      <c r="Y264" s="260">
        <f>SUM(BD_MO[[#This Row],[LIMP]:[SERV]])</f>
        <v>2</v>
      </c>
      <c r="Z264" s="254"/>
      <c r="AA264" s="254" t="str">
        <f>+IF(BD_MO[[#This Row],[N° VALE]]&lt;&gt;"",1,"")</f>
        <v/>
      </c>
      <c r="AB264" s="251"/>
      <c r="AC264" s="254"/>
      <c r="AD264" s="254" t="str">
        <f>+IF(BD_MO[[#This Row],[N° VALE]]&lt;&gt;"",BD_MO[[#This Row],[FULMINANTE N° 08]]+BD_MO[CARMEX 7''],"")</f>
        <v/>
      </c>
      <c r="AE264" s="254"/>
      <c r="AF264" s="254" t="str">
        <f>+IF(BD_MO[[#This Row],[N° VALE]]&lt;&gt;"",BD_MO[[#This Row],[N° TALADROS]]+BD_MO[[#This Row],[N° TAL. VACIOS]],"")</f>
        <v/>
      </c>
      <c r="AG264" s="261"/>
      <c r="AH264" s="261"/>
      <c r="AI264" s="261"/>
      <c r="AJ264" s="261"/>
      <c r="AK264" s="261"/>
      <c r="AL264" s="261"/>
      <c r="AM264" s="253"/>
      <c r="AN264" s="25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64" s="254" t="str">
        <f>+IF(BD_MO[[#This Row],[N° VALE]]&lt;&gt;"",IF(BD_MO[[#This Row],[FULMINANTE N° 08]]&lt;&gt;"",BD_MO[[#This Row],[FULMINANTE N° 08]],IF(BD_MO[[#This Row],[CARMEX 7'']]&lt;&gt;0,0,"")),"")</f>
        <v/>
      </c>
      <c r="AP264" s="259" t="str">
        <f>+IF(BD_MO[[#This Row],[N° VALE]]&lt;&gt;"",BD_MO[[#This Row],[N°  TOTAL TALADROS]]*BD_MO[[#This Row],[BARRA]]*0.95,"")</f>
        <v/>
      </c>
      <c r="AQ264" s="259" t="str">
        <f>+IF(BD_MO[[#This Row],[N° VALE]]&lt;&gt;"",BD_MO[[#This Row],[EMULNOR 1000 (N° CART.)]]*PE_EMUL_1000[PE],"")</f>
        <v/>
      </c>
      <c r="AR264" s="259" t="str">
        <f>+IF(BD_MO[[#This Row],[N° VALE]]&lt;&gt;"",BD_MO[[#This Row],[EMULNOR 3000 (N° CART.)]]*PE_EMUL_3000[PE],"")</f>
        <v/>
      </c>
      <c r="AS264" s="259" t="str">
        <f>+IF(BD_MO[[#This Row],[N° VALE]]&lt;&gt;"",BD_MO[[#This Row],[PULVERULENTA (N° CART.)]]*PE_PULV_65[PE],"")</f>
        <v/>
      </c>
      <c r="AT264" s="259" t="str">
        <f>+IF(BD_MO[[#This Row],[N° DISP]]&lt;&gt;"",BD_MO[[#This Row],[SEMIGELATINA (N° CART.)]]*PE_SEMIGEL_65[PE],"")</f>
        <v/>
      </c>
      <c r="AU264" s="259" t="str">
        <f>+IF(BD_MO[N° VALE]&lt;&gt;"",BD_MO[[#This Row],[KG EXPLO SEMIGEL]]+BD_MO[[#This Row],[KG EXPLO PULVE]]+BD_MO[[#This Row],[KG EXPLO EMULN 3000]]+BD_MO[[#This Row],[KG EXPLO EMULN 1000]],"")</f>
        <v/>
      </c>
      <c r="AV264" s="254"/>
      <c r="AW264" s="254"/>
      <c r="AX264" s="254" t="str">
        <f>+IF(BD_MO[[#This Row],[MINERAL (U-35)]]&lt;&gt;"",BD_MO[[#This Row],[MINERAL (U-35)]]*1.45,"-")</f>
        <v>-</v>
      </c>
      <c r="AY264" s="254" t="str">
        <f>+IF(BD_MO[[#This Row],[DESMONTE (U-35)]]&lt;&gt;"",BD_MO[[#This Row],[DESMONTE (U-35)]]*1.23,"-")</f>
        <v>-</v>
      </c>
      <c r="AZ264" s="254"/>
      <c r="BA264" s="254"/>
      <c r="BB264" s="254"/>
      <c r="BC264" s="254"/>
      <c r="BD264" s="254"/>
      <c r="BE264" s="254"/>
      <c r="BF264" s="254"/>
      <c r="BG264" s="254"/>
      <c r="BH264" s="254"/>
      <c r="BI264" s="254"/>
      <c r="BJ264" s="254"/>
      <c r="BK264" s="254"/>
      <c r="BL264" s="254"/>
      <c r="BM264" s="254"/>
      <c r="BN264" s="253"/>
      <c r="BO264" s="254"/>
      <c r="BP264" s="254"/>
      <c r="BQ264" s="253"/>
      <c r="BR264" s="254"/>
      <c r="BS264" s="253"/>
      <c r="BT264" s="259"/>
      <c r="BU264" s="254"/>
      <c r="BV264" s="254"/>
      <c r="BW264" s="254"/>
      <c r="BX264" s="254"/>
      <c r="BY264" s="254"/>
      <c r="BZ264" s="254"/>
      <c r="CA264" s="254"/>
      <c r="CB264" s="254"/>
      <c r="CC264" s="254"/>
      <c r="CD264" s="254"/>
      <c r="CE264" s="254"/>
      <c r="CF264" s="254"/>
      <c r="CG264" s="254"/>
      <c r="CH264" s="254"/>
      <c r="CI264" s="254"/>
      <c r="CJ264" s="254"/>
      <c r="CK264" s="254"/>
      <c r="CL264" s="254"/>
      <c r="CM264" s="254"/>
      <c r="CN264" s="254"/>
      <c r="CO264" s="254"/>
      <c r="CP264" s="259">
        <f>+IF(BD_MO[[#This Row],[FECHA]]&lt;&gt;"",BD_MO[[#This Row],[PUNTAL 4"]]+BD_MO[[#This Row],[PUNTAL 5"]]+BD_MO[[#This Row],[PUNTAL 6"]]+BD_MO[[#This Row],[PUNTAL 7"]]+BD_MO[[#This Row],[PUNTAL 8"]],"")</f>
        <v>0</v>
      </c>
      <c r="CQ264" s="254"/>
      <c r="CR264" s="254"/>
      <c r="CS264" s="254"/>
      <c r="CT264" s="254"/>
      <c r="CU264" s="254"/>
      <c r="CV264" s="254"/>
      <c r="CW264" s="254"/>
      <c r="CX264" s="254"/>
      <c r="CY264" s="259"/>
      <c r="CZ264" s="259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64" s="259">
        <f>+IF(BD_MO[[#This Row],[FECHA]]&lt;&gt;"",BD_MO[[#This Row],[DURMIENTE2]]*6.561+BD_MO[[#This Row],[LISTONES]]*4.921+BD_MO[[#This Row],[TABLA 1"x8"x3m]]*6.561+BD_MO[[#This Row],[TABLA 2"x8"x3m]]*13.122,"")</f>
        <v>0</v>
      </c>
      <c r="DB264" s="259">
        <f>+IF(BD_MO[[#This Row],[FECHA]]&lt;&gt;"",BD_MO[[#This Row],[PIE2 MADERA ASERRADA]]*1.95,"")</f>
        <v>0</v>
      </c>
      <c r="DC264" s="259">
        <f>+IF(BD_MO[[#This Row],[FECHA]]&lt;&gt;"",BD_MO[[#This Row],[KG. MADERA REDONDA]]+BD_MO[[#This Row],[KG MADERA ASERRADA]],"")</f>
        <v>0</v>
      </c>
      <c r="DD264" s="26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64" s="254"/>
      <c r="DF264" s="254"/>
      <c r="DG264" s="254"/>
      <c r="DH264" s="254"/>
      <c r="DI264" s="263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64" s="263"/>
      <c r="DK264" s="263"/>
      <c r="DL264" s="263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64" s="263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64" s="263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64" s="264"/>
      <c r="DP264" s="263" t="str">
        <f>+IF(BD_MO[[#This Row],[M o D]]&lt;&gt;"",IF(BD_MO[[#This Row],[M o D]]="M",BD_MO[[#This Row],[ROTURA TMH]]/2.65,BD_MO[[#This Row],[ROTURA TMH]]/2.4),"")</f>
        <v/>
      </c>
      <c r="DQ264" s="263"/>
      <c r="DR264" s="116" t="str">
        <f>IF(BD_MO[[#This Row],[TIPO AVANCE]]="Avance",((BD_MO[[#This Row],[AVANCE (m)]]/BD_MO[[#This Row],[AVANCE TEÓRICO]]))," ")</f>
        <v xml:space="preserve"> </v>
      </c>
      <c r="DS264" s="49"/>
      <c r="DT264" s="49"/>
      <c r="DU264" s="49"/>
      <c r="DV264" s="49"/>
      <c r="DW264" s="49"/>
      <c r="DX264" s="49"/>
      <c r="DY264" s="49"/>
      <c r="DZ264" s="49"/>
    </row>
    <row r="265" spans="1:130" s="112" customFormat="1" ht="18" customHeight="1" thickBot="1" x14ac:dyDescent="0.3">
      <c r="A265" s="109">
        <v>44666</v>
      </c>
      <c r="B265" s="301" t="s">
        <v>10655</v>
      </c>
      <c r="C265" s="301" t="s">
        <v>10680</v>
      </c>
      <c r="D265" s="302" t="s">
        <v>10717</v>
      </c>
      <c r="E265" s="303" t="str">
        <f>LEFT(BD_MO[[#This Row],[LABOR]],2)</f>
        <v>BO</v>
      </c>
      <c r="F265" s="304"/>
      <c r="G265" s="304" t="s">
        <v>10669</v>
      </c>
      <c r="H265" s="30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65" s="303" t="str">
        <f>IF(BD_MO[FECHA]&lt;&gt;"",VLOOKUP(BD_MO[LABOR],TB_CECO[[LABOR]:[CECO_T]],3,FALSE),"")</f>
        <v>CACHORRO</v>
      </c>
      <c r="J265" s="303" t="str">
        <f>IF(BD_MO[FECHA]&lt;&gt;"",VLOOKUP(BD_MO[LABOR],D_CECO!B:H,7,FALSE),"")</f>
        <v>SERVICIOS</v>
      </c>
      <c r="K265" s="303" t="str">
        <f>IF(BD_MO[FECHA]&lt;&gt;"",VLOOKUP(BD_MO[LABOR],D_CECO!B:H,4,FALSE),"")</f>
        <v>SERVICIOS</v>
      </c>
      <c r="L265" s="303"/>
      <c r="M265" s="301"/>
      <c r="N265" s="304"/>
      <c r="O265" s="305" t="s">
        <v>11909</v>
      </c>
      <c r="P265" s="305"/>
      <c r="Q265" s="305"/>
      <c r="R265" s="306"/>
      <c r="S265" s="307" t="str">
        <f>IFERROR(VLOOKUP(BD_MO[DNI 4],#REF!,2,FALSE)," ")</f>
        <v xml:space="preserve"> </v>
      </c>
      <c r="T265" s="308">
        <f>+IF(BD_MO[[#This Row],[FECHA]]&lt;&gt;"",COUNTA(BD_MO[[#This Row],[DNI]],BD_MO[[#This Row],[DNI 2]],BD_MO[[#This Row],[DNI 3]],BD_MO[[#This Row],[DNI 4]]),"")</f>
        <v>1</v>
      </c>
      <c r="U265" s="308"/>
      <c r="V265" s="308"/>
      <c r="W265" s="308"/>
      <c r="X265" s="308">
        <v>1</v>
      </c>
      <c r="Y265" s="309">
        <f>SUM(BD_MO[[#This Row],[LIMP]:[SERV]])</f>
        <v>1</v>
      </c>
      <c r="Z265" s="304"/>
      <c r="AA265" s="304" t="str">
        <f>+IF(BD_MO[[#This Row],[N° VALE]]&lt;&gt;"",1,"")</f>
        <v/>
      </c>
      <c r="AB265" s="301"/>
      <c r="AC265" s="304"/>
      <c r="AD265" s="304" t="str">
        <f>+IF(BD_MO[[#This Row],[N° VALE]]&lt;&gt;"",BD_MO[[#This Row],[FULMINANTE N° 08]]+BD_MO[CARMEX 7''],"")</f>
        <v/>
      </c>
      <c r="AE265" s="304"/>
      <c r="AF265" s="304" t="str">
        <f>+IF(BD_MO[[#This Row],[N° VALE]]&lt;&gt;"",BD_MO[[#This Row],[N° TALADROS]]+BD_MO[[#This Row],[N° TAL. VACIOS]],"")</f>
        <v/>
      </c>
      <c r="AG265" s="310"/>
      <c r="AH265" s="310"/>
      <c r="AI265" s="310"/>
      <c r="AJ265" s="310"/>
      <c r="AK265" s="310"/>
      <c r="AL265" s="310"/>
      <c r="AM265" s="303"/>
      <c r="AN265" s="304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65" s="304" t="str">
        <f>+IF(BD_MO[[#This Row],[N° VALE]]&lt;&gt;"",IF(BD_MO[[#This Row],[FULMINANTE N° 08]]&lt;&gt;"",BD_MO[[#This Row],[FULMINANTE N° 08]],IF(BD_MO[[#This Row],[CARMEX 7'']]&lt;&gt;0,0,"")),"")</f>
        <v/>
      </c>
      <c r="AP265" s="308" t="str">
        <f>+IF(BD_MO[[#This Row],[N° VALE]]&lt;&gt;"",BD_MO[[#This Row],[N°  TOTAL TALADROS]]*BD_MO[[#This Row],[BARRA]]*0.95,"")</f>
        <v/>
      </c>
      <c r="AQ265" s="308" t="str">
        <f>+IF(BD_MO[[#This Row],[N° VALE]]&lt;&gt;"",BD_MO[[#This Row],[EMULNOR 1000 (N° CART.)]]*PE_EMUL_1000[PE],"")</f>
        <v/>
      </c>
      <c r="AR265" s="308" t="str">
        <f>+IF(BD_MO[[#This Row],[N° VALE]]&lt;&gt;"",BD_MO[[#This Row],[EMULNOR 3000 (N° CART.)]]*PE_EMUL_3000[PE],"")</f>
        <v/>
      </c>
      <c r="AS265" s="308" t="str">
        <f>+IF(BD_MO[[#This Row],[N° VALE]]&lt;&gt;"",BD_MO[[#This Row],[PULVERULENTA (N° CART.)]]*PE_PULV_65[PE],"")</f>
        <v/>
      </c>
      <c r="AT265" s="308" t="str">
        <f>+IF(BD_MO[[#This Row],[N° DISP]]&lt;&gt;"",BD_MO[[#This Row],[SEMIGELATINA (N° CART.)]]*PE_SEMIGEL_65[PE],"")</f>
        <v/>
      </c>
      <c r="AU265" s="308" t="str">
        <f>+IF(BD_MO[N° VALE]&lt;&gt;"",BD_MO[[#This Row],[KG EXPLO SEMIGEL]]+BD_MO[[#This Row],[KG EXPLO PULVE]]+BD_MO[[#This Row],[KG EXPLO EMULN 3000]]+BD_MO[[#This Row],[KG EXPLO EMULN 1000]],"")</f>
        <v/>
      </c>
      <c r="AV265" s="304"/>
      <c r="AW265" s="304"/>
      <c r="AX265" s="304" t="str">
        <f>+IF(BD_MO[[#This Row],[MINERAL (U-35)]]&lt;&gt;"",BD_MO[[#This Row],[MINERAL (U-35)]]*1.45,"-")</f>
        <v>-</v>
      </c>
      <c r="AY265" s="304" t="str">
        <f>+IF(BD_MO[[#This Row],[DESMONTE (U-35)]]&lt;&gt;"",BD_MO[[#This Row],[DESMONTE (U-35)]]*1.23,"-")</f>
        <v>-</v>
      </c>
      <c r="AZ265" s="304"/>
      <c r="BA265" s="304"/>
      <c r="BB265" s="304"/>
      <c r="BC265" s="304"/>
      <c r="BD265" s="304"/>
      <c r="BE265" s="304"/>
      <c r="BF265" s="304"/>
      <c r="BG265" s="304"/>
      <c r="BH265" s="304"/>
      <c r="BI265" s="304"/>
      <c r="BJ265" s="304"/>
      <c r="BK265" s="304"/>
      <c r="BL265" s="304"/>
      <c r="BM265" s="304"/>
      <c r="BN265" s="303"/>
      <c r="BO265" s="304"/>
      <c r="BP265" s="304"/>
      <c r="BQ265" s="303"/>
      <c r="BR265" s="304"/>
      <c r="BS265" s="303"/>
      <c r="BT265" s="308"/>
      <c r="BU265" s="304"/>
      <c r="BV265" s="304"/>
      <c r="BW265" s="304"/>
      <c r="BX265" s="304"/>
      <c r="BY265" s="304"/>
      <c r="BZ265" s="304"/>
      <c r="CA265" s="304"/>
      <c r="CB265" s="304"/>
      <c r="CC265" s="304"/>
      <c r="CD265" s="304"/>
      <c r="CE265" s="304"/>
      <c r="CF265" s="304"/>
      <c r="CG265" s="304"/>
      <c r="CH265" s="304"/>
      <c r="CI265" s="304"/>
      <c r="CJ265" s="304"/>
      <c r="CK265" s="304"/>
      <c r="CL265" s="304"/>
      <c r="CM265" s="304"/>
      <c r="CN265" s="304"/>
      <c r="CO265" s="304"/>
      <c r="CP265" s="308">
        <f>+IF(BD_MO[[#This Row],[FECHA]]&lt;&gt;"",BD_MO[[#This Row],[PUNTAL 4"]]+BD_MO[[#This Row],[PUNTAL 5"]]+BD_MO[[#This Row],[PUNTAL 6"]]+BD_MO[[#This Row],[PUNTAL 7"]]+BD_MO[[#This Row],[PUNTAL 8"]],"")</f>
        <v>0</v>
      </c>
      <c r="CQ265" s="304"/>
      <c r="CR265" s="304"/>
      <c r="CS265" s="304"/>
      <c r="CT265" s="304"/>
      <c r="CU265" s="304"/>
      <c r="CV265" s="304"/>
      <c r="CW265" s="304"/>
      <c r="CX265" s="304"/>
      <c r="CY265" s="308"/>
      <c r="CZ265" s="30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65" s="308">
        <f>+IF(BD_MO[[#This Row],[FECHA]]&lt;&gt;"",BD_MO[[#This Row],[DURMIENTE2]]*6.561+BD_MO[[#This Row],[LISTONES]]*4.921+BD_MO[[#This Row],[TABLA 1"x8"x3m]]*6.561+BD_MO[[#This Row],[TABLA 2"x8"x3m]]*13.122,"")</f>
        <v>0</v>
      </c>
      <c r="DB265" s="308">
        <f>+IF(BD_MO[[#This Row],[FECHA]]&lt;&gt;"",BD_MO[[#This Row],[PIE2 MADERA ASERRADA]]*1.95,"")</f>
        <v>0</v>
      </c>
      <c r="DC265" s="308">
        <f>+IF(BD_MO[[#This Row],[FECHA]]&lt;&gt;"",BD_MO[[#This Row],[KG. MADERA REDONDA]]+BD_MO[[#This Row],[KG MADERA ASERRADA]],"")</f>
        <v>0</v>
      </c>
      <c r="DD265" s="31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65" s="304"/>
      <c r="DF265" s="304"/>
      <c r="DG265" s="304"/>
      <c r="DH265" s="304"/>
      <c r="DI265" s="31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65" s="312"/>
      <c r="DK265" s="312"/>
      <c r="DL265" s="31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65" s="31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65" s="31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65" s="313"/>
      <c r="DP265" s="312" t="str">
        <f>+IF(BD_MO[[#This Row],[M o D]]&lt;&gt;"",IF(BD_MO[[#This Row],[M o D]]="M",BD_MO[[#This Row],[ROTURA TMH]]/2.65,BD_MO[[#This Row],[ROTURA TMH]]/2.4),"")</f>
        <v/>
      </c>
      <c r="DQ265" s="312"/>
      <c r="DR265" s="116" t="str">
        <f>IF(BD_MO[[#This Row],[TIPO AVANCE]]="Avance",((BD_MO[[#This Row],[AVANCE (m)]]/BD_MO[[#This Row],[AVANCE TEÓRICO]]))," ")</f>
        <v xml:space="preserve"> </v>
      </c>
    </row>
    <row r="266" spans="1:130" ht="18" customHeight="1" x14ac:dyDescent="0.25">
      <c r="A266" s="286">
        <v>44667</v>
      </c>
      <c r="B266" s="287" t="s">
        <v>10647</v>
      </c>
      <c r="C266" s="287" t="s">
        <v>10672</v>
      </c>
      <c r="D266" s="288" t="s">
        <v>11595</v>
      </c>
      <c r="E266" s="289" t="str">
        <f>LEFT(BD_MO[[#This Row],[LABOR]],2)</f>
        <v>Tj</v>
      </c>
      <c r="F266" s="290"/>
      <c r="G266" s="290" t="s">
        <v>10662</v>
      </c>
      <c r="H266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266" s="289" t="str">
        <f>IF(BD_MO[FECHA]&lt;&gt;"",VLOOKUP(BD_MO[LABOR],TB_CECO[[LABOR]:[CECO_T]],3,FALSE),"")</f>
        <v>ESCONDIDA</v>
      </c>
      <c r="J266" s="289" t="str">
        <f>IF(BD_MO[FECHA]&lt;&gt;"",VLOOKUP(BD_MO[LABOR],D_CECO!B:H,7,FALSE),"")</f>
        <v>TAJO</v>
      </c>
      <c r="K266" s="289" t="str">
        <f>IF(BD_MO[FECHA]&lt;&gt;"",VLOOKUP(BD_MO[LABOR],D_CECO!B:H,4,FALSE),"")</f>
        <v>EXPLOTACION</v>
      </c>
      <c r="L266" s="289"/>
      <c r="M266" s="291"/>
      <c r="N266" s="290"/>
      <c r="O266" s="292" t="s">
        <v>12196</v>
      </c>
      <c r="P266" s="292" t="s">
        <v>12207</v>
      </c>
      <c r="Q266" s="292"/>
      <c r="R266" s="293"/>
      <c r="S266" s="294" t="str">
        <f>IFERROR(VLOOKUP(BD_MO[DNI 4],#REF!,2,FALSE)," ")</f>
        <v xml:space="preserve"> </v>
      </c>
      <c r="T266" s="295">
        <f>+IF(BD_MO[[#This Row],[FECHA]]&lt;&gt;"",COUNTA(BD_MO[[#This Row],[DNI]],BD_MO[[#This Row],[DNI 2]],BD_MO[[#This Row],[DNI 3]],BD_MO[[#This Row],[DNI 4]]),"")</f>
        <v>2</v>
      </c>
      <c r="U266" s="295">
        <v>0.86</v>
      </c>
      <c r="V266" s="295"/>
      <c r="W266" s="295">
        <v>0.76</v>
      </c>
      <c r="X266" s="295">
        <v>0.38</v>
      </c>
      <c r="Y266" s="296">
        <f>SUM(BD_MO[[#This Row],[LIMP]:[SERV]])</f>
        <v>2</v>
      </c>
      <c r="Z266" s="290"/>
      <c r="AA266" s="290" t="str">
        <f>+IF(BD_MO[[#This Row],[N° VALE]]&lt;&gt;"",1,"")</f>
        <v/>
      </c>
      <c r="AB266" s="287"/>
      <c r="AC266" s="290"/>
      <c r="AD266" s="290" t="str">
        <f>+IF(BD_MO[[#This Row],[N° VALE]]&lt;&gt;"",BD_MO[[#This Row],[FULMINANTE N° 08]]+BD_MO[CARMEX 7''],"")</f>
        <v/>
      </c>
      <c r="AE266" s="290"/>
      <c r="AF266" s="290" t="str">
        <f>+IF(BD_MO[[#This Row],[N° VALE]]&lt;&gt;"",BD_MO[[#This Row],[N° TALADROS]]+BD_MO[[#This Row],[N° TAL. VACIOS]],"")</f>
        <v/>
      </c>
      <c r="AG266" s="297"/>
      <c r="AH266" s="297"/>
      <c r="AI266" s="297"/>
      <c r="AJ266" s="297"/>
      <c r="AK266" s="297"/>
      <c r="AL266" s="297"/>
      <c r="AM266" s="289"/>
      <c r="AN266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66" s="290" t="str">
        <f>+IF(BD_MO[[#This Row],[N° VALE]]&lt;&gt;"",IF(BD_MO[[#This Row],[FULMINANTE N° 08]]&lt;&gt;"",BD_MO[[#This Row],[FULMINANTE N° 08]],IF(BD_MO[[#This Row],[CARMEX 7'']]&lt;&gt;0,0,"")),"")</f>
        <v/>
      </c>
      <c r="AP266" s="295" t="str">
        <f>+IF(BD_MO[[#This Row],[N° VALE]]&lt;&gt;"",BD_MO[[#This Row],[N°  TOTAL TALADROS]]*BD_MO[[#This Row],[BARRA]]*0.95,"")</f>
        <v/>
      </c>
      <c r="AQ266" s="295" t="str">
        <f>+IF(BD_MO[[#This Row],[N° VALE]]&lt;&gt;"",BD_MO[[#This Row],[EMULNOR 1000 (N° CART.)]]*PE_EMUL_1000[PE],"")</f>
        <v/>
      </c>
      <c r="AR266" s="295" t="str">
        <f>+IF(BD_MO[[#This Row],[N° VALE]]&lt;&gt;"",BD_MO[[#This Row],[EMULNOR 3000 (N° CART.)]]*PE_EMUL_3000[PE],"")</f>
        <v/>
      </c>
      <c r="AS266" s="295" t="str">
        <f>+IF(BD_MO[[#This Row],[N° VALE]]&lt;&gt;"",BD_MO[[#This Row],[PULVERULENTA (N° CART.)]]*PE_PULV_65[PE],"")</f>
        <v/>
      </c>
      <c r="AT266" s="295" t="str">
        <f>+IF(BD_MO[[#This Row],[N° DISP]]&lt;&gt;"",BD_MO[[#This Row],[SEMIGELATINA (N° CART.)]]*PE_SEMIGEL_65[PE],"")</f>
        <v/>
      </c>
      <c r="AU266" s="295" t="str">
        <f>+IF(BD_MO[N° VALE]&lt;&gt;"",BD_MO[[#This Row],[KG EXPLO SEMIGEL]]+BD_MO[[#This Row],[KG EXPLO PULVE]]+BD_MO[[#This Row],[KG EXPLO EMULN 3000]]+BD_MO[[#This Row],[KG EXPLO EMULN 1000]],"")</f>
        <v/>
      </c>
      <c r="AV266" s="290">
        <v>10</v>
      </c>
      <c r="AW266" s="290"/>
      <c r="AX266" s="290">
        <f>+IF(BD_MO[[#This Row],[MINERAL (U-35)]]&lt;&gt;"",BD_MO[[#This Row],[MINERAL (U-35)]]*1.45,"-")</f>
        <v>14.5</v>
      </c>
      <c r="AY266" s="290" t="str">
        <f>+IF(BD_MO[[#This Row],[DESMONTE (U-35)]]&lt;&gt;"",BD_MO[[#This Row],[DESMONTE (U-35)]]*1.23,"-")</f>
        <v>-</v>
      </c>
      <c r="AZ266" s="290"/>
      <c r="BA266" s="290"/>
      <c r="BB266" s="290"/>
      <c r="BC266" s="290"/>
      <c r="BD266" s="290"/>
      <c r="BE266" s="290"/>
      <c r="BF266" s="290"/>
      <c r="BG266" s="290"/>
      <c r="BH266" s="290"/>
      <c r="BI266" s="290">
        <v>2</v>
      </c>
      <c r="BJ266" s="290"/>
      <c r="BK266" s="290"/>
      <c r="BL266" s="290"/>
      <c r="BM266" s="290"/>
      <c r="BN266" s="289">
        <v>2.4</v>
      </c>
      <c r="BO266" s="290"/>
      <c r="BP266" s="290"/>
      <c r="BQ266" s="289"/>
      <c r="BR266" s="290"/>
      <c r="BS266" s="289"/>
      <c r="BT266" s="295"/>
      <c r="BU266" s="290"/>
      <c r="BV266" s="290"/>
      <c r="BW266" s="290"/>
      <c r="BX266" s="290"/>
      <c r="BY266" s="290"/>
      <c r="BZ266" s="290"/>
      <c r="CA266" s="290"/>
      <c r="CB266" s="290"/>
      <c r="CC266" s="290"/>
      <c r="CD266" s="290"/>
      <c r="CE266" s="290"/>
      <c r="CF266" s="290"/>
      <c r="CG266" s="290"/>
      <c r="CH266" s="290"/>
      <c r="CI266" s="290"/>
      <c r="CJ266" s="290"/>
      <c r="CK266" s="290"/>
      <c r="CL266" s="290"/>
      <c r="CM266" s="290"/>
      <c r="CN266" s="290">
        <v>1</v>
      </c>
      <c r="CO266" s="290"/>
      <c r="CP266" s="295">
        <f>+IF(BD_MO[[#This Row],[FECHA]]&lt;&gt;"",BD_MO[[#This Row],[PUNTAL 4"]]+BD_MO[[#This Row],[PUNTAL 5"]]+BD_MO[[#This Row],[PUNTAL 6"]]+BD_MO[[#This Row],[PUNTAL 7"]]+BD_MO[[#This Row],[PUNTAL 8"]],"")</f>
        <v>1</v>
      </c>
      <c r="CQ266" s="290"/>
      <c r="CR266" s="290"/>
      <c r="CS266" s="290">
        <v>45</v>
      </c>
      <c r="CT266" s="290"/>
      <c r="CU266" s="290"/>
      <c r="CV266" s="290"/>
      <c r="CW266" s="290"/>
      <c r="CX266" s="290"/>
      <c r="CY266" s="295"/>
      <c r="CZ266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1168.079</v>
      </c>
      <c r="DA266" s="295">
        <f>+IF(BD_MO[[#This Row],[FECHA]]&lt;&gt;"",BD_MO[[#This Row],[DURMIENTE2]]*6.561+BD_MO[[#This Row],[LISTONES]]*4.921+BD_MO[[#This Row],[TABLA 1"x8"x3m]]*6.561+BD_MO[[#This Row],[TABLA 2"x8"x3m]]*13.122,"")</f>
        <v>0</v>
      </c>
      <c r="DB266" s="295">
        <f>+IF(BD_MO[[#This Row],[FECHA]]&lt;&gt;"",BD_MO[[#This Row],[PIE2 MADERA ASERRADA]]*1.95,"")</f>
        <v>0</v>
      </c>
      <c r="DC266" s="295">
        <f>+IF(BD_MO[[#This Row],[FECHA]]&lt;&gt;"",BD_MO[[#This Row],[KG. MADERA REDONDA]]+BD_MO[[#This Row],[KG MADERA ASERRADA]],"")</f>
        <v>1168.079</v>
      </c>
      <c r="DD266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570.84999999999991</v>
      </c>
      <c r="DE266" s="290"/>
      <c r="DF266" s="290"/>
      <c r="DG266" s="290"/>
      <c r="DH266" s="290"/>
      <c r="DI266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66" s="299"/>
      <c r="DK266" s="299"/>
      <c r="DL266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66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66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66" s="300"/>
      <c r="DP266" s="299" t="str">
        <f>+IF(BD_MO[[#This Row],[M o D]]&lt;&gt;"",IF(BD_MO[[#This Row],[M o D]]="M",BD_MO[[#This Row],[ROTURA TMH]]/2.65,BD_MO[[#This Row],[ROTURA TMH]]/2.4),"")</f>
        <v/>
      </c>
      <c r="DQ266" s="299"/>
      <c r="DR266" s="116" t="str">
        <f>IF(BD_MO[[#This Row],[TIPO AVANCE]]="Avance",((BD_MO[[#This Row],[AVANCE (m)]]/BD_MO[[#This Row],[AVANCE TEÓRICO]]))," ")</f>
        <v xml:space="preserve"> </v>
      </c>
      <c r="DS266" s="49"/>
      <c r="DT266" s="49"/>
      <c r="DU266" s="49"/>
      <c r="DV266" s="49"/>
      <c r="DW266" s="49"/>
      <c r="DX266" s="49"/>
      <c r="DY266" s="49"/>
      <c r="DZ266" s="49"/>
    </row>
    <row r="267" spans="1:130" ht="18" customHeight="1" x14ac:dyDescent="0.25">
      <c r="A267" s="286">
        <v>44667</v>
      </c>
      <c r="B267" s="287" t="s">
        <v>10647</v>
      </c>
      <c r="C267" s="287" t="s">
        <v>10672</v>
      </c>
      <c r="D267" s="61" t="s">
        <v>11827</v>
      </c>
      <c r="E267" s="289" t="s">
        <v>12285</v>
      </c>
      <c r="F267" s="290"/>
      <c r="G267" s="290" t="s">
        <v>10656</v>
      </c>
      <c r="H267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267" s="289" t="str">
        <f>IF(BD_MO[FECHA]&lt;&gt;"",VLOOKUP(BD_MO[LABOR],TB_CECO[[LABOR]:[CECO_T]],3,FALSE),"")</f>
        <v>VANESSA</v>
      </c>
      <c r="J267" s="289" t="str">
        <f>IF(BD_MO[FECHA]&lt;&gt;"",VLOOKUP(BD_MO[LABOR],D_CECO!B:H,7,FALSE),"")</f>
        <v>TAJO</v>
      </c>
      <c r="K267" s="289" t="str">
        <f>IF(BD_MO[FECHA]&lt;&gt;"",VLOOKUP(BD_MO[LABOR],D_CECO!B:H,4,FALSE),"")</f>
        <v>EXPLOTACION</v>
      </c>
      <c r="L267" s="289"/>
      <c r="M267" s="291"/>
      <c r="N267" s="290"/>
      <c r="O267" s="292" t="s">
        <v>12286</v>
      </c>
      <c r="P267" s="292" t="s">
        <v>12287</v>
      </c>
      <c r="Q267" s="292"/>
      <c r="R267" s="293"/>
      <c r="S267" s="294" t="str">
        <f>IFERROR(VLOOKUP(BD_MO[DNI 4],#REF!,2,FALSE)," ")</f>
        <v xml:space="preserve"> </v>
      </c>
      <c r="T267" s="295">
        <f>+IF(BD_MO[[#This Row],[FECHA]]&lt;&gt;"",COUNTA(BD_MO[[#This Row],[DNI]],BD_MO[[#This Row],[DNI 2]],BD_MO[[#This Row],[DNI 3]],BD_MO[[#This Row],[DNI 4]]),"")</f>
        <v>2</v>
      </c>
      <c r="U267" s="295">
        <v>1.04</v>
      </c>
      <c r="V267" s="295"/>
      <c r="W267" s="295"/>
      <c r="X267" s="295">
        <v>0.96</v>
      </c>
      <c r="Y267" s="296">
        <f>SUM(BD_MO[[#This Row],[LIMP]:[SERV]])</f>
        <v>2</v>
      </c>
      <c r="Z267" s="290"/>
      <c r="AA267" s="290" t="str">
        <f>+IF(BD_MO[[#This Row],[N° VALE]]&lt;&gt;"",1,"")</f>
        <v/>
      </c>
      <c r="AB267" s="287"/>
      <c r="AC267" s="290"/>
      <c r="AD267" s="290" t="str">
        <f>+IF(BD_MO[[#This Row],[N° VALE]]&lt;&gt;"",BD_MO[[#This Row],[FULMINANTE N° 08]]+BD_MO[CARMEX 7''],"")</f>
        <v/>
      </c>
      <c r="AE267" s="290"/>
      <c r="AF267" s="290" t="str">
        <f>+IF(BD_MO[[#This Row],[N° VALE]]&lt;&gt;"",BD_MO[[#This Row],[N° TALADROS]]+BD_MO[[#This Row],[N° TAL. VACIOS]],"")</f>
        <v/>
      </c>
      <c r="AG267" s="297"/>
      <c r="AH267" s="297"/>
      <c r="AI267" s="297"/>
      <c r="AJ267" s="297"/>
      <c r="AK267" s="297"/>
      <c r="AL267" s="297"/>
      <c r="AM267" s="289"/>
      <c r="AN267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67" s="290" t="str">
        <f>+IF(BD_MO[[#This Row],[N° VALE]]&lt;&gt;"",IF(BD_MO[[#This Row],[FULMINANTE N° 08]]&lt;&gt;"",BD_MO[[#This Row],[FULMINANTE N° 08]],IF(BD_MO[[#This Row],[CARMEX 7'']]&lt;&gt;0,0,"")),"")</f>
        <v/>
      </c>
      <c r="AP267" s="295" t="str">
        <f>+IF(BD_MO[[#This Row],[N° VALE]]&lt;&gt;"",BD_MO[[#This Row],[N°  TOTAL TALADROS]]*BD_MO[[#This Row],[BARRA]]*0.95,"")</f>
        <v/>
      </c>
      <c r="AQ267" s="295" t="str">
        <f>+IF(BD_MO[[#This Row],[N° VALE]]&lt;&gt;"",BD_MO[[#This Row],[EMULNOR 1000 (N° CART.)]]*PE_EMUL_1000[PE],"")</f>
        <v/>
      </c>
      <c r="AR267" s="295" t="str">
        <f>+IF(BD_MO[[#This Row],[N° VALE]]&lt;&gt;"",BD_MO[[#This Row],[EMULNOR 3000 (N° CART.)]]*PE_EMUL_3000[PE],"")</f>
        <v/>
      </c>
      <c r="AS267" s="295" t="str">
        <f>+IF(BD_MO[[#This Row],[N° VALE]]&lt;&gt;"",BD_MO[[#This Row],[PULVERULENTA (N° CART.)]]*PE_PULV_65[PE],"")</f>
        <v/>
      </c>
      <c r="AT267" s="295" t="str">
        <f>+IF(BD_MO[[#This Row],[N° DISP]]&lt;&gt;"",BD_MO[[#This Row],[SEMIGELATINA (N° CART.)]]*PE_SEMIGEL_65[PE],"")</f>
        <v/>
      </c>
      <c r="AU267" s="295" t="str">
        <f>+IF(BD_MO[N° VALE]&lt;&gt;"",BD_MO[[#This Row],[KG EXPLO SEMIGEL]]+BD_MO[[#This Row],[KG EXPLO PULVE]]+BD_MO[[#This Row],[KG EXPLO EMULN 3000]]+BD_MO[[#This Row],[KG EXPLO EMULN 1000]],"")</f>
        <v/>
      </c>
      <c r="AV267" s="290"/>
      <c r="AW267" s="290"/>
      <c r="AX267" s="290" t="str">
        <f>+IF(BD_MO[[#This Row],[MINERAL (U-35)]]&lt;&gt;"",BD_MO[[#This Row],[MINERAL (U-35)]]*1.45,"-")</f>
        <v>-</v>
      </c>
      <c r="AY267" s="290" t="str">
        <f>+IF(BD_MO[[#This Row],[DESMONTE (U-35)]]&lt;&gt;"",BD_MO[[#This Row],[DESMONTE (U-35)]]*1.23,"-")</f>
        <v>-</v>
      </c>
      <c r="AZ267" s="290"/>
      <c r="BA267" s="290"/>
      <c r="BB267" s="290"/>
      <c r="BC267" s="290"/>
      <c r="BD267" s="290"/>
      <c r="BE267" s="290"/>
      <c r="BF267" s="290"/>
      <c r="BG267" s="290"/>
      <c r="BH267" s="290"/>
      <c r="BI267" s="290"/>
      <c r="BJ267" s="290"/>
      <c r="BK267" s="290"/>
      <c r="BL267" s="290"/>
      <c r="BM267" s="290"/>
      <c r="BN267" s="289"/>
      <c r="BO267" s="290"/>
      <c r="BP267" s="290"/>
      <c r="BQ267" s="289"/>
      <c r="BR267" s="290"/>
      <c r="BS267" s="289"/>
      <c r="BT267" s="295"/>
      <c r="BU267" s="290"/>
      <c r="BV267" s="290"/>
      <c r="BW267" s="290"/>
      <c r="BX267" s="290"/>
      <c r="BY267" s="290"/>
      <c r="BZ267" s="290"/>
      <c r="CA267" s="290"/>
      <c r="CB267" s="290"/>
      <c r="CC267" s="290"/>
      <c r="CD267" s="290"/>
      <c r="CE267" s="290"/>
      <c r="CF267" s="290"/>
      <c r="CG267" s="290"/>
      <c r="CH267" s="290"/>
      <c r="CI267" s="290"/>
      <c r="CJ267" s="290"/>
      <c r="CK267" s="290"/>
      <c r="CL267" s="290"/>
      <c r="CM267" s="290">
        <v>20</v>
      </c>
      <c r="CN267" s="290"/>
      <c r="CO267" s="290"/>
      <c r="CP267" s="295">
        <f>+IF(BD_MO[[#This Row],[FECHA]]&lt;&gt;"",BD_MO[[#This Row],[PUNTAL 4"]]+BD_MO[[#This Row],[PUNTAL 5"]]+BD_MO[[#This Row],[PUNTAL 6"]]+BD_MO[[#This Row],[PUNTAL 7"]]+BD_MO[[#This Row],[PUNTAL 8"]],"")</f>
        <v>20</v>
      </c>
      <c r="CQ267" s="290"/>
      <c r="CR267" s="290"/>
      <c r="CS267" s="290"/>
      <c r="CT267" s="290"/>
      <c r="CU267" s="290"/>
      <c r="CV267" s="290"/>
      <c r="CW267" s="290"/>
      <c r="CX267" s="290"/>
      <c r="CY267" s="295"/>
      <c r="CZ267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897.48</v>
      </c>
      <c r="DA267" s="295">
        <f>+IF(BD_MO[[#This Row],[FECHA]]&lt;&gt;"",BD_MO[[#This Row],[DURMIENTE2]]*6.561+BD_MO[[#This Row],[LISTONES]]*4.921+BD_MO[[#This Row],[TABLA 1"x8"x3m]]*6.561+BD_MO[[#This Row],[TABLA 2"x8"x3m]]*13.122,"")</f>
        <v>0</v>
      </c>
      <c r="DB267" s="295">
        <f>+IF(BD_MO[[#This Row],[FECHA]]&lt;&gt;"",BD_MO[[#This Row],[PIE2 MADERA ASERRADA]]*1.95,"")</f>
        <v>0</v>
      </c>
      <c r="DC267" s="295">
        <f>+IF(BD_MO[[#This Row],[FECHA]]&lt;&gt;"",BD_MO[[#This Row],[KG. MADERA REDONDA]]+BD_MO[[#This Row],[KG MADERA ASERRADA]],"")</f>
        <v>897.48</v>
      </c>
      <c r="DD267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356</v>
      </c>
      <c r="DE267" s="290"/>
      <c r="DF267" s="290"/>
      <c r="DG267" s="290"/>
      <c r="DH267" s="290"/>
      <c r="DI267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67" s="299"/>
      <c r="DK267" s="299"/>
      <c r="DL267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67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67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67" s="300"/>
      <c r="DP267" s="299" t="str">
        <f>+IF(BD_MO[[#This Row],[M o D]]&lt;&gt;"",IF(BD_MO[[#This Row],[M o D]]="M",BD_MO[[#This Row],[ROTURA TMH]]/2.65,BD_MO[[#This Row],[ROTURA TMH]]/2.4),"")</f>
        <v/>
      </c>
      <c r="DQ267" s="299"/>
      <c r="DR267" s="116" t="str">
        <f>IF(BD_MO[[#This Row],[TIPO AVANCE]]="Avance",((BD_MO[[#This Row],[AVANCE (m)]]/BD_MO[[#This Row],[AVANCE TEÓRICO]]))," ")</f>
        <v xml:space="preserve"> </v>
      </c>
      <c r="DS267" s="49"/>
      <c r="DT267" s="49"/>
      <c r="DU267" s="49"/>
      <c r="DV267" s="49"/>
      <c r="DW267" s="49"/>
      <c r="DX267" s="49"/>
      <c r="DY267" s="49"/>
      <c r="DZ267" s="49"/>
    </row>
    <row r="268" spans="1:130" ht="18" customHeight="1" x14ac:dyDescent="0.25">
      <c r="A268" s="286">
        <v>44667</v>
      </c>
      <c r="B268" s="287" t="s">
        <v>10647</v>
      </c>
      <c r="C268" s="287" t="s">
        <v>10672</v>
      </c>
      <c r="D268" s="61" t="s">
        <v>12149</v>
      </c>
      <c r="E268" s="289" t="str">
        <f>LEFT(BD_MO[[#This Row],[LABOR]],2)</f>
        <v>Es</v>
      </c>
      <c r="F268" s="46" t="s">
        <v>10950</v>
      </c>
      <c r="G268" s="290" t="s">
        <v>10648</v>
      </c>
      <c r="H268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68" s="289" t="str">
        <f>IF(BD_MO[FECHA]&lt;&gt;"",VLOOKUP(BD_MO[LABOR],TB_CECO[[LABOR]:[CECO_T]],3,FALSE),"")</f>
        <v>VANESSA</v>
      </c>
      <c r="J268" s="289" t="str">
        <f>IF(BD_MO[FECHA]&lt;&gt;"",VLOOKUP(BD_MO[LABOR],D_CECO!B:H,7,FALSE),"")</f>
        <v>LINEAL</v>
      </c>
      <c r="K268" s="289" t="str">
        <f>IF(BD_MO[FECHA]&lt;&gt;"",VLOOKUP(BD_MO[LABOR],D_CECO!B:H,4,FALSE),"")</f>
        <v>EXPLORACION</v>
      </c>
      <c r="L268" s="289"/>
      <c r="M268" s="291" t="s">
        <v>10646</v>
      </c>
      <c r="N268" s="290"/>
      <c r="O268" s="292" t="s">
        <v>12233</v>
      </c>
      <c r="P268" s="292"/>
      <c r="Q268" s="292"/>
      <c r="R268" s="293"/>
      <c r="S268" s="294" t="str">
        <f>IFERROR(VLOOKUP(BD_MO[DNI 4],#REF!,2,FALSE)," ")</f>
        <v xml:space="preserve"> </v>
      </c>
      <c r="T268" s="295">
        <f>+IF(BD_MO[[#This Row],[FECHA]]&lt;&gt;"",COUNTA(BD_MO[[#This Row],[DNI]],BD_MO[[#This Row],[DNI 2]],BD_MO[[#This Row],[DNI 3]],BD_MO[[#This Row],[DNI 4]]),"")</f>
        <v>1</v>
      </c>
      <c r="U268" s="295">
        <v>0.76</v>
      </c>
      <c r="V268" s="295">
        <v>0.38</v>
      </c>
      <c r="W268" s="295">
        <v>0.28000000000000003</v>
      </c>
      <c r="X268" s="295">
        <v>0.57999999999999996</v>
      </c>
      <c r="Y268" s="296">
        <f>SUM(BD_MO[[#This Row],[LIMP]:[SERV]])</f>
        <v>2</v>
      </c>
      <c r="Z268" s="290" t="s">
        <v>12288</v>
      </c>
      <c r="AA268" s="290">
        <f>+IF(BD_MO[[#This Row],[N° VALE]]&lt;&gt;"",1,"")</f>
        <v>1</v>
      </c>
      <c r="AB268" s="287" t="s">
        <v>10710</v>
      </c>
      <c r="AC268" s="290">
        <v>4</v>
      </c>
      <c r="AD268" s="290">
        <f>+IF(BD_MO[[#This Row],[N° VALE]]&lt;&gt;"",BD_MO[[#This Row],[FULMINANTE N° 08]]+BD_MO[CARMEX 7''],"")</f>
        <v>23</v>
      </c>
      <c r="AE268" s="290"/>
      <c r="AF268" s="290">
        <f>+IF(BD_MO[[#This Row],[N° VALE]]&lt;&gt;"",BD_MO[[#This Row],[N° TALADROS]]+BD_MO[[#This Row],[N° TAL. VACIOS]],"")</f>
        <v>23</v>
      </c>
      <c r="AG268" s="297">
        <v>60</v>
      </c>
      <c r="AH268" s="297">
        <v>44</v>
      </c>
      <c r="AI268" s="297"/>
      <c r="AJ268" s="297"/>
      <c r="AK268" s="297">
        <v>23</v>
      </c>
      <c r="AL268" s="297">
        <v>5</v>
      </c>
      <c r="AM268" s="289"/>
      <c r="AN268" s="290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68" s="290">
        <f>+IF(BD_MO[[#This Row],[N° VALE]]&lt;&gt;"",IF(BD_MO[[#This Row],[FULMINANTE N° 08]]&lt;&gt;"",BD_MO[[#This Row],[FULMINANTE N° 08]],IF(BD_MO[[#This Row],[CARMEX 7'']]&lt;&gt;0,0,"")),"")</f>
        <v>0</v>
      </c>
      <c r="AP268" s="295">
        <f>+IF(BD_MO[[#This Row],[N° VALE]]&lt;&gt;"",BD_MO[[#This Row],[N°  TOTAL TALADROS]]*BD_MO[[#This Row],[BARRA]]*0.95,"")</f>
        <v>87.399999999999991</v>
      </c>
      <c r="AQ268" s="295">
        <f>+IF(BD_MO[[#This Row],[N° VALE]]&lt;&gt;"",BD_MO[[#This Row],[EMULNOR 1000 (N° CART.)]]*PE_EMUL_1000[PE],"")</f>
        <v>4.1668000000000003</v>
      </c>
      <c r="AR268" s="295">
        <f>+IF(BD_MO[[#This Row],[N° VALE]]&lt;&gt;"",BD_MO[[#This Row],[EMULNOR 3000 (N° CART.)]]*PE_EMUL_3000[PE],"")</f>
        <v>5.7692307692307718</v>
      </c>
      <c r="AS268" s="295">
        <f>+IF(BD_MO[[#This Row],[N° VALE]]&lt;&gt;"",BD_MO[[#This Row],[PULVERULENTA (N° CART.)]]*PE_PULV_65[PE],"")</f>
        <v>0</v>
      </c>
      <c r="AT268" s="295">
        <f>+IF(BD_MO[[#This Row],[N° DISP]]&lt;&gt;"",BD_MO[[#This Row],[SEMIGELATINA (N° CART.)]]*PE_SEMIGEL_65[PE],"")</f>
        <v>0</v>
      </c>
      <c r="AU268" s="295">
        <f>+IF(BD_MO[N° VALE]&lt;&gt;"",BD_MO[[#This Row],[KG EXPLO SEMIGEL]]+BD_MO[[#This Row],[KG EXPLO PULVE]]+BD_MO[[#This Row],[KG EXPLO EMULN 3000]]+BD_MO[[#This Row],[KG EXPLO EMULN 1000]],"")</f>
        <v>9.9360307692307721</v>
      </c>
      <c r="AV268" s="290"/>
      <c r="AW268" s="290">
        <v>9</v>
      </c>
      <c r="AX268" s="290" t="str">
        <f>+IF(BD_MO[[#This Row],[MINERAL (U-35)]]&lt;&gt;"",BD_MO[[#This Row],[MINERAL (U-35)]]*1.45,"-")</f>
        <v>-</v>
      </c>
      <c r="AY268" s="290">
        <f>+IF(BD_MO[[#This Row],[DESMONTE (U-35)]]&lt;&gt;"",BD_MO[[#This Row],[DESMONTE (U-35)]]*1.23,"-")</f>
        <v>11.07</v>
      </c>
      <c r="AZ268" s="290"/>
      <c r="BA268" s="290"/>
      <c r="BB268" s="290"/>
      <c r="BC268" s="290"/>
      <c r="BD268" s="290"/>
      <c r="BE268" s="290"/>
      <c r="BF268" s="290"/>
      <c r="BG268" s="290"/>
      <c r="BH268" s="290"/>
      <c r="BI268" s="290"/>
      <c r="BJ268" s="290"/>
      <c r="BK268" s="290"/>
      <c r="BL268" s="290"/>
      <c r="BM268" s="290"/>
      <c r="BN268" s="289"/>
      <c r="BO268" s="290"/>
      <c r="BP268" s="290"/>
      <c r="BQ268" s="289">
        <v>2.64</v>
      </c>
      <c r="BR268" s="290"/>
      <c r="BS268" s="289"/>
      <c r="BT268" s="295"/>
      <c r="BU268" s="290"/>
      <c r="BV268" s="290"/>
      <c r="BW268" s="290"/>
      <c r="BX268" s="290"/>
      <c r="BY268" s="290"/>
      <c r="BZ268" s="290"/>
      <c r="CA268" s="290"/>
      <c r="CB268" s="290"/>
      <c r="CC268" s="290"/>
      <c r="CD268" s="290"/>
      <c r="CE268" s="290"/>
      <c r="CF268" s="290"/>
      <c r="CG268" s="290"/>
      <c r="CH268" s="290"/>
      <c r="CI268" s="290"/>
      <c r="CJ268" s="290"/>
      <c r="CK268" s="290"/>
      <c r="CL268" s="290"/>
      <c r="CM268" s="290">
        <v>2</v>
      </c>
      <c r="CN268" s="290"/>
      <c r="CO268" s="290"/>
      <c r="CP268" s="295">
        <f>+IF(BD_MO[[#This Row],[FECHA]]&lt;&gt;"",BD_MO[[#This Row],[PUNTAL 4"]]+BD_MO[[#This Row],[PUNTAL 5"]]+BD_MO[[#This Row],[PUNTAL 6"]]+BD_MO[[#This Row],[PUNTAL 7"]]+BD_MO[[#This Row],[PUNTAL 8"]],"")</f>
        <v>2</v>
      </c>
      <c r="CQ268" s="290"/>
      <c r="CR268" s="290"/>
      <c r="CS268" s="290">
        <v>4</v>
      </c>
      <c r="CT268" s="290"/>
      <c r="CU268" s="290"/>
      <c r="CV268" s="290"/>
      <c r="CW268" s="290"/>
      <c r="CX268" s="290"/>
      <c r="CY268" s="295"/>
      <c r="CZ268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188.14800000000002</v>
      </c>
      <c r="DA268" s="295">
        <f>+IF(BD_MO[[#This Row],[FECHA]]&lt;&gt;"",BD_MO[[#This Row],[DURMIENTE2]]*6.561+BD_MO[[#This Row],[LISTONES]]*4.921+BD_MO[[#This Row],[TABLA 1"x8"x3m]]*6.561+BD_MO[[#This Row],[TABLA 2"x8"x3m]]*13.122,"")</f>
        <v>0</v>
      </c>
      <c r="DB268" s="295">
        <f>+IF(BD_MO[[#This Row],[FECHA]]&lt;&gt;"",BD_MO[[#This Row],[PIE2 MADERA ASERRADA]]*1.95,"")</f>
        <v>0</v>
      </c>
      <c r="DC268" s="295">
        <f>+IF(BD_MO[[#This Row],[FECHA]]&lt;&gt;"",BD_MO[[#This Row],[KG. MADERA REDONDA]]+BD_MO[[#This Row],[KG MADERA ASERRADA]],"")</f>
        <v>188.14800000000002</v>
      </c>
      <c r="DD268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84.759999999999991</v>
      </c>
      <c r="DE268" s="290"/>
      <c r="DF268" s="290"/>
      <c r="DG268" s="290"/>
      <c r="DH268" s="290"/>
      <c r="DI268" s="299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68" s="299"/>
      <c r="DK268" s="299"/>
      <c r="DL268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68" s="299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68" s="299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68" s="300">
        <v>3.4</v>
      </c>
      <c r="DP268" s="299">
        <f>+IF(BD_MO[[#This Row],[M o D]]&lt;&gt;"",IF(BD_MO[[#This Row],[M o D]]="M",BD_MO[[#This Row],[ROTURA TMH]]/2.65,BD_MO[[#This Row],[ROTURA TMH]]/2.4),"")</f>
        <v>1.2830188679245282</v>
      </c>
      <c r="DQ268" s="299">
        <v>1.1000000000000001</v>
      </c>
      <c r="DR268" s="116">
        <f>IF(BD_MO[[#This Row],[TIPO AVANCE]]="Avance",((BD_MO[[#This Row],[AVANCE (m)]]/BD_MO[[#This Row],[AVANCE TEÓRICO]]))," ")</f>
        <v>1.0185185185185186</v>
      </c>
      <c r="DS268" s="49"/>
      <c r="DT268" s="49"/>
      <c r="DU268" s="49"/>
      <c r="DV268" s="49"/>
      <c r="DW268" s="49"/>
      <c r="DX268" s="49"/>
      <c r="DY268" s="49"/>
      <c r="DZ268" s="49"/>
    </row>
    <row r="269" spans="1:130" ht="18" customHeight="1" x14ac:dyDescent="0.25">
      <c r="A269" s="286">
        <v>44667</v>
      </c>
      <c r="B269" s="287" t="s">
        <v>10647</v>
      </c>
      <c r="C269" s="287" t="s">
        <v>10672</v>
      </c>
      <c r="D269" s="288" t="s">
        <v>12149</v>
      </c>
      <c r="E269" s="289" t="str">
        <f>LEFT(BD_MO[[#This Row],[LABOR]],2)</f>
        <v>Es</v>
      </c>
      <c r="F269" s="46" t="s">
        <v>10950</v>
      </c>
      <c r="G269" s="290" t="s">
        <v>10648</v>
      </c>
      <c r="H269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69" s="289" t="str">
        <f>IF(BD_MO[FECHA]&lt;&gt;"",VLOOKUP(BD_MO[LABOR],TB_CECO[[LABOR]:[CECO_T]],3,FALSE),"")</f>
        <v>VANESSA</v>
      </c>
      <c r="J269" s="289" t="str">
        <f>IF(BD_MO[FECHA]&lt;&gt;"",VLOOKUP(BD_MO[LABOR],D_CECO!B:H,7,FALSE),"")</f>
        <v>LINEAL</v>
      </c>
      <c r="K269" s="289" t="str">
        <f>IF(BD_MO[FECHA]&lt;&gt;"",VLOOKUP(BD_MO[LABOR],D_CECO!B:H,4,FALSE),"")</f>
        <v>EXPLORACION</v>
      </c>
      <c r="L269" s="289"/>
      <c r="M269" s="291" t="s">
        <v>10646</v>
      </c>
      <c r="N269" s="290"/>
      <c r="O269" s="292" t="s">
        <v>12197</v>
      </c>
      <c r="P269" s="292"/>
      <c r="Q269" s="292"/>
      <c r="R269" s="293"/>
      <c r="S269" s="294" t="str">
        <f>IFERROR(VLOOKUP(BD_MO[DNI 4],#REF!,2,FALSE)," ")</f>
        <v xml:space="preserve"> </v>
      </c>
      <c r="T269" s="295">
        <f>+IF(BD_MO[[#This Row],[FECHA]]&lt;&gt;"",COUNTA(BD_MO[[#This Row],[DNI]],BD_MO[[#This Row],[DNI 2]],BD_MO[[#This Row],[DNI 3]],BD_MO[[#This Row],[DNI 4]]),"")</f>
        <v>1</v>
      </c>
      <c r="U269" s="295"/>
      <c r="V269" s="295"/>
      <c r="W269" s="295"/>
      <c r="X269" s="295">
        <v>1</v>
      </c>
      <c r="Y269" s="296">
        <f>SUM(BD_MO[[#This Row],[LIMP]:[SERV]])</f>
        <v>1</v>
      </c>
      <c r="Z269" s="290" t="s">
        <v>12289</v>
      </c>
      <c r="AA269" s="290">
        <f>+IF(BD_MO[[#This Row],[N° VALE]]&lt;&gt;"",1,"")</f>
        <v>1</v>
      </c>
      <c r="AB269" s="287" t="s">
        <v>10710</v>
      </c>
      <c r="AC269" s="290">
        <v>4</v>
      </c>
      <c r="AD269" s="290">
        <f>+IF(BD_MO[[#This Row],[N° VALE]]&lt;&gt;"",BD_MO[[#This Row],[FULMINANTE N° 08]]+BD_MO[CARMEX 7''],"")</f>
        <v>2</v>
      </c>
      <c r="AE269" s="290"/>
      <c r="AF269" s="290">
        <f>+IF(BD_MO[[#This Row],[N° VALE]]&lt;&gt;"",BD_MO[[#This Row],[N° TALADROS]]+BD_MO[[#This Row],[N° TAL. VACIOS]],"")</f>
        <v>2</v>
      </c>
      <c r="AG269" s="297">
        <v>3</v>
      </c>
      <c r="AH269" s="297">
        <v>7</v>
      </c>
      <c r="AI269" s="297"/>
      <c r="AJ269" s="297"/>
      <c r="AK269" s="297">
        <v>2</v>
      </c>
      <c r="AL269" s="297">
        <v>1</v>
      </c>
      <c r="AM269" s="289"/>
      <c r="AN269" s="290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69" s="290">
        <f>+IF(BD_MO[[#This Row],[N° VALE]]&lt;&gt;"",IF(BD_MO[[#This Row],[FULMINANTE N° 08]]&lt;&gt;"",BD_MO[[#This Row],[FULMINANTE N° 08]],IF(BD_MO[[#This Row],[CARMEX 7'']]&lt;&gt;0,0,"")),"")</f>
        <v>0</v>
      </c>
      <c r="AP269" s="295">
        <f>+IF(BD_MO[[#This Row],[N° VALE]]&lt;&gt;"",BD_MO[[#This Row],[N°  TOTAL TALADROS]]*BD_MO[[#This Row],[BARRA]]*0.95,"")</f>
        <v>7.6</v>
      </c>
      <c r="AQ269" s="295">
        <f>+IF(BD_MO[[#This Row],[N° VALE]]&lt;&gt;"",BD_MO[[#This Row],[EMULNOR 1000 (N° CART.)]]*PE_EMUL_1000[PE],"")</f>
        <v>0.66290000000000004</v>
      </c>
      <c r="AR269" s="295">
        <f>+IF(BD_MO[[#This Row],[N° VALE]]&lt;&gt;"",BD_MO[[#This Row],[EMULNOR 3000 (N° CART.)]]*PE_EMUL_3000[PE],"")</f>
        <v>0.2884615384615386</v>
      </c>
      <c r="AS269" s="295">
        <f>+IF(BD_MO[[#This Row],[N° VALE]]&lt;&gt;"",BD_MO[[#This Row],[PULVERULENTA (N° CART.)]]*PE_PULV_65[PE],"")</f>
        <v>0</v>
      </c>
      <c r="AT269" s="295">
        <f>+IF(BD_MO[[#This Row],[N° DISP]]&lt;&gt;"",BD_MO[[#This Row],[SEMIGELATINA (N° CART.)]]*PE_SEMIGEL_65[PE],"")</f>
        <v>0</v>
      </c>
      <c r="AU269" s="295">
        <f>+IF(BD_MO[N° VALE]&lt;&gt;"",BD_MO[[#This Row],[KG EXPLO SEMIGEL]]+BD_MO[[#This Row],[KG EXPLO PULVE]]+BD_MO[[#This Row],[KG EXPLO EMULN 3000]]+BD_MO[[#This Row],[KG EXPLO EMULN 1000]],"")</f>
        <v>0.95136153846153859</v>
      </c>
      <c r="AV269" s="290"/>
      <c r="AW269" s="290"/>
      <c r="AX269" s="290" t="str">
        <f>+IF(BD_MO[[#This Row],[MINERAL (U-35)]]&lt;&gt;"",BD_MO[[#This Row],[MINERAL (U-35)]]*1.45,"-")</f>
        <v>-</v>
      </c>
      <c r="AY269" s="290" t="str">
        <f>+IF(BD_MO[[#This Row],[DESMONTE (U-35)]]&lt;&gt;"",BD_MO[[#This Row],[DESMONTE (U-35)]]*1.23,"-")</f>
        <v>-</v>
      </c>
      <c r="AZ269" s="290"/>
      <c r="BA269" s="290"/>
      <c r="BB269" s="290"/>
      <c r="BC269" s="290"/>
      <c r="BD269" s="290"/>
      <c r="BE269" s="290"/>
      <c r="BF269" s="290"/>
      <c r="BG269" s="290"/>
      <c r="BH269" s="290"/>
      <c r="BI269" s="290"/>
      <c r="BJ269" s="290"/>
      <c r="BK269" s="290"/>
      <c r="BL269" s="290"/>
      <c r="BM269" s="290"/>
      <c r="BN269" s="289"/>
      <c r="BO269" s="290"/>
      <c r="BP269" s="290"/>
      <c r="BQ269" s="289"/>
      <c r="BR269" s="290"/>
      <c r="BS269" s="289"/>
      <c r="BT269" s="295"/>
      <c r="BU269" s="290"/>
      <c r="BV269" s="290"/>
      <c r="BW269" s="290"/>
      <c r="BX269" s="290"/>
      <c r="BY269" s="290"/>
      <c r="BZ269" s="290"/>
      <c r="CA269" s="290"/>
      <c r="CB269" s="290"/>
      <c r="CC269" s="290"/>
      <c r="CD269" s="290"/>
      <c r="CE269" s="290"/>
      <c r="CF269" s="290"/>
      <c r="CG269" s="290"/>
      <c r="CH269" s="290"/>
      <c r="CI269" s="290"/>
      <c r="CJ269" s="290"/>
      <c r="CK269" s="290"/>
      <c r="CL269" s="290"/>
      <c r="CM269" s="290"/>
      <c r="CN269" s="290"/>
      <c r="CO269" s="290"/>
      <c r="CP269" s="295">
        <f>+IF(BD_MO[[#This Row],[FECHA]]&lt;&gt;"",BD_MO[[#This Row],[PUNTAL 4"]]+BD_MO[[#This Row],[PUNTAL 5"]]+BD_MO[[#This Row],[PUNTAL 6"]]+BD_MO[[#This Row],[PUNTAL 7"]]+BD_MO[[#This Row],[PUNTAL 8"]],"")</f>
        <v>0</v>
      </c>
      <c r="CQ269" s="290"/>
      <c r="CR269" s="290"/>
      <c r="CS269" s="290"/>
      <c r="CT269" s="290"/>
      <c r="CU269" s="290"/>
      <c r="CV269" s="290"/>
      <c r="CW269" s="290"/>
      <c r="CX269" s="290"/>
      <c r="CY269" s="295"/>
      <c r="CZ269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69" s="295">
        <f>+IF(BD_MO[[#This Row],[FECHA]]&lt;&gt;"",BD_MO[[#This Row],[DURMIENTE2]]*6.561+BD_MO[[#This Row],[LISTONES]]*4.921+BD_MO[[#This Row],[TABLA 1"x8"x3m]]*6.561+BD_MO[[#This Row],[TABLA 2"x8"x3m]]*13.122,"")</f>
        <v>0</v>
      </c>
      <c r="DB269" s="295">
        <f>+IF(BD_MO[[#This Row],[FECHA]]&lt;&gt;"",BD_MO[[#This Row],[PIE2 MADERA ASERRADA]]*1.95,"")</f>
        <v>0</v>
      </c>
      <c r="DC269" s="295">
        <f>+IF(BD_MO[[#This Row],[FECHA]]&lt;&gt;"",BD_MO[[#This Row],[KG. MADERA REDONDA]]+BD_MO[[#This Row],[KG MADERA ASERRADA]],"")</f>
        <v>0</v>
      </c>
      <c r="DD269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69" s="290"/>
      <c r="DF269" s="290"/>
      <c r="DG269" s="290"/>
      <c r="DH269" s="290"/>
      <c r="DI269" s="299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69" s="299"/>
      <c r="DK269" s="299"/>
      <c r="DL269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69" s="299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69" s="299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69" s="300">
        <v>2.99</v>
      </c>
      <c r="DP269" s="299">
        <f>+IF(BD_MO[[#This Row],[M o D]]&lt;&gt;"",IF(BD_MO[[#This Row],[M o D]]="M",BD_MO[[#This Row],[ROTURA TMH]]/2.65,BD_MO[[#This Row],[ROTURA TMH]]/2.4),"")</f>
        <v>1.128301886792453</v>
      </c>
      <c r="DQ269" s="299">
        <v>1.1000000000000001</v>
      </c>
      <c r="DR269" s="116">
        <f>IF(BD_MO[[#This Row],[TIPO AVANCE]]="Avance",((BD_MO[[#This Row],[AVANCE (m)]]/BD_MO[[#This Row],[AVANCE TEÓRICO]]))," ")</f>
        <v>1.0185185185185186</v>
      </c>
      <c r="DS269" s="49"/>
      <c r="DT269" s="49"/>
      <c r="DU269" s="49"/>
      <c r="DV269" s="49"/>
      <c r="DW269" s="49"/>
      <c r="DX269" s="49"/>
      <c r="DY269" s="49"/>
      <c r="DZ269" s="49"/>
    </row>
    <row r="270" spans="1:130" ht="18" customHeight="1" x14ac:dyDescent="0.25">
      <c r="A270" s="286">
        <v>44667</v>
      </c>
      <c r="B270" s="287" t="s">
        <v>10647</v>
      </c>
      <c r="C270" s="287" t="s">
        <v>10672</v>
      </c>
      <c r="D270" s="288" t="s">
        <v>11872</v>
      </c>
      <c r="E270" s="289" t="str">
        <f>LEFT(BD_MO[[#This Row],[LABOR]],2)</f>
        <v>PQ</v>
      </c>
      <c r="F270" s="290"/>
      <c r="G270" s="290" t="s">
        <v>10669</v>
      </c>
      <c r="H270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70" s="289" t="str">
        <f>IF(BD_MO[FECHA]&lt;&gt;"",VLOOKUP(BD_MO[LABOR],TB_CECO[[LABOR]:[CECO_T]],3,FALSE),"")</f>
        <v>ANDREA</v>
      </c>
      <c r="J270" s="289" t="str">
        <f>IF(BD_MO[FECHA]&lt;&gt;"",VLOOKUP(BD_MO[LABOR],D_CECO!B:H,7,FALSE),"")</f>
        <v>LINEAL</v>
      </c>
      <c r="K270" s="289" t="str">
        <f>IF(BD_MO[FECHA]&lt;&gt;"",VLOOKUP(BD_MO[LABOR],D_CECO!B:H,4,FALSE),"")</f>
        <v>EXPLOTACION</v>
      </c>
      <c r="L270" s="289"/>
      <c r="M270" s="291"/>
      <c r="N270" s="290"/>
      <c r="O270" s="292" t="s">
        <v>12199</v>
      </c>
      <c r="P270" s="292" t="s">
        <v>12220</v>
      </c>
      <c r="Q270" s="292" t="s">
        <v>12201</v>
      </c>
      <c r="R270" s="293"/>
      <c r="S270" s="294" t="str">
        <f>IFERROR(VLOOKUP(BD_MO[DNI 4],#REF!,2,FALSE)," ")</f>
        <v xml:space="preserve"> </v>
      </c>
      <c r="T270" s="295">
        <f>+IF(BD_MO[[#This Row],[FECHA]]&lt;&gt;"",COUNTA(BD_MO[[#This Row],[DNI]],BD_MO[[#This Row],[DNI 2]],BD_MO[[#This Row],[DNI 3]],BD_MO[[#This Row],[DNI 4]]),"")</f>
        <v>3</v>
      </c>
      <c r="U270" s="295"/>
      <c r="V270" s="295"/>
      <c r="W270" s="295"/>
      <c r="X270" s="295">
        <v>3</v>
      </c>
      <c r="Y270" s="296">
        <f>SUM(BD_MO[[#This Row],[LIMP]:[SERV]])</f>
        <v>3</v>
      </c>
      <c r="Z270" s="290"/>
      <c r="AA270" s="290" t="str">
        <f>+IF(BD_MO[[#This Row],[N° VALE]]&lt;&gt;"",1,"")</f>
        <v/>
      </c>
      <c r="AB270" s="287"/>
      <c r="AC270" s="290"/>
      <c r="AD270" s="290" t="str">
        <f>+IF(BD_MO[[#This Row],[N° VALE]]&lt;&gt;"",BD_MO[[#This Row],[FULMINANTE N° 08]]+BD_MO[CARMEX 7''],"")</f>
        <v/>
      </c>
      <c r="AE270" s="290"/>
      <c r="AF270" s="290" t="str">
        <f>+IF(BD_MO[[#This Row],[N° VALE]]&lt;&gt;"",BD_MO[[#This Row],[N° TALADROS]]+BD_MO[[#This Row],[N° TAL. VACIOS]],"")</f>
        <v/>
      </c>
      <c r="AG270" s="297"/>
      <c r="AH270" s="297"/>
      <c r="AI270" s="297"/>
      <c r="AJ270" s="297"/>
      <c r="AK270" s="297"/>
      <c r="AL270" s="297"/>
      <c r="AM270" s="289"/>
      <c r="AN270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70" s="290" t="str">
        <f>+IF(BD_MO[[#This Row],[N° VALE]]&lt;&gt;"",IF(BD_MO[[#This Row],[FULMINANTE N° 08]]&lt;&gt;"",BD_MO[[#This Row],[FULMINANTE N° 08]],IF(BD_MO[[#This Row],[CARMEX 7'']]&lt;&gt;0,0,"")),"")</f>
        <v/>
      </c>
      <c r="AP270" s="295" t="str">
        <f>+IF(BD_MO[[#This Row],[N° VALE]]&lt;&gt;"",BD_MO[[#This Row],[N°  TOTAL TALADROS]]*BD_MO[[#This Row],[BARRA]]*0.95,"")</f>
        <v/>
      </c>
      <c r="AQ270" s="295" t="str">
        <f>+IF(BD_MO[[#This Row],[N° VALE]]&lt;&gt;"",BD_MO[[#This Row],[EMULNOR 1000 (N° CART.)]]*PE_EMUL_1000[PE],"")</f>
        <v/>
      </c>
      <c r="AR270" s="295" t="str">
        <f>+IF(BD_MO[[#This Row],[N° VALE]]&lt;&gt;"",BD_MO[[#This Row],[EMULNOR 3000 (N° CART.)]]*PE_EMUL_3000[PE],"")</f>
        <v/>
      </c>
      <c r="AS270" s="295" t="str">
        <f>+IF(BD_MO[[#This Row],[N° VALE]]&lt;&gt;"",BD_MO[[#This Row],[PULVERULENTA (N° CART.)]]*PE_PULV_65[PE],"")</f>
        <v/>
      </c>
      <c r="AT270" s="295" t="str">
        <f>+IF(BD_MO[[#This Row],[N° DISP]]&lt;&gt;"",BD_MO[[#This Row],[SEMIGELATINA (N° CART.)]]*PE_SEMIGEL_65[PE],"")</f>
        <v/>
      </c>
      <c r="AU270" s="295" t="str">
        <f>+IF(BD_MO[N° VALE]&lt;&gt;"",BD_MO[[#This Row],[KG EXPLO SEMIGEL]]+BD_MO[[#This Row],[KG EXPLO PULVE]]+BD_MO[[#This Row],[KG EXPLO EMULN 3000]]+BD_MO[[#This Row],[KG EXPLO EMULN 1000]],"")</f>
        <v/>
      </c>
      <c r="AV270" s="290"/>
      <c r="AW270" s="290"/>
      <c r="AX270" s="290" t="str">
        <f>+IF(BD_MO[[#This Row],[MINERAL (U-35)]]&lt;&gt;"",BD_MO[[#This Row],[MINERAL (U-35)]]*1.45,"-")</f>
        <v>-</v>
      </c>
      <c r="AY270" s="290" t="str">
        <f>+IF(BD_MO[[#This Row],[DESMONTE (U-35)]]&lt;&gt;"",BD_MO[[#This Row],[DESMONTE (U-35)]]*1.23,"-")</f>
        <v>-</v>
      </c>
      <c r="AZ270" s="290"/>
      <c r="BA270" s="290"/>
      <c r="BB270" s="290"/>
      <c r="BC270" s="290"/>
      <c r="BD270" s="290"/>
      <c r="BE270" s="290"/>
      <c r="BF270" s="290"/>
      <c r="BG270" s="290"/>
      <c r="BH270" s="290"/>
      <c r="BI270" s="290"/>
      <c r="BJ270" s="290"/>
      <c r="BK270" s="290"/>
      <c r="BL270" s="290"/>
      <c r="BM270" s="290"/>
      <c r="BN270" s="289"/>
      <c r="BO270" s="290"/>
      <c r="BP270" s="290"/>
      <c r="BQ270" s="289"/>
      <c r="BR270" s="290"/>
      <c r="BS270" s="289"/>
      <c r="BT270" s="295"/>
      <c r="BU270" s="290"/>
      <c r="BV270" s="290"/>
      <c r="BW270" s="290"/>
      <c r="BX270" s="290"/>
      <c r="BY270" s="290"/>
      <c r="BZ270" s="290"/>
      <c r="CA270" s="290"/>
      <c r="CB270" s="290"/>
      <c r="CC270" s="290"/>
      <c r="CD270" s="290"/>
      <c r="CE270" s="290"/>
      <c r="CF270" s="290"/>
      <c r="CG270" s="290"/>
      <c r="CH270" s="290"/>
      <c r="CI270" s="290"/>
      <c r="CJ270" s="290"/>
      <c r="CK270" s="290"/>
      <c r="CL270" s="290"/>
      <c r="CM270" s="290"/>
      <c r="CN270" s="290"/>
      <c r="CO270" s="290"/>
      <c r="CP270" s="295">
        <f>+IF(BD_MO[[#This Row],[FECHA]]&lt;&gt;"",BD_MO[[#This Row],[PUNTAL 4"]]+BD_MO[[#This Row],[PUNTAL 5"]]+BD_MO[[#This Row],[PUNTAL 6"]]+BD_MO[[#This Row],[PUNTAL 7"]]+BD_MO[[#This Row],[PUNTAL 8"]],"")</f>
        <v>0</v>
      </c>
      <c r="CQ270" s="290"/>
      <c r="CR270" s="290"/>
      <c r="CS270" s="290"/>
      <c r="CT270" s="290"/>
      <c r="CU270" s="290"/>
      <c r="CV270" s="290"/>
      <c r="CW270" s="290"/>
      <c r="CX270" s="290"/>
      <c r="CY270" s="295"/>
      <c r="CZ270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70" s="295">
        <f>+IF(BD_MO[[#This Row],[FECHA]]&lt;&gt;"",BD_MO[[#This Row],[DURMIENTE2]]*6.561+BD_MO[[#This Row],[LISTONES]]*4.921+BD_MO[[#This Row],[TABLA 1"x8"x3m]]*6.561+BD_MO[[#This Row],[TABLA 2"x8"x3m]]*13.122,"")</f>
        <v>0</v>
      </c>
      <c r="DB270" s="295">
        <f>+IF(BD_MO[[#This Row],[FECHA]]&lt;&gt;"",BD_MO[[#This Row],[PIE2 MADERA ASERRADA]]*1.95,"")</f>
        <v>0</v>
      </c>
      <c r="DC270" s="295">
        <f>+IF(BD_MO[[#This Row],[FECHA]]&lt;&gt;"",BD_MO[[#This Row],[KG. MADERA REDONDA]]+BD_MO[[#This Row],[KG MADERA ASERRADA]],"")</f>
        <v>0</v>
      </c>
      <c r="DD270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70" s="290"/>
      <c r="DF270" s="290"/>
      <c r="DG270" s="290" t="s">
        <v>12238</v>
      </c>
      <c r="DH270" s="290">
        <v>8</v>
      </c>
      <c r="DI270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70" s="299"/>
      <c r="DK270" s="299"/>
      <c r="DL270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70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70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70" s="300"/>
      <c r="DP270" s="299" t="str">
        <f>+IF(BD_MO[[#This Row],[M o D]]&lt;&gt;"",IF(BD_MO[[#This Row],[M o D]]="M",BD_MO[[#This Row],[ROTURA TMH]]/2.65,BD_MO[[#This Row],[ROTURA TMH]]/2.4),"")</f>
        <v/>
      </c>
      <c r="DQ270" s="299"/>
      <c r="DR270" s="116" t="str">
        <f>IF(BD_MO[[#This Row],[TIPO AVANCE]]="Avance",((BD_MO[[#This Row],[AVANCE (m)]]/BD_MO[[#This Row],[AVANCE TEÓRICO]]))," ")</f>
        <v xml:space="preserve"> </v>
      </c>
      <c r="DS270" s="49"/>
      <c r="DT270" s="49"/>
      <c r="DU270" s="49"/>
      <c r="DV270" s="49"/>
      <c r="DW270" s="49"/>
      <c r="DX270" s="49"/>
      <c r="DY270" s="49"/>
      <c r="DZ270" s="49"/>
    </row>
    <row r="271" spans="1:130" ht="18" customHeight="1" x14ac:dyDescent="0.25">
      <c r="A271" s="286">
        <v>44667</v>
      </c>
      <c r="B271" s="287" t="s">
        <v>10647</v>
      </c>
      <c r="C271" s="287" t="s">
        <v>10672</v>
      </c>
      <c r="D271" s="288" t="s">
        <v>10952</v>
      </c>
      <c r="E271" s="289" t="str">
        <f>LEFT(BD_MO[[#This Row],[LABOR]],2)</f>
        <v>In</v>
      </c>
      <c r="F271" s="290"/>
      <c r="G271" s="290" t="s">
        <v>10669</v>
      </c>
      <c r="H271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71" s="289" t="str">
        <f>IF(BD_MO[FECHA]&lt;&gt;"",VLOOKUP(BD_MO[LABOR],TB_CECO[[LABOR]:[CECO_T]],3,FALSE),"")</f>
        <v>VANESSA</v>
      </c>
      <c r="J271" s="289" t="str">
        <f>IF(BD_MO[FECHA]&lt;&gt;"",VLOOKUP(BD_MO[LABOR],D_CECO!B:H,7,FALSE),"")</f>
        <v>LINEAL</v>
      </c>
      <c r="K271" s="289" t="str">
        <f>IF(BD_MO[FECHA]&lt;&gt;"",VLOOKUP(BD_MO[LABOR],D_CECO!B:H,4,FALSE),"")</f>
        <v>EXPLORACION</v>
      </c>
      <c r="L271" s="289"/>
      <c r="M271" s="291"/>
      <c r="N271" s="290"/>
      <c r="O271" s="292" t="s">
        <v>12198</v>
      </c>
      <c r="P271" s="292" t="s">
        <v>12234</v>
      </c>
      <c r="Q271" s="292"/>
      <c r="R271" s="293"/>
      <c r="S271" s="294" t="str">
        <f>IFERROR(VLOOKUP(BD_MO[DNI 4],#REF!,2,FALSE)," ")</f>
        <v xml:space="preserve"> </v>
      </c>
      <c r="T271" s="295">
        <f>+IF(BD_MO[[#This Row],[FECHA]]&lt;&gt;"",COUNTA(BD_MO[[#This Row],[DNI]],BD_MO[[#This Row],[DNI 2]],BD_MO[[#This Row],[DNI 3]],BD_MO[[#This Row],[DNI 4]]),"")</f>
        <v>2</v>
      </c>
      <c r="U271" s="295"/>
      <c r="V271" s="295"/>
      <c r="W271" s="295"/>
      <c r="X271" s="295">
        <v>2</v>
      </c>
      <c r="Y271" s="296">
        <f>SUM(BD_MO[[#This Row],[LIMP]:[SERV]])</f>
        <v>2</v>
      </c>
      <c r="Z271" s="290"/>
      <c r="AA271" s="290" t="str">
        <f>+IF(BD_MO[[#This Row],[N° VALE]]&lt;&gt;"",1,"")</f>
        <v/>
      </c>
      <c r="AB271" s="287"/>
      <c r="AC271" s="290"/>
      <c r="AD271" s="290" t="str">
        <f>+IF(BD_MO[[#This Row],[N° VALE]]&lt;&gt;"",BD_MO[[#This Row],[FULMINANTE N° 08]]+BD_MO[CARMEX 7''],"")</f>
        <v/>
      </c>
      <c r="AE271" s="290"/>
      <c r="AF271" s="290" t="str">
        <f>+IF(BD_MO[[#This Row],[N° VALE]]&lt;&gt;"",BD_MO[[#This Row],[N° TALADROS]]+BD_MO[[#This Row],[N° TAL. VACIOS]],"")</f>
        <v/>
      </c>
      <c r="AG271" s="297"/>
      <c r="AH271" s="297"/>
      <c r="AI271" s="297"/>
      <c r="AJ271" s="297"/>
      <c r="AK271" s="297"/>
      <c r="AL271" s="297"/>
      <c r="AM271" s="289"/>
      <c r="AN271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71" s="290" t="str">
        <f>+IF(BD_MO[[#This Row],[N° VALE]]&lt;&gt;"",IF(BD_MO[[#This Row],[FULMINANTE N° 08]]&lt;&gt;"",BD_MO[[#This Row],[FULMINANTE N° 08]],IF(BD_MO[[#This Row],[CARMEX 7'']]&lt;&gt;0,0,"")),"")</f>
        <v/>
      </c>
      <c r="AP271" s="295" t="str">
        <f>+IF(BD_MO[[#This Row],[N° VALE]]&lt;&gt;"",BD_MO[[#This Row],[N°  TOTAL TALADROS]]*BD_MO[[#This Row],[BARRA]]*0.95,"")</f>
        <v/>
      </c>
      <c r="AQ271" s="295" t="str">
        <f>+IF(BD_MO[[#This Row],[N° VALE]]&lt;&gt;"",BD_MO[[#This Row],[EMULNOR 1000 (N° CART.)]]*PE_EMUL_1000[PE],"")</f>
        <v/>
      </c>
      <c r="AR271" s="295" t="str">
        <f>+IF(BD_MO[[#This Row],[N° VALE]]&lt;&gt;"",BD_MO[[#This Row],[EMULNOR 3000 (N° CART.)]]*PE_EMUL_3000[PE],"")</f>
        <v/>
      </c>
      <c r="AS271" s="295" t="str">
        <f>+IF(BD_MO[[#This Row],[N° VALE]]&lt;&gt;"",BD_MO[[#This Row],[PULVERULENTA (N° CART.)]]*PE_PULV_65[PE],"")</f>
        <v/>
      </c>
      <c r="AT271" s="295" t="str">
        <f>+IF(BD_MO[[#This Row],[N° DISP]]&lt;&gt;"",BD_MO[[#This Row],[SEMIGELATINA (N° CART.)]]*PE_SEMIGEL_65[PE],"")</f>
        <v/>
      </c>
      <c r="AU271" s="295" t="str">
        <f>+IF(BD_MO[N° VALE]&lt;&gt;"",BD_MO[[#This Row],[KG EXPLO SEMIGEL]]+BD_MO[[#This Row],[KG EXPLO PULVE]]+BD_MO[[#This Row],[KG EXPLO EMULN 3000]]+BD_MO[[#This Row],[KG EXPLO EMULN 1000]],"")</f>
        <v/>
      </c>
      <c r="AV271" s="290"/>
      <c r="AW271" s="290"/>
      <c r="AX271" s="290" t="str">
        <f>+IF(BD_MO[[#This Row],[MINERAL (U-35)]]&lt;&gt;"",BD_MO[[#This Row],[MINERAL (U-35)]]*1.45,"-")</f>
        <v>-</v>
      </c>
      <c r="AY271" s="290" t="str">
        <f>+IF(BD_MO[[#This Row],[DESMONTE (U-35)]]&lt;&gt;"",BD_MO[[#This Row],[DESMONTE (U-35)]]*1.23,"-")</f>
        <v>-</v>
      </c>
      <c r="AZ271" s="290"/>
      <c r="BA271" s="290"/>
      <c r="BB271" s="290"/>
      <c r="BC271" s="290"/>
      <c r="BD271" s="290"/>
      <c r="BE271" s="290"/>
      <c r="BF271" s="290"/>
      <c r="BG271" s="290"/>
      <c r="BH271" s="290"/>
      <c r="BI271" s="290"/>
      <c r="BJ271" s="290"/>
      <c r="BK271" s="290"/>
      <c r="BL271" s="290"/>
      <c r="BM271" s="290"/>
      <c r="BN271" s="289"/>
      <c r="BO271" s="290"/>
      <c r="BP271" s="290"/>
      <c r="BQ271" s="289"/>
      <c r="BR271" s="290"/>
      <c r="BS271" s="289"/>
      <c r="BT271" s="295"/>
      <c r="BU271" s="290"/>
      <c r="BV271" s="290"/>
      <c r="BW271" s="290"/>
      <c r="BX271" s="290"/>
      <c r="BY271" s="290"/>
      <c r="BZ271" s="290"/>
      <c r="CA271" s="290"/>
      <c r="CB271" s="290"/>
      <c r="CC271" s="290"/>
      <c r="CD271" s="290"/>
      <c r="CE271" s="290"/>
      <c r="CF271" s="290"/>
      <c r="CG271" s="290"/>
      <c r="CH271" s="290"/>
      <c r="CI271" s="290"/>
      <c r="CJ271" s="290"/>
      <c r="CK271" s="290"/>
      <c r="CL271" s="290"/>
      <c r="CM271" s="290"/>
      <c r="CN271" s="290"/>
      <c r="CO271" s="290"/>
      <c r="CP271" s="295">
        <f>+IF(BD_MO[[#This Row],[FECHA]]&lt;&gt;"",BD_MO[[#This Row],[PUNTAL 4"]]+BD_MO[[#This Row],[PUNTAL 5"]]+BD_MO[[#This Row],[PUNTAL 6"]]+BD_MO[[#This Row],[PUNTAL 7"]]+BD_MO[[#This Row],[PUNTAL 8"]],"")</f>
        <v>0</v>
      </c>
      <c r="CQ271" s="290"/>
      <c r="CR271" s="290"/>
      <c r="CS271" s="290"/>
      <c r="CT271" s="290"/>
      <c r="CU271" s="290"/>
      <c r="CV271" s="290"/>
      <c r="CW271" s="290"/>
      <c r="CX271" s="290"/>
      <c r="CY271" s="295"/>
      <c r="CZ271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71" s="295">
        <f>+IF(BD_MO[[#This Row],[FECHA]]&lt;&gt;"",BD_MO[[#This Row],[DURMIENTE2]]*6.561+BD_MO[[#This Row],[LISTONES]]*4.921+BD_MO[[#This Row],[TABLA 1"x8"x3m]]*6.561+BD_MO[[#This Row],[TABLA 2"x8"x3m]]*13.122,"")</f>
        <v>0</v>
      </c>
      <c r="DB271" s="295">
        <f>+IF(BD_MO[[#This Row],[FECHA]]&lt;&gt;"",BD_MO[[#This Row],[PIE2 MADERA ASERRADA]]*1.95,"")</f>
        <v>0</v>
      </c>
      <c r="DC271" s="295">
        <f>+IF(BD_MO[[#This Row],[FECHA]]&lt;&gt;"",BD_MO[[#This Row],[KG. MADERA REDONDA]]+BD_MO[[#This Row],[KG MADERA ASERRADA]],"")</f>
        <v>0</v>
      </c>
      <c r="DD271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71" s="290"/>
      <c r="DF271" s="290"/>
      <c r="DG271" s="290" t="s">
        <v>12239</v>
      </c>
      <c r="DH271" s="290">
        <v>8</v>
      </c>
      <c r="DI271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71" s="299"/>
      <c r="DK271" s="299"/>
      <c r="DL271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71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71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71" s="300"/>
      <c r="DP271" s="299" t="str">
        <f>+IF(BD_MO[[#This Row],[M o D]]&lt;&gt;"",IF(BD_MO[[#This Row],[M o D]]="M",BD_MO[[#This Row],[ROTURA TMH]]/2.65,BD_MO[[#This Row],[ROTURA TMH]]/2.4),"")</f>
        <v/>
      </c>
      <c r="DQ271" s="299"/>
      <c r="DR271" s="116" t="str">
        <f>IF(BD_MO[[#This Row],[TIPO AVANCE]]="Avance",((BD_MO[[#This Row],[AVANCE (m)]]/BD_MO[[#This Row],[AVANCE TEÓRICO]]))," ")</f>
        <v xml:space="preserve"> </v>
      </c>
      <c r="DS271" s="49"/>
      <c r="DT271" s="49"/>
      <c r="DU271" s="49"/>
      <c r="DV271" s="49"/>
      <c r="DW271" s="49"/>
      <c r="DX271" s="49"/>
      <c r="DY271" s="49"/>
      <c r="DZ271" s="49"/>
    </row>
    <row r="272" spans="1:130" ht="18" customHeight="1" x14ac:dyDescent="0.25">
      <c r="A272" s="286">
        <v>44667</v>
      </c>
      <c r="B272" s="287" t="s">
        <v>10647</v>
      </c>
      <c r="C272" s="287" t="s">
        <v>10672</v>
      </c>
      <c r="D272" s="288" t="s">
        <v>10954</v>
      </c>
      <c r="E272" s="289" t="str">
        <f>LEFT(BD_MO[[#This Row],[LABOR]],2)</f>
        <v>MO</v>
      </c>
      <c r="F272" s="290"/>
      <c r="G272" s="290" t="s">
        <v>10669</v>
      </c>
      <c r="H272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72" s="289" t="str">
        <f>IF(BD_MO[FECHA]&lt;&gt;"",VLOOKUP(BD_MO[LABOR],TB_CECO[[LABOR]:[CECO_T]],3,FALSE),"")</f>
        <v>INCA</v>
      </c>
      <c r="J272" s="289" t="str">
        <f>IF(BD_MO[FECHA]&lt;&gt;"",VLOOKUP(BD_MO[LABOR],D_CECO!B:H,7,FALSE),"")</f>
        <v>SERVICIOS</v>
      </c>
      <c r="K272" s="289" t="str">
        <f>IF(BD_MO[FECHA]&lt;&gt;"",VLOOKUP(BD_MO[LABOR],D_CECO!B:H,4,FALSE),"")</f>
        <v>SERVICIOS</v>
      </c>
      <c r="L272" s="289"/>
      <c r="M272" s="291"/>
      <c r="N272" s="290"/>
      <c r="O272" s="292" t="s">
        <v>12221</v>
      </c>
      <c r="P272" s="292" t="s">
        <v>12209</v>
      </c>
      <c r="Q272" s="292"/>
      <c r="R272" s="293"/>
      <c r="S272" s="294" t="str">
        <f>IFERROR(VLOOKUP(BD_MO[DNI 4],#REF!,2,FALSE)," ")</f>
        <v xml:space="preserve"> </v>
      </c>
      <c r="T272" s="295">
        <f>+IF(BD_MO[[#This Row],[FECHA]]&lt;&gt;"",COUNTA(BD_MO[[#This Row],[DNI]],BD_MO[[#This Row],[DNI 2]],BD_MO[[#This Row],[DNI 3]],BD_MO[[#This Row],[DNI 4]]),"")</f>
        <v>2</v>
      </c>
      <c r="U272" s="295"/>
      <c r="V272" s="295"/>
      <c r="W272" s="295"/>
      <c r="X272" s="295">
        <v>2</v>
      </c>
      <c r="Y272" s="296">
        <f>SUM(BD_MO[[#This Row],[LIMP]:[SERV]])</f>
        <v>2</v>
      </c>
      <c r="Z272" s="290"/>
      <c r="AA272" s="290" t="str">
        <f>+IF(BD_MO[[#This Row],[N° VALE]]&lt;&gt;"",1,"")</f>
        <v/>
      </c>
      <c r="AB272" s="287"/>
      <c r="AC272" s="290"/>
      <c r="AD272" s="290" t="str">
        <f>+IF(BD_MO[[#This Row],[N° VALE]]&lt;&gt;"",BD_MO[[#This Row],[FULMINANTE N° 08]]+BD_MO[CARMEX 7''],"")</f>
        <v/>
      </c>
      <c r="AE272" s="290"/>
      <c r="AF272" s="290" t="str">
        <f>+IF(BD_MO[[#This Row],[N° VALE]]&lt;&gt;"",BD_MO[[#This Row],[N° TALADROS]]+BD_MO[[#This Row],[N° TAL. VACIOS]],"")</f>
        <v/>
      </c>
      <c r="AG272" s="297"/>
      <c r="AH272" s="297"/>
      <c r="AI272" s="297"/>
      <c r="AJ272" s="297"/>
      <c r="AK272" s="297"/>
      <c r="AL272" s="297"/>
      <c r="AM272" s="289"/>
      <c r="AN272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72" s="290" t="str">
        <f>+IF(BD_MO[[#This Row],[N° VALE]]&lt;&gt;"",IF(BD_MO[[#This Row],[FULMINANTE N° 08]]&lt;&gt;"",BD_MO[[#This Row],[FULMINANTE N° 08]],IF(BD_MO[[#This Row],[CARMEX 7'']]&lt;&gt;0,0,"")),"")</f>
        <v/>
      </c>
      <c r="AP272" s="295" t="str">
        <f>+IF(BD_MO[[#This Row],[N° VALE]]&lt;&gt;"",BD_MO[[#This Row],[N°  TOTAL TALADROS]]*BD_MO[[#This Row],[BARRA]]*0.95,"")</f>
        <v/>
      </c>
      <c r="AQ272" s="295" t="str">
        <f>+IF(BD_MO[[#This Row],[N° VALE]]&lt;&gt;"",BD_MO[[#This Row],[EMULNOR 1000 (N° CART.)]]*PE_EMUL_1000[PE],"")</f>
        <v/>
      </c>
      <c r="AR272" s="295" t="str">
        <f>+IF(BD_MO[[#This Row],[N° VALE]]&lt;&gt;"",BD_MO[[#This Row],[EMULNOR 3000 (N° CART.)]]*PE_EMUL_3000[PE],"")</f>
        <v/>
      </c>
      <c r="AS272" s="295" t="str">
        <f>+IF(BD_MO[[#This Row],[N° VALE]]&lt;&gt;"",BD_MO[[#This Row],[PULVERULENTA (N° CART.)]]*PE_PULV_65[PE],"")</f>
        <v/>
      </c>
      <c r="AT272" s="295" t="str">
        <f>+IF(BD_MO[[#This Row],[N° DISP]]&lt;&gt;"",BD_MO[[#This Row],[SEMIGELATINA (N° CART.)]]*PE_SEMIGEL_65[PE],"")</f>
        <v/>
      </c>
      <c r="AU272" s="295" t="str">
        <f>+IF(BD_MO[N° VALE]&lt;&gt;"",BD_MO[[#This Row],[KG EXPLO SEMIGEL]]+BD_MO[[#This Row],[KG EXPLO PULVE]]+BD_MO[[#This Row],[KG EXPLO EMULN 3000]]+BD_MO[[#This Row],[KG EXPLO EMULN 1000]],"")</f>
        <v/>
      </c>
      <c r="AV272" s="290"/>
      <c r="AW272" s="290"/>
      <c r="AX272" s="290" t="str">
        <f>+IF(BD_MO[[#This Row],[MINERAL (U-35)]]&lt;&gt;"",BD_MO[[#This Row],[MINERAL (U-35)]]*1.45,"-")</f>
        <v>-</v>
      </c>
      <c r="AY272" s="290" t="str">
        <f>+IF(BD_MO[[#This Row],[DESMONTE (U-35)]]&lt;&gt;"",BD_MO[[#This Row],[DESMONTE (U-35)]]*1.23,"-")</f>
        <v>-</v>
      </c>
      <c r="AZ272" s="290"/>
      <c r="BA272" s="290"/>
      <c r="BB272" s="290"/>
      <c r="BC272" s="290"/>
      <c r="BD272" s="290"/>
      <c r="BE272" s="290"/>
      <c r="BF272" s="290"/>
      <c r="BG272" s="290"/>
      <c r="BH272" s="290"/>
      <c r="BI272" s="290"/>
      <c r="BJ272" s="290"/>
      <c r="BK272" s="290"/>
      <c r="BL272" s="290"/>
      <c r="BM272" s="290"/>
      <c r="BN272" s="289"/>
      <c r="BO272" s="290"/>
      <c r="BP272" s="290"/>
      <c r="BQ272" s="289"/>
      <c r="BR272" s="290"/>
      <c r="BS272" s="289"/>
      <c r="BT272" s="295"/>
      <c r="BU272" s="290"/>
      <c r="BV272" s="290"/>
      <c r="BW272" s="290"/>
      <c r="BX272" s="290"/>
      <c r="BY272" s="290"/>
      <c r="BZ272" s="290"/>
      <c r="CA272" s="290"/>
      <c r="CB272" s="290"/>
      <c r="CC272" s="290"/>
      <c r="CD272" s="290"/>
      <c r="CE272" s="290"/>
      <c r="CF272" s="290"/>
      <c r="CG272" s="290"/>
      <c r="CH272" s="290"/>
      <c r="CI272" s="290"/>
      <c r="CJ272" s="290"/>
      <c r="CK272" s="290"/>
      <c r="CL272" s="290"/>
      <c r="CM272" s="290"/>
      <c r="CN272" s="290"/>
      <c r="CO272" s="290"/>
      <c r="CP272" s="295">
        <f>+IF(BD_MO[[#This Row],[FECHA]]&lt;&gt;"",BD_MO[[#This Row],[PUNTAL 4"]]+BD_MO[[#This Row],[PUNTAL 5"]]+BD_MO[[#This Row],[PUNTAL 6"]]+BD_MO[[#This Row],[PUNTAL 7"]]+BD_MO[[#This Row],[PUNTAL 8"]],"")</f>
        <v>0</v>
      </c>
      <c r="CQ272" s="290"/>
      <c r="CR272" s="290"/>
      <c r="CS272" s="290"/>
      <c r="CT272" s="290"/>
      <c r="CU272" s="290"/>
      <c r="CV272" s="290"/>
      <c r="CW272" s="290"/>
      <c r="CX272" s="290"/>
      <c r="CY272" s="295"/>
      <c r="CZ272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72" s="295">
        <f>+IF(BD_MO[[#This Row],[FECHA]]&lt;&gt;"",BD_MO[[#This Row],[DURMIENTE2]]*6.561+BD_MO[[#This Row],[LISTONES]]*4.921+BD_MO[[#This Row],[TABLA 1"x8"x3m]]*6.561+BD_MO[[#This Row],[TABLA 2"x8"x3m]]*13.122,"")</f>
        <v>0</v>
      </c>
      <c r="DB272" s="295">
        <f>+IF(BD_MO[[#This Row],[FECHA]]&lt;&gt;"",BD_MO[[#This Row],[PIE2 MADERA ASERRADA]]*1.95,"")</f>
        <v>0</v>
      </c>
      <c r="DC272" s="295">
        <f>+IF(BD_MO[[#This Row],[FECHA]]&lt;&gt;"",BD_MO[[#This Row],[KG. MADERA REDONDA]]+BD_MO[[#This Row],[KG MADERA ASERRADA]],"")</f>
        <v>0</v>
      </c>
      <c r="DD272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72" s="290"/>
      <c r="DF272" s="290"/>
      <c r="DG272" s="290"/>
      <c r="DH272" s="290"/>
      <c r="DI272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72" s="299"/>
      <c r="DK272" s="299"/>
      <c r="DL272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72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72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72" s="300"/>
      <c r="DP272" s="299" t="str">
        <f>+IF(BD_MO[[#This Row],[M o D]]&lt;&gt;"",IF(BD_MO[[#This Row],[M o D]]="M",BD_MO[[#This Row],[ROTURA TMH]]/2.65,BD_MO[[#This Row],[ROTURA TMH]]/2.4),"")</f>
        <v/>
      </c>
      <c r="DQ272" s="299"/>
      <c r="DR272" s="116" t="str">
        <f>IF(BD_MO[[#This Row],[TIPO AVANCE]]="Avance",((BD_MO[[#This Row],[AVANCE (m)]]/BD_MO[[#This Row],[AVANCE TEÓRICO]]))," ")</f>
        <v xml:space="preserve"> </v>
      </c>
      <c r="DS272" s="49"/>
      <c r="DT272" s="49"/>
      <c r="DU272" s="49"/>
      <c r="DV272" s="49"/>
      <c r="DW272" s="49"/>
      <c r="DX272" s="49"/>
      <c r="DY272" s="49"/>
      <c r="DZ272" s="49"/>
    </row>
    <row r="273" spans="1:130" ht="18" customHeight="1" x14ac:dyDescent="0.25">
      <c r="A273" s="286">
        <v>44667</v>
      </c>
      <c r="B273" s="287" t="s">
        <v>10647</v>
      </c>
      <c r="C273" s="287" t="s">
        <v>10672</v>
      </c>
      <c r="D273" s="288" t="s">
        <v>10717</v>
      </c>
      <c r="E273" s="289" t="str">
        <f>LEFT(BD_MO[[#This Row],[LABOR]],2)</f>
        <v>BO</v>
      </c>
      <c r="F273" s="290"/>
      <c r="G273" s="290" t="s">
        <v>10669</v>
      </c>
      <c r="H273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73" s="289" t="str">
        <f>IF(BD_MO[FECHA]&lt;&gt;"",VLOOKUP(BD_MO[LABOR],TB_CECO[[LABOR]:[CECO_T]],3,FALSE),"")</f>
        <v>CACHORRO</v>
      </c>
      <c r="J273" s="289" t="str">
        <f>IF(BD_MO[FECHA]&lt;&gt;"",VLOOKUP(BD_MO[LABOR],D_CECO!B:H,7,FALSE),"")</f>
        <v>SERVICIOS</v>
      </c>
      <c r="K273" s="289" t="str">
        <f>IF(BD_MO[FECHA]&lt;&gt;"",VLOOKUP(BD_MO[LABOR],D_CECO!B:H,4,FALSE),"")</f>
        <v>SERVICIOS</v>
      </c>
      <c r="L273" s="289"/>
      <c r="M273" s="291"/>
      <c r="N273" s="290"/>
      <c r="O273" s="292" t="s">
        <v>12202</v>
      </c>
      <c r="P273" s="292"/>
      <c r="Q273" s="292"/>
      <c r="R273" s="293"/>
      <c r="S273" s="294" t="str">
        <f>IFERROR(VLOOKUP(BD_MO[DNI 4],#REF!,2,FALSE)," ")</f>
        <v xml:space="preserve"> </v>
      </c>
      <c r="T273" s="295">
        <f>+IF(BD_MO[[#This Row],[FECHA]]&lt;&gt;"",COUNTA(BD_MO[[#This Row],[DNI]],BD_MO[[#This Row],[DNI 2]],BD_MO[[#This Row],[DNI 3]],BD_MO[[#This Row],[DNI 4]]),"")</f>
        <v>1</v>
      </c>
      <c r="U273" s="295"/>
      <c r="V273" s="295"/>
      <c r="W273" s="295"/>
      <c r="X273" s="295">
        <v>1</v>
      </c>
      <c r="Y273" s="296">
        <f>SUM(BD_MO[[#This Row],[LIMP]:[SERV]])</f>
        <v>1</v>
      </c>
      <c r="Z273" s="290"/>
      <c r="AA273" s="290" t="str">
        <f>+IF(BD_MO[[#This Row],[N° VALE]]&lt;&gt;"",1,"")</f>
        <v/>
      </c>
      <c r="AB273" s="287"/>
      <c r="AC273" s="290"/>
      <c r="AD273" s="290" t="str">
        <f>+IF(BD_MO[[#This Row],[N° VALE]]&lt;&gt;"",BD_MO[[#This Row],[FULMINANTE N° 08]]+BD_MO[CARMEX 7''],"")</f>
        <v/>
      </c>
      <c r="AE273" s="290"/>
      <c r="AF273" s="290" t="str">
        <f>+IF(BD_MO[[#This Row],[N° VALE]]&lt;&gt;"",BD_MO[[#This Row],[N° TALADROS]]+BD_MO[[#This Row],[N° TAL. VACIOS]],"")</f>
        <v/>
      </c>
      <c r="AG273" s="297"/>
      <c r="AH273" s="297"/>
      <c r="AI273" s="297"/>
      <c r="AJ273" s="297"/>
      <c r="AK273" s="297"/>
      <c r="AL273" s="297"/>
      <c r="AM273" s="289"/>
      <c r="AN273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73" s="290" t="str">
        <f>+IF(BD_MO[[#This Row],[N° VALE]]&lt;&gt;"",IF(BD_MO[[#This Row],[FULMINANTE N° 08]]&lt;&gt;"",BD_MO[[#This Row],[FULMINANTE N° 08]],IF(BD_MO[[#This Row],[CARMEX 7'']]&lt;&gt;0,0,"")),"")</f>
        <v/>
      </c>
      <c r="AP273" s="295" t="str">
        <f>+IF(BD_MO[[#This Row],[N° VALE]]&lt;&gt;"",BD_MO[[#This Row],[N°  TOTAL TALADROS]]*BD_MO[[#This Row],[BARRA]]*0.95,"")</f>
        <v/>
      </c>
      <c r="AQ273" s="295" t="str">
        <f>+IF(BD_MO[[#This Row],[N° VALE]]&lt;&gt;"",BD_MO[[#This Row],[EMULNOR 1000 (N° CART.)]]*PE_EMUL_1000[PE],"")</f>
        <v/>
      </c>
      <c r="AR273" s="295" t="str">
        <f>+IF(BD_MO[[#This Row],[N° VALE]]&lt;&gt;"",BD_MO[[#This Row],[EMULNOR 3000 (N° CART.)]]*PE_EMUL_3000[PE],"")</f>
        <v/>
      </c>
      <c r="AS273" s="295" t="str">
        <f>+IF(BD_MO[[#This Row],[N° VALE]]&lt;&gt;"",BD_MO[[#This Row],[PULVERULENTA (N° CART.)]]*PE_PULV_65[PE],"")</f>
        <v/>
      </c>
      <c r="AT273" s="295" t="str">
        <f>+IF(BD_MO[[#This Row],[N° DISP]]&lt;&gt;"",BD_MO[[#This Row],[SEMIGELATINA (N° CART.)]]*PE_SEMIGEL_65[PE],"")</f>
        <v/>
      </c>
      <c r="AU273" s="295" t="str">
        <f>+IF(BD_MO[N° VALE]&lt;&gt;"",BD_MO[[#This Row],[KG EXPLO SEMIGEL]]+BD_MO[[#This Row],[KG EXPLO PULVE]]+BD_MO[[#This Row],[KG EXPLO EMULN 3000]]+BD_MO[[#This Row],[KG EXPLO EMULN 1000]],"")</f>
        <v/>
      </c>
      <c r="AV273" s="290"/>
      <c r="AW273" s="290"/>
      <c r="AX273" s="290" t="str">
        <f>+IF(BD_MO[[#This Row],[MINERAL (U-35)]]&lt;&gt;"",BD_MO[[#This Row],[MINERAL (U-35)]]*1.45,"-")</f>
        <v>-</v>
      </c>
      <c r="AY273" s="290" t="str">
        <f>+IF(BD_MO[[#This Row],[DESMONTE (U-35)]]&lt;&gt;"",BD_MO[[#This Row],[DESMONTE (U-35)]]*1.23,"-")</f>
        <v>-</v>
      </c>
      <c r="AZ273" s="290"/>
      <c r="BA273" s="290"/>
      <c r="BB273" s="290"/>
      <c r="BC273" s="290"/>
      <c r="BD273" s="290"/>
      <c r="BE273" s="290"/>
      <c r="BF273" s="290"/>
      <c r="BG273" s="290"/>
      <c r="BH273" s="290"/>
      <c r="BI273" s="290"/>
      <c r="BJ273" s="290"/>
      <c r="BK273" s="290"/>
      <c r="BL273" s="290"/>
      <c r="BM273" s="290"/>
      <c r="BN273" s="289"/>
      <c r="BO273" s="290"/>
      <c r="BP273" s="290"/>
      <c r="BQ273" s="289"/>
      <c r="BR273" s="290"/>
      <c r="BS273" s="289"/>
      <c r="BT273" s="295"/>
      <c r="BU273" s="290"/>
      <c r="BV273" s="290"/>
      <c r="BW273" s="290"/>
      <c r="BX273" s="290"/>
      <c r="BY273" s="290"/>
      <c r="BZ273" s="290"/>
      <c r="CA273" s="290"/>
      <c r="CB273" s="290"/>
      <c r="CC273" s="290"/>
      <c r="CD273" s="290"/>
      <c r="CE273" s="290"/>
      <c r="CF273" s="290"/>
      <c r="CG273" s="290"/>
      <c r="CH273" s="290"/>
      <c r="CI273" s="290"/>
      <c r="CJ273" s="290"/>
      <c r="CK273" s="290"/>
      <c r="CL273" s="290"/>
      <c r="CM273" s="290"/>
      <c r="CN273" s="290"/>
      <c r="CO273" s="290"/>
      <c r="CP273" s="295">
        <f>+IF(BD_MO[[#This Row],[FECHA]]&lt;&gt;"",BD_MO[[#This Row],[PUNTAL 4"]]+BD_MO[[#This Row],[PUNTAL 5"]]+BD_MO[[#This Row],[PUNTAL 6"]]+BD_MO[[#This Row],[PUNTAL 7"]]+BD_MO[[#This Row],[PUNTAL 8"]],"")</f>
        <v>0</v>
      </c>
      <c r="CQ273" s="290"/>
      <c r="CR273" s="290"/>
      <c r="CS273" s="290"/>
      <c r="CT273" s="290"/>
      <c r="CU273" s="290"/>
      <c r="CV273" s="290"/>
      <c r="CW273" s="290"/>
      <c r="CX273" s="290"/>
      <c r="CY273" s="295"/>
      <c r="CZ273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73" s="295">
        <f>+IF(BD_MO[[#This Row],[FECHA]]&lt;&gt;"",BD_MO[[#This Row],[DURMIENTE2]]*6.561+BD_MO[[#This Row],[LISTONES]]*4.921+BD_MO[[#This Row],[TABLA 1"x8"x3m]]*6.561+BD_MO[[#This Row],[TABLA 2"x8"x3m]]*13.122,"")</f>
        <v>0</v>
      </c>
      <c r="DB273" s="295">
        <f>+IF(BD_MO[[#This Row],[FECHA]]&lt;&gt;"",BD_MO[[#This Row],[PIE2 MADERA ASERRADA]]*1.95,"")</f>
        <v>0</v>
      </c>
      <c r="DC273" s="295">
        <f>+IF(BD_MO[[#This Row],[FECHA]]&lt;&gt;"",BD_MO[[#This Row],[KG. MADERA REDONDA]]+BD_MO[[#This Row],[KG MADERA ASERRADA]],"")</f>
        <v>0</v>
      </c>
      <c r="DD273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73" s="290"/>
      <c r="DF273" s="290"/>
      <c r="DG273" s="290"/>
      <c r="DH273" s="290"/>
      <c r="DI273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73" s="299"/>
      <c r="DK273" s="299"/>
      <c r="DL273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73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73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73" s="300"/>
      <c r="DP273" s="299" t="str">
        <f>+IF(BD_MO[[#This Row],[M o D]]&lt;&gt;"",IF(BD_MO[[#This Row],[M o D]]="M",BD_MO[[#This Row],[ROTURA TMH]]/2.65,BD_MO[[#This Row],[ROTURA TMH]]/2.4),"")</f>
        <v/>
      </c>
      <c r="DQ273" s="299"/>
      <c r="DR273" s="116" t="str">
        <f>IF(BD_MO[[#This Row],[TIPO AVANCE]]="Avance",((BD_MO[[#This Row],[AVANCE (m)]]/BD_MO[[#This Row],[AVANCE TEÓRICO]]))," ")</f>
        <v xml:space="preserve"> </v>
      </c>
      <c r="DS273" s="49"/>
      <c r="DT273" s="49"/>
      <c r="DU273" s="49"/>
      <c r="DV273" s="49"/>
      <c r="DW273" s="49"/>
      <c r="DX273" s="49"/>
      <c r="DY273" s="49"/>
      <c r="DZ273" s="49"/>
    </row>
    <row r="274" spans="1:130" s="115" customFormat="1" ht="18" customHeight="1" thickBot="1" x14ac:dyDescent="0.3">
      <c r="A274" s="314">
        <v>44667</v>
      </c>
      <c r="B274" s="315" t="s">
        <v>10647</v>
      </c>
      <c r="C274" s="315" t="s">
        <v>10672</v>
      </c>
      <c r="D274" s="316" t="s">
        <v>11928</v>
      </c>
      <c r="E274" s="317" t="str">
        <f>LEFT(BD_MO[[#This Row],[LABOR]],2)</f>
        <v>Tj</v>
      </c>
      <c r="F274" s="318"/>
      <c r="G274" s="318" t="s">
        <v>10669</v>
      </c>
      <c r="H274" s="31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74" s="317" t="str">
        <f>IF(BD_MO[FECHA]&lt;&gt;"",VLOOKUP(BD_MO[LABOR],TB_CECO[[LABOR]:[CECO_T]],3,FALSE),"")</f>
        <v>ESCONDIDA</v>
      </c>
      <c r="J274" s="317" t="str">
        <f>IF(BD_MO[FECHA]&lt;&gt;"",VLOOKUP(BD_MO[LABOR],D_CECO!B:H,7,FALSE),"")</f>
        <v>TAJO</v>
      </c>
      <c r="K274" s="317" t="str">
        <f>IF(BD_MO[FECHA]&lt;&gt;"",VLOOKUP(BD_MO[LABOR],D_CECO!B:H,4,FALSE),"")</f>
        <v>EXPLOTACION</v>
      </c>
      <c r="L274" s="317"/>
      <c r="M274" s="315"/>
      <c r="N274" s="318"/>
      <c r="O274" s="319" t="s">
        <v>12192</v>
      </c>
      <c r="P274" s="319" t="s">
        <v>12205</v>
      </c>
      <c r="Q274" s="319"/>
      <c r="R274" s="320"/>
      <c r="S274" s="321" t="str">
        <f>IFERROR(VLOOKUP(BD_MO[DNI 4],#REF!,2,FALSE)," ")</f>
        <v xml:space="preserve"> </v>
      </c>
      <c r="T274" s="322">
        <f>+IF(BD_MO[[#This Row],[FECHA]]&lt;&gt;"",COUNTA(BD_MO[[#This Row],[DNI]],BD_MO[[#This Row],[DNI 2]],BD_MO[[#This Row],[DNI 3]],BD_MO[[#This Row],[DNI 4]]),"")</f>
        <v>2</v>
      </c>
      <c r="U274" s="322"/>
      <c r="V274" s="322"/>
      <c r="W274" s="322"/>
      <c r="X274" s="322">
        <v>2</v>
      </c>
      <c r="Y274" s="323">
        <f>SUM(BD_MO[[#This Row],[LIMP]:[SERV]])</f>
        <v>2</v>
      </c>
      <c r="Z274" s="318"/>
      <c r="AA274" s="318" t="str">
        <f>+IF(BD_MO[[#This Row],[N° VALE]]&lt;&gt;"",1,"")</f>
        <v/>
      </c>
      <c r="AB274" s="315"/>
      <c r="AC274" s="318"/>
      <c r="AD274" s="318" t="str">
        <f>+IF(BD_MO[[#This Row],[N° VALE]]&lt;&gt;"",BD_MO[[#This Row],[FULMINANTE N° 08]]+BD_MO[CARMEX 7''],"")</f>
        <v/>
      </c>
      <c r="AE274" s="318"/>
      <c r="AF274" s="318" t="str">
        <f>+IF(BD_MO[[#This Row],[N° VALE]]&lt;&gt;"",BD_MO[[#This Row],[N° TALADROS]]+BD_MO[[#This Row],[N° TAL. VACIOS]],"")</f>
        <v/>
      </c>
      <c r="AG274" s="324"/>
      <c r="AH274" s="324"/>
      <c r="AI274" s="324"/>
      <c r="AJ274" s="324"/>
      <c r="AK274" s="324"/>
      <c r="AL274" s="324"/>
      <c r="AM274" s="317"/>
      <c r="AN274" s="31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74" s="318" t="str">
        <f>+IF(BD_MO[[#This Row],[N° VALE]]&lt;&gt;"",IF(BD_MO[[#This Row],[FULMINANTE N° 08]]&lt;&gt;"",BD_MO[[#This Row],[FULMINANTE N° 08]],IF(BD_MO[[#This Row],[CARMEX 7'']]&lt;&gt;0,0,"")),"")</f>
        <v/>
      </c>
      <c r="AP274" s="322" t="str">
        <f>+IF(BD_MO[[#This Row],[N° VALE]]&lt;&gt;"",BD_MO[[#This Row],[N°  TOTAL TALADROS]]*BD_MO[[#This Row],[BARRA]]*0.95,"")</f>
        <v/>
      </c>
      <c r="AQ274" s="322" t="str">
        <f>+IF(BD_MO[[#This Row],[N° VALE]]&lt;&gt;"",BD_MO[[#This Row],[EMULNOR 1000 (N° CART.)]]*PE_EMUL_1000[PE],"")</f>
        <v/>
      </c>
      <c r="AR274" s="322" t="str">
        <f>+IF(BD_MO[[#This Row],[N° VALE]]&lt;&gt;"",BD_MO[[#This Row],[EMULNOR 3000 (N° CART.)]]*PE_EMUL_3000[PE],"")</f>
        <v/>
      </c>
      <c r="AS274" s="322" t="str">
        <f>+IF(BD_MO[[#This Row],[N° VALE]]&lt;&gt;"",BD_MO[[#This Row],[PULVERULENTA (N° CART.)]]*PE_PULV_65[PE],"")</f>
        <v/>
      </c>
      <c r="AT274" s="322" t="str">
        <f>+IF(BD_MO[[#This Row],[N° DISP]]&lt;&gt;"",BD_MO[[#This Row],[SEMIGELATINA (N° CART.)]]*PE_SEMIGEL_65[PE],"")</f>
        <v/>
      </c>
      <c r="AU274" s="322" t="str">
        <f>+IF(BD_MO[N° VALE]&lt;&gt;"",BD_MO[[#This Row],[KG EXPLO SEMIGEL]]+BD_MO[[#This Row],[KG EXPLO PULVE]]+BD_MO[[#This Row],[KG EXPLO EMULN 3000]]+BD_MO[[#This Row],[KG EXPLO EMULN 1000]],"")</f>
        <v/>
      </c>
      <c r="AV274" s="318"/>
      <c r="AW274" s="318"/>
      <c r="AX274" s="318" t="str">
        <f>+IF(BD_MO[[#This Row],[MINERAL (U-35)]]&lt;&gt;"",BD_MO[[#This Row],[MINERAL (U-35)]]*1.45,"-")</f>
        <v>-</v>
      </c>
      <c r="AY274" s="318" t="str">
        <f>+IF(BD_MO[[#This Row],[DESMONTE (U-35)]]&lt;&gt;"",BD_MO[[#This Row],[DESMONTE (U-35)]]*1.23,"-")</f>
        <v>-</v>
      </c>
      <c r="AZ274" s="318"/>
      <c r="BA274" s="318"/>
      <c r="BB274" s="318"/>
      <c r="BC274" s="318"/>
      <c r="BD274" s="318"/>
      <c r="BE274" s="318"/>
      <c r="BF274" s="318"/>
      <c r="BG274" s="318"/>
      <c r="BH274" s="318"/>
      <c r="BI274" s="318"/>
      <c r="BJ274" s="318"/>
      <c r="BK274" s="318"/>
      <c r="BL274" s="318"/>
      <c r="BM274" s="318"/>
      <c r="BN274" s="317"/>
      <c r="BO274" s="318"/>
      <c r="BP274" s="318"/>
      <c r="BQ274" s="317"/>
      <c r="BR274" s="318"/>
      <c r="BS274" s="317"/>
      <c r="BT274" s="322"/>
      <c r="BU274" s="318"/>
      <c r="BV274" s="318"/>
      <c r="BW274" s="318"/>
      <c r="BX274" s="318"/>
      <c r="BY274" s="318"/>
      <c r="BZ274" s="318"/>
      <c r="CA274" s="318"/>
      <c r="CB274" s="318"/>
      <c r="CC274" s="318"/>
      <c r="CD274" s="318"/>
      <c r="CE274" s="318"/>
      <c r="CF274" s="318"/>
      <c r="CG274" s="318"/>
      <c r="CH274" s="318"/>
      <c r="CI274" s="318"/>
      <c r="CJ274" s="318"/>
      <c r="CK274" s="318"/>
      <c r="CL274" s="318"/>
      <c r="CM274" s="318"/>
      <c r="CN274" s="318"/>
      <c r="CO274" s="318"/>
      <c r="CP274" s="322">
        <f>+IF(BD_MO[[#This Row],[FECHA]]&lt;&gt;"",BD_MO[[#This Row],[PUNTAL 4"]]+BD_MO[[#This Row],[PUNTAL 5"]]+BD_MO[[#This Row],[PUNTAL 6"]]+BD_MO[[#This Row],[PUNTAL 7"]]+BD_MO[[#This Row],[PUNTAL 8"]],"")</f>
        <v>0</v>
      </c>
      <c r="CQ274" s="318"/>
      <c r="CR274" s="318"/>
      <c r="CS274" s="318"/>
      <c r="CT274" s="318"/>
      <c r="CU274" s="318"/>
      <c r="CV274" s="318"/>
      <c r="CW274" s="318"/>
      <c r="CX274" s="318"/>
      <c r="CY274" s="322"/>
      <c r="CZ274" s="32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74" s="322">
        <f>+IF(BD_MO[[#This Row],[FECHA]]&lt;&gt;"",BD_MO[[#This Row],[DURMIENTE2]]*6.561+BD_MO[[#This Row],[LISTONES]]*4.921+BD_MO[[#This Row],[TABLA 1"x8"x3m]]*6.561+BD_MO[[#This Row],[TABLA 2"x8"x3m]]*13.122,"")</f>
        <v>0</v>
      </c>
      <c r="DB274" s="322">
        <f>+IF(BD_MO[[#This Row],[FECHA]]&lt;&gt;"",BD_MO[[#This Row],[PIE2 MADERA ASERRADA]]*1.95,"")</f>
        <v>0</v>
      </c>
      <c r="DC274" s="322">
        <f>+IF(BD_MO[[#This Row],[FECHA]]&lt;&gt;"",BD_MO[[#This Row],[KG. MADERA REDONDA]]+BD_MO[[#This Row],[KG MADERA ASERRADA]],"")</f>
        <v>0</v>
      </c>
      <c r="DD274" s="32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74" s="318"/>
      <c r="DF274" s="318"/>
      <c r="DG274" s="318"/>
      <c r="DH274" s="318"/>
      <c r="DI274" s="32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74" s="326"/>
      <c r="DK274" s="326"/>
      <c r="DL274" s="32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74" s="32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74" s="32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74" s="327"/>
      <c r="DP274" s="326" t="str">
        <f>+IF(BD_MO[[#This Row],[M o D]]&lt;&gt;"",IF(BD_MO[[#This Row],[M o D]]="M",BD_MO[[#This Row],[ROTURA TMH]]/2.65,BD_MO[[#This Row],[ROTURA TMH]]/2.4),"")</f>
        <v/>
      </c>
      <c r="DQ274" s="326"/>
      <c r="DR274" s="116" t="str">
        <f>IF(BD_MO[[#This Row],[TIPO AVANCE]]="Avance",((BD_MO[[#This Row],[AVANCE (m)]]/BD_MO[[#This Row],[AVANCE TEÓRICO]]))," ")</f>
        <v xml:space="preserve"> </v>
      </c>
    </row>
    <row r="275" spans="1:130" ht="18" customHeight="1" x14ac:dyDescent="0.25">
      <c r="A275" s="286">
        <v>44667</v>
      </c>
      <c r="B275" s="40" t="s">
        <v>10655</v>
      </c>
      <c r="C275" s="40" t="s">
        <v>10680</v>
      </c>
      <c r="D275" s="61" t="s">
        <v>11827</v>
      </c>
      <c r="E275" s="289" t="str">
        <f>LEFT(BD_MO[[#This Row],[LABOR]],2)</f>
        <v>Tj</v>
      </c>
      <c r="F275" s="46" t="s">
        <v>10687</v>
      </c>
      <c r="G275" s="290" t="s">
        <v>10648</v>
      </c>
      <c r="H275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75" s="289" t="str">
        <f>IF(BD_MO[FECHA]&lt;&gt;"",VLOOKUP(BD_MO[LABOR],TB_CECO[[LABOR]:[CECO_T]],3,FALSE),"")</f>
        <v>VANESSA</v>
      </c>
      <c r="J275" s="289" t="str">
        <f>IF(BD_MO[FECHA]&lt;&gt;"",VLOOKUP(BD_MO[LABOR],D_CECO!B:H,7,FALSE),"")</f>
        <v>TAJO</v>
      </c>
      <c r="K275" s="289" t="str">
        <f>IF(BD_MO[FECHA]&lt;&gt;"",VLOOKUP(BD_MO[LABOR],D_CECO!B:H,4,FALSE),"")</f>
        <v>EXPLOTACION</v>
      </c>
      <c r="L275" s="289"/>
      <c r="M275" s="48" t="s">
        <v>10679</v>
      </c>
      <c r="N275" s="290"/>
      <c r="O275" s="93" t="s">
        <v>11976</v>
      </c>
      <c r="P275" s="93" t="s">
        <v>11924</v>
      </c>
      <c r="Q275" s="292"/>
      <c r="R275" s="293"/>
      <c r="S275" s="294" t="str">
        <f>IFERROR(VLOOKUP(BD_MO[DNI 4],#REF!,2,FALSE)," ")</f>
        <v xml:space="preserve"> </v>
      </c>
      <c r="T275" s="295">
        <f>+IF(BD_MO[[#This Row],[FECHA]]&lt;&gt;"",COUNTA(BD_MO[[#This Row],[DNI]],BD_MO[[#This Row],[DNI 2]],BD_MO[[#This Row],[DNI 3]],BD_MO[[#This Row],[DNI 4]]),"")</f>
        <v>2</v>
      </c>
      <c r="U275" s="295">
        <v>1</v>
      </c>
      <c r="V275" s="295">
        <v>0.3</v>
      </c>
      <c r="W275" s="295">
        <v>0.4</v>
      </c>
      <c r="X275" s="295">
        <v>0.3</v>
      </c>
      <c r="Y275" s="296">
        <f>SUM(BD_MO[[#This Row],[LIMP]:[SERV]])</f>
        <v>2</v>
      </c>
      <c r="Z275" s="46" t="s">
        <v>12291</v>
      </c>
      <c r="AA275" s="290">
        <f>+IF(BD_MO[[#This Row],[N° VALE]]&lt;&gt;"",1,"")</f>
        <v>1</v>
      </c>
      <c r="AB275" s="287" t="s">
        <v>10659</v>
      </c>
      <c r="AC275" s="290">
        <v>4</v>
      </c>
      <c r="AD275" s="290">
        <f>+IF(BD_MO[[#This Row],[N° VALE]]&lt;&gt;"",BD_MO[[#This Row],[FULMINANTE N° 08]]+BD_MO[CARMEX 7''],"")</f>
        <v>17</v>
      </c>
      <c r="AE275" s="290"/>
      <c r="AF275" s="290">
        <f>+IF(BD_MO[[#This Row],[N° VALE]]&lt;&gt;"",BD_MO[[#This Row],[N° TALADROS]]+BD_MO[[#This Row],[N° TAL. VACIOS]],"")</f>
        <v>17</v>
      </c>
      <c r="AG275" s="297">
        <v>24</v>
      </c>
      <c r="AH275" s="297">
        <v>46</v>
      </c>
      <c r="AI275" s="297"/>
      <c r="AJ275" s="297"/>
      <c r="AK275" s="297">
        <v>17</v>
      </c>
      <c r="AL275" s="297">
        <v>6</v>
      </c>
      <c r="AM275" s="289"/>
      <c r="AN275" s="290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75" s="290">
        <f>+IF(BD_MO[[#This Row],[N° VALE]]&lt;&gt;"",IF(BD_MO[[#This Row],[FULMINANTE N° 08]]&lt;&gt;"",BD_MO[[#This Row],[FULMINANTE N° 08]],IF(BD_MO[[#This Row],[CARMEX 7'']]&lt;&gt;0,0,"")),"")</f>
        <v>0</v>
      </c>
      <c r="AP275" s="295">
        <f>+IF(BD_MO[[#This Row],[N° VALE]]&lt;&gt;"",BD_MO[[#This Row],[N°  TOTAL TALADROS]]*BD_MO[[#This Row],[BARRA]]*0.95,"")</f>
        <v>64.599999999999994</v>
      </c>
      <c r="AQ275" s="295">
        <f>+IF(BD_MO[[#This Row],[N° VALE]]&lt;&gt;"",BD_MO[[#This Row],[EMULNOR 1000 (N° CART.)]]*PE_EMUL_1000[PE],"")</f>
        <v>4.3562000000000003</v>
      </c>
      <c r="AR275" s="295">
        <f>+IF(BD_MO[[#This Row],[N° VALE]]&lt;&gt;"",BD_MO[[#This Row],[EMULNOR 3000 (N° CART.)]]*PE_EMUL_3000[PE],"")</f>
        <v>2.3076923076923088</v>
      </c>
      <c r="AS275" s="295">
        <f>+IF(BD_MO[[#This Row],[N° VALE]]&lt;&gt;"",BD_MO[[#This Row],[PULVERULENTA (N° CART.)]]*PE_PULV_65[PE],"")</f>
        <v>0</v>
      </c>
      <c r="AT275" s="295">
        <f>+IF(BD_MO[[#This Row],[N° DISP]]&lt;&gt;"",BD_MO[[#This Row],[SEMIGELATINA (N° CART.)]]*PE_SEMIGEL_65[PE],"")</f>
        <v>0</v>
      </c>
      <c r="AU275" s="295">
        <f>+IF(BD_MO[N° VALE]&lt;&gt;"",BD_MO[[#This Row],[KG EXPLO SEMIGEL]]+BD_MO[[#This Row],[KG EXPLO PULVE]]+BD_MO[[#This Row],[KG EXPLO EMULN 3000]]+BD_MO[[#This Row],[KG EXPLO EMULN 1000]],"")</f>
        <v>6.6638923076923096</v>
      </c>
      <c r="AV275" s="290">
        <v>13</v>
      </c>
      <c r="AW275" s="290"/>
      <c r="AX275" s="290">
        <f>+IF(BD_MO[[#This Row],[MINERAL (U-35)]]&lt;&gt;"",BD_MO[[#This Row],[MINERAL (U-35)]]*1.45,"-")</f>
        <v>18.849999999999998</v>
      </c>
      <c r="AY275" s="290" t="str">
        <f>+IF(BD_MO[[#This Row],[DESMONTE (U-35)]]&lt;&gt;"",BD_MO[[#This Row],[DESMONTE (U-35)]]*1.23,"-")</f>
        <v>-</v>
      </c>
      <c r="AZ275" s="290"/>
      <c r="BA275" s="290"/>
      <c r="BB275" s="290"/>
      <c r="BC275" s="290"/>
      <c r="BD275" s="290"/>
      <c r="BE275" s="290"/>
      <c r="BF275" s="290"/>
      <c r="BG275" s="290"/>
      <c r="BH275" s="290"/>
      <c r="BI275" s="290">
        <v>2</v>
      </c>
      <c r="BJ275" s="290"/>
      <c r="BK275" s="290"/>
      <c r="BL275" s="290"/>
      <c r="BM275" s="290"/>
      <c r="BN275" s="289"/>
      <c r="BO275" s="290"/>
      <c r="BP275" s="290"/>
      <c r="BQ275" s="289">
        <v>3</v>
      </c>
      <c r="BR275" s="290"/>
      <c r="BS275" s="289"/>
      <c r="BT275" s="295"/>
      <c r="BU275" s="290"/>
      <c r="BV275" s="290"/>
      <c r="BW275" s="290"/>
      <c r="BX275" s="290"/>
      <c r="BY275" s="290"/>
      <c r="BZ275" s="290"/>
      <c r="CA275" s="290"/>
      <c r="CB275" s="290"/>
      <c r="CC275" s="290"/>
      <c r="CD275" s="290"/>
      <c r="CE275" s="290"/>
      <c r="CF275" s="290"/>
      <c r="CG275" s="290"/>
      <c r="CH275" s="290"/>
      <c r="CI275" s="290"/>
      <c r="CJ275" s="290"/>
      <c r="CK275" s="290"/>
      <c r="CL275" s="290"/>
      <c r="CM275" s="290">
        <v>3</v>
      </c>
      <c r="CN275" s="290"/>
      <c r="CO275" s="290"/>
      <c r="CP275" s="295">
        <f>+IF(BD_MO[[#This Row],[FECHA]]&lt;&gt;"",BD_MO[[#This Row],[PUNTAL 4"]]+BD_MO[[#This Row],[PUNTAL 5"]]+BD_MO[[#This Row],[PUNTAL 6"]]+BD_MO[[#This Row],[PUNTAL 7"]]+BD_MO[[#This Row],[PUNTAL 8"]],"")</f>
        <v>3</v>
      </c>
      <c r="CQ275" s="290"/>
      <c r="CR275" s="290"/>
      <c r="CS275" s="290">
        <v>7</v>
      </c>
      <c r="CT275" s="290"/>
      <c r="CU275" s="290"/>
      <c r="CV275" s="290"/>
      <c r="CW275" s="290"/>
      <c r="CX275" s="290"/>
      <c r="CY275" s="295"/>
      <c r="CZ275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306.822</v>
      </c>
      <c r="DA275" s="295">
        <f>+IF(BD_MO[[#This Row],[FECHA]]&lt;&gt;"",BD_MO[[#This Row],[DURMIENTE2]]*6.561+BD_MO[[#This Row],[LISTONES]]*4.921+BD_MO[[#This Row],[TABLA 1"x8"x3m]]*6.561+BD_MO[[#This Row],[TABLA 2"x8"x3m]]*13.122,"")</f>
        <v>0</v>
      </c>
      <c r="DB275" s="295">
        <f>+IF(BD_MO[[#This Row],[FECHA]]&lt;&gt;"",BD_MO[[#This Row],[PIE2 MADERA ASERRADA]]*1.95,"")</f>
        <v>0</v>
      </c>
      <c r="DC275" s="295">
        <f>+IF(BD_MO[[#This Row],[FECHA]]&lt;&gt;"",BD_MO[[#This Row],[KG. MADERA REDONDA]]+BD_MO[[#This Row],[KG MADERA ASERRADA]],"")</f>
        <v>306.822</v>
      </c>
      <c r="DD275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139.43</v>
      </c>
      <c r="DE275" s="290"/>
      <c r="DF275" s="290"/>
      <c r="DG275" s="290"/>
      <c r="DH275" s="290"/>
      <c r="DI275" s="299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75" s="299"/>
      <c r="DK275" s="299"/>
      <c r="DL275" s="299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3.97</v>
      </c>
      <c r="DM275" s="299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4.1288</v>
      </c>
      <c r="DN275" s="299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75" s="66">
        <f>0.36*17</f>
        <v>6.12</v>
      </c>
      <c r="DP275" s="299">
        <f>+IF(BD_MO[[#This Row],[M o D]]&lt;&gt;"",IF(BD_MO[[#This Row],[M o D]]="M",BD_MO[[#This Row],[ROTURA TMH]]/2.65,BD_MO[[#This Row],[ROTURA TMH]]/2.4),"")</f>
        <v>2.5500000000000003</v>
      </c>
      <c r="DQ275" s="299"/>
      <c r="DR275" s="116" t="str">
        <f>IF(BD_MO[[#This Row],[TIPO AVANCE]]="Avance",((BD_MO[[#This Row],[AVANCE (m)]]/BD_MO[[#This Row],[AVANCE TEÓRICO]]))," ")</f>
        <v xml:space="preserve"> </v>
      </c>
      <c r="DS275" s="49"/>
      <c r="DT275" s="49"/>
      <c r="DU275" s="49"/>
      <c r="DV275" s="49"/>
      <c r="DW275" s="49"/>
      <c r="DX275" s="49"/>
      <c r="DY275" s="49"/>
      <c r="DZ275" s="49"/>
    </row>
    <row r="276" spans="1:130" ht="18" customHeight="1" x14ac:dyDescent="0.25">
      <c r="A276" s="286">
        <v>44667</v>
      </c>
      <c r="B276" s="40" t="s">
        <v>10655</v>
      </c>
      <c r="C276" s="40" t="s">
        <v>10680</v>
      </c>
      <c r="D276" s="61" t="s">
        <v>11827</v>
      </c>
      <c r="E276" s="289" t="str">
        <f>LEFT(BD_MO[[#This Row],[LABOR]],2)</f>
        <v>Tj</v>
      </c>
      <c r="F276" s="46" t="s">
        <v>10687</v>
      </c>
      <c r="G276" s="290" t="s">
        <v>10648</v>
      </c>
      <c r="H276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76" s="289" t="str">
        <f>IF(BD_MO[FECHA]&lt;&gt;"",VLOOKUP(BD_MO[LABOR],TB_CECO[[LABOR]:[CECO_T]],3,FALSE),"")</f>
        <v>VANESSA</v>
      </c>
      <c r="J276" s="289" t="str">
        <f>IF(BD_MO[FECHA]&lt;&gt;"",VLOOKUP(BD_MO[LABOR],D_CECO!B:H,7,FALSE),"")</f>
        <v>TAJO</v>
      </c>
      <c r="K276" s="289" t="str">
        <f>IF(BD_MO[FECHA]&lt;&gt;"",VLOOKUP(BD_MO[LABOR],D_CECO!B:H,4,FALSE),"")</f>
        <v>EXPLOTACION</v>
      </c>
      <c r="L276" s="289"/>
      <c r="M276" s="291" t="s">
        <v>10679</v>
      </c>
      <c r="N276" s="290"/>
      <c r="O276" s="93" t="s">
        <v>11910</v>
      </c>
      <c r="P276" s="93" t="s">
        <v>11912</v>
      </c>
      <c r="Q276" s="292"/>
      <c r="R276" s="293"/>
      <c r="S276" s="294" t="str">
        <f>IFERROR(VLOOKUP(BD_MO[DNI 4],#REF!,2,FALSE)," ")</f>
        <v xml:space="preserve"> </v>
      </c>
      <c r="T276" s="295">
        <f>+IF(BD_MO[[#This Row],[FECHA]]&lt;&gt;"",COUNTA(BD_MO[[#This Row],[DNI]],BD_MO[[#This Row],[DNI 2]],BD_MO[[#This Row],[DNI 3]],BD_MO[[#This Row],[DNI 4]]),"")</f>
        <v>2</v>
      </c>
      <c r="U276" s="295"/>
      <c r="V276" s="295">
        <v>0.4</v>
      </c>
      <c r="W276" s="295">
        <v>1</v>
      </c>
      <c r="X276" s="295">
        <v>0.6</v>
      </c>
      <c r="Y276" s="296">
        <f>SUM(BD_MO[[#This Row],[LIMP]:[SERV]])</f>
        <v>2</v>
      </c>
      <c r="Z276" s="46" t="s">
        <v>12292</v>
      </c>
      <c r="AA276" s="290">
        <f>+IF(BD_MO[[#This Row],[N° VALE]]&lt;&gt;"",1,"")</f>
        <v>1</v>
      </c>
      <c r="AB276" s="40" t="s">
        <v>10709</v>
      </c>
      <c r="AC276" s="290">
        <v>4</v>
      </c>
      <c r="AD276" s="290">
        <f>+IF(BD_MO[[#This Row],[N° VALE]]&lt;&gt;"",BD_MO[[#This Row],[FULMINANTE N° 08]]+BD_MO[CARMEX 7''],"")</f>
        <v>18</v>
      </c>
      <c r="AE276" s="290"/>
      <c r="AF276" s="290">
        <f>+IF(BD_MO[[#This Row],[N° VALE]]&lt;&gt;"",BD_MO[[#This Row],[N° TALADROS]]+BD_MO[[#This Row],[N° TAL. VACIOS]],"")</f>
        <v>18</v>
      </c>
      <c r="AG276" s="297">
        <v>20</v>
      </c>
      <c r="AH276" s="297">
        <v>62</v>
      </c>
      <c r="AI276" s="297"/>
      <c r="AJ276" s="297"/>
      <c r="AK276" s="297">
        <v>18</v>
      </c>
      <c r="AL276" s="297">
        <v>4</v>
      </c>
      <c r="AM276" s="289"/>
      <c r="AN276" s="290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76" s="290">
        <f>+IF(BD_MO[[#This Row],[N° VALE]]&lt;&gt;"",IF(BD_MO[[#This Row],[FULMINANTE N° 08]]&lt;&gt;"",BD_MO[[#This Row],[FULMINANTE N° 08]],IF(BD_MO[[#This Row],[CARMEX 7'']]&lt;&gt;0,0,"")),"")</f>
        <v>0</v>
      </c>
      <c r="AP276" s="295">
        <f>+IF(BD_MO[[#This Row],[N° VALE]]&lt;&gt;"",BD_MO[[#This Row],[N°  TOTAL TALADROS]]*BD_MO[[#This Row],[BARRA]]*0.95,"")</f>
        <v>68.399999999999991</v>
      </c>
      <c r="AQ276" s="295">
        <f>+IF(BD_MO[[#This Row],[N° VALE]]&lt;&gt;"",BD_MO[[#This Row],[EMULNOR 1000 (N° CART.)]]*PE_EMUL_1000[PE],"")</f>
        <v>5.8714000000000004</v>
      </c>
      <c r="AR276" s="295">
        <f>+IF(BD_MO[[#This Row],[N° VALE]]&lt;&gt;"",BD_MO[[#This Row],[EMULNOR 3000 (N° CART.)]]*PE_EMUL_3000[PE],"")</f>
        <v>1.923076923076924</v>
      </c>
      <c r="AS276" s="295">
        <f>+IF(BD_MO[[#This Row],[N° VALE]]&lt;&gt;"",BD_MO[[#This Row],[PULVERULENTA (N° CART.)]]*PE_PULV_65[PE],"")</f>
        <v>0</v>
      </c>
      <c r="AT276" s="295">
        <f>+IF(BD_MO[[#This Row],[N° DISP]]&lt;&gt;"",BD_MO[[#This Row],[SEMIGELATINA (N° CART.)]]*PE_SEMIGEL_65[PE],"")</f>
        <v>0</v>
      </c>
      <c r="AU276" s="295">
        <f>+IF(BD_MO[N° VALE]&lt;&gt;"",BD_MO[[#This Row],[KG EXPLO SEMIGEL]]+BD_MO[[#This Row],[KG EXPLO PULVE]]+BD_MO[[#This Row],[KG EXPLO EMULN 3000]]+BD_MO[[#This Row],[KG EXPLO EMULN 1000]],"")</f>
        <v>7.7944769230769246</v>
      </c>
      <c r="AV276" s="290"/>
      <c r="AW276" s="290"/>
      <c r="AX276" s="290" t="str">
        <f>+IF(BD_MO[[#This Row],[MINERAL (U-35)]]&lt;&gt;"",BD_MO[[#This Row],[MINERAL (U-35)]]*1.45,"-")</f>
        <v>-</v>
      </c>
      <c r="AY276" s="290" t="str">
        <f>+IF(BD_MO[[#This Row],[DESMONTE (U-35)]]&lt;&gt;"",BD_MO[[#This Row],[DESMONTE (U-35)]]*1.23,"-")</f>
        <v>-</v>
      </c>
      <c r="AZ276" s="290"/>
      <c r="BA276" s="290"/>
      <c r="BB276" s="290"/>
      <c r="BC276" s="290"/>
      <c r="BD276" s="290"/>
      <c r="BE276" s="290"/>
      <c r="BF276" s="290"/>
      <c r="BG276" s="290"/>
      <c r="BH276" s="290"/>
      <c r="BI276" s="290">
        <v>2</v>
      </c>
      <c r="BJ276" s="290"/>
      <c r="BK276" s="290"/>
      <c r="BL276" s="290"/>
      <c r="BM276" s="290"/>
      <c r="BN276" s="289"/>
      <c r="BO276" s="290"/>
      <c r="BP276" s="290"/>
      <c r="BQ276" s="289"/>
      <c r="BR276" s="290">
        <v>3</v>
      </c>
      <c r="BS276" s="289"/>
      <c r="BT276" s="295">
        <v>4</v>
      </c>
      <c r="BU276" s="290"/>
      <c r="BV276" s="290"/>
      <c r="BW276" s="290"/>
      <c r="BX276" s="290"/>
      <c r="BY276" s="290"/>
      <c r="BZ276" s="290"/>
      <c r="CA276" s="290"/>
      <c r="CB276" s="290"/>
      <c r="CC276" s="290"/>
      <c r="CD276" s="290"/>
      <c r="CE276" s="290"/>
      <c r="CF276" s="290"/>
      <c r="CG276" s="290"/>
      <c r="CH276" s="290"/>
      <c r="CI276" s="290"/>
      <c r="CJ276" s="290"/>
      <c r="CK276" s="290"/>
      <c r="CL276" s="290"/>
      <c r="CM276" s="290">
        <v>10</v>
      </c>
      <c r="CN276" s="290">
        <v>2</v>
      </c>
      <c r="CO276" s="290"/>
      <c r="CP276" s="295">
        <f>+IF(BD_MO[[#This Row],[FECHA]]&lt;&gt;"",BD_MO[[#This Row],[PUNTAL 4"]]+BD_MO[[#This Row],[PUNTAL 5"]]+BD_MO[[#This Row],[PUNTAL 6"]]+BD_MO[[#This Row],[PUNTAL 7"]]+BD_MO[[#This Row],[PUNTAL 8"]],"")</f>
        <v>12</v>
      </c>
      <c r="CQ276" s="290"/>
      <c r="CR276" s="290"/>
      <c r="CS276" s="290">
        <v>12</v>
      </c>
      <c r="CT276" s="290"/>
      <c r="CU276" s="290"/>
      <c r="CV276" s="290"/>
      <c r="CW276" s="290"/>
      <c r="CX276" s="290"/>
      <c r="CY276" s="295"/>
      <c r="CZ276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866.09800000000007</v>
      </c>
      <c r="DA276" s="295">
        <f>+IF(BD_MO[[#This Row],[FECHA]]&lt;&gt;"",BD_MO[[#This Row],[DURMIENTE2]]*6.561+BD_MO[[#This Row],[LISTONES]]*4.921+BD_MO[[#This Row],[TABLA 1"x8"x3m]]*6.561+BD_MO[[#This Row],[TABLA 2"x8"x3m]]*13.122,"")</f>
        <v>0</v>
      </c>
      <c r="DB276" s="295">
        <f>+IF(BD_MO[[#This Row],[FECHA]]&lt;&gt;"",BD_MO[[#This Row],[PIE2 MADERA ASERRADA]]*1.95,"")</f>
        <v>0</v>
      </c>
      <c r="DC276" s="295">
        <f>+IF(BD_MO[[#This Row],[FECHA]]&lt;&gt;"",BD_MO[[#This Row],[KG. MADERA REDONDA]]+BD_MO[[#This Row],[KG MADERA ASERRADA]],"")</f>
        <v>866.09800000000007</v>
      </c>
      <c r="DD276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361.08000000000004</v>
      </c>
      <c r="DE276" s="290"/>
      <c r="DF276" s="290"/>
      <c r="DG276" s="290"/>
      <c r="DH276" s="290"/>
      <c r="DI276" s="299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76" s="299"/>
      <c r="DK276" s="299"/>
      <c r="DL276" s="299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4.2</v>
      </c>
      <c r="DM276" s="299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4.3680000000000003</v>
      </c>
      <c r="DN276" s="299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76" s="300">
        <f>0.72315*18</f>
        <v>13.0167</v>
      </c>
      <c r="DP276" s="299">
        <f>+IF(BD_MO[[#This Row],[M o D]]&lt;&gt;"",IF(BD_MO[[#This Row],[M o D]]="M",BD_MO[[#This Row],[ROTURA TMH]]/2.65,BD_MO[[#This Row],[ROTURA TMH]]/2.4),"")</f>
        <v>5.4236250000000004</v>
      </c>
      <c r="DQ276" s="299"/>
      <c r="DR276" s="116" t="str">
        <f>IF(BD_MO[[#This Row],[TIPO AVANCE]]="Avance",((BD_MO[[#This Row],[AVANCE (m)]]/BD_MO[[#This Row],[AVANCE TEÓRICO]]))," ")</f>
        <v xml:space="preserve"> </v>
      </c>
      <c r="DS276" s="49"/>
      <c r="DT276" s="49"/>
      <c r="DU276" s="49"/>
      <c r="DV276" s="49"/>
      <c r="DW276" s="49"/>
      <c r="DX276" s="49"/>
      <c r="DY276" s="49"/>
      <c r="DZ276" s="49"/>
    </row>
    <row r="277" spans="1:130" ht="18" customHeight="1" x14ac:dyDescent="0.25">
      <c r="A277" s="286">
        <v>44667</v>
      </c>
      <c r="B277" s="40" t="s">
        <v>10655</v>
      </c>
      <c r="C277" s="40" t="s">
        <v>10680</v>
      </c>
      <c r="D277" s="61" t="s">
        <v>11928</v>
      </c>
      <c r="E277" s="289" t="str">
        <f>LEFT(BD_MO[[#This Row],[LABOR]],2)</f>
        <v>Tj</v>
      </c>
      <c r="F277" s="290"/>
      <c r="G277" s="290" t="s">
        <v>10656</v>
      </c>
      <c r="H277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277" s="289" t="str">
        <f>IF(BD_MO[FECHA]&lt;&gt;"",VLOOKUP(BD_MO[LABOR],TB_CECO[[LABOR]:[CECO_T]],3,FALSE),"")</f>
        <v>ESCONDIDA</v>
      </c>
      <c r="J277" s="289" t="str">
        <f>IF(BD_MO[FECHA]&lt;&gt;"",VLOOKUP(BD_MO[LABOR],D_CECO!B:H,7,FALSE),"")</f>
        <v>TAJO</v>
      </c>
      <c r="K277" s="289" t="str">
        <f>IF(BD_MO[FECHA]&lt;&gt;"",VLOOKUP(BD_MO[LABOR],D_CECO!B:H,4,FALSE),"")</f>
        <v>EXPLOTACION</v>
      </c>
      <c r="L277" s="289"/>
      <c r="M277" s="291"/>
      <c r="N277" s="290"/>
      <c r="O277" s="93" t="s">
        <v>11911</v>
      </c>
      <c r="P277" s="93" t="s">
        <v>11913</v>
      </c>
      <c r="Q277" s="292"/>
      <c r="R277" s="293"/>
      <c r="S277" s="294" t="str">
        <f>IFERROR(VLOOKUP(BD_MO[DNI 4],#REF!,2,FALSE)," ")</f>
        <v xml:space="preserve"> </v>
      </c>
      <c r="T277" s="295">
        <f>+IF(BD_MO[[#This Row],[FECHA]]&lt;&gt;"",COUNTA(BD_MO[[#This Row],[DNI]],BD_MO[[#This Row],[DNI 2]],BD_MO[[#This Row],[DNI 3]],BD_MO[[#This Row],[DNI 4]]),"")</f>
        <v>2</v>
      </c>
      <c r="U277" s="295">
        <v>1</v>
      </c>
      <c r="V277" s="295"/>
      <c r="W277" s="295">
        <v>0.6</v>
      </c>
      <c r="X277" s="295">
        <v>0.4</v>
      </c>
      <c r="Y277" s="296">
        <f>SUM(BD_MO[[#This Row],[LIMP]:[SERV]])</f>
        <v>2</v>
      </c>
      <c r="Z277" s="290"/>
      <c r="AA277" s="290" t="str">
        <f>+IF(BD_MO[[#This Row],[N° VALE]]&lt;&gt;"",1,"")</f>
        <v/>
      </c>
      <c r="AB277" s="287"/>
      <c r="AC277" s="290"/>
      <c r="AD277" s="290" t="str">
        <f>+IF(BD_MO[[#This Row],[N° VALE]]&lt;&gt;"",BD_MO[[#This Row],[FULMINANTE N° 08]]+BD_MO[CARMEX 7''],"")</f>
        <v/>
      </c>
      <c r="AE277" s="290"/>
      <c r="AF277" s="290" t="str">
        <f>+IF(BD_MO[[#This Row],[N° VALE]]&lt;&gt;"",BD_MO[[#This Row],[N° TALADROS]]+BD_MO[[#This Row],[N° TAL. VACIOS]],"")</f>
        <v/>
      </c>
      <c r="AG277" s="297"/>
      <c r="AH277" s="297"/>
      <c r="AI277" s="297"/>
      <c r="AJ277" s="297"/>
      <c r="AK277" s="297"/>
      <c r="AL277" s="297"/>
      <c r="AM277" s="289"/>
      <c r="AN277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77" s="290" t="str">
        <f>+IF(BD_MO[[#This Row],[N° VALE]]&lt;&gt;"",IF(BD_MO[[#This Row],[FULMINANTE N° 08]]&lt;&gt;"",BD_MO[[#This Row],[FULMINANTE N° 08]],IF(BD_MO[[#This Row],[CARMEX 7'']]&lt;&gt;0,0,"")),"")</f>
        <v/>
      </c>
      <c r="AP277" s="295" t="str">
        <f>+IF(BD_MO[[#This Row],[N° VALE]]&lt;&gt;"",BD_MO[[#This Row],[N°  TOTAL TALADROS]]*BD_MO[[#This Row],[BARRA]]*0.95,"")</f>
        <v/>
      </c>
      <c r="AQ277" s="295" t="str">
        <f>+IF(BD_MO[[#This Row],[N° VALE]]&lt;&gt;"",BD_MO[[#This Row],[EMULNOR 1000 (N° CART.)]]*PE_EMUL_1000[PE],"")</f>
        <v/>
      </c>
      <c r="AR277" s="295" t="str">
        <f>+IF(BD_MO[[#This Row],[N° VALE]]&lt;&gt;"",BD_MO[[#This Row],[EMULNOR 3000 (N° CART.)]]*PE_EMUL_3000[PE],"")</f>
        <v/>
      </c>
      <c r="AS277" s="295" t="str">
        <f>+IF(BD_MO[[#This Row],[N° VALE]]&lt;&gt;"",BD_MO[[#This Row],[PULVERULENTA (N° CART.)]]*PE_PULV_65[PE],"")</f>
        <v/>
      </c>
      <c r="AT277" s="295" t="str">
        <f>+IF(BD_MO[[#This Row],[N° DISP]]&lt;&gt;"",BD_MO[[#This Row],[SEMIGELATINA (N° CART.)]]*PE_SEMIGEL_65[PE],"")</f>
        <v/>
      </c>
      <c r="AU277" s="295" t="str">
        <f>+IF(BD_MO[N° VALE]&lt;&gt;"",BD_MO[[#This Row],[KG EXPLO SEMIGEL]]+BD_MO[[#This Row],[KG EXPLO PULVE]]+BD_MO[[#This Row],[KG EXPLO EMULN 3000]]+BD_MO[[#This Row],[KG EXPLO EMULN 1000]],"")</f>
        <v/>
      </c>
      <c r="AV277" s="290"/>
      <c r="AW277" s="290"/>
      <c r="AX277" s="290" t="str">
        <f>+IF(BD_MO[[#This Row],[MINERAL (U-35)]]&lt;&gt;"",BD_MO[[#This Row],[MINERAL (U-35)]]*1.45,"-")</f>
        <v>-</v>
      </c>
      <c r="AY277" s="290" t="str">
        <f>+IF(BD_MO[[#This Row],[DESMONTE (U-35)]]&lt;&gt;"",BD_MO[[#This Row],[DESMONTE (U-35)]]*1.23,"-")</f>
        <v>-</v>
      </c>
      <c r="AZ277" s="290"/>
      <c r="BA277" s="290"/>
      <c r="BB277" s="290"/>
      <c r="BC277" s="290"/>
      <c r="BD277" s="290"/>
      <c r="BE277" s="290"/>
      <c r="BF277" s="290"/>
      <c r="BG277" s="290"/>
      <c r="BH277" s="290"/>
      <c r="BI277" s="290"/>
      <c r="BJ277" s="290"/>
      <c r="BK277" s="290"/>
      <c r="BL277" s="290"/>
      <c r="BM277" s="290"/>
      <c r="BN277" s="289"/>
      <c r="BO277" s="290"/>
      <c r="BP277" s="290"/>
      <c r="BQ277" s="289"/>
      <c r="BR277" s="290">
        <v>3</v>
      </c>
      <c r="BS277" s="289"/>
      <c r="BT277" s="295"/>
      <c r="BU277" s="290"/>
      <c r="BV277" s="290"/>
      <c r="BW277" s="290"/>
      <c r="BX277" s="290"/>
      <c r="BY277" s="290"/>
      <c r="BZ277" s="290"/>
      <c r="CA277" s="290"/>
      <c r="CB277" s="290"/>
      <c r="CC277" s="290"/>
      <c r="CD277" s="290"/>
      <c r="CE277" s="290"/>
      <c r="CF277" s="290"/>
      <c r="CG277" s="290"/>
      <c r="CH277" s="290"/>
      <c r="CI277" s="290"/>
      <c r="CJ277" s="290"/>
      <c r="CK277" s="290"/>
      <c r="CL277" s="290">
        <v>2</v>
      </c>
      <c r="CM277" s="290">
        <v>4</v>
      </c>
      <c r="CN277" s="290">
        <v>2</v>
      </c>
      <c r="CO277" s="290"/>
      <c r="CP277" s="295">
        <f>+IF(BD_MO[[#This Row],[FECHA]]&lt;&gt;"",BD_MO[[#This Row],[PUNTAL 4"]]+BD_MO[[#This Row],[PUNTAL 5"]]+BD_MO[[#This Row],[PUNTAL 6"]]+BD_MO[[#This Row],[PUNTAL 7"]]+BD_MO[[#This Row],[PUNTAL 8"]],"")</f>
        <v>8</v>
      </c>
      <c r="CQ277" s="290"/>
      <c r="CR277" s="290"/>
      <c r="CS277" s="290"/>
      <c r="CT277" s="290"/>
      <c r="CU277" s="290"/>
      <c r="CV277" s="290"/>
      <c r="CW277" s="290"/>
      <c r="CX277" s="290"/>
      <c r="CY277" s="295"/>
      <c r="CZ277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363.98</v>
      </c>
      <c r="DA277" s="295">
        <f>+IF(BD_MO[[#This Row],[FECHA]]&lt;&gt;"",BD_MO[[#This Row],[DURMIENTE2]]*6.561+BD_MO[[#This Row],[LISTONES]]*4.921+BD_MO[[#This Row],[TABLA 1"x8"x3m]]*6.561+BD_MO[[#This Row],[TABLA 2"x8"x3m]]*13.122,"")</f>
        <v>0</v>
      </c>
      <c r="DB277" s="295">
        <f>+IF(BD_MO[[#This Row],[FECHA]]&lt;&gt;"",BD_MO[[#This Row],[PIE2 MADERA ASERRADA]]*1.95,"")</f>
        <v>0</v>
      </c>
      <c r="DC277" s="295">
        <f>+IF(BD_MO[[#This Row],[FECHA]]&lt;&gt;"",BD_MO[[#This Row],[KG. MADERA REDONDA]]+BD_MO[[#This Row],[KG MADERA ASERRADA]],"")</f>
        <v>363.98</v>
      </c>
      <c r="DD277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142.4</v>
      </c>
      <c r="DE277" s="290"/>
      <c r="DF277" s="290"/>
      <c r="DG277" s="290"/>
      <c r="DH277" s="290"/>
      <c r="DI277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77" s="299"/>
      <c r="DK277" s="299"/>
      <c r="DL277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77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77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77" s="300"/>
      <c r="DP277" s="299" t="str">
        <f>+IF(BD_MO[[#This Row],[M o D]]&lt;&gt;"",IF(BD_MO[[#This Row],[M o D]]="M",BD_MO[[#This Row],[ROTURA TMH]]/2.65,BD_MO[[#This Row],[ROTURA TMH]]/2.4),"")</f>
        <v/>
      </c>
      <c r="DQ277" s="299"/>
      <c r="DR277" s="116" t="str">
        <f>IF(BD_MO[[#This Row],[TIPO AVANCE]]="Avance",((BD_MO[[#This Row],[AVANCE (m)]]/BD_MO[[#This Row],[AVANCE TEÓRICO]]))," ")</f>
        <v xml:space="preserve"> </v>
      </c>
      <c r="DS277" s="49"/>
      <c r="DT277" s="49"/>
      <c r="DU277" s="49"/>
      <c r="DV277" s="49"/>
      <c r="DW277" s="49"/>
      <c r="DX277" s="49"/>
      <c r="DY277" s="49"/>
      <c r="DZ277" s="49"/>
    </row>
    <row r="278" spans="1:130" ht="18" customHeight="1" x14ac:dyDescent="0.25">
      <c r="A278" s="286">
        <v>44667</v>
      </c>
      <c r="B278" s="40" t="s">
        <v>10655</v>
      </c>
      <c r="C278" s="40" t="s">
        <v>10680</v>
      </c>
      <c r="D278" s="61" t="s">
        <v>12149</v>
      </c>
      <c r="E278" s="289" t="str">
        <f>LEFT(BD_MO[[#This Row],[LABOR]],2)</f>
        <v>Es</v>
      </c>
      <c r="F278" s="290"/>
      <c r="G278" s="290" t="s">
        <v>10662</v>
      </c>
      <c r="H278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278" s="289" t="str">
        <f>IF(BD_MO[FECHA]&lt;&gt;"",VLOOKUP(BD_MO[LABOR],TB_CECO[[LABOR]:[CECO_T]],3,FALSE),"")</f>
        <v>VANESSA</v>
      </c>
      <c r="J278" s="289" t="str">
        <f>IF(BD_MO[FECHA]&lt;&gt;"",VLOOKUP(BD_MO[LABOR],D_CECO!B:H,7,FALSE),"")</f>
        <v>LINEAL</v>
      </c>
      <c r="K278" s="289" t="str">
        <f>IF(BD_MO[FECHA]&lt;&gt;"",VLOOKUP(BD_MO[LABOR],D_CECO!B:H,4,FALSE),"")</f>
        <v>EXPLORACION</v>
      </c>
      <c r="L278" s="289"/>
      <c r="M278" s="291"/>
      <c r="N278" s="290"/>
      <c r="O278" s="93" t="s">
        <v>11904</v>
      </c>
      <c r="P278" s="93" t="s">
        <v>11926</v>
      </c>
      <c r="Q278" s="292"/>
      <c r="R278" s="293"/>
      <c r="S278" s="294" t="str">
        <f>IFERROR(VLOOKUP(BD_MO[DNI 4],#REF!,2,FALSE)," ")</f>
        <v xml:space="preserve"> </v>
      </c>
      <c r="T278" s="295">
        <f>+IF(BD_MO[[#This Row],[FECHA]]&lt;&gt;"",COUNTA(BD_MO[[#This Row],[DNI]],BD_MO[[#This Row],[DNI 2]],BD_MO[[#This Row],[DNI 3]],BD_MO[[#This Row],[DNI 4]]),"")</f>
        <v>2</v>
      </c>
      <c r="U278" s="295">
        <v>1</v>
      </c>
      <c r="V278" s="295"/>
      <c r="W278" s="295">
        <v>0.6</v>
      </c>
      <c r="X278" s="295">
        <v>0.4</v>
      </c>
      <c r="Y278" s="296">
        <f>SUM(BD_MO[[#This Row],[LIMP]:[SERV]])</f>
        <v>2</v>
      </c>
      <c r="Z278" s="290"/>
      <c r="AA278" s="290" t="str">
        <f>+IF(BD_MO[[#This Row],[N° VALE]]&lt;&gt;"",1,"")</f>
        <v/>
      </c>
      <c r="AB278" s="287"/>
      <c r="AC278" s="290"/>
      <c r="AD278" s="290" t="str">
        <f>+IF(BD_MO[[#This Row],[N° VALE]]&lt;&gt;"",BD_MO[[#This Row],[FULMINANTE N° 08]]+BD_MO[CARMEX 7''],"")</f>
        <v/>
      </c>
      <c r="AE278" s="290"/>
      <c r="AF278" s="290" t="str">
        <f>+IF(BD_MO[[#This Row],[N° VALE]]&lt;&gt;"",BD_MO[[#This Row],[N° TALADROS]]+BD_MO[[#This Row],[N° TAL. VACIOS]],"")</f>
        <v/>
      </c>
      <c r="AG278" s="297"/>
      <c r="AH278" s="297"/>
      <c r="AI278" s="297"/>
      <c r="AJ278" s="297"/>
      <c r="AK278" s="297"/>
      <c r="AL278" s="297"/>
      <c r="AM278" s="289"/>
      <c r="AN278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78" s="290" t="str">
        <f>+IF(BD_MO[[#This Row],[N° VALE]]&lt;&gt;"",IF(BD_MO[[#This Row],[FULMINANTE N° 08]]&lt;&gt;"",BD_MO[[#This Row],[FULMINANTE N° 08]],IF(BD_MO[[#This Row],[CARMEX 7'']]&lt;&gt;0,0,"")),"")</f>
        <v/>
      </c>
      <c r="AP278" s="295" t="str">
        <f>+IF(BD_MO[[#This Row],[N° VALE]]&lt;&gt;"",BD_MO[[#This Row],[N°  TOTAL TALADROS]]*BD_MO[[#This Row],[BARRA]]*0.95,"")</f>
        <v/>
      </c>
      <c r="AQ278" s="295" t="str">
        <f>+IF(BD_MO[[#This Row],[N° VALE]]&lt;&gt;"",BD_MO[[#This Row],[EMULNOR 1000 (N° CART.)]]*PE_EMUL_1000[PE],"")</f>
        <v/>
      </c>
      <c r="AR278" s="295" t="str">
        <f>+IF(BD_MO[[#This Row],[N° VALE]]&lt;&gt;"",BD_MO[[#This Row],[EMULNOR 3000 (N° CART.)]]*PE_EMUL_3000[PE],"")</f>
        <v/>
      </c>
      <c r="AS278" s="295" t="str">
        <f>+IF(BD_MO[[#This Row],[N° VALE]]&lt;&gt;"",BD_MO[[#This Row],[PULVERULENTA (N° CART.)]]*PE_PULV_65[PE],"")</f>
        <v/>
      </c>
      <c r="AT278" s="295" t="str">
        <f>+IF(BD_MO[[#This Row],[N° DISP]]&lt;&gt;"",BD_MO[[#This Row],[SEMIGELATINA (N° CART.)]]*PE_SEMIGEL_65[PE],"")</f>
        <v/>
      </c>
      <c r="AU278" s="295" t="str">
        <f>+IF(BD_MO[N° VALE]&lt;&gt;"",BD_MO[[#This Row],[KG EXPLO SEMIGEL]]+BD_MO[[#This Row],[KG EXPLO PULVE]]+BD_MO[[#This Row],[KG EXPLO EMULN 3000]]+BD_MO[[#This Row],[KG EXPLO EMULN 1000]],"")</f>
        <v/>
      </c>
      <c r="AV278" s="290"/>
      <c r="AW278" s="290">
        <v>11</v>
      </c>
      <c r="AX278" s="290" t="str">
        <f>+IF(BD_MO[[#This Row],[MINERAL (U-35)]]&lt;&gt;"",BD_MO[[#This Row],[MINERAL (U-35)]]*1.45,"-")</f>
        <v>-</v>
      </c>
      <c r="AY278" s="290">
        <f>+IF(BD_MO[[#This Row],[DESMONTE (U-35)]]&lt;&gt;"",BD_MO[[#This Row],[DESMONTE (U-35)]]*1.23,"-")</f>
        <v>13.53</v>
      </c>
      <c r="AZ278" s="290"/>
      <c r="BA278" s="290"/>
      <c r="BB278" s="290"/>
      <c r="BC278" s="290">
        <v>1</v>
      </c>
      <c r="BD278" s="290"/>
      <c r="BE278" s="290"/>
      <c r="BF278" s="290"/>
      <c r="BG278" s="290"/>
      <c r="BH278" s="290"/>
      <c r="BI278" s="290"/>
      <c r="BJ278" s="290"/>
      <c r="BK278" s="290"/>
      <c r="BL278" s="290"/>
      <c r="BM278" s="290"/>
      <c r="BN278" s="289"/>
      <c r="BO278" s="290"/>
      <c r="BP278" s="290"/>
      <c r="BQ278" s="289">
        <v>3</v>
      </c>
      <c r="BR278" s="290"/>
      <c r="BS278" s="289"/>
      <c r="BT278" s="295"/>
      <c r="BU278" s="290"/>
      <c r="BV278" s="290"/>
      <c r="BW278" s="290"/>
      <c r="BX278" s="290"/>
      <c r="BY278" s="290"/>
      <c r="BZ278" s="290"/>
      <c r="CA278" s="290"/>
      <c r="CB278" s="290"/>
      <c r="CC278" s="290"/>
      <c r="CD278" s="290"/>
      <c r="CE278" s="290"/>
      <c r="CF278" s="290"/>
      <c r="CG278" s="290"/>
      <c r="CH278" s="290"/>
      <c r="CI278" s="290"/>
      <c r="CJ278" s="290"/>
      <c r="CK278" s="290"/>
      <c r="CL278" s="290"/>
      <c r="CM278" s="290">
        <v>2</v>
      </c>
      <c r="CN278" s="290"/>
      <c r="CO278" s="290">
        <v>3</v>
      </c>
      <c r="CP278" s="295">
        <f>+IF(BD_MO[[#This Row],[FECHA]]&lt;&gt;"",BD_MO[[#This Row],[PUNTAL 4"]]+BD_MO[[#This Row],[PUNTAL 5"]]+BD_MO[[#This Row],[PUNTAL 6"]]+BD_MO[[#This Row],[PUNTAL 7"]]+BD_MO[[#This Row],[PUNTAL 8"]],"")</f>
        <v>5</v>
      </c>
      <c r="CQ278" s="290"/>
      <c r="CR278" s="290"/>
      <c r="CS278" s="290">
        <v>6</v>
      </c>
      <c r="CT278" s="290"/>
      <c r="CU278" s="290"/>
      <c r="CV278" s="290"/>
      <c r="CW278" s="290"/>
      <c r="CX278" s="290"/>
      <c r="CY278" s="295"/>
      <c r="CZ278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476.67599999999999</v>
      </c>
      <c r="DA278" s="295">
        <f>+IF(BD_MO[[#This Row],[FECHA]]&lt;&gt;"",BD_MO[[#This Row],[DURMIENTE2]]*6.561+BD_MO[[#This Row],[LISTONES]]*4.921+BD_MO[[#This Row],[TABLA 1"x8"x3m]]*6.561+BD_MO[[#This Row],[TABLA 2"x8"x3m]]*13.122,"")</f>
        <v>0</v>
      </c>
      <c r="DB278" s="295">
        <f>+IF(BD_MO[[#This Row],[FECHA]]&lt;&gt;"",BD_MO[[#This Row],[PIE2 MADERA ASERRADA]]*1.95,"")</f>
        <v>0</v>
      </c>
      <c r="DC278" s="295">
        <f>+IF(BD_MO[[#This Row],[FECHA]]&lt;&gt;"",BD_MO[[#This Row],[KG. MADERA REDONDA]]+BD_MO[[#This Row],[KG MADERA ASERRADA]],"")</f>
        <v>476.67599999999999</v>
      </c>
      <c r="DD278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162.74</v>
      </c>
      <c r="DE278" s="290"/>
      <c r="DF278" s="290"/>
      <c r="DG278" s="290"/>
      <c r="DH278" s="290"/>
      <c r="DI278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78" s="299"/>
      <c r="DK278" s="299"/>
      <c r="DL278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78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78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78" s="300"/>
      <c r="DP278" s="299" t="str">
        <f>+IF(BD_MO[[#This Row],[M o D]]&lt;&gt;"",IF(BD_MO[[#This Row],[M o D]]="M",BD_MO[[#This Row],[ROTURA TMH]]/2.65,BD_MO[[#This Row],[ROTURA TMH]]/2.4),"")</f>
        <v/>
      </c>
      <c r="DQ278" s="299"/>
      <c r="DR278" s="116" t="str">
        <f>IF(BD_MO[[#This Row],[TIPO AVANCE]]="Avance",((BD_MO[[#This Row],[AVANCE (m)]]/BD_MO[[#This Row],[AVANCE TEÓRICO]]))," ")</f>
        <v xml:space="preserve"> </v>
      </c>
      <c r="DS278" s="49"/>
      <c r="DT278" s="49"/>
      <c r="DU278" s="49"/>
      <c r="DV278" s="49"/>
      <c r="DW278" s="49"/>
      <c r="DX278" s="49"/>
      <c r="DY278" s="49"/>
      <c r="DZ278" s="49"/>
    </row>
    <row r="279" spans="1:130" ht="18" customHeight="1" x14ac:dyDescent="0.25">
      <c r="A279" s="286">
        <v>44667</v>
      </c>
      <c r="B279" s="40" t="s">
        <v>10655</v>
      </c>
      <c r="C279" s="40" t="s">
        <v>10680</v>
      </c>
      <c r="D279" s="61" t="s">
        <v>12149</v>
      </c>
      <c r="E279" s="289" t="str">
        <f>LEFT(BD_MO[[#This Row],[LABOR]],2)</f>
        <v>Es</v>
      </c>
      <c r="F279" s="290"/>
      <c r="G279" s="290" t="s">
        <v>10669</v>
      </c>
      <c r="H279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79" s="289" t="str">
        <f>IF(BD_MO[FECHA]&lt;&gt;"",VLOOKUP(BD_MO[LABOR],TB_CECO[[LABOR]:[CECO_T]],3,FALSE),"")</f>
        <v>VANESSA</v>
      </c>
      <c r="J279" s="289" t="str">
        <f>IF(BD_MO[FECHA]&lt;&gt;"",VLOOKUP(BD_MO[LABOR],D_CECO!B:H,7,FALSE),"")</f>
        <v>LINEAL</v>
      </c>
      <c r="K279" s="289" t="str">
        <f>IF(BD_MO[FECHA]&lt;&gt;"",VLOOKUP(BD_MO[LABOR],D_CECO!B:H,4,FALSE),"")</f>
        <v>EXPLORACION</v>
      </c>
      <c r="L279" s="289"/>
      <c r="M279" s="291"/>
      <c r="N279" s="290"/>
      <c r="O279" s="93" t="s">
        <v>12151</v>
      </c>
      <c r="P279" s="292"/>
      <c r="Q279" s="292"/>
      <c r="R279" s="293"/>
      <c r="S279" s="294" t="str">
        <f>IFERROR(VLOOKUP(BD_MO[DNI 4],#REF!,2,FALSE)," ")</f>
        <v xml:space="preserve"> </v>
      </c>
      <c r="T279" s="295">
        <f>+IF(BD_MO[[#This Row],[FECHA]]&lt;&gt;"",COUNTA(BD_MO[[#This Row],[DNI]],BD_MO[[#This Row],[DNI 2]],BD_MO[[#This Row],[DNI 3]],BD_MO[[#This Row],[DNI 4]]),"")</f>
        <v>1</v>
      </c>
      <c r="U279" s="295"/>
      <c r="V279" s="295"/>
      <c r="W279" s="295"/>
      <c r="X279" s="295">
        <v>1</v>
      </c>
      <c r="Y279" s="296">
        <f>SUM(BD_MO[[#This Row],[LIMP]:[SERV]])</f>
        <v>1</v>
      </c>
      <c r="Z279" s="290"/>
      <c r="AA279" s="290" t="str">
        <f>+IF(BD_MO[[#This Row],[N° VALE]]&lt;&gt;"",1,"")</f>
        <v/>
      </c>
      <c r="AB279" s="287"/>
      <c r="AC279" s="290"/>
      <c r="AD279" s="290" t="str">
        <f>+IF(BD_MO[[#This Row],[N° VALE]]&lt;&gt;"",BD_MO[[#This Row],[FULMINANTE N° 08]]+BD_MO[CARMEX 7''],"")</f>
        <v/>
      </c>
      <c r="AE279" s="290"/>
      <c r="AF279" s="290" t="str">
        <f>+IF(BD_MO[[#This Row],[N° VALE]]&lt;&gt;"",BD_MO[[#This Row],[N° TALADROS]]+BD_MO[[#This Row],[N° TAL. VACIOS]],"")</f>
        <v/>
      </c>
      <c r="AG279" s="297"/>
      <c r="AH279" s="297"/>
      <c r="AI279" s="297"/>
      <c r="AJ279" s="297"/>
      <c r="AK279" s="297"/>
      <c r="AL279" s="297"/>
      <c r="AM279" s="289"/>
      <c r="AN279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79" s="290" t="str">
        <f>+IF(BD_MO[[#This Row],[N° VALE]]&lt;&gt;"",IF(BD_MO[[#This Row],[FULMINANTE N° 08]]&lt;&gt;"",BD_MO[[#This Row],[FULMINANTE N° 08]],IF(BD_MO[[#This Row],[CARMEX 7'']]&lt;&gt;0,0,"")),"")</f>
        <v/>
      </c>
      <c r="AP279" s="295" t="str">
        <f>+IF(BD_MO[[#This Row],[N° VALE]]&lt;&gt;"",BD_MO[[#This Row],[N°  TOTAL TALADROS]]*BD_MO[[#This Row],[BARRA]]*0.95,"")</f>
        <v/>
      </c>
      <c r="AQ279" s="295" t="str">
        <f>+IF(BD_MO[[#This Row],[N° VALE]]&lt;&gt;"",BD_MO[[#This Row],[EMULNOR 1000 (N° CART.)]]*PE_EMUL_1000[PE],"")</f>
        <v/>
      </c>
      <c r="AR279" s="295" t="str">
        <f>+IF(BD_MO[[#This Row],[N° VALE]]&lt;&gt;"",BD_MO[[#This Row],[EMULNOR 3000 (N° CART.)]]*PE_EMUL_3000[PE],"")</f>
        <v/>
      </c>
      <c r="AS279" s="295" t="str">
        <f>+IF(BD_MO[[#This Row],[N° VALE]]&lt;&gt;"",BD_MO[[#This Row],[PULVERULENTA (N° CART.)]]*PE_PULV_65[PE],"")</f>
        <v/>
      </c>
      <c r="AT279" s="295" t="str">
        <f>+IF(BD_MO[[#This Row],[N° DISP]]&lt;&gt;"",BD_MO[[#This Row],[SEMIGELATINA (N° CART.)]]*PE_SEMIGEL_65[PE],"")</f>
        <v/>
      </c>
      <c r="AU279" s="295" t="str">
        <f>+IF(BD_MO[N° VALE]&lt;&gt;"",BD_MO[[#This Row],[KG EXPLO SEMIGEL]]+BD_MO[[#This Row],[KG EXPLO PULVE]]+BD_MO[[#This Row],[KG EXPLO EMULN 3000]]+BD_MO[[#This Row],[KG EXPLO EMULN 1000]],"")</f>
        <v/>
      </c>
      <c r="AV279" s="290"/>
      <c r="AW279" s="290"/>
      <c r="AX279" s="290" t="str">
        <f>+IF(BD_MO[[#This Row],[MINERAL (U-35)]]&lt;&gt;"",BD_MO[[#This Row],[MINERAL (U-35)]]*1.45,"-")</f>
        <v>-</v>
      </c>
      <c r="AY279" s="290" t="str">
        <f>+IF(BD_MO[[#This Row],[DESMONTE (U-35)]]&lt;&gt;"",BD_MO[[#This Row],[DESMONTE (U-35)]]*1.23,"-")</f>
        <v>-</v>
      </c>
      <c r="AZ279" s="290"/>
      <c r="BA279" s="290"/>
      <c r="BB279" s="290"/>
      <c r="BC279" s="290"/>
      <c r="BD279" s="290"/>
      <c r="BE279" s="290"/>
      <c r="BF279" s="290"/>
      <c r="BG279" s="290"/>
      <c r="BH279" s="290"/>
      <c r="BI279" s="290"/>
      <c r="BJ279" s="290"/>
      <c r="BK279" s="290"/>
      <c r="BL279" s="290"/>
      <c r="BM279" s="290"/>
      <c r="BN279" s="289"/>
      <c r="BO279" s="290"/>
      <c r="BP279" s="290"/>
      <c r="BQ279" s="289"/>
      <c r="BR279" s="290"/>
      <c r="BS279" s="289"/>
      <c r="BT279" s="295"/>
      <c r="BU279" s="290"/>
      <c r="BV279" s="290"/>
      <c r="BW279" s="290"/>
      <c r="BX279" s="290"/>
      <c r="BY279" s="290"/>
      <c r="BZ279" s="290"/>
      <c r="CA279" s="290"/>
      <c r="CB279" s="290"/>
      <c r="CC279" s="290"/>
      <c r="CD279" s="290"/>
      <c r="CE279" s="290"/>
      <c r="CF279" s="290"/>
      <c r="CG279" s="290"/>
      <c r="CH279" s="290"/>
      <c r="CI279" s="290"/>
      <c r="CJ279" s="290"/>
      <c r="CK279" s="290"/>
      <c r="CL279" s="290"/>
      <c r="CM279" s="290"/>
      <c r="CN279" s="290"/>
      <c r="CO279" s="290"/>
      <c r="CP279" s="295">
        <f>+IF(BD_MO[[#This Row],[FECHA]]&lt;&gt;"",BD_MO[[#This Row],[PUNTAL 4"]]+BD_MO[[#This Row],[PUNTAL 5"]]+BD_MO[[#This Row],[PUNTAL 6"]]+BD_MO[[#This Row],[PUNTAL 7"]]+BD_MO[[#This Row],[PUNTAL 8"]],"")</f>
        <v>0</v>
      </c>
      <c r="CQ279" s="290"/>
      <c r="CR279" s="290"/>
      <c r="CS279" s="290"/>
      <c r="CT279" s="290"/>
      <c r="CU279" s="290"/>
      <c r="CV279" s="290"/>
      <c r="CW279" s="290"/>
      <c r="CX279" s="290"/>
      <c r="CY279" s="295"/>
      <c r="CZ279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79" s="295">
        <f>+IF(BD_MO[[#This Row],[FECHA]]&lt;&gt;"",BD_MO[[#This Row],[DURMIENTE2]]*6.561+BD_MO[[#This Row],[LISTONES]]*4.921+BD_MO[[#This Row],[TABLA 1"x8"x3m]]*6.561+BD_MO[[#This Row],[TABLA 2"x8"x3m]]*13.122,"")</f>
        <v>0</v>
      </c>
      <c r="DB279" s="295">
        <f>+IF(BD_MO[[#This Row],[FECHA]]&lt;&gt;"",BD_MO[[#This Row],[PIE2 MADERA ASERRADA]]*1.95,"")</f>
        <v>0</v>
      </c>
      <c r="DC279" s="295">
        <f>+IF(BD_MO[[#This Row],[FECHA]]&lt;&gt;"",BD_MO[[#This Row],[KG. MADERA REDONDA]]+BD_MO[[#This Row],[KG MADERA ASERRADA]],"")</f>
        <v>0</v>
      </c>
      <c r="DD279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79" s="290"/>
      <c r="DF279" s="290"/>
      <c r="DG279" s="46" t="s">
        <v>12239</v>
      </c>
      <c r="DH279" s="290">
        <v>8</v>
      </c>
      <c r="DI279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79" s="299"/>
      <c r="DK279" s="299"/>
      <c r="DL279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79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79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79" s="300"/>
      <c r="DP279" s="299" t="str">
        <f>+IF(BD_MO[[#This Row],[M o D]]&lt;&gt;"",IF(BD_MO[[#This Row],[M o D]]="M",BD_MO[[#This Row],[ROTURA TMH]]/2.65,BD_MO[[#This Row],[ROTURA TMH]]/2.4),"")</f>
        <v/>
      </c>
      <c r="DQ279" s="299"/>
      <c r="DR279" s="116" t="str">
        <f>IF(BD_MO[[#This Row],[TIPO AVANCE]]="Avance",((BD_MO[[#This Row],[AVANCE (m)]]/BD_MO[[#This Row],[AVANCE TEÓRICO]]))," ")</f>
        <v xml:space="preserve"> </v>
      </c>
      <c r="DS279" s="49"/>
      <c r="DT279" s="49"/>
      <c r="DU279" s="49"/>
      <c r="DV279" s="49"/>
      <c r="DW279" s="49"/>
      <c r="DX279" s="49"/>
      <c r="DY279" s="49"/>
      <c r="DZ279" s="49"/>
    </row>
    <row r="280" spans="1:130" ht="18" customHeight="1" x14ac:dyDescent="0.25">
      <c r="A280" s="286">
        <v>44667</v>
      </c>
      <c r="B280" s="40" t="s">
        <v>10655</v>
      </c>
      <c r="C280" s="40" t="s">
        <v>10680</v>
      </c>
      <c r="D280" s="61" t="s">
        <v>10952</v>
      </c>
      <c r="E280" s="289" t="str">
        <f>LEFT(BD_MO[[#This Row],[LABOR]],2)</f>
        <v>In</v>
      </c>
      <c r="F280" s="290"/>
      <c r="G280" s="290" t="s">
        <v>10669</v>
      </c>
      <c r="H280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80" s="289" t="str">
        <f>IF(BD_MO[FECHA]&lt;&gt;"",VLOOKUP(BD_MO[LABOR],TB_CECO[[LABOR]:[CECO_T]],3,FALSE),"")</f>
        <v>VANESSA</v>
      </c>
      <c r="J280" s="289" t="str">
        <f>IF(BD_MO[FECHA]&lt;&gt;"",VLOOKUP(BD_MO[LABOR],D_CECO!B:H,7,FALSE),"")</f>
        <v>LINEAL</v>
      </c>
      <c r="K280" s="289" t="str">
        <f>IF(BD_MO[FECHA]&lt;&gt;"",VLOOKUP(BD_MO[LABOR],D_CECO!B:H,4,FALSE),"")</f>
        <v>EXPLORACION</v>
      </c>
      <c r="L280" s="289"/>
      <c r="M280" s="291"/>
      <c r="N280" s="290"/>
      <c r="O280" s="93" t="s">
        <v>11925</v>
      </c>
      <c r="P280" s="93" t="s">
        <v>11906</v>
      </c>
      <c r="Q280" s="292"/>
      <c r="R280" s="293"/>
      <c r="S280" s="294" t="str">
        <f>IFERROR(VLOOKUP(BD_MO[DNI 4],#REF!,2,FALSE)," ")</f>
        <v xml:space="preserve"> </v>
      </c>
      <c r="T280" s="295">
        <f>+IF(BD_MO[[#This Row],[FECHA]]&lt;&gt;"",COUNTA(BD_MO[[#This Row],[DNI]],BD_MO[[#This Row],[DNI 2]],BD_MO[[#This Row],[DNI 3]],BD_MO[[#This Row],[DNI 4]]),"")</f>
        <v>2</v>
      </c>
      <c r="U280" s="295"/>
      <c r="V280" s="295"/>
      <c r="W280" s="295"/>
      <c r="X280" s="295">
        <v>2</v>
      </c>
      <c r="Y280" s="296">
        <f>SUM(BD_MO[[#This Row],[LIMP]:[SERV]])</f>
        <v>2</v>
      </c>
      <c r="Z280" s="290"/>
      <c r="AA280" s="290" t="str">
        <f>+IF(BD_MO[[#This Row],[N° VALE]]&lt;&gt;"",1,"")</f>
        <v/>
      </c>
      <c r="AB280" s="287"/>
      <c r="AC280" s="290"/>
      <c r="AD280" s="290" t="str">
        <f>+IF(BD_MO[[#This Row],[N° VALE]]&lt;&gt;"",BD_MO[[#This Row],[FULMINANTE N° 08]]+BD_MO[CARMEX 7''],"")</f>
        <v/>
      </c>
      <c r="AE280" s="290"/>
      <c r="AF280" s="290" t="str">
        <f>+IF(BD_MO[[#This Row],[N° VALE]]&lt;&gt;"",BD_MO[[#This Row],[N° TALADROS]]+BD_MO[[#This Row],[N° TAL. VACIOS]],"")</f>
        <v/>
      </c>
      <c r="AG280" s="297"/>
      <c r="AH280" s="297"/>
      <c r="AI280" s="297"/>
      <c r="AJ280" s="297"/>
      <c r="AK280" s="297"/>
      <c r="AL280" s="297"/>
      <c r="AM280" s="289"/>
      <c r="AN280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80" s="290" t="str">
        <f>+IF(BD_MO[[#This Row],[N° VALE]]&lt;&gt;"",IF(BD_MO[[#This Row],[FULMINANTE N° 08]]&lt;&gt;"",BD_MO[[#This Row],[FULMINANTE N° 08]],IF(BD_MO[[#This Row],[CARMEX 7'']]&lt;&gt;0,0,"")),"")</f>
        <v/>
      </c>
      <c r="AP280" s="295" t="str">
        <f>+IF(BD_MO[[#This Row],[N° VALE]]&lt;&gt;"",BD_MO[[#This Row],[N°  TOTAL TALADROS]]*BD_MO[[#This Row],[BARRA]]*0.95,"")</f>
        <v/>
      </c>
      <c r="AQ280" s="295" t="str">
        <f>+IF(BD_MO[[#This Row],[N° VALE]]&lt;&gt;"",BD_MO[[#This Row],[EMULNOR 1000 (N° CART.)]]*PE_EMUL_1000[PE],"")</f>
        <v/>
      </c>
      <c r="AR280" s="295" t="str">
        <f>+IF(BD_MO[[#This Row],[N° VALE]]&lt;&gt;"",BD_MO[[#This Row],[EMULNOR 3000 (N° CART.)]]*PE_EMUL_3000[PE],"")</f>
        <v/>
      </c>
      <c r="AS280" s="295" t="str">
        <f>+IF(BD_MO[[#This Row],[N° VALE]]&lt;&gt;"",BD_MO[[#This Row],[PULVERULENTA (N° CART.)]]*PE_PULV_65[PE],"")</f>
        <v/>
      </c>
      <c r="AT280" s="295" t="str">
        <f>+IF(BD_MO[[#This Row],[N° DISP]]&lt;&gt;"",BD_MO[[#This Row],[SEMIGELATINA (N° CART.)]]*PE_SEMIGEL_65[PE],"")</f>
        <v/>
      </c>
      <c r="AU280" s="295" t="str">
        <f>+IF(BD_MO[N° VALE]&lt;&gt;"",BD_MO[[#This Row],[KG EXPLO SEMIGEL]]+BD_MO[[#This Row],[KG EXPLO PULVE]]+BD_MO[[#This Row],[KG EXPLO EMULN 3000]]+BD_MO[[#This Row],[KG EXPLO EMULN 1000]],"")</f>
        <v/>
      </c>
      <c r="AV280" s="290"/>
      <c r="AW280" s="290"/>
      <c r="AX280" s="290" t="str">
        <f>+IF(BD_MO[[#This Row],[MINERAL (U-35)]]&lt;&gt;"",BD_MO[[#This Row],[MINERAL (U-35)]]*1.45,"-")</f>
        <v>-</v>
      </c>
      <c r="AY280" s="290" t="str">
        <f>+IF(BD_MO[[#This Row],[DESMONTE (U-35)]]&lt;&gt;"",BD_MO[[#This Row],[DESMONTE (U-35)]]*1.23,"-")</f>
        <v>-</v>
      </c>
      <c r="AZ280" s="290"/>
      <c r="BA280" s="290"/>
      <c r="BB280" s="290"/>
      <c r="BC280" s="290"/>
      <c r="BD280" s="290"/>
      <c r="BE280" s="290"/>
      <c r="BF280" s="290"/>
      <c r="BG280" s="290"/>
      <c r="BH280" s="290"/>
      <c r="BI280" s="290"/>
      <c r="BJ280" s="290"/>
      <c r="BK280" s="290"/>
      <c r="BL280" s="290"/>
      <c r="BM280" s="290"/>
      <c r="BN280" s="289"/>
      <c r="BO280" s="290"/>
      <c r="BP280" s="290"/>
      <c r="BQ280" s="289"/>
      <c r="BR280" s="290"/>
      <c r="BS280" s="289"/>
      <c r="BT280" s="295"/>
      <c r="BU280" s="290"/>
      <c r="BV280" s="290"/>
      <c r="BW280" s="290"/>
      <c r="BX280" s="290"/>
      <c r="BY280" s="290"/>
      <c r="BZ280" s="290"/>
      <c r="CA280" s="290"/>
      <c r="CB280" s="290"/>
      <c r="CC280" s="290"/>
      <c r="CD280" s="290"/>
      <c r="CE280" s="290"/>
      <c r="CF280" s="290"/>
      <c r="CG280" s="290"/>
      <c r="CH280" s="290"/>
      <c r="CI280" s="290"/>
      <c r="CJ280" s="290"/>
      <c r="CK280" s="290"/>
      <c r="CL280" s="290"/>
      <c r="CM280" s="290"/>
      <c r="CN280" s="290"/>
      <c r="CO280" s="290"/>
      <c r="CP280" s="295">
        <f>+IF(BD_MO[[#This Row],[FECHA]]&lt;&gt;"",BD_MO[[#This Row],[PUNTAL 4"]]+BD_MO[[#This Row],[PUNTAL 5"]]+BD_MO[[#This Row],[PUNTAL 6"]]+BD_MO[[#This Row],[PUNTAL 7"]]+BD_MO[[#This Row],[PUNTAL 8"]],"")</f>
        <v>0</v>
      </c>
      <c r="CQ280" s="290"/>
      <c r="CR280" s="290"/>
      <c r="CS280" s="290"/>
      <c r="CT280" s="290"/>
      <c r="CU280" s="290"/>
      <c r="CV280" s="290"/>
      <c r="CW280" s="290"/>
      <c r="CX280" s="290"/>
      <c r="CY280" s="295"/>
      <c r="CZ280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80" s="295">
        <f>+IF(BD_MO[[#This Row],[FECHA]]&lt;&gt;"",BD_MO[[#This Row],[DURMIENTE2]]*6.561+BD_MO[[#This Row],[LISTONES]]*4.921+BD_MO[[#This Row],[TABLA 1"x8"x3m]]*6.561+BD_MO[[#This Row],[TABLA 2"x8"x3m]]*13.122,"")</f>
        <v>0</v>
      </c>
      <c r="DB280" s="295">
        <f>+IF(BD_MO[[#This Row],[FECHA]]&lt;&gt;"",BD_MO[[#This Row],[PIE2 MADERA ASERRADA]]*1.95,"")</f>
        <v>0</v>
      </c>
      <c r="DC280" s="295">
        <f>+IF(BD_MO[[#This Row],[FECHA]]&lt;&gt;"",BD_MO[[#This Row],[KG. MADERA REDONDA]]+BD_MO[[#This Row],[KG MADERA ASERRADA]],"")</f>
        <v>0</v>
      </c>
      <c r="DD280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80" s="290"/>
      <c r="DF280" s="290"/>
      <c r="DG280" s="46" t="s">
        <v>12290</v>
      </c>
      <c r="DH280" s="290">
        <v>8</v>
      </c>
      <c r="DI280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80" s="299"/>
      <c r="DK280" s="299"/>
      <c r="DL280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80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80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80" s="300"/>
      <c r="DP280" s="299" t="str">
        <f>+IF(BD_MO[[#This Row],[M o D]]&lt;&gt;"",IF(BD_MO[[#This Row],[M o D]]="M",BD_MO[[#This Row],[ROTURA TMH]]/2.65,BD_MO[[#This Row],[ROTURA TMH]]/2.4),"")</f>
        <v/>
      </c>
      <c r="DQ280" s="299"/>
      <c r="DR280" s="116" t="str">
        <f>IF(BD_MO[[#This Row],[TIPO AVANCE]]="Avance",((BD_MO[[#This Row],[AVANCE (m)]]/BD_MO[[#This Row],[AVANCE TEÓRICO]]))," ")</f>
        <v xml:space="preserve"> </v>
      </c>
      <c r="DS280" s="49"/>
      <c r="DT280" s="49"/>
      <c r="DU280" s="49"/>
      <c r="DV280" s="49"/>
      <c r="DW280" s="49"/>
      <c r="DX280" s="49"/>
      <c r="DY280" s="49"/>
      <c r="DZ280" s="49"/>
    </row>
    <row r="281" spans="1:130" ht="18" customHeight="1" x14ac:dyDescent="0.25">
      <c r="A281" s="286">
        <v>44667</v>
      </c>
      <c r="B281" s="40" t="s">
        <v>10655</v>
      </c>
      <c r="C281" s="40" t="s">
        <v>10680</v>
      </c>
      <c r="D281" s="61" t="s">
        <v>11872</v>
      </c>
      <c r="E281" s="289" t="str">
        <f>LEFT(BD_MO[[#This Row],[LABOR]],2)</f>
        <v>PQ</v>
      </c>
      <c r="F281" s="290"/>
      <c r="G281" s="290" t="s">
        <v>10669</v>
      </c>
      <c r="H281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81" s="289" t="str">
        <f>IF(BD_MO[FECHA]&lt;&gt;"",VLOOKUP(BD_MO[LABOR],TB_CECO[[LABOR]:[CECO_T]],3,FALSE),"")</f>
        <v>ANDREA</v>
      </c>
      <c r="J281" s="289" t="str">
        <f>IF(BD_MO[FECHA]&lt;&gt;"",VLOOKUP(BD_MO[LABOR],D_CECO!B:H,7,FALSE),"")</f>
        <v>LINEAL</v>
      </c>
      <c r="K281" s="289" t="str">
        <f>IF(BD_MO[FECHA]&lt;&gt;"",VLOOKUP(BD_MO[LABOR],D_CECO!B:H,4,FALSE),"")</f>
        <v>EXPLOTACION</v>
      </c>
      <c r="L281" s="289"/>
      <c r="M281" s="291"/>
      <c r="N281" s="290"/>
      <c r="O281" s="93" t="s">
        <v>11908</v>
      </c>
      <c r="P281" s="93" t="s">
        <v>11905</v>
      </c>
      <c r="Q281" s="93" t="s">
        <v>12211</v>
      </c>
      <c r="R281" s="293"/>
      <c r="S281" s="294" t="str">
        <f>IFERROR(VLOOKUP(BD_MO[DNI 4],#REF!,2,FALSE)," ")</f>
        <v xml:space="preserve"> </v>
      </c>
      <c r="T281" s="295">
        <f>+IF(BD_MO[[#This Row],[FECHA]]&lt;&gt;"",COUNTA(BD_MO[[#This Row],[DNI]],BD_MO[[#This Row],[DNI 2]],BD_MO[[#This Row],[DNI 3]],BD_MO[[#This Row],[DNI 4]]),"")</f>
        <v>3</v>
      </c>
      <c r="U281" s="295"/>
      <c r="V281" s="295"/>
      <c r="W281" s="295"/>
      <c r="X281" s="295">
        <v>3</v>
      </c>
      <c r="Y281" s="296">
        <f>SUM(BD_MO[[#This Row],[LIMP]:[SERV]])</f>
        <v>3</v>
      </c>
      <c r="Z281" s="290"/>
      <c r="AA281" s="290" t="str">
        <f>+IF(BD_MO[[#This Row],[N° VALE]]&lt;&gt;"",1,"")</f>
        <v/>
      </c>
      <c r="AB281" s="287"/>
      <c r="AC281" s="290"/>
      <c r="AD281" s="290" t="str">
        <f>+IF(BD_MO[[#This Row],[N° VALE]]&lt;&gt;"",BD_MO[[#This Row],[FULMINANTE N° 08]]+BD_MO[CARMEX 7''],"")</f>
        <v/>
      </c>
      <c r="AE281" s="290"/>
      <c r="AF281" s="290" t="str">
        <f>+IF(BD_MO[[#This Row],[N° VALE]]&lt;&gt;"",BD_MO[[#This Row],[N° TALADROS]]+BD_MO[[#This Row],[N° TAL. VACIOS]],"")</f>
        <v/>
      </c>
      <c r="AG281" s="297"/>
      <c r="AH281" s="297"/>
      <c r="AI281" s="297"/>
      <c r="AJ281" s="297"/>
      <c r="AK281" s="297"/>
      <c r="AL281" s="297"/>
      <c r="AM281" s="289"/>
      <c r="AN281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81" s="290" t="str">
        <f>+IF(BD_MO[[#This Row],[N° VALE]]&lt;&gt;"",IF(BD_MO[[#This Row],[FULMINANTE N° 08]]&lt;&gt;"",BD_MO[[#This Row],[FULMINANTE N° 08]],IF(BD_MO[[#This Row],[CARMEX 7'']]&lt;&gt;0,0,"")),"")</f>
        <v/>
      </c>
      <c r="AP281" s="295" t="str">
        <f>+IF(BD_MO[[#This Row],[N° VALE]]&lt;&gt;"",BD_MO[[#This Row],[N°  TOTAL TALADROS]]*BD_MO[[#This Row],[BARRA]]*0.95,"")</f>
        <v/>
      </c>
      <c r="AQ281" s="295" t="str">
        <f>+IF(BD_MO[[#This Row],[N° VALE]]&lt;&gt;"",BD_MO[[#This Row],[EMULNOR 1000 (N° CART.)]]*PE_EMUL_1000[PE],"")</f>
        <v/>
      </c>
      <c r="AR281" s="295" t="str">
        <f>+IF(BD_MO[[#This Row],[N° VALE]]&lt;&gt;"",BD_MO[[#This Row],[EMULNOR 3000 (N° CART.)]]*PE_EMUL_3000[PE],"")</f>
        <v/>
      </c>
      <c r="AS281" s="295" t="str">
        <f>+IF(BD_MO[[#This Row],[N° VALE]]&lt;&gt;"",BD_MO[[#This Row],[PULVERULENTA (N° CART.)]]*PE_PULV_65[PE],"")</f>
        <v/>
      </c>
      <c r="AT281" s="295" t="str">
        <f>+IF(BD_MO[[#This Row],[N° DISP]]&lt;&gt;"",BD_MO[[#This Row],[SEMIGELATINA (N° CART.)]]*PE_SEMIGEL_65[PE],"")</f>
        <v/>
      </c>
      <c r="AU281" s="295" t="str">
        <f>+IF(BD_MO[N° VALE]&lt;&gt;"",BD_MO[[#This Row],[KG EXPLO SEMIGEL]]+BD_MO[[#This Row],[KG EXPLO PULVE]]+BD_MO[[#This Row],[KG EXPLO EMULN 3000]]+BD_MO[[#This Row],[KG EXPLO EMULN 1000]],"")</f>
        <v/>
      </c>
      <c r="AV281" s="290"/>
      <c r="AW281" s="290"/>
      <c r="AX281" s="290" t="str">
        <f>+IF(BD_MO[[#This Row],[MINERAL (U-35)]]&lt;&gt;"",BD_MO[[#This Row],[MINERAL (U-35)]]*1.45,"-")</f>
        <v>-</v>
      </c>
      <c r="AY281" s="290" t="str">
        <f>+IF(BD_MO[[#This Row],[DESMONTE (U-35)]]&lt;&gt;"",BD_MO[[#This Row],[DESMONTE (U-35)]]*1.23,"-")</f>
        <v>-</v>
      </c>
      <c r="AZ281" s="290"/>
      <c r="BA281" s="290"/>
      <c r="BB281" s="290"/>
      <c r="BC281" s="290"/>
      <c r="BD281" s="290"/>
      <c r="BE281" s="290"/>
      <c r="BF281" s="290"/>
      <c r="BG281" s="290"/>
      <c r="BH281" s="290"/>
      <c r="BI281" s="290"/>
      <c r="BJ281" s="290"/>
      <c r="BK281" s="290"/>
      <c r="BL281" s="290"/>
      <c r="BM281" s="290"/>
      <c r="BN281" s="289"/>
      <c r="BO281" s="290"/>
      <c r="BP281" s="290"/>
      <c r="BQ281" s="289"/>
      <c r="BR281" s="290"/>
      <c r="BS281" s="289"/>
      <c r="BT281" s="295"/>
      <c r="BU281" s="290"/>
      <c r="BV281" s="290"/>
      <c r="BW281" s="290"/>
      <c r="BX281" s="290"/>
      <c r="BY281" s="290"/>
      <c r="BZ281" s="290"/>
      <c r="CA281" s="290"/>
      <c r="CB281" s="290"/>
      <c r="CC281" s="290"/>
      <c r="CD281" s="290"/>
      <c r="CE281" s="290"/>
      <c r="CF281" s="290"/>
      <c r="CG281" s="290"/>
      <c r="CH281" s="290"/>
      <c r="CI281" s="290"/>
      <c r="CJ281" s="290"/>
      <c r="CK281" s="290"/>
      <c r="CL281" s="290"/>
      <c r="CM281" s="290"/>
      <c r="CN281" s="290"/>
      <c r="CO281" s="290"/>
      <c r="CP281" s="295">
        <f>+IF(BD_MO[[#This Row],[FECHA]]&lt;&gt;"",BD_MO[[#This Row],[PUNTAL 4"]]+BD_MO[[#This Row],[PUNTAL 5"]]+BD_MO[[#This Row],[PUNTAL 6"]]+BD_MO[[#This Row],[PUNTAL 7"]]+BD_MO[[#This Row],[PUNTAL 8"]],"")</f>
        <v>0</v>
      </c>
      <c r="CQ281" s="290"/>
      <c r="CR281" s="290"/>
      <c r="CS281" s="290"/>
      <c r="CT281" s="290"/>
      <c r="CU281" s="290"/>
      <c r="CV281" s="290"/>
      <c r="CW281" s="290"/>
      <c r="CX281" s="290"/>
      <c r="CY281" s="295"/>
      <c r="CZ281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81" s="295">
        <f>+IF(BD_MO[[#This Row],[FECHA]]&lt;&gt;"",BD_MO[[#This Row],[DURMIENTE2]]*6.561+BD_MO[[#This Row],[LISTONES]]*4.921+BD_MO[[#This Row],[TABLA 1"x8"x3m]]*6.561+BD_MO[[#This Row],[TABLA 2"x8"x3m]]*13.122,"")</f>
        <v>0</v>
      </c>
      <c r="DB281" s="295">
        <f>+IF(BD_MO[[#This Row],[FECHA]]&lt;&gt;"",BD_MO[[#This Row],[PIE2 MADERA ASERRADA]]*1.95,"")</f>
        <v>0</v>
      </c>
      <c r="DC281" s="295">
        <f>+IF(BD_MO[[#This Row],[FECHA]]&lt;&gt;"",BD_MO[[#This Row],[KG. MADERA REDONDA]]+BD_MO[[#This Row],[KG MADERA ASERRADA]],"")</f>
        <v>0</v>
      </c>
      <c r="DD281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81" s="290"/>
      <c r="DF281" s="290"/>
      <c r="DG281" s="290"/>
      <c r="DH281" s="290"/>
      <c r="DI281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81" s="299"/>
      <c r="DK281" s="299"/>
      <c r="DL281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81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81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81" s="300"/>
      <c r="DP281" s="299" t="str">
        <f>+IF(BD_MO[[#This Row],[M o D]]&lt;&gt;"",IF(BD_MO[[#This Row],[M o D]]="M",BD_MO[[#This Row],[ROTURA TMH]]/2.65,BD_MO[[#This Row],[ROTURA TMH]]/2.4),"")</f>
        <v/>
      </c>
      <c r="DQ281" s="299"/>
      <c r="DR281" s="116" t="str">
        <f>IF(BD_MO[[#This Row],[TIPO AVANCE]]="Avance",((BD_MO[[#This Row],[AVANCE (m)]]/BD_MO[[#This Row],[AVANCE TEÓRICO]]))," ")</f>
        <v xml:space="preserve"> </v>
      </c>
      <c r="DS281" s="49"/>
      <c r="DT281" s="49"/>
      <c r="DU281" s="49"/>
      <c r="DV281" s="49"/>
      <c r="DW281" s="49"/>
      <c r="DX281" s="49"/>
      <c r="DY281" s="49"/>
      <c r="DZ281" s="49"/>
    </row>
    <row r="282" spans="1:130" ht="18" customHeight="1" x14ac:dyDescent="0.25">
      <c r="A282" s="286">
        <v>44667</v>
      </c>
      <c r="B282" s="40" t="s">
        <v>10655</v>
      </c>
      <c r="C282" s="40" t="s">
        <v>10680</v>
      </c>
      <c r="D282" s="61" t="s">
        <v>10954</v>
      </c>
      <c r="E282" s="289" t="str">
        <f>LEFT(BD_MO[[#This Row],[LABOR]],2)</f>
        <v>MO</v>
      </c>
      <c r="F282" s="290"/>
      <c r="G282" s="290" t="s">
        <v>10669</v>
      </c>
      <c r="H282" s="28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82" s="289" t="str">
        <f>IF(BD_MO[FECHA]&lt;&gt;"",VLOOKUP(BD_MO[LABOR],TB_CECO[[LABOR]:[CECO_T]],3,FALSE),"")</f>
        <v>INCA</v>
      </c>
      <c r="J282" s="289" t="str">
        <f>IF(BD_MO[FECHA]&lt;&gt;"",VLOOKUP(BD_MO[LABOR],D_CECO!B:H,7,FALSE),"")</f>
        <v>SERVICIOS</v>
      </c>
      <c r="K282" s="289" t="str">
        <f>IF(BD_MO[FECHA]&lt;&gt;"",VLOOKUP(BD_MO[LABOR],D_CECO!B:H,4,FALSE),"")</f>
        <v>SERVICIOS</v>
      </c>
      <c r="L282" s="289"/>
      <c r="M282" s="291"/>
      <c r="N282" s="290"/>
      <c r="O282" s="93" t="s">
        <v>12117</v>
      </c>
      <c r="P282" s="93" t="s">
        <v>11907</v>
      </c>
      <c r="Q282" s="292"/>
      <c r="R282" s="293"/>
      <c r="S282" s="294" t="str">
        <f>IFERROR(VLOOKUP(BD_MO[DNI 4],#REF!,2,FALSE)," ")</f>
        <v xml:space="preserve"> </v>
      </c>
      <c r="T282" s="295">
        <f>+IF(BD_MO[[#This Row],[FECHA]]&lt;&gt;"",COUNTA(BD_MO[[#This Row],[DNI]],BD_MO[[#This Row],[DNI 2]],BD_MO[[#This Row],[DNI 3]],BD_MO[[#This Row],[DNI 4]]),"")</f>
        <v>2</v>
      </c>
      <c r="U282" s="295"/>
      <c r="V282" s="295"/>
      <c r="W282" s="295"/>
      <c r="X282" s="295">
        <v>2</v>
      </c>
      <c r="Y282" s="296">
        <f>SUM(BD_MO[[#This Row],[LIMP]:[SERV]])</f>
        <v>2</v>
      </c>
      <c r="Z282" s="290"/>
      <c r="AA282" s="290" t="str">
        <f>+IF(BD_MO[[#This Row],[N° VALE]]&lt;&gt;"",1,"")</f>
        <v/>
      </c>
      <c r="AB282" s="287"/>
      <c r="AC282" s="290"/>
      <c r="AD282" s="290" t="str">
        <f>+IF(BD_MO[[#This Row],[N° VALE]]&lt;&gt;"",BD_MO[[#This Row],[FULMINANTE N° 08]]+BD_MO[CARMEX 7''],"")</f>
        <v/>
      </c>
      <c r="AE282" s="290"/>
      <c r="AF282" s="290" t="str">
        <f>+IF(BD_MO[[#This Row],[N° VALE]]&lt;&gt;"",BD_MO[[#This Row],[N° TALADROS]]+BD_MO[[#This Row],[N° TAL. VACIOS]],"")</f>
        <v/>
      </c>
      <c r="AG282" s="297"/>
      <c r="AH282" s="297"/>
      <c r="AI282" s="297"/>
      <c r="AJ282" s="297"/>
      <c r="AK282" s="297"/>
      <c r="AL282" s="297"/>
      <c r="AM282" s="289"/>
      <c r="AN282" s="29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82" s="290" t="str">
        <f>+IF(BD_MO[[#This Row],[N° VALE]]&lt;&gt;"",IF(BD_MO[[#This Row],[FULMINANTE N° 08]]&lt;&gt;"",BD_MO[[#This Row],[FULMINANTE N° 08]],IF(BD_MO[[#This Row],[CARMEX 7'']]&lt;&gt;0,0,"")),"")</f>
        <v/>
      </c>
      <c r="AP282" s="295" t="str">
        <f>+IF(BD_MO[[#This Row],[N° VALE]]&lt;&gt;"",BD_MO[[#This Row],[N°  TOTAL TALADROS]]*BD_MO[[#This Row],[BARRA]]*0.95,"")</f>
        <v/>
      </c>
      <c r="AQ282" s="295" t="str">
        <f>+IF(BD_MO[[#This Row],[N° VALE]]&lt;&gt;"",BD_MO[[#This Row],[EMULNOR 1000 (N° CART.)]]*PE_EMUL_1000[PE],"")</f>
        <v/>
      </c>
      <c r="AR282" s="295" t="str">
        <f>+IF(BD_MO[[#This Row],[N° VALE]]&lt;&gt;"",BD_MO[[#This Row],[EMULNOR 3000 (N° CART.)]]*PE_EMUL_3000[PE],"")</f>
        <v/>
      </c>
      <c r="AS282" s="295" t="str">
        <f>+IF(BD_MO[[#This Row],[N° VALE]]&lt;&gt;"",BD_MO[[#This Row],[PULVERULENTA (N° CART.)]]*PE_PULV_65[PE],"")</f>
        <v/>
      </c>
      <c r="AT282" s="295" t="str">
        <f>+IF(BD_MO[[#This Row],[N° DISP]]&lt;&gt;"",BD_MO[[#This Row],[SEMIGELATINA (N° CART.)]]*PE_SEMIGEL_65[PE],"")</f>
        <v/>
      </c>
      <c r="AU282" s="295" t="str">
        <f>+IF(BD_MO[N° VALE]&lt;&gt;"",BD_MO[[#This Row],[KG EXPLO SEMIGEL]]+BD_MO[[#This Row],[KG EXPLO PULVE]]+BD_MO[[#This Row],[KG EXPLO EMULN 3000]]+BD_MO[[#This Row],[KG EXPLO EMULN 1000]],"")</f>
        <v/>
      </c>
      <c r="AV282" s="290"/>
      <c r="AW282" s="290"/>
      <c r="AX282" s="290" t="str">
        <f>+IF(BD_MO[[#This Row],[MINERAL (U-35)]]&lt;&gt;"",BD_MO[[#This Row],[MINERAL (U-35)]]*1.45,"-")</f>
        <v>-</v>
      </c>
      <c r="AY282" s="290" t="str">
        <f>+IF(BD_MO[[#This Row],[DESMONTE (U-35)]]&lt;&gt;"",BD_MO[[#This Row],[DESMONTE (U-35)]]*1.23,"-")</f>
        <v>-</v>
      </c>
      <c r="AZ282" s="290"/>
      <c r="BA282" s="290"/>
      <c r="BB282" s="290"/>
      <c r="BC282" s="290"/>
      <c r="BD282" s="290"/>
      <c r="BE282" s="290"/>
      <c r="BF282" s="290"/>
      <c r="BG282" s="290"/>
      <c r="BH282" s="290"/>
      <c r="BI282" s="290"/>
      <c r="BJ282" s="290"/>
      <c r="BK282" s="290"/>
      <c r="BL282" s="290"/>
      <c r="BM282" s="290"/>
      <c r="BN282" s="289"/>
      <c r="BO282" s="290"/>
      <c r="BP282" s="290"/>
      <c r="BQ282" s="289"/>
      <c r="BR282" s="290"/>
      <c r="BS282" s="289"/>
      <c r="BT282" s="295"/>
      <c r="BU282" s="290"/>
      <c r="BV282" s="290"/>
      <c r="BW282" s="290"/>
      <c r="BX282" s="290"/>
      <c r="BY282" s="290"/>
      <c r="BZ282" s="290"/>
      <c r="CA282" s="290"/>
      <c r="CB282" s="290"/>
      <c r="CC282" s="290"/>
      <c r="CD282" s="290"/>
      <c r="CE282" s="290"/>
      <c r="CF282" s="290"/>
      <c r="CG282" s="290"/>
      <c r="CH282" s="290"/>
      <c r="CI282" s="290"/>
      <c r="CJ282" s="290"/>
      <c r="CK282" s="290"/>
      <c r="CL282" s="290"/>
      <c r="CM282" s="290"/>
      <c r="CN282" s="290"/>
      <c r="CO282" s="290"/>
      <c r="CP282" s="295">
        <f>+IF(BD_MO[[#This Row],[FECHA]]&lt;&gt;"",BD_MO[[#This Row],[PUNTAL 4"]]+BD_MO[[#This Row],[PUNTAL 5"]]+BD_MO[[#This Row],[PUNTAL 6"]]+BD_MO[[#This Row],[PUNTAL 7"]]+BD_MO[[#This Row],[PUNTAL 8"]],"")</f>
        <v>0</v>
      </c>
      <c r="CQ282" s="290"/>
      <c r="CR282" s="290"/>
      <c r="CS282" s="290"/>
      <c r="CT282" s="290"/>
      <c r="CU282" s="290"/>
      <c r="CV282" s="290"/>
      <c r="CW282" s="290"/>
      <c r="CX282" s="290"/>
      <c r="CY282" s="295"/>
      <c r="CZ282" s="29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82" s="295">
        <f>+IF(BD_MO[[#This Row],[FECHA]]&lt;&gt;"",BD_MO[[#This Row],[DURMIENTE2]]*6.561+BD_MO[[#This Row],[LISTONES]]*4.921+BD_MO[[#This Row],[TABLA 1"x8"x3m]]*6.561+BD_MO[[#This Row],[TABLA 2"x8"x3m]]*13.122,"")</f>
        <v>0</v>
      </c>
      <c r="DB282" s="295">
        <f>+IF(BD_MO[[#This Row],[FECHA]]&lt;&gt;"",BD_MO[[#This Row],[PIE2 MADERA ASERRADA]]*1.95,"")</f>
        <v>0</v>
      </c>
      <c r="DC282" s="295">
        <f>+IF(BD_MO[[#This Row],[FECHA]]&lt;&gt;"",BD_MO[[#This Row],[KG. MADERA REDONDA]]+BD_MO[[#This Row],[KG MADERA ASERRADA]],"")</f>
        <v>0</v>
      </c>
      <c r="DD282" s="29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82" s="290"/>
      <c r="DF282" s="290"/>
      <c r="DG282" s="290"/>
      <c r="DH282" s="290"/>
      <c r="DI282" s="29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82" s="299"/>
      <c r="DK282" s="299"/>
      <c r="DL282" s="29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82" s="29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82" s="29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82" s="300"/>
      <c r="DP282" s="299" t="str">
        <f>+IF(BD_MO[[#This Row],[M o D]]&lt;&gt;"",IF(BD_MO[[#This Row],[M o D]]="M",BD_MO[[#This Row],[ROTURA TMH]]/2.65,BD_MO[[#This Row],[ROTURA TMH]]/2.4),"")</f>
        <v/>
      </c>
      <c r="DQ282" s="299"/>
      <c r="DR282" s="116" t="str">
        <f>IF(BD_MO[[#This Row],[TIPO AVANCE]]="Avance",((BD_MO[[#This Row],[AVANCE (m)]]/BD_MO[[#This Row],[AVANCE TEÓRICO]]))," ")</f>
        <v xml:space="preserve"> </v>
      </c>
      <c r="DS282" s="49"/>
      <c r="DT282" s="49"/>
      <c r="DU282" s="49"/>
      <c r="DV282" s="49"/>
      <c r="DW282" s="49"/>
      <c r="DX282" s="49"/>
      <c r="DY282" s="49"/>
      <c r="DZ282" s="49"/>
    </row>
    <row r="283" spans="1:130" s="115" customFormat="1" ht="18" customHeight="1" thickBot="1" x14ac:dyDescent="0.3">
      <c r="A283" s="314">
        <v>44667</v>
      </c>
      <c r="B283" s="117" t="s">
        <v>10655</v>
      </c>
      <c r="C283" s="117" t="s">
        <v>10680</v>
      </c>
      <c r="D283" s="118" t="s">
        <v>10717</v>
      </c>
      <c r="E283" s="317" t="str">
        <f>LEFT(BD_MO[[#This Row],[LABOR]],2)</f>
        <v>BO</v>
      </c>
      <c r="F283" s="318"/>
      <c r="G283" s="318" t="s">
        <v>10669</v>
      </c>
      <c r="H283" s="31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83" s="317" t="str">
        <f>IF(BD_MO[FECHA]&lt;&gt;"",VLOOKUP(BD_MO[LABOR],TB_CECO[[LABOR]:[CECO_T]],3,FALSE),"")</f>
        <v>CACHORRO</v>
      </c>
      <c r="J283" s="317" t="str">
        <f>IF(BD_MO[FECHA]&lt;&gt;"",VLOOKUP(BD_MO[LABOR],D_CECO!B:H,7,FALSE),"")</f>
        <v>SERVICIOS</v>
      </c>
      <c r="K283" s="317" t="str">
        <f>IF(BD_MO[FECHA]&lt;&gt;"",VLOOKUP(BD_MO[LABOR],D_CECO!B:H,4,FALSE),"")</f>
        <v>SERVICIOS</v>
      </c>
      <c r="L283" s="317"/>
      <c r="M283" s="315"/>
      <c r="N283" s="318"/>
      <c r="O283" s="121" t="s">
        <v>11909</v>
      </c>
      <c r="P283" s="319"/>
      <c r="Q283" s="319"/>
      <c r="R283" s="320"/>
      <c r="S283" s="321" t="str">
        <f>IFERROR(VLOOKUP(BD_MO[DNI 4],#REF!,2,FALSE)," ")</f>
        <v xml:space="preserve"> </v>
      </c>
      <c r="T283" s="322">
        <f>+IF(BD_MO[[#This Row],[FECHA]]&lt;&gt;"",COUNTA(BD_MO[[#This Row],[DNI]],BD_MO[[#This Row],[DNI 2]],BD_MO[[#This Row],[DNI 3]],BD_MO[[#This Row],[DNI 4]]),"")</f>
        <v>1</v>
      </c>
      <c r="U283" s="322"/>
      <c r="V283" s="322"/>
      <c r="W283" s="322"/>
      <c r="X283" s="322">
        <v>1</v>
      </c>
      <c r="Y283" s="323">
        <f>SUM(BD_MO[[#This Row],[LIMP]:[SERV]])</f>
        <v>1</v>
      </c>
      <c r="Z283" s="318"/>
      <c r="AA283" s="318" t="str">
        <f>+IF(BD_MO[[#This Row],[N° VALE]]&lt;&gt;"",1,"")</f>
        <v/>
      </c>
      <c r="AB283" s="315"/>
      <c r="AC283" s="318"/>
      <c r="AD283" s="318" t="str">
        <f>+IF(BD_MO[[#This Row],[N° VALE]]&lt;&gt;"",BD_MO[[#This Row],[FULMINANTE N° 08]]+BD_MO[CARMEX 7''],"")</f>
        <v/>
      </c>
      <c r="AE283" s="318"/>
      <c r="AF283" s="318" t="str">
        <f>+IF(BD_MO[[#This Row],[N° VALE]]&lt;&gt;"",BD_MO[[#This Row],[N° TALADROS]]+BD_MO[[#This Row],[N° TAL. VACIOS]],"")</f>
        <v/>
      </c>
      <c r="AG283" s="324"/>
      <c r="AH283" s="324"/>
      <c r="AI283" s="324"/>
      <c r="AJ283" s="324"/>
      <c r="AK283" s="324"/>
      <c r="AL283" s="324"/>
      <c r="AM283" s="317"/>
      <c r="AN283" s="31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83" s="318" t="str">
        <f>+IF(BD_MO[[#This Row],[N° VALE]]&lt;&gt;"",IF(BD_MO[[#This Row],[FULMINANTE N° 08]]&lt;&gt;"",BD_MO[[#This Row],[FULMINANTE N° 08]],IF(BD_MO[[#This Row],[CARMEX 7'']]&lt;&gt;0,0,"")),"")</f>
        <v/>
      </c>
      <c r="AP283" s="322" t="str">
        <f>+IF(BD_MO[[#This Row],[N° VALE]]&lt;&gt;"",BD_MO[[#This Row],[N°  TOTAL TALADROS]]*BD_MO[[#This Row],[BARRA]]*0.95,"")</f>
        <v/>
      </c>
      <c r="AQ283" s="322" t="str">
        <f>+IF(BD_MO[[#This Row],[N° VALE]]&lt;&gt;"",BD_MO[[#This Row],[EMULNOR 1000 (N° CART.)]]*PE_EMUL_1000[PE],"")</f>
        <v/>
      </c>
      <c r="AR283" s="322" t="str">
        <f>+IF(BD_MO[[#This Row],[N° VALE]]&lt;&gt;"",BD_MO[[#This Row],[EMULNOR 3000 (N° CART.)]]*PE_EMUL_3000[PE],"")</f>
        <v/>
      </c>
      <c r="AS283" s="322" t="str">
        <f>+IF(BD_MO[[#This Row],[N° VALE]]&lt;&gt;"",BD_MO[[#This Row],[PULVERULENTA (N° CART.)]]*PE_PULV_65[PE],"")</f>
        <v/>
      </c>
      <c r="AT283" s="322" t="str">
        <f>+IF(BD_MO[[#This Row],[N° DISP]]&lt;&gt;"",BD_MO[[#This Row],[SEMIGELATINA (N° CART.)]]*PE_SEMIGEL_65[PE],"")</f>
        <v/>
      </c>
      <c r="AU283" s="322" t="str">
        <f>+IF(BD_MO[N° VALE]&lt;&gt;"",BD_MO[[#This Row],[KG EXPLO SEMIGEL]]+BD_MO[[#This Row],[KG EXPLO PULVE]]+BD_MO[[#This Row],[KG EXPLO EMULN 3000]]+BD_MO[[#This Row],[KG EXPLO EMULN 1000]],"")</f>
        <v/>
      </c>
      <c r="AV283" s="318"/>
      <c r="AW283" s="318"/>
      <c r="AX283" s="318" t="str">
        <f>+IF(BD_MO[[#This Row],[MINERAL (U-35)]]&lt;&gt;"",BD_MO[[#This Row],[MINERAL (U-35)]]*1.45,"-")</f>
        <v>-</v>
      </c>
      <c r="AY283" s="318" t="str">
        <f>+IF(BD_MO[[#This Row],[DESMONTE (U-35)]]&lt;&gt;"",BD_MO[[#This Row],[DESMONTE (U-35)]]*1.23,"-")</f>
        <v>-</v>
      </c>
      <c r="AZ283" s="318"/>
      <c r="BA283" s="318"/>
      <c r="BB283" s="318"/>
      <c r="BC283" s="318"/>
      <c r="BD283" s="318"/>
      <c r="BE283" s="318"/>
      <c r="BF283" s="318"/>
      <c r="BG283" s="318"/>
      <c r="BH283" s="318"/>
      <c r="BI283" s="318"/>
      <c r="BJ283" s="318"/>
      <c r="BK283" s="318"/>
      <c r="BL283" s="318"/>
      <c r="BM283" s="318"/>
      <c r="BN283" s="317"/>
      <c r="BO283" s="318"/>
      <c r="BP283" s="318"/>
      <c r="BQ283" s="317"/>
      <c r="BR283" s="318"/>
      <c r="BS283" s="317"/>
      <c r="BT283" s="322"/>
      <c r="BU283" s="318"/>
      <c r="BV283" s="318"/>
      <c r="BW283" s="318"/>
      <c r="BX283" s="318"/>
      <c r="BY283" s="318"/>
      <c r="BZ283" s="318"/>
      <c r="CA283" s="318"/>
      <c r="CB283" s="318"/>
      <c r="CC283" s="318"/>
      <c r="CD283" s="318"/>
      <c r="CE283" s="318"/>
      <c r="CF283" s="318"/>
      <c r="CG283" s="318"/>
      <c r="CH283" s="318"/>
      <c r="CI283" s="318"/>
      <c r="CJ283" s="318"/>
      <c r="CK283" s="318"/>
      <c r="CL283" s="318"/>
      <c r="CM283" s="318"/>
      <c r="CN283" s="318"/>
      <c r="CO283" s="318"/>
      <c r="CP283" s="322">
        <f>+IF(BD_MO[[#This Row],[FECHA]]&lt;&gt;"",BD_MO[[#This Row],[PUNTAL 4"]]+BD_MO[[#This Row],[PUNTAL 5"]]+BD_MO[[#This Row],[PUNTAL 6"]]+BD_MO[[#This Row],[PUNTAL 7"]]+BD_MO[[#This Row],[PUNTAL 8"]],"")</f>
        <v>0</v>
      </c>
      <c r="CQ283" s="318"/>
      <c r="CR283" s="318"/>
      <c r="CS283" s="318"/>
      <c r="CT283" s="318"/>
      <c r="CU283" s="318"/>
      <c r="CV283" s="318"/>
      <c r="CW283" s="318"/>
      <c r="CX283" s="318"/>
      <c r="CY283" s="322"/>
      <c r="CZ283" s="32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83" s="322">
        <f>+IF(BD_MO[[#This Row],[FECHA]]&lt;&gt;"",BD_MO[[#This Row],[DURMIENTE2]]*6.561+BD_MO[[#This Row],[LISTONES]]*4.921+BD_MO[[#This Row],[TABLA 1"x8"x3m]]*6.561+BD_MO[[#This Row],[TABLA 2"x8"x3m]]*13.122,"")</f>
        <v>0</v>
      </c>
      <c r="DB283" s="322">
        <f>+IF(BD_MO[[#This Row],[FECHA]]&lt;&gt;"",BD_MO[[#This Row],[PIE2 MADERA ASERRADA]]*1.95,"")</f>
        <v>0</v>
      </c>
      <c r="DC283" s="322">
        <f>+IF(BD_MO[[#This Row],[FECHA]]&lt;&gt;"",BD_MO[[#This Row],[KG. MADERA REDONDA]]+BD_MO[[#This Row],[KG MADERA ASERRADA]],"")</f>
        <v>0</v>
      </c>
      <c r="DD283" s="32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83" s="318"/>
      <c r="DF283" s="318"/>
      <c r="DG283" s="318"/>
      <c r="DH283" s="318"/>
      <c r="DI283" s="32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83" s="326"/>
      <c r="DK283" s="326"/>
      <c r="DL283" s="32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83" s="32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83" s="32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83" s="327"/>
      <c r="DP283" s="326" t="str">
        <f>+IF(BD_MO[[#This Row],[M o D]]&lt;&gt;"",IF(BD_MO[[#This Row],[M o D]]="M",BD_MO[[#This Row],[ROTURA TMH]]/2.65,BD_MO[[#This Row],[ROTURA TMH]]/2.4),"")</f>
        <v/>
      </c>
      <c r="DQ283" s="326"/>
      <c r="DR283" s="116" t="str">
        <f>IF(BD_MO[[#This Row],[TIPO AVANCE]]="Avance",((BD_MO[[#This Row],[AVANCE (m)]]/BD_MO[[#This Row],[AVANCE TEÓRICO]]))," ")</f>
        <v xml:space="preserve"> </v>
      </c>
    </row>
    <row r="284" spans="1:130" ht="18" customHeight="1" x14ac:dyDescent="0.25">
      <c r="A284" s="92">
        <v>44668</v>
      </c>
      <c r="B284" s="40" t="s">
        <v>10647</v>
      </c>
      <c r="C284" s="40" t="s">
        <v>10672</v>
      </c>
      <c r="D284" s="61" t="s">
        <v>11827</v>
      </c>
      <c r="E284" s="42" t="str">
        <f>LEFT(BD_MO[[#This Row],[LABOR]],2)</f>
        <v>Tj</v>
      </c>
      <c r="F284" s="46" t="s">
        <v>10687</v>
      </c>
      <c r="G284" s="46" t="s">
        <v>10648</v>
      </c>
      <c r="H284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84" s="42" t="str">
        <f>IF(BD_MO[FECHA]&lt;&gt;"",VLOOKUP(BD_MO[LABOR],TB_CECO[[LABOR]:[CECO_T]],3,FALSE),"")</f>
        <v>VANESSA</v>
      </c>
      <c r="J284" s="42" t="str">
        <f>IF(BD_MO[FECHA]&lt;&gt;"",VLOOKUP(BD_MO[LABOR],D_CECO!B:H,7,FALSE),"")</f>
        <v>TAJO</v>
      </c>
      <c r="K284" s="42" t="str">
        <f>IF(BD_MO[FECHA]&lt;&gt;"",VLOOKUP(BD_MO[LABOR],D_CECO!B:H,4,FALSE),"")</f>
        <v>EXPLOTACION</v>
      </c>
      <c r="L284" s="42"/>
      <c r="M284" s="48" t="s">
        <v>10654</v>
      </c>
      <c r="N284" s="46"/>
      <c r="O284" s="93" t="s">
        <v>12192</v>
      </c>
      <c r="P284" s="93"/>
      <c r="Q284" s="93"/>
      <c r="R284" s="45"/>
      <c r="S284" s="54" t="str">
        <f>IFERROR(VLOOKUP(BD_MO[DNI 4],#REF!,2,FALSE)," ")</f>
        <v xml:space="preserve"> </v>
      </c>
      <c r="T284" s="24">
        <f>+IF(BD_MO[[#This Row],[FECHA]]&lt;&gt;"",COUNTA(BD_MO[[#This Row],[DNI]],BD_MO[[#This Row],[DNI 2]],BD_MO[[#This Row],[DNI 3]],BD_MO[[#This Row],[DNI 4]]),"")</f>
        <v>1</v>
      </c>
      <c r="U284" s="24">
        <v>0.14000000000000001</v>
      </c>
      <c r="V284" s="24">
        <v>0.38</v>
      </c>
      <c r="W284" s="24">
        <v>0.19</v>
      </c>
      <c r="X284" s="24">
        <v>0.28999999999999998</v>
      </c>
      <c r="Y284" s="86">
        <f>SUM(BD_MO[[#This Row],[LIMP]:[SERV]])</f>
        <v>1</v>
      </c>
      <c r="Z284" s="46" t="s">
        <v>12295</v>
      </c>
      <c r="AA284" s="46">
        <f>+IF(BD_MO[[#This Row],[N° VALE]]&lt;&gt;"",1,"")</f>
        <v>1</v>
      </c>
      <c r="AB284" s="40" t="s">
        <v>10691</v>
      </c>
      <c r="AC284" s="46">
        <v>4</v>
      </c>
      <c r="AD284" s="46">
        <f>+IF(BD_MO[[#This Row],[N° VALE]]&lt;&gt;"",BD_MO[[#This Row],[FULMINANTE N° 08]]+BD_MO[CARMEX 7''],"")</f>
        <v>25</v>
      </c>
      <c r="AE284" s="46"/>
      <c r="AF284" s="46">
        <f>+IF(BD_MO[[#This Row],[N° VALE]]&lt;&gt;"",BD_MO[[#This Row],[N° TALADROS]]+BD_MO[[#This Row],[N° TAL. VACIOS]],"")</f>
        <v>25</v>
      </c>
      <c r="AG284" s="55">
        <v>55</v>
      </c>
      <c r="AH284" s="55">
        <v>50</v>
      </c>
      <c r="AI284" s="55"/>
      <c r="AJ284" s="55"/>
      <c r="AK284" s="55">
        <v>25</v>
      </c>
      <c r="AL284" s="55">
        <v>6</v>
      </c>
      <c r="AM284" s="42"/>
      <c r="AN284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84" s="46">
        <f>+IF(BD_MO[[#This Row],[N° VALE]]&lt;&gt;"",IF(BD_MO[[#This Row],[FULMINANTE N° 08]]&lt;&gt;"",BD_MO[[#This Row],[FULMINANTE N° 08]],IF(BD_MO[[#This Row],[CARMEX 7'']]&lt;&gt;0,0,"")),"")</f>
        <v>0</v>
      </c>
      <c r="AP284" s="24">
        <f>+IF(BD_MO[[#This Row],[N° VALE]]&lt;&gt;"",BD_MO[[#This Row],[N°  TOTAL TALADROS]]*BD_MO[[#This Row],[BARRA]]*0.95,"")</f>
        <v>95</v>
      </c>
      <c r="AQ284" s="24">
        <f>+IF(BD_MO[[#This Row],[N° VALE]]&lt;&gt;"",BD_MO[[#This Row],[EMULNOR 1000 (N° CART.)]]*PE_EMUL_1000[PE],"")</f>
        <v>4.7350000000000003</v>
      </c>
      <c r="AR284" s="24">
        <f>+IF(BD_MO[[#This Row],[N° VALE]]&lt;&gt;"",BD_MO[[#This Row],[EMULNOR 3000 (N° CART.)]]*PE_EMUL_3000[PE],"")</f>
        <v>5.288461538461541</v>
      </c>
      <c r="AS284" s="24">
        <f>+IF(BD_MO[[#This Row],[N° VALE]]&lt;&gt;"",BD_MO[[#This Row],[PULVERULENTA (N° CART.)]]*PE_PULV_65[PE],"")</f>
        <v>0</v>
      </c>
      <c r="AT284" s="24">
        <f>+IF(BD_MO[[#This Row],[N° DISP]]&lt;&gt;"",BD_MO[[#This Row],[SEMIGELATINA (N° CART.)]]*PE_SEMIGEL_65[PE],"")</f>
        <v>0</v>
      </c>
      <c r="AU284" s="24">
        <f>+IF(BD_MO[N° VALE]&lt;&gt;"",BD_MO[[#This Row],[KG EXPLO SEMIGEL]]+BD_MO[[#This Row],[KG EXPLO PULVE]]+BD_MO[[#This Row],[KG EXPLO EMULN 3000]]+BD_MO[[#This Row],[KG EXPLO EMULN 1000]],"")</f>
        <v>10.023461538461541</v>
      </c>
      <c r="AV284" s="46">
        <v>3</v>
      </c>
      <c r="AW284" s="46"/>
      <c r="AX284" s="46">
        <f>+IF(BD_MO[[#This Row],[MINERAL (U-35)]]&lt;&gt;"",BD_MO[[#This Row],[MINERAL (U-35)]]*1.45,"-")</f>
        <v>4.3499999999999996</v>
      </c>
      <c r="AY284" s="46" t="str">
        <f>+IF(BD_MO[[#This Row],[DESMONTE (U-35)]]&lt;&gt;"",BD_MO[[#This Row],[DESMONTE (U-35)]]*1.23,"-")</f>
        <v>-</v>
      </c>
      <c r="AZ284" s="46"/>
      <c r="BA284" s="46"/>
      <c r="BB284" s="46"/>
      <c r="BC284" s="46"/>
      <c r="BD284" s="46"/>
      <c r="BE284" s="46"/>
      <c r="BF284" s="46"/>
      <c r="BG284" s="46"/>
      <c r="BH284" s="46"/>
      <c r="BI284" s="46">
        <v>1</v>
      </c>
      <c r="BJ284" s="46"/>
      <c r="BK284" s="46"/>
      <c r="BL284" s="46"/>
      <c r="BM284" s="46"/>
      <c r="BN284" s="42"/>
      <c r="BO284" s="46"/>
      <c r="BP284" s="46"/>
      <c r="BQ284" s="42"/>
      <c r="BR284" s="46"/>
      <c r="BS284" s="42"/>
      <c r="BT284" s="24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>
        <v>1</v>
      </c>
      <c r="CO284" s="46"/>
      <c r="CP284" s="24">
        <f>+IF(BD_MO[[#This Row],[FECHA]]&lt;&gt;"",BD_MO[[#This Row],[PUNTAL 4"]]+BD_MO[[#This Row],[PUNTAL 5"]]+BD_MO[[#This Row],[PUNTAL 6"]]+BD_MO[[#This Row],[PUNTAL 7"]]+BD_MO[[#This Row],[PUNTAL 8"]],"")</f>
        <v>1</v>
      </c>
      <c r="CQ284" s="46"/>
      <c r="CR284" s="46"/>
      <c r="CS284" s="46"/>
      <c r="CT284" s="46"/>
      <c r="CU284" s="46"/>
      <c r="CV284" s="46"/>
      <c r="CW284" s="46"/>
      <c r="CX284" s="46"/>
      <c r="CY284" s="24"/>
      <c r="CZ284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61.079000000000001</v>
      </c>
      <c r="DA284" s="24">
        <f>+IF(BD_MO[[#This Row],[FECHA]]&lt;&gt;"",BD_MO[[#This Row],[DURMIENTE2]]*6.561+BD_MO[[#This Row],[LISTONES]]*4.921+BD_MO[[#This Row],[TABLA 1"x8"x3m]]*6.561+BD_MO[[#This Row],[TABLA 2"x8"x3m]]*13.122,"")</f>
        <v>0</v>
      </c>
      <c r="DB284" s="24">
        <f>+IF(BD_MO[[#This Row],[FECHA]]&lt;&gt;"",BD_MO[[#This Row],[PIE2 MADERA ASERRADA]]*1.95,"")</f>
        <v>0</v>
      </c>
      <c r="DC284" s="24">
        <f>+IF(BD_MO[[#This Row],[FECHA]]&lt;&gt;"",BD_MO[[#This Row],[KG. MADERA REDONDA]]+BD_MO[[#This Row],[KG MADERA ASERRADA]],"")</f>
        <v>61.079000000000001</v>
      </c>
      <c r="DD284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284" s="46"/>
      <c r="DF284" s="46"/>
      <c r="DG284" s="46"/>
      <c r="DH284" s="46"/>
      <c r="DI284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84" s="56"/>
      <c r="DK284" s="56"/>
      <c r="DL284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5.83</v>
      </c>
      <c r="DM284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6.0632000000000001</v>
      </c>
      <c r="DN284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84" s="66">
        <f>0.36*25</f>
        <v>9</v>
      </c>
      <c r="DP284" s="56">
        <f>+IF(BD_MO[[#This Row],[M o D]]&lt;&gt;"",IF(BD_MO[[#This Row],[M o D]]="M",BD_MO[[#This Row],[ROTURA TMH]]/2.65,BD_MO[[#This Row],[ROTURA TMH]]/2.4),"")</f>
        <v>3.75</v>
      </c>
      <c r="DQ284" s="56"/>
      <c r="DR284" s="116" t="str">
        <f>IF(BD_MO[[#This Row],[TIPO AVANCE]]="Avance",((BD_MO[[#This Row],[AVANCE (m)]]/BD_MO[[#This Row],[AVANCE TEÓRICO]]))," ")</f>
        <v xml:space="preserve"> </v>
      </c>
      <c r="DS284" s="49"/>
      <c r="DT284" s="49"/>
      <c r="DU284" s="49"/>
      <c r="DV284" s="49"/>
      <c r="DW284" s="49"/>
      <c r="DX284" s="49"/>
      <c r="DY284" s="49"/>
      <c r="DZ284" s="49"/>
    </row>
    <row r="285" spans="1:130" ht="18" customHeight="1" x14ac:dyDescent="0.25">
      <c r="A285" s="92">
        <v>44668</v>
      </c>
      <c r="B285" s="40" t="s">
        <v>10647</v>
      </c>
      <c r="C285" s="40" t="s">
        <v>10672</v>
      </c>
      <c r="D285" s="61" t="s">
        <v>11595</v>
      </c>
      <c r="E285" s="42" t="str">
        <f>LEFT(BD_MO[[#This Row],[LABOR]],2)</f>
        <v>Tj</v>
      </c>
      <c r="F285" s="46" t="s">
        <v>10950</v>
      </c>
      <c r="G285" s="46" t="s">
        <v>10648</v>
      </c>
      <c r="H285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85" s="42" t="str">
        <f>IF(BD_MO[FECHA]&lt;&gt;"",VLOOKUP(BD_MO[LABOR],TB_CECO[[LABOR]:[CECO_T]],3,FALSE),"")</f>
        <v>ESCONDIDA</v>
      </c>
      <c r="J285" s="42" t="str">
        <f>IF(BD_MO[FECHA]&lt;&gt;"",VLOOKUP(BD_MO[LABOR],D_CECO!B:H,7,FALSE),"")</f>
        <v>TAJO</v>
      </c>
      <c r="K285" s="42" t="str">
        <f>IF(BD_MO[FECHA]&lt;&gt;"",VLOOKUP(BD_MO[LABOR],D_CECO!B:H,4,FALSE),"")</f>
        <v>EXPLOTACION</v>
      </c>
      <c r="L285" s="42"/>
      <c r="M285" s="48" t="s">
        <v>10654</v>
      </c>
      <c r="N285" s="46"/>
      <c r="O285" s="93" t="s">
        <v>12205</v>
      </c>
      <c r="P285" s="93"/>
      <c r="Q285" s="93"/>
      <c r="R285" s="45"/>
      <c r="S285" s="54" t="str">
        <f>IFERROR(VLOOKUP(BD_MO[DNI 4],#REF!,2,FALSE)," ")</f>
        <v xml:space="preserve"> </v>
      </c>
      <c r="T285" s="24">
        <f>+IF(BD_MO[[#This Row],[FECHA]]&lt;&gt;"",COUNTA(BD_MO[[#This Row],[DNI]],BD_MO[[#This Row],[DNI 2]],BD_MO[[#This Row],[DNI 3]],BD_MO[[#This Row],[DNI 4]]),"")</f>
        <v>1</v>
      </c>
      <c r="U285" s="24">
        <v>0.14000000000000001</v>
      </c>
      <c r="V285" s="24">
        <v>0.38</v>
      </c>
      <c r="W285" s="24">
        <v>0.19</v>
      </c>
      <c r="X285" s="24">
        <v>0.28999999999999998</v>
      </c>
      <c r="Y285" s="86">
        <f>SUM(BD_MO[[#This Row],[LIMP]:[SERV]])</f>
        <v>1</v>
      </c>
      <c r="Z285" s="46" t="s">
        <v>12296</v>
      </c>
      <c r="AA285" s="46">
        <f>+IF(BD_MO[[#This Row],[N° VALE]]&lt;&gt;"",1,"")</f>
        <v>1</v>
      </c>
      <c r="AB285" s="40" t="s">
        <v>10691</v>
      </c>
      <c r="AC285" s="46">
        <v>4</v>
      </c>
      <c r="AD285" s="46">
        <f>+IF(BD_MO[[#This Row],[N° VALE]]&lt;&gt;"",BD_MO[[#This Row],[FULMINANTE N° 08]]+BD_MO[CARMEX 7''],"")</f>
        <v>25</v>
      </c>
      <c r="AE285" s="46"/>
      <c r="AF285" s="46">
        <f>+IF(BD_MO[[#This Row],[N° VALE]]&lt;&gt;"",BD_MO[[#This Row],[N° TALADROS]]+BD_MO[[#This Row],[N° TAL. VACIOS]],"")</f>
        <v>25</v>
      </c>
      <c r="AG285" s="55">
        <v>55</v>
      </c>
      <c r="AH285" s="55">
        <v>50</v>
      </c>
      <c r="AI285" s="55"/>
      <c r="AJ285" s="55"/>
      <c r="AK285" s="55">
        <v>25</v>
      </c>
      <c r="AL285" s="55">
        <v>6</v>
      </c>
      <c r="AM285" s="42"/>
      <c r="AN285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85" s="46">
        <f>+IF(BD_MO[[#This Row],[N° VALE]]&lt;&gt;"",IF(BD_MO[[#This Row],[FULMINANTE N° 08]]&lt;&gt;"",BD_MO[[#This Row],[FULMINANTE N° 08]],IF(BD_MO[[#This Row],[CARMEX 7'']]&lt;&gt;0,0,"")),"")</f>
        <v>0</v>
      </c>
      <c r="AP285" s="24">
        <f>+IF(BD_MO[[#This Row],[N° VALE]]&lt;&gt;"",BD_MO[[#This Row],[N°  TOTAL TALADROS]]*BD_MO[[#This Row],[BARRA]]*0.95,"")</f>
        <v>95</v>
      </c>
      <c r="AQ285" s="24">
        <f>+IF(BD_MO[[#This Row],[N° VALE]]&lt;&gt;"",BD_MO[[#This Row],[EMULNOR 1000 (N° CART.)]]*PE_EMUL_1000[PE],"")</f>
        <v>4.7350000000000003</v>
      </c>
      <c r="AR285" s="24">
        <f>+IF(BD_MO[[#This Row],[N° VALE]]&lt;&gt;"",BD_MO[[#This Row],[EMULNOR 3000 (N° CART.)]]*PE_EMUL_3000[PE],"")</f>
        <v>5.288461538461541</v>
      </c>
      <c r="AS285" s="24">
        <f>+IF(BD_MO[[#This Row],[N° VALE]]&lt;&gt;"",BD_MO[[#This Row],[PULVERULENTA (N° CART.)]]*PE_PULV_65[PE],"")</f>
        <v>0</v>
      </c>
      <c r="AT285" s="24">
        <f>+IF(BD_MO[[#This Row],[N° DISP]]&lt;&gt;"",BD_MO[[#This Row],[SEMIGELATINA (N° CART.)]]*PE_SEMIGEL_65[PE],"")</f>
        <v>0</v>
      </c>
      <c r="AU285" s="24">
        <f>+IF(BD_MO[N° VALE]&lt;&gt;"",BD_MO[[#This Row],[KG EXPLO SEMIGEL]]+BD_MO[[#This Row],[KG EXPLO PULVE]]+BD_MO[[#This Row],[KG EXPLO EMULN 3000]]+BD_MO[[#This Row],[KG EXPLO EMULN 1000]],"")</f>
        <v>10.023461538461541</v>
      </c>
      <c r="AV285" s="46"/>
      <c r="AW285" s="46"/>
      <c r="AX285" s="46" t="str">
        <f>+IF(BD_MO[[#This Row],[MINERAL (U-35)]]&lt;&gt;"",BD_MO[[#This Row],[MINERAL (U-35)]]*1.45,"-")</f>
        <v>-</v>
      </c>
      <c r="AY285" s="46" t="str">
        <f>+IF(BD_MO[[#This Row],[DESMONTE (U-35)]]&lt;&gt;"",BD_MO[[#This Row],[DESMONTE (U-35)]]*1.23,"-")</f>
        <v>-</v>
      </c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2"/>
      <c r="BO285" s="46"/>
      <c r="BP285" s="46"/>
      <c r="BQ285" s="42"/>
      <c r="BR285" s="46"/>
      <c r="BS285" s="42"/>
      <c r="BT285" s="24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24">
        <f>+IF(BD_MO[[#This Row],[FECHA]]&lt;&gt;"",BD_MO[[#This Row],[PUNTAL 4"]]+BD_MO[[#This Row],[PUNTAL 5"]]+BD_MO[[#This Row],[PUNTAL 6"]]+BD_MO[[#This Row],[PUNTAL 7"]]+BD_MO[[#This Row],[PUNTAL 8"]],"")</f>
        <v>0</v>
      </c>
      <c r="CQ285" s="46"/>
      <c r="CR285" s="46"/>
      <c r="CS285" s="46"/>
      <c r="CT285" s="46"/>
      <c r="CU285" s="46"/>
      <c r="CV285" s="46"/>
      <c r="CW285" s="46"/>
      <c r="CX285" s="46"/>
      <c r="CY285" s="24"/>
      <c r="CZ285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85" s="24">
        <f>+IF(BD_MO[[#This Row],[FECHA]]&lt;&gt;"",BD_MO[[#This Row],[DURMIENTE2]]*6.561+BD_MO[[#This Row],[LISTONES]]*4.921+BD_MO[[#This Row],[TABLA 1"x8"x3m]]*6.561+BD_MO[[#This Row],[TABLA 2"x8"x3m]]*13.122,"")</f>
        <v>0</v>
      </c>
      <c r="DB285" s="24">
        <f>+IF(BD_MO[[#This Row],[FECHA]]&lt;&gt;"",BD_MO[[#This Row],[PIE2 MADERA ASERRADA]]*1.95,"")</f>
        <v>0</v>
      </c>
      <c r="DC285" s="24">
        <f>+IF(BD_MO[[#This Row],[FECHA]]&lt;&gt;"",BD_MO[[#This Row],[KG. MADERA REDONDA]]+BD_MO[[#This Row],[KG MADERA ASERRADA]],"")</f>
        <v>0</v>
      </c>
      <c r="DD285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85" s="46"/>
      <c r="DF285" s="46"/>
      <c r="DG285" s="46"/>
      <c r="DH285" s="46"/>
      <c r="DI285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85" s="56"/>
      <c r="DK285" s="56"/>
      <c r="DL285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5.83</v>
      </c>
      <c r="DM285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6.0632000000000001</v>
      </c>
      <c r="DN285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85" s="66">
        <f>0.36*25</f>
        <v>9</v>
      </c>
      <c r="DP285" s="56">
        <f>+IF(BD_MO[[#This Row],[M o D]]&lt;&gt;"",IF(BD_MO[[#This Row],[M o D]]="M",BD_MO[[#This Row],[ROTURA TMH]]/2.65,BD_MO[[#This Row],[ROTURA TMH]]/2.4),"")</f>
        <v>3.3962264150943398</v>
      </c>
      <c r="DQ285" s="56"/>
      <c r="DR285" s="116" t="str">
        <f>IF(BD_MO[[#This Row],[TIPO AVANCE]]="Avance",((BD_MO[[#This Row],[AVANCE (m)]]/BD_MO[[#This Row],[AVANCE TEÓRICO]]))," ")</f>
        <v xml:space="preserve"> </v>
      </c>
      <c r="DS285" s="49"/>
      <c r="DT285" s="49"/>
      <c r="DU285" s="49"/>
      <c r="DV285" s="49"/>
      <c r="DW285" s="49"/>
      <c r="DX285" s="49"/>
      <c r="DY285" s="49"/>
      <c r="DZ285" s="49"/>
    </row>
    <row r="286" spans="1:130" ht="18" customHeight="1" x14ac:dyDescent="0.25">
      <c r="A286" s="92">
        <v>44668</v>
      </c>
      <c r="B286" s="40" t="s">
        <v>10647</v>
      </c>
      <c r="C286" s="40" t="s">
        <v>10672</v>
      </c>
      <c r="D286" s="61" t="s">
        <v>11827</v>
      </c>
      <c r="E286" s="42" t="str">
        <f>LEFT(BD_MO[[#This Row],[LABOR]],2)</f>
        <v>Tj</v>
      </c>
      <c r="F286" s="46" t="s">
        <v>10950</v>
      </c>
      <c r="G286" s="46" t="s">
        <v>10648</v>
      </c>
      <c r="H286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86" s="42" t="str">
        <f>IF(BD_MO[FECHA]&lt;&gt;"",VLOOKUP(BD_MO[LABOR],TB_CECO[[LABOR]:[CECO_T]],3,FALSE),"")</f>
        <v>VANESSA</v>
      </c>
      <c r="J286" s="42" t="str">
        <f>IF(BD_MO[FECHA]&lt;&gt;"",VLOOKUP(BD_MO[LABOR],D_CECO!B:H,7,FALSE),"")</f>
        <v>TAJO</v>
      </c>
      <c r="K286" s="42" t="str">
        <f>IF(BD_MO[FECHA]&lt;&gt;"",VLOOKUP(BD_MO[LABOR],D_CECO!B:H,4,FALSE),"")</f>
        <v>EXPLOTACION</v>
      </c>
      <c r="L286" s="42"/>
      <c r="M286" s="48" t="s">
        <v>10654</v>
      </c>
      <c r="N286" s="46"/>
      <c r="O286" s="93" t="s">
        <v>12194</v>
      </c>
      <c r="P286" s="93"/>
      <c r="Q286" s="93"/>
      <c r="R286" s="45"/>
      <c r="S286" s="54" t="str">
        <f>IFERROR(VLOOKUP(BD_MO[DNI 4],#REF!,2,FALSE)," ")</f>
        <v xml:space="preserve"> </v>
      </c>
      <c r="T286" s="24">
        <f>+IF(BD_MO[[#This Row],[FECHA]]&lt;&gt;"",COUNTA(BD_MO[[#This Row],[DNI]],BD_MO[[#This Row],[DNI 2]],BD_MO[[#This Row],[DNI 3]],BD_MO[[#This Row],[DNI 4]]),"")</f>
        <v>1</v>
      </c>
      <c r="U286" s="24">
        <v>0.66</v>
      </c>
      <c r="V286" s="24">
        <v>0.38</v>
      </c>
      <c r="W286" s="24">
        <v>0.38</v>
      </c>
      <c r="X286" s="24">
        <v>0.57999999999999996</v>
      </c>
      <c r="Y286" s="86">
        <f>SUM(BD_MO[[#This Row],[LIMP]:[SERV]])</f>
        <v>2</v>
      </c>
      <c r="Z286" s="46" t="s">
        <v>12297</v>
      </c>
      <c r="AA286" s="46">
        <f>+IF(BD_MO[[#This Row],[N° VALE]]&lt;&gt;"",1,"")</f>
        <v>1</v>
      </c>
      <c r="AB286" s="40" t="s">
        <v>10670</v>
      </c>
      <c r="AC286" s="46">
        <v>4</v>
      </c>
      <c r="AD286" s="46">
        <f>+IF(BD_MO[[#This Row],[N° VALE]]&lt;&gt;"",BD_MO[[#This Row],[FULMINANTE N° 08]]+BD_MO[CARMEX 7''],"")</f>
        <v>6</v>
      </c>
      <c r="AE286" s="46"/>
      <c r="AF286" s="46">
        <f>+IF(BD_MO[[#This Row],[N° VALE]]&lt;&gt;"",BD_MO[[#This Row],[N° TALADROS]]+BD_MO[[#This Row],[N° TAL. VACIOS]],"")</f>
        <v>6</v>
      </c>
      <c r="AG286" s="55">
        <v>50</v>
      </c>
      <c r="AH286" s="55">
        <v>40</v>
      </c>
      <c r="AI286" s="55"/>
      <c r="AJ286" s="55"/>
      <c r="AK286" s="55">
        <v>6</v>
      </c>
      <c r="AL286" s="55">
        <v>1</v>
      </c>
      <c r="AM286" s="42"/>
      <c r="AN286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86" s="46">
        <f>+IF(BD_MO[[#This Row],[N° VALE]]&lt;&gt;"",IF(BD_MO[[#This Row],[FULMINANTE N° 08]]&lt;&gt;"",BD_MO[[#This Row],[FULMINANTE N° 08]],IF(BD_MO[[#This Row],[CARMEX 7'']]&lt;&gt;0,0,"")),"")</f>
        <v>0</v>
      </c>
      <c r="AP286" s="24">
        <f>+IF(BD_MO[[#This Row],[N° VALE]]&lt;&gt;"",BD_MO[[#This Row],[N°  TOTAL TALADROS]]*BD_MO[[#This Row],[BARRA]]*0.95,"")</f>
        <v>22.799999999999997</v>
      </c>
      <c r="AQ286" s="24">
        <f>+IF(BD_MO[[#This Row],[N° VALE]]&lt;&gt;"",BD_MO[[#This Row],[EMULNOR 1000 (N° CART.)]]*PE_EMUL_1000[PE],"")</f>
        <v>3.7880000000000003</v>
      </c>
      <c r="AR286" s="24">
        <f>+IF(BD_MO[[#This Row],[N° VALE]]&lt;&gt;"",BD_MO[[#This Row],[EMULNOR 3000 (N° CART.)]]*PE_EMUL_3000[PE],"")</f>
        <v>4.8076923076923102</v>
      </c>
      <c r="AS286" s="24">
        <f>+IF(BD_MO[[#This Row],[N° VALE]]&lt;&gt;"",BD_MO[[#This Row],[PULVERULENTA (N° CART.)]]*PE_PULV_65[PE],"")</f>
        <v>0</v>
      </c>
      <c r="AT286" s="24">
        <f>+IF(BD_MO[[#This Row],[N° DISP]]&lt;&gt;"",BD_MO[[#This Row],[SEMIGELATINA (N° CART.)]]*PE_SEMIGEL_65[PE],"")</f>
        <v>0</v>
      </c>
      <c r="AU286" s="24">
        <f>+IF(BD_MO[N° VALE]&lt;&gt;"",BD_MO[[#This Row],[KG EXPLO SEMIGEL]]+BD_MO[[#This Row],[KG EXPLO PULVE]]+BD_MO[[#This Row],[KG EXPLO EMULN 3000]]+BD_MO[[#This Row],[KG EXPLO EMULN 1000]],"")</f>
        <v>8.5956923076923104</v>
      </c>
      <c r="AV286" s="46"/>
      <c r="AW286" s="46"/>
      <c r="AX286" s="46" t="str">
        <f>+IF(BD_MO[[#This Row],[MINERAL (U-35)]]&lt;&gt;"",BD_MO[[#This Row],[MINERAL (U-35)]]*1.45,"-")</f>
        <v>-</v>
      </c>
      <c r="AY286" s="46" t="str">
        <f>+IF(BD_MO[[#This Row],[DESMONTE (U-35)]]&lt;&gt;"",BD_MO[[#This Row],[DESMONTE (U-35)]]*1.23,"-")</f>
        <v>-</v>
      </c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2">
        <v>2.4</v>
      </c>
      <c r="BO286" s="46"/>
      <c r="BP286" s="46"/>
      <c r="BQ286" s="42"/>
      <c r="BR286" s="46"/>
      <c r="BS286" s="42"/>
      <c r="BT286" s="24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>
        <v>3</v>
      </c>
      <c r="CN286" s="46"/>
      <c r="CO286" s="46"/>
      <c r="CP286" s="24">
        <f>+IF(BD_MO[[#This Row],[FECHA]]&lt;&gt;"",BD_MO[[#This Row],[PUNTAL 4"]]+BD_MO[[#This Row],[PUNTAL 5"]]+BD_MO[[#This Row],[PUNTAL 6"]]+BD_MO[[#This Row],[PUNTAL 7"]]+BD_MO[[#This Row],[PUNTAL 8"]],"")</f>
        <v>3</v>
      </c>
      <c r="CQ286" s="46"/>
      <c r="CR286" s="46"/>
      <c r="CS286" s="46">
        <v>4</v>
      </c>
      <c r="CT286" s="46"/>
      <c r="CU286" s="46"/>
      <c r="CV286" s="46"/>
      <c r="CW286" s="46"/>
      <c r="CX286" s="46"/>
      <c r="CY286" s="24"/>
      <c r="CZ286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233.02200000000002</v>
      </c>
      <c r="DA286" s="24">
        <f>+IF(BD_MO[[#This Row],[FECHA]]&lt;&gt;"",BD_MO[[#This Row],[DURMIENTE2]]*6.561+BD_MO[[#This Row],[LISTONES]]*4.921+BD_MO[[#This Row],[TABLA 1"x8"x3m]]*6.561+BD_MO[[#This Row],[TABLA 2"x8"x3m]]*13.122,"")</f>
        <v>0</v>
      </c>
      <c r="DB286" s="24">
        <f>+IF(BD_MO[[#This Row],[FECHA]]&lt;&gt;"",BD_MO[[#This Row],[PIE2 MADERA ASERRADA]]*1.95,"")</f>
        <v>0</v>
      </c>
      <c r="DC286" s="24">
        <f>+IF(BD_MO[[#This Row],[FECHA]]&lt;&gt;"",BD_MO[[#This Row],[KG. MADERA REDONDA]]+BD_MO[[#This Row],[KG MADERA ASERRADA]],"")</f>
        <v>233.02200000000002</v>
      </c>
      <c r="DD286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102.56</v>
      </c>
      <c r="DE286" s="46"/>
      <c r="DF286" s="46"/>
      <c r="DG286" s="46"/>
      <c r="DH286" s="46"/>
      <c r="DI286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86" s="56"/>
      <c r="DK286" s="56"/>
      <c r="DL286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1.4</v>
      </c>
      <c r="DM286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1.456</v>
      </c>
      <c r="DN286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86" s="50">
        <f>20*0.4873</f>
        <v>9.7460000000000004</v>
      </c>
      <c r="DP286" s="56">
        <f>+IF(BD_MO[[#This Row],[M o D]]&lt;&gt;"",IF(BD_MO[[#This Row],[M o D]]="M",BD_MO[[#This Row],[ROTURA TMH]]/2.65,BD_MO[[#This Row],[ROTURA TMH]]/2.4),"")</f>
        <v>3.6777358490566039</v>
      </c>
      <c r="DQ286" s="56"/>
      <c r="DR286" s="116" t="str">
        <f>IF(BD_MO[[#This Row],[TIPO AVANCE]]="Avance",((BD_MO[[#This Row],[AVANCE (m)]]/BD_MO[[#This Row],[AVANCE TEÓRICO]]))," ")</f>
        <v xml:space="preserve"> </v>
      </c>
      <c r="DS286" s="49"/>
      <c r="DT286" s="49"/>
      <c r="DU286" s="49"/>
      <c r="DV286" s="49"/>
      <c r="DW286" s="49"/>
      <c r="DX286" s="49"/>
      <c r="DY286" s="49"/>
      <c r="DZ286" s="49"/>
    </row>
    <row r="287" spans="1:130" ht="18" customHeight="1" x14ac:dyDescent="0.25">
      <c r="A287" s="92">
        <v>44668</v>
      </c>
      <c r="B287" s="40" t="s">
        <v>10647</v>
      </c>
      <c r="C287" s="40" t="s">
        <v>10672</v>
      </c>
      <c r="D287" s="61" t="s">
        <v>12149</v>
      </c>
      <c r="E287" s="42" t="str">
        <f>LEFT(BD_MO[[#This Row],[LABOR]],2)</f>
        <v>Es</v>
      </c>
      <c r="F287" s="46" t="s">
        <v>10687</v>
      </c>
      <c r="G287" s="46" t="s">
        <v>10648</v>
      </c>
      <c r="H287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87" s="42" t="str">
        <f>IF(BD_MO[FECHA]&lt;&gt;"",VLOOKUP(BD_MO[LABOR],TB_CECO[[LABOR]:[CECO_T]],3,FALSE),"")</f>
        <v>VANESSA</v>
      </c>
      <c r="J287" s="42" t="str">
        <f>IF(BD_MO[FECHA]&lt;&gt;"",VLOOKUP(BD_MO[LABOR],D_CECO!B:H,7,FALSE),"")</f>
        <v>LINEAL</v>
      </c>
      <c r="K287" s="42" t="str">
        <f>IF(BD_MO[FECHA]&lt;&gt;"",VLOOKUP(BD_MO[LABOR],D_CECO!B:H,4,FALSE),"")</f>
        <v>EXPLORACION</v>
      </c>
      <c r="L287" s="42"/>
      <c r="M287" s="48" t="s">
        <v>10646</v>
      </c>
      <c r="N287" s="46"/>
      <c r="O287" s="93" t="s">
        <v>12195</v>
      </c>
      <c r="P287" s="93"/>
      <c r="Q287" s="93"/>
      <c r="R287" s="45"/>
      <c r="S287" s="54" t="str">
        <f>IFERROR(VLOOKUP(BD_MO[DNI 4],#REF!,2,FALSE)," ")</f>
        <v xml:space="preserve"> </v>
      </c>
      <c r="T287" s="24">
        <f>+IF(BD_MO[[#This Row],[FECHA]]&lt;&gt;"",COUNTA(BD_MO[[#This Row],[DNI]],BD_MO[[#This Row],[DNI 2]],BD_MO[[#This Row],[DNI 3]],BD_MO[[#This Row],[DNI 4]]),"")</f>
        <v>1</v>
      </c>
      <c r="U287" s="24">
        <v>0.38</v>
      </c>
      <c r="V287" s="24">
        <v>0.19</v>
      </c>
      <c r="W287" s="24">
        <v>0.14000000000000001</v>
      </c>
      <c r="X287" s="24">
        <v>0.28999999999999998</v>
      </c>
      <c r="Y287" s="86">
        <f>SUM(BD_MO[[#This Row],[LIMP]:[SERV]])</f>
        <v>1</v>
      </c>
      <c r="Z287" s="46" t="s">
        <v>12298</v>
      </c>
      <c r="AA287" s="46">
        <f>+IF(BD_MO[[#This Row],[N° VALE]]&lt;&gt;"",1,"")</f>
        <v>1</v>
      </c>
      <c r="AB287" s="40" t="s">
        <v>10710</v>
      </c>
      <c r="AC287" s="46">
        <v>4</v>
      </c>
      <c r="AD287" s="46">
        <f>+IF(BD_MO[[#This Row],[N° VALE]]&lt;&gt;"",BD_MO[[#This Row],[FULMINANTE N° 08]]+BD_MO[CARMEX 7''],"")</f>
        <v>19</v>
      </c>
      <c r="AE287" s="46"/>
      <c r="AF287" s="46">
        <f>+IF(BD_MO[[#This Row],[N° VALE]]&lt;&gt;"",BD_MO[[#This Row],[N° TALADROS]]+BD_MO[[#This Row],[N° TAL. VACIOS]],"")</f>
        <v>19</v>
      </c>
      <c r="AG287" s="55">
        <v>60</v>
      </c>
      <c r="AH287" s="55">
        <v>26</v>
      </c>
      <c r="AI287" s="55"/>
      <c r="AJ287" s="55"/>
      <c r="AK287" s="55">
        <v>19</v>
      </c>
      <c r="AL287" s="55">
        <v>6</v>
      </c>
      <c r="AM287" s="42"/>
      <c r="AN287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87" s="46">
        <f>+IF(BD_MO[[#This Row],[N° VALE]]&lt;&gt;"",IF(BD_MO[[#This Row],[FULMINANTE N° 08]]&lt;&gt;"",BD_MO[[#This Row],[FULMINANTE N° 08]],IF(BD_MO[[#This Row],[CARMEX 7'']]&lt;&gt;0,0,"")),"")</f>
        <v>0</v>
      </c>
      <c r="AP287" s="24">
        <f>+IF(BD_MO[[#This Row],[N° VALE]]&lt;&gt;"",BD_MO[[#This Row],[N°  TOTAL TALADROS]]*BD_MO[[#This Row],[BARRA]]*0.95,"")</f>
        <v>72.2</v>
      </c>
      <c r="AQ287" s="24">
        <f>+IF(BD_MO[[#This Row],[N° VALE]]&lt;&gt;"",BD_MO[[#This Row],[EMULNOR 1000 (N° CART.)]]*PE_EMUL_1000[PE],"")</f>
        <v>2.4622000000000002</v>
      </c>
      <c r="AR287" s="24">
        <f>+IF(BD_MO[[#This Row],[N° VALE]]&lt;&gt;"",BD_MO[[#This Row],[EMULNOR 3000 (N° CART.)]]*PE_EMUL_3000[PE],"")</f>
        <v>5.7692307692307718</v>
      </c>
      <c r="AS287" s="24">
        <f>+IF(BD_MO[[#This Row],[N° VALE]]&lt;&gt;"",BD_MO[[#This Row],[PULVERULENTA (N° CART.)]]*PE_PULV_65[PE],"")</f>
        <v>0</v>
      </c>
      <c r="AT287" s="24">
        <f>+IF(BD_MO[[#This Row],[N° DISP]]&lt;&gt;"",BD_MO[[#This Row],[SEMIGELATINA (N° CART.)]]*PE_SEMIGEL_65[PE],"")</f>
        <v>0</v>
      </c>
      <c r="AU287" s="24">
        <f>+IF(BD_MO[N° VALE]&lt;&gt;"",BD_MO[[#This Row],[KG EXPLO SEMIGEL]]+BD_MO[[#This Row],[KG EXPLO PULVE]]+BD_MO[[#This Row],[KG EXPLO EMULN 3000]]+BD_MO[[#This Row],[KG EXPLO EMULN 1000]],"")</f>
        <v>8.2314307692307729</v>
      </c>
      <c r="AV287" s="46">
        <v>4</v>
      </c>
      <c r="AW287" s="46"/>
      <c r="AX287" s="46">
        <f>+IF(BD_MO[[#This Row],[MINERAL (U-35)]]&lt;&gt;"",BD_MO[[#This Row],[MINERAL (U-35)]]*1.45,"-")</f>
        <v>5.8</v>
      </c>
      <c r="AY287" s="46" t="str">
        <f>+IF(BD_MO[[#This Row],[DESMONTE (U-35)]]&lt;&gt;"",BD_MO[[#This Row],[DESMONTE (U-35)]]*1.23,"-")</f>
        <v>-</v>
      </c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2"/>
      <c r="BO287" s="46"/>
      <c r="BP287" s="46"/>
      <c r="BQ287" s="42">
        <v>3.6</v>
      </c>
      <c r="BR287" s="46"/>
      <c r="BS287" s="42"/>
      <c r="BT287" s="24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>
        <v>2</v>
      </c>
      <c r="CN287" s="46"/>
      <c r="CO287" s="46"/>
      <c r="CP287" s="24">
        <f>+IF(BD_MO[[#This Row],[FECHA]]&lt;&gt;"",BD_MO[[#This Row],[PUNTAL 4"]]+BD_MO[[#This Row],[PUNTAL 5"]]+BD_MO[[#This Row],[PUNTAL 6"]]+BD_MO[[#This Row],[PUNTAL 7"]]+BD_MO[[#This Row],[PUNTAL 8"]],"")</f>
        <v>2</v>
      </c>
      <c r="CQ287" s="46"/>
      <c r="CR287" s="46"/>
      <c r="CS287" s="46">
        <v>3</v>
      </c>
      <c r="CT287" s="46"/>
      <c r="CU287" s="46"/>
      <c r="CV287" s="46"/>
      <c r="CW287" s="46"/>
      <c r="CX287" s="46"/>
      <c r="CY287" s="24"/>
      <c r="CZ287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163.548</v>
      </c>
      <c r="DA287" s="24">
        <f>+IF(BD_MO[[#This Row],[FECHA]]&lt;&gt;"",BD_MO[[#This Row],[DURMIENTE2]]*6.561+BD_MO[[#This Row],[LISTONES]]*4.921+BD_MO[[#This Row],[TABLA 1"x8"x3m]]*6.561+BD_MO[[#This Row],[TABLA 2"x8"x3m]]*13.122,"")</f>
        <v>0</v>
      </c>
      <c r="DB287" s="24">
        <f>+IF(BD_MO[[#This Row],[FECHA]]&lt;&gt;"",BD_MO[[#This Row],[PIE2 MADERA ASERRADA]]*1.95,"")</f>
        <v>0</v>
      </c>
      <c r="DC287" s="24">
        <f>+IF(BD_MO[[#This Row],[FECHA]]&lt;&gt;"",BD_MO[[#This Row],[KG. MADERA REDONDA]]+BD_MO[[#This Row],[KG MADERA ASERRADA]],"")</f>
        <v>163.548</v>
      </c>
      <c r="DD287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72.47</v>
      </c>
      <c r="DE287" s="46"/>
      <c r="DF287" s="46"/>
      <c r="DG287" s="46"/>
      <c r="DH287" s="46"/>
      <c r="DI287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87" s="56"/>
      <c r="DK287" s="56"/>
      <c r="DL287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87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87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87" s="50">
        <v>4.22</v>
      </c>
      <c r="DP287" s="56">
        <f>+IF(BD_MO[[#This Row],[M o D]]&lt;&gt;"",IF(BD_MO[[#This Row],[M o D]]="M",BD_MO[[#This Row],[ROTURA TMH]]/2.65,BD_MO[[#This Row],[ROTURA TMH]]/2.4),"")</f>
        <v>1.7583333333333333</v>
      </c>
      <c r="DQ287" s="56">
        <v>1.1000000000000001</v>
      </c>
      <c r="DR287" s="116">
        <f>IF(BD_MO[[#This Row],[TIPO AVANCE]]="Avance",((BD_MO[[#This Row],[AVANCE (m)]]/BD_MO[[#This Row],[AVANCE TEÓRICO]]))," ")</f>
        <v>1.0185185185185186</v>
      </c>
      <c r="DS287" s="49"/>
      <c r="DT287" s="49"/>
      <c r="DU287" s="49"/>
      <c r="DV287" s="49"/>
      <c r="DW287" s="49"/>
      <c r="DX287" s="49"/>
      <c r="DY287" s="49"/>
      <c r="DZ287" s="49"/>
    </row>
    <row r="288" spans="1:130" ht="18" customHeight="1" x14ac:dyDescent="0.25">
      <c r="A288" s="92">
        <v>44668</v>
      </c>
      <c r="B288" s="40" t="s">
        <v>10647</v>
      </c>
      <c r="C288" s="40" t="s">
        <v>10672</v>
      </c>
      <c r="D288" s="61" t="s">
        <v>12149</v>
      </c>
      <c r="E288" s="42" t="str">
        <f>LEFT(BD_MO[[#This Row],[LABOR]],2)</f>
        <v>Es</v>
      </c>
      <c r="F288" s="46" t="s">
        <v>10687</v>
      </c>
      <c r="G288" s="46" t="s">
        <v>10648</v>
      </c>
      <c r="H288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88" s="42" t="str">
        <f>IF(BD_MO[FECHA]&lt;&gt;"",VLOOKUP(BD_MO[LABOR],TB_CECO[[LABOR]:[CECO_T]],3,FALSE),"")</f>
        <v>VANESSA</v>
      </c>
      <c r="J288" s="42" t="str">
        <f>IF(BD_MO[FECHA]&lt;&gt;"",VLOOKUP(BD_MO[LABOR],D_CECO!B:H,7,FALSE),"")</f>
        <v>LINEAL</v>
      </c>
      <c r="K288" s="42" t="str">
        <f>IF(BD_MO[FECHA]&lt;&gt;"",VLOOKUP(BD_MO[LABOR],D_CECO!B:H,4,FALSE),"")</f>
        <v>EXPLORACION</v>
      </c>
      <c r="L288" s="42"/>
      <c r="M288" s="48" t="s">
        <v>10679</v>
      </c>
      <c r="N288" s="46"/>
      <c r="O288" s="93" t="s">
        <v>12233</v>
      </c>
      <c r="P288" s="93" t="s">
        <v>12197</v>
      </c>
      <c r="Q288" s="93"/>
      <c r="R288" s="45"/>
      <c r="S288" s="54" t="str">
        <f>IFERROR(VLOOKUP(BD_MO[DNI 4],#REF!,2,FALSE)," ")</f>
        <v xml:space="preserve"> </v>
      </c>
      <c r="T288" s="24">
        <f>+IF(BD_MO[[#This Row],[FECHA]]&lt;&gt;"",COUNTA(BD_MO[[#This Row],[DNI]],BD_MO[[#This Row],[DNI 2]],BD_MO[[#This Row],[DNI 3]],BD_MO[[#This Row],[DNI 4]]),"")</f>
        <v>2</v>
      </c>
      <c r="U288" s="24">
        <v>0.38</v>
      </c>
      <c r="V288" s="24">
        <v>0.19</v>
      </c>
      <c r="W288" s="24">
        <v>0.14000000000000001</v>
      </c>
      <c r="X288" s="24">
        <v>0.28999999999999998</v>
      </c>
      <c r="Y288" s="86">
        <f>SUM(BD_MO[[#This Row],[LIMP]:[SERV]])</f>
        <v>1</v>
      </c>
      <c r="Z288" s="46" t="s">
        <v>12299</v>
      </c>
      <c r="AA288" s="46">
        <f>+IF(BD_MO[[#This Row],[N° VALE]]&lt;&gt;"",1,"")</f>
        <v>1</v>
      </c>
      <c r="AB288" s="40" t="s">
        <v>10710</v>
      </c>
      <c r="AC288" s="46">
        <v>4</v>
      </c>
      <c r="AD288" s="46">
        <f>+IF(BD_MO[[#This Row],[N° VALE]]&lt;&gt;"",BD_MO[[#This Row],[FULMINANTE N° 08]]+BD_MO[CARMEX 7''],"")</f>
        <v>8</v>
      </c>
      <c r="AE288" s="46"/>
      <c r="AF288" s="46">
        <f>+IF(BD_MO[[#This Row],[N° VALE]]&lt;&gt;"",BD_MO[[#This Row],[N° TALADROS]]+BD_MO[[#This Row],[N° TAL. VACIOS]],"")</f>
        <v>8</v>
      </c>
      <c r="AG288" s="55">
        <v>0</v>
      </c>
      <c r="AH288" s="55">
        <v>32</v>
      </c>
      <c r="AI288" s="55"/>
      <c r="AJ288" s="55"/>
      <c r="AK288" s="55">
        <v>8</v>
      </c>
      <c r="AL288" s="55">
        <v>2</v>
      </c>
      <c r="AM288" s="42"/>
      <c r="AN288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88" s="46">
        <f>+IF(BD_MO[[#This Row],[N° VALE]]&lt;&gt;"",IF(BD_MO[[#This Row],[FULMINANTE N° 08]]&lt;&gt;"",BD_MO[[#This Row],[FULMINANTE N° 08]],IF(BD_MO[[#This Row],[CARMEX 7'']]&lt;&gt;0,0,"")),"")</f>
        <v>0</v>
      </c>
      <c r="AP288" s="24">
        <f>+IF(BD_MO[[#This Row],[N° VALE]]&lt;&gt;"",BD_MO[[#This Row],[N°  TOTAL TALADROS]]*BD_MO[[#This Row],[BARRA]]*0.95,"")</f>
        <v>30.4</v>
      </c>
      <c r="AQ288" s="24">
        <f>+IF(BD_MO[[#This Row],[N° VALE]]&lt;&gt;"",BD_MO[[#This Row],[EMULNOR 1000 (N° CART.)]]*PE_EMUL_1000[PE],"")</f>
        <v>3.0304000000000002</v>
      </c>
      <c r="AR288" s="24">
        <f>+IF(BD_MO[[#This Row],[N° VALE]]&lt;&gt;"",BD_MO[[#This Row],[EMULNOR 3000 (N° CART.)]]*PE_EMUL_3000[PE],"")</f>
        <v>0</v>
      </c>
      <c r="AS288" s="24">
        <f>+IF(BD_MO[[#This Row],[N° VALE]]&lt;&gt;"",BD_MO[[#This Row],[PULVERULENTA (N° CART.)]]*PE_PULV_65[PE],"")</f>
        <v>0</v>
      </c>
      <c r="AT288" s="24">
        <f>+IF(BD_MO[[#This Row],[N° DISP]]&lt;&gt;"",BD_MO[[#This Row],[SEMIGELATINA (N° CART.)]]*PE_SEMIGEL_65[PE],"")</f>
        <v>0</v>
      </c>
      <c r="AU288" s="24">
        <f>+IF(BD_MO[N° VALE]&lt;&gt;"",BD_MO[[#This Row],[KG EXPLO SEMIGEL]]+BD_MO[[#This Row],[KG EXPLO PULVE]]+BD_MO[[#This Row],[KG EXPLO EMULN 3000]]+BD_MO[[#This Row],[KG EXPLO EMULN 1000]],"")</f>
        <v>3.0304000000000002</v>
      </c>
      <c r="AV288" s="46"/>
      <c r="AW288" s="46">
        <v>4</v>
      </c>
      <c r="AX288" s="46" t="str">
        <f>+IF(BD_MO[[#This Row],[MINERAL (U-35)]]&lt;&gt;"",BD_MO[[#This Row],[MINERAL (U-35)]]*1.45,"-")</f>
        <v>-</v>
      </c>
      <c r="AY288" s="46">
        <f>+IF(BD_MO[[#This Row],[DESMONTE (U-35)]]&lt;&gt;"",BD_MO[[#This Row],[DESMONTE (U-35)]]*1.23,"-")</f>
        <v>4.92</v>
      </c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2"/>
      <c r="BO288" s="46"/>
      <c r="BP288" s="46"/>
      <c r="BQ288" s="42"/>
      <c r="BR288" s="46"/>
      <c r="BS288" s="42"/>
      <c r="BT288" s="24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24">
        <f>+IF(BD_MO[[#This Row],[FECHA]]&lt;&gt;"",BD_MO[[#This Row],[PUNTAL 4"]]+BD_MO[[#This Row],[PUNTAL 5"]]+BD_MO[[#This Row],[PUNTAL 6"]]+BD_MO[[#This Row],[PUNTAL 7"]]+BD_MO[[#This Row],[PUNTAL 8"]],"")</f>
        <v>0</v>
      </c>
      <c r="CQ288" s="46"/>
      <c r="CR288" s="46"/>
      <c r="CS288" s="46"/>
      <c r="CT288" s="46"/>
      <c r="CU288" s="46"/>
      <c r="CV288" s="46"/>
      <c r="CW288" s="46"/>
      <c r="CX288" s="46"/>
      <c r="CY288" s="24"/>
      <c r="CZ288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88" s="24">
        <f>+IF(BD_MO[[#This Row],[FECHA]]&lt;&gt;"",BD_MO[[#This Row],[DURMIENTE2]]*6.561+BD_MO[[#This Row],[LISTONES]]*4.921+BD_MO[[#This Row],[TABLA 1"x8"x3m]]*6.561+BD_MO[[#This Row],[TABLA 2"x8"x3m]]*13.122,"")</f>
        <v>0</v>
      </c>
      <c r="DB288" s="24">
        <f>+IF(BD_MO[[#This Row],[FECHA]]&lt;&gt;"",BD_MO[[#This Row],[PIE2 MADERA ASERRADA]]*1.95,"")</f>
        <v>0</v>
      </c>
      <c r="DC288" s="24">
        <f>+IF(BD_MO[[#This Row],[FECHA]]&lt;&gt;"",BD_MO[[#This Row],[KG. MADERA REDONDA]]+BD_MO[[#This Row],[KG MADERA ASERRADA]],"")</f>
        <v>0</v>
      </c>
      <c r="DD288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88" s="46"/>
      <c r="DF288" s="46"/>
      <c r="DG288" s="46"/>
      <c r="DH288" s="46"/>
      <c r="DI288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288" s="56"/>
      <c r="DK288" s="56"/>
      <c r="DL288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88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288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88" s="50">
        <v>4.22</v>
      </c>
      <c r="DP288" s="56">
        <f>+IF(BD_MO[[#This Row],[M o D]]&lt;&gt;"",IF(BD_MO[[#This Row],[M o D]]="M",BD_MO[[#This Row],[ROTURA TMH]]/2.65,BD_MO[[#This Row],[ROTURA TMH]]/2.4),"")</f>
        <v>1.7583333333333333</v>
      </c>
      <c r="DQ288" s="56">
        <v>1.1000000000000001</v>
      </c>
      <c r="DR288" s="116" t="str">
        <f>IF(BD_MO[[#This Row],[TIPO AVANCE]]="Avance",((BD_MO[[#This Row],[AVANCE (m)]]/BD_MO[[#This Row],[AVANCE TEÓRICO]]))," ")</f>
        <v xml:space="preserve"> </v>
      </c>
      <c r="DS288" s="49"/>
      <c r="DT288" s="49"/>
      <c r="DU288" s="49"/>
      <c r="DV288" s="49"/>
      <c r="DW288" s="49"/>
      <c r="DX288" s="49"/>
      <c r="DY288" s="49"/>
      <c r="DZ288" s="49"/>
    </row>
    <row r="289" spans="1:130" ht="18" customHeight="1" x14ac:dyDescent="0.25">
      <c r="A289" s="92">
        <v>44668</v>
      </c>
      <c r="B289" s="40" t="s">
        <v>10647</v>
      </c>
      <c r="C289" s="40" t="s">
        <v>10672</v>
      </c>
      <c r="D289" s="61" t="s">
        <v>11872</v>
      </c>
      <c r="E289" s="42" t="str">
        <f>LEFT(BD_MO[[#This Row],[LABOR]],2)</f>
        <v>PQ</v>
      </c>
      <c r="F289" s="46"/>
      <c r="G289" s="46" t="s">
        <v>10669</v>
      </c>
      <c r="H289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89" s="42" t="str">
        <f>IF(BD_MO[FECHA]&lt;&gt;"",VLOOKUP(BD_MO[LABOR],TB_CECO[[LABOR]:[CECO_T]],3,FALSE),"")</f>
        <v>ANDREA</v>
      </c>
      <c r="J289" s="42" t="str">
        <f>IF(BD_MO[FECHA]&lt;&gt;"",VLOOKUP(BD_MO[LABOR],D_CECO!B:H,7,FALSE),"")</f>
        <v>LINEAL</v>
      </c>
      <c r="K289" s="42" t="str">
        <f>IF(BD_MO[FECHA]&lt;&gt;"",VLOOKUP(BD_MO[LABOR],D_CECO!B:H,4,FALSE),"")</f>
        <v>EXPLOTACION</v>
      </c>
      <c r="L289" s="42"/>
      <c r="M289" s="48"/>
      <c r="N289" s="46"/>
      <c r="O289" s="93" t="s">
        <v>12199</v>
      </c>
      <c r="P289" s="93" t="s">
        <v>12220</v>
      </c>
      <c r="Q289" s="93" t="s">
        <v>12201</v>
      </c>
      <c r="R289" s="45"/>
      <c r="S289" s="54" t="str">
        <f>IFERROR(VLOOKUP(BD_MO[DNI 4],#REF!,2,FALSE)," ")</f>
        <v xml:space="preserve"> </v>
      </c>
      <c r="T289" s="24">
        <f>+IF(BD_MO[[#This Row],[FECHA]]&lt;&gt;"",COUNTA(BD_MO[[#This Row],[DNI]],BD_MO[[#This Row],[DNI 2]],BD_MO[[#This Row],[DNI 3]],BD_MO[[#This Row],[DNI 4]]),"")</f>
        <v>3</v>
      </c>
      <c r="U289" s="24"/>
      <c r="V289" s="24"/>
      <c r="W289" s="24"/>
      <c r="X289" s="24"/>
      <c r="Y289" s="86">
        <f>SUM(BD_MO[[#This Row],[LIMP]:[SERV]])</f>
        <v>0</v>
      </c>
      <c r="Z289" s="46"/>
      <c r="AA289" s="46" t="str">
        <f>+IF(BD_MO[[#This Row],[N° VALE]]&lt;&gt;"",1,"")</f>
        <v/>
      </c>
      <c r="AB289" s="40"/>
      <c r="AC289" s="46"/>
      <c r="AD289" s="46" t="str">
        <f>+IF(BD_MO[[#This Row],[N° VALE]]&lt;&gt;"",BD_MO[[#This Row],[FULMINANTE N° 08]]+BD_MO[CARMEX 7''],"")</f>
        <v/>
      </c>
      <c r="AE289" s="46"/>
      <c r="AF289" s="46" t="str">
        <f>+IF(BD_MO[[#This Row],[N° VALE]]&lt;&gt;"",BD_MO[[#This Row],[N° TALADROS]]+BD_MO[[#This Row],[N° TAL. VACIOS]],"")</f>
        <v/>
      </c>
      <c r="AG289" s="55"/>
      <c r="AH289" s="55"/>
      <c r="AI289" s="55"/>
      <c r="AJ289" s="55"/>
      <c r="AK289" s="55"/>
      <c r="AL289" s="55"/>
      <c r="AM289" s="42"/>
      <c r="AN289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89" s="46" t="str">
        <f>+IF(BD_MO[[#This Row],[N° VALE]]&lt;&gt;"",IF(BD_MO[[#This Row],[FULMINANTE N° 08]]&lt;&gt;"",BD_MO[[#This Row],[FULMINANTE N° 08]],IF(BD_MO[[#This Row],[CARMEX 7'']]&lt;&gt;0,0,"")),"")</f>
        <v/>
      </c>
      <c r="AP289" s="24" t="str">
        <f>+IF(BD_MO[[#This Row],[N° VALE]]&lt;&gt;"",BD_MO[[#This Row],[N°  TOTAL TALADROS]]*BD_MO[[#This Row],[BARRA]]*0.95,"")</f>
        <v/>
      </c>
      <c r="AQ289" s="24" t="str">
        <f>+IF(BD_MO[[#This Row],[N° VALE]]&lt;&gt;"",BD_MO[[#This Row],[EMULNOR 1000 (N° CART.)]]*PE_EMUL_1000[PE],"")</f>
        <v/>
      </c>
      <c r="AR289" s="24" t="str">
        <f>+IF(BD_MO[[#This Row],[N° VALE]]&lt;&gt;"",BD_MO[[#This Row],[EMULNOR 3000 (N° CART.)]]*PE_EMUL_3000[PE],"")</f>
        <v/>
      </c>
      <c r="AS289" s="24" t="str">
        <f>+IF(BD_MO[[#This Row],[N° VALE]]&lt;&gt;"",BD_MO[[#This Row],[PULVERULENTA (N° CART.)]]*PE_PULV_65[PE],"")</f>
        <v/>
      </c>
      <c r="AT289" s="24" t="str">
        <f>+IF(BD_MO[[#This Row],[N° DISP]]&lt;&gt;"",BD_MO[[#This Row],[SEMIGELATINA (N° CART.)]]*PE_SEMIGEL_65[PE],"")</f>
        <v/>
      </c>
      <c r="AU289" s="24" t="str">
        <f>+IF(BD_MO[N° VALE]&lt;&gt;"",BD_MO[[#This Row],[KG EXPLO SEMIGEL]]+BD_MO[[#This Row],[KG EXPLO PULVE]]+BD_MO[[#This Row],[KG EXPLO EMULN 3000]]+BD_MO[[#This Row],[KG EXPLO EMULN 1000]],"")</f>
        <v/>
      </c>
      <c r="AV289" s="46"/>
      <c r="AW289" s="46"/>
      <c r="AX289" s="46" t="str">
        <f>+IF(BD_MO[[#This Row],[MINERAL (U-35)]]&lt;&gt;"",BD_MO[[#This Row],[MINERAL (U-35)]]*1.45,"-")</f>
        <v>-</v>
      </c>
      <c r="AY289" s="46" t="str">
        <f>+IF(BD_MO[[#This Row],[DESMONTE (U-35)]]&lt;&gt;"",BD_MO[[#This Row],[DESMONTE (U-35)]]*1.23,"-")</f>
        <v>-</v>
      </c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2"/>
      <c r="BO289" s="46"/>
      <c r="BP289" s="46"/>
      <c r="BQ289" s="42"/>
      <c r="BR289" s="46"/>
      <c r="BS289" s="42"/>
      <c r="BT289" s="24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24">
        <f>+IF(BD_MO[[#This Row],[FECHA]]&lt;&gt;"",BD_MO[[#This Row],[PUNTAL 4"]]+BD_MO[[#This Row],[PUNTAL 5"]]+BD_MO[[#This Row],[PUNTAL 6"]]+BD_MO[[#This Row],[PUNTAL 7"]]+BD_MO[[#This Row],[PUNTAL 8"]],"")</f>
        <v>0</v>
      </c>
      <c r="CQ289" s="46"/>
      <c r="CR289" s="46"/>
      <c r="CS289" s="46"/>
      <c r="CT289" s="46"/>
      <c r="CU289" s="46"/>
      <c r="CV289" s="46"/>
      <c r="CW289" s="46"/>
      <c r="CX289" s="46"/>
      <c r="CY289" s="24"/>
      <c r="CZ289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89" s="24">
        <f>+IF(BD_MO[[#This Row],[FECHA]]&lt;&gt;"",BD_MO[[#This Row],[DURMIENTE2]]*6.561+BD_MO[[#This Row],[LISTONES]]*4.921+BD_MO[[#This Row],[TABLA 1"x8"x3m]]*6.561+BD_MO[[#This Row],[TABLA 2"x8"x3m]]*13.122,"")</f>
        <v>0</v>
      </c>
      <c r="DB289" s="24">
        <f>+IF(BD_MO[[#This Row],[FECHA]]&lt;&gt;"",BD_MO[[#This Row],[PIE2 MADERA ASERRADA]]*1.95,"")</f>
        <v>0</v>
      </c>
      <c r="DC289" s="24">
        <f>+IF(BD_MO[[#This Row],[FECHA]]&lt;&gt;"",BD_MO[[#This Row],[KG. MADERA REDONDA]]+BD_MO[[#This Row],[KG MADERA ASERRADA]],"")</f>
        <v>0</v>
      </c>
      <c r="DD289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89" s="46"/>
      <c r="DF289" s="46"/>
      <c r="DG289" s="46" t="s">
        <v>12238</v>
      </c>
      <c r="DH289" s="46">
        <v>8</v>
      </c>
      <c r="DI289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89" s="56"/>
      <c r="DK289" s="56"/>
      <c r="DL289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89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89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289" s="56" t="str">
        <f>+IF(BD_MO[[#This Row],[M o D]]&lt;&gt;"",IF(BD_MO[[#This Row],[M o D]]="M",BD_MO[[#This Row],[ROTURA TMH]]/2.65,BD_MO[[#This Row],[ROTURA TMH]]/2.4),"")</f>
        <v/>
      </c>
      <c r="DQ289" s="56"/>
      <c r="DR289" s="116" t="str">
        <f>IF(BD_MO[[#This Row],[TIPO AVANCE]]="Avance",((BD_MO[[#This Row],[AVANCE (m)]]/BD_MO[[#This Row],[AVANCE TEÓRICO]]))," ")</f>
        <v xml:space="preserve"> </v>
      </c>
      <c r="DS289" s="49"/>
      <c r="DT289" s="49"/>
      <c r="DU289" s="49"/>
      <c r="DV289" s="49"/>
      <c r="DW289" s="49"/>
      <c r="DX289" s="49"/>
      <c r="DY289" s="49"/>
      <c r="DZ289" s="49"/>
    </row>
    <row r="290" spans="1:130" ht="18" customHeight="1" x14ac:dyDescent="0.25">
      <c r="A290" s="92">
        <v>44668</v>
      </c>
      <c r="B290" s="40" t="s">
        <v>10647</v>
      </c>
      <c r="C290" s="40" t="s">
        <v>10672</v>
      </c>
      <c r="D290" s="61" t="s">
        <v>10952</v>
      </c>
      <c r="E290" s="42" t="str">
        <f>LEFT(BD_MO[[#This Row],[LABOR]],2)</f>
        <v>In</v>
      </c>
      <c r="F290" s="46"/>
      <c r="G290" s="46" t="s">
        <v>10669</v>
      </c>
      <c r="H290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90" s="42" t="str">
        <f>IF(BD_MO[FECHA]&lt;&gt;"",VLOOKUP(BD_MO[LABOR],TB_CECO[[LABOR]:[CECO_T]],3,FALSE),"")</f>
        <v>VANESSA</v>
      </c>
      <c r="J290" s="42" t="str">
        <f>IF(BD_MO[FECHA]&lt;&gt;"",VLOOKUP(BD_MO[LABOR],D_CECO!B:H,7,FALSE),"")</f>
        <v>LINEAL</v>
      </c>
      <c r="K290" s="42" t="str">
        <f>IF(BD_MO[FECHA]&lt;&gt;"",VLOOKUP(BD_MO[LABOR],D_CECO!B:H,4,FALSE),"")</f>
        <v>EXPLORACION</v>
      </c>
      <c r="L290" s="42"/>
      <c r="M290" s="48"/>
      <c r="N290" s="46"/>
      <c r="O290" s="93" t="s">
        <v>12198</v>
      </c>
      <c r="P290" s="93" t="s">
        <v>12234</v>
      </c>
      <c r="Q290" s="93" t="s">
        <v>12293</v>
      </c>
      <c r="R290" s="45"/>
      <c r="S290" s="54" t="str">
        <f>IFERROR(VLOOKUP(BD_MO[DNI 4],#REF!,2,FALSE)," ")</f>
        <v xml:space="preserve"> </v>
      </c>
      <c r="T290" s="24">
        <f>+IF(BD_MO[[#This Row],[FECHA]]&lt;&gt;"",COUNTA(BD_MO[[#This Row],[DNI]],BD_MO[[#This Row],[DNI 2]],BD_MO[[#This Row],[DNI 3]],BD_MO[[#This Row],[DNI 4]]),"")</f>
        <v>3</v>
      </c>
      <c r="U290" s="24"/>
      <c r="V290" s="24"/>
      <c r="W290" s="24"/>
      <c r="X290" s="24"/>
      <c r="Y290" s="86">
        <f>SUM(BD_MO[[#This Row],[LIMP]:[SERV]])</f>
        <v>0</v>
      </c>
      <c r="Z290" s="46"/>
      <c r="AA290" s="46" t="str">
        <f>+IF(BD_MO[[#This Row],[N° VALE]]&lt;&gt;"",1,"")</f>
        <v/>
      </c>
      <c r="AB290" s="40"/>
      <c r="AC290" s="46"/>
      <c r="AD290" s="46" t="str">
        <f>+IF(BD_MO[[#This Row],[N° VALE]]&lt;&gt;"",BD_MO[[#This Row],[FULMINANTE N° 08]]+BD_MO[CARMEX 7''],"")</f>
        <v/>
      </c>
      <c r="AE290" s="46"/>
      <c r="AF290" s="46" t="str">
        <f>+IF(BD_MO[[#This Row],[N° VALE]]&lt;&gt;"",BD_MO[[#This Row],[N° TALADROS]]+BD_MO[[#This Row],[N° TAL. VACIOS]],"")</f>
        <v/>
      </c>
      <c r="AG290" s="55"/>
      <c r="AH290" s="55"/>
      <c r="AI290" s="55"/>
      <c r="AJ290" s="55"/>
      <c r="AK290" s="55"/>
      <c r="AL290" s="55"/>
      <c r="AM290" s="42"/>
      <c r="AN290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90" s="46" t="str">
        <f>+IF(BD_MO[[#This Row],[N° VALE]]&lt;&gt;"",IF(BD_MO[[#This Row],[FULMINANTE N° 08]]&lt;&gt;"",BD_MO[[#This Row],[FULMINANTE N° 08]],IF(BD_MO[[#This Row],[CARMEX 7'']]&lt;&gt;0,0,"")),"")</f>
        <v/>
      </c>
      <c r="AP290" s="24" t="str">
        <f>+IF(BD_MO[[#This Row],[N° VALE]]&lt;&gt;"",BD_MO[[#This Row],[N°  TOTAL TALADROS]]*BD_MO[[#This Row],[BARRA]]*0.95,"")</f>
        <v/>
      </c>
      <c r="AQ290" s="24" t="str">
        <f>+IF(BD_MO[[#This Row],[N° VALE]]&lt;&gt;"",BD_MO[[#This Row],[EMULNOR 1000 (N° CART.)]]*PE_EMUL_1000[PE],"")</f>
        <v/>
      </c>
      <c r="AR290" s="24" t="str">
        <f>+IF(BD_MO[[#This Row],[N° VALE]]&lt;&gt;"",BD_MO[[#This Row],[EMULNOR 3000 (N° CART.)]]*PE_EMUL_3000[PE],"")</f>
        <v/>
      </c>
      <c r="AS290" s="24" t="str">
        <f>+IF(BD_MO[[#This Row],[N° VALE]]&lt;&gt;"",BD_MO[[#This Row],[PULVERULENTA (N° CART.)]]*PE_PULV_65[PE],"")</f>
        <v/>
      </c>
      <c r="AT290" s="24" t="str">
        <f>+IF(BD_MO[[#This Row],[N° DISP]]&lt;&gt;"",BD_MO[[#This Row],[SEMIGELATINA (N° CART.)]]*PE_SEMIGEL_65[PE],"")</f>
        <v/>
      </c>
      <c r="AU290" s="24" t="str">
        <f>+IF(BD_MO[N° VALE]&lt;&gt;"",BD_MO[[#This Row],[KG EXPLO SEMIGEL]]+BD_MO[[#This Row],[KG EXPLO PULVE]]+BD_MO[[#This Row],[KG EXPLO EMULN 3000]]+BD_MO[[#This Row],[KG EXPLO EMULN 1000]],"")</f>
        <v/>
      </c>
      <c r="AV290" s="46"/>
      <c r="AW290" s="46"/>
      <c r="AX290" s="46" t="str">
        <f>+IF(BD_MO[[#This Row],[MINERAL (U-35)]]&lt;&gt;"",BD_MO[[#This Row],[MINERAL (U-35)]]*1.45,"-")</f>
        <v>-</v>
      </c>
      <c r="AY290" s="46" t="str">
        <f>+IF(BD_MO[[#This Row],[DESMONTE (U-35)]]&lt;&gt;"",BD_MO[[#This Row],[DESMONTE (U-35)]]*1.23,"-")</f>
        <v>-</v>
      </c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2"/>
      <c r="BO290" s="46"/>
      <c r="BP290" s="46"/>
      <c r="BQ290" s="42"/>
      <c r="BR290" s="46"/>
      <c r="BS290" s="42"/>
      <c r="BT290" s="24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24">
        <f>+IF(BD_MO[[#This Row],[FECHA]]&lt;&gt;"",BD_MO[[#This Row],[PUNTAL 4"]]+BD_MO[[#This Row],[PUNTAL 5"]]+BD_MO[[#This Row],[PUNTAL 6"]]+BD_MO[[#This Row],[PUNTAL 7"]]+BD_MO[[#This Row],[PUNTAL 8"]],"")</f>
        <v>0</v>
      </c>
      <c r="CQ290" s="46"/>
      <c r="CR290" s="46"/>
      <c r="CS290" s="46"/>
      <c r="CT290" s="46"/>
      <c r="CU290" s="46"/>
      <c r="CV290" s="46"/>
      <c r="CW290" s="46"/>
      <c r="CX290" s="46"/>
      <c r="CY290" s="24"/>
      <c r="CZ290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90" s="24">
        <f>+IF(BD_MO[[#This Row],[FECHA]]&lt;&gt;"",BD_MO[[#This Row],[DURMIENTE2]]*6.561+BD_MO[[#This Row],[LISTONES]]*4.921+BD_MO[[#This Row],[TABLA 1"x8"x3m]]*6.561+BD_MO[[#This Row],[TABLA 2"x8"x3m]]*13.122,"")</f>
        <v>0</v>
      </c>
      <c r="DB290" s="24">
        <f>+IF(BD_MO[[#This Row],[FECHA]]&lt;&gt;"",BD_MO[[#This Row],[PIE2 MADERA ASERRADA]]*1.95,"")</f>
        <v>0</v>
      </c>
      <c r="DC290" s="24">
        <f>+IF(BD_MO[[#This Row],[FECHA]]&lt;&gt;"",BD_MO[[#This Row],[KG. MADERA REDONDA]]+BD_MO[[#This Row],[KG MADERA ASERRADA]],"")</f>
        <v>0</v>
      </c>
      <c r="DD290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90" s="46"/>
      <c r="DF290" s="46"/>
      <c r="DG290" s="46" t="s">
        <v>12239</v>
      </c>
      <c r="DH290" s="46">
        <v>8</v>
      </c>
      <c r="DI290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90" s="56"/>
      <c r="DK290" s="56"/>
      <c r="DL290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90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90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290" s="56" t="str">
        <f>+IF(BD_MO[[#This Row],[M o D]]&lt;&gt;"",IF(BD_MO[[#This Row],[M o D]]="M",BD_MO[[#This Row],[ROTURA TMH]]/2.65,BD_MO[[#This Row],[ROTURA TMH]]/2.4),"")</f>
        <v/>
      </c>
      <c r="DQ290" s="56"/>
      <c r="DR290" s="116" t="str">
        <f>IF(BD_MO[[#This Row],[TIPO AVANCE]]="Avance",((BD_MO[[#This Row],[AVANCE (m)]]/BD_MO[[#This Row],[AVANCE TEÓRICO]]))," ")</f>
        <v xml:space="preserve"> </v>
      </c>
      <c r="DS290" s="49"/>
      <c r="DT290" s="49"/>
      <c r="DU290" s="49"/>
      <c r="DV290" s="49"/>
      <c r="DW290" s="49"/>
      <c r="DX290" s="49"/>
      <c r="DY290" s="49"/>
      <c r="DZ290" s="49"/>
    </row>
    <row r="291" spans="1:130" ht="18" customHeight="1" x14ac:dyDescent="0.25">
      <c r="A291" s="92">
        <v>44668</v>
      </c>
      <c r="B291" s="40" t="s">
        <v>10647</v>
      </c>
      <c r="C291" s="40" t="s">
        <v>10672</v>
      </c>
      <c r="D291" s="61" t="s">
        <v>10954</v>
      </c>
      <c r="E291" s="42" t="str">
        <f>LEFT(BD_MO[[#This Row],[LABOR]],2)</f>
        <v>MO</v>
      </c>
      <c r="F291" s="46"/>
      <c r="G291" s="46" t="s">
        <v>10669</v>
      </c>
      <c r="H291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91" s="42" t="str">
        <f>IF(BD_MO[FECHA]&lt;&gt;"",VLOOKUP(BD_MO[LABOR],TB_CECO[[LABOR]:[CECO_T]],3,FALSE),"")</f>
        <v>INCA</v>
      </c>
      <c r="J291" s="42" t="str">
        <f>IF(BD_MO[FECHA]&lt;&gt;"",VLOOKUP(BD_MO[LABOR],D_CECO!B:H,7,FALSE),"")</f>
        <v>SERVICIOS</v>
      </c>
      <c r="K291" s="42" t="str">
        <f>IF(BD_MO[FECHA]&lt;&gt;"",VLOOKUP(BD_MO[LABOR],D_CECO!B:H,4,FALSE),"")</f>
        <v>SERVICIOS</v>
      </c>
      <c r="L291" s="42"/>
      <c r="M291" s="48"/>
      <c r="N291" s="46"/>
      <c r="O291" s="93" t="s">
        <v>12221</v>
      </c>
      <c r="P291" s="93" t="s">
        <v>12209</v>
      </c>
      <c r="Q291" s="93"/>
      <c r="R291" s="45"/>
      <c r="S291" s="54" t="str">
        <f>IFERROR(VLOOKUP(BD_MO[DNI 4],#REF!,2,FALSE)," ")</f>
        <v xml:space="preserve"> </v>
      </c>
      <c r="T291" s="24">
        <f>+IF(BD_MO[[#This Row],[FECHA]]&lt;&gt;"",COUNTA(BD_MO[[#This Row],[DNI]],BD_MO[[#This Row],[DNI 2]],BD_MO[[#This Row],[DNI 3]],BD_MO[[#This Row],[DNI 4]]),"")</f>
        <v>2</v>
      </c>
      <c r="U291" s="24"/>
      <c r="V291" s="24"/>
      <c r="W291" s="24"/>
      <c r="X291" s="24"/>
      <c r="Y291" s="86">
        <f>SUM(BD_MO[[#This Row],[LIMP]:[SERV]])</f>
        <v>0</v>
      </c>
      <c r="Z291" s="46"/>
      <c r="AA291" s="46" t="str">
        <f>+IF(BD_MO[[#This Row],[N° VALE]]&lt;&gt;"",1,"")</f>
        <v/>
      </c>
      <c r="AB291" s="40"/>
      <c r="AC291" s="46"/>
      <c r="AD291" s="46" t="str">
        <f>+IF(BD_MO[[#This Row],[N° VALE]]&lt;&gt;"",BD_MO[[#This Row],[FULMINANTE N° 08]]+BD_MO[CARMEX 7''],"")</f>
        <v/>
      </c>
      <c r="AE291" s="46"/>
      <c r="AF291" s="46" t="str">
        <f>+IF(BD_MO[[#This Row],[N° VALE]]&lt;&gt;"",BD_MO[[#This Row],[N° TALADROS]]+BD_MO[[#This Row],[N° TAL. VACIOS]],"")</f>
        <v/>
      </c>
      <c r="AG291" s="55"/>
      <c r="AH291" s="55"/>
      <c r="AI291" s="55"/>
      <c r="AJ291" s="55"/>
      <c r="AK291" s="55"/>
      <c r="AL291" s="55"/>
      <c r="AM291" s="42"/>
      <c r="AN291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91" s="46" t="str">
        <f>+IF(BD_MO[[#This Row],[N° VALE]]&lt;&gt;"",IF(BD_MO[[#This Row],[FULMINANTE N° 08]]&lt;&gt;"",BD_MO[[#This Row],[FULMINANTE N° 08]],IF(BD_MO[[#This Row],[CARMEX 7'']]&lt;&gt;0,0,"")),"")</f>
        <v/>
      </c>
      <c r="AP291" s="24" t="str">
        <f>+IF(BD_MO[[#This Row],[N° VALE]]&lt;&gt;"",BD_MO[[#This Row],[N°  TOTAL TALADROS]]*BD_MO[[#This Row],[BARRA]]*0.95,"")</f>
        <v/>
      </c>
      <c r="AQ291" s="24" t="str">
        <f>+IF(BD_MO[[#This Row],[N° VALE]]&lt;&gt;"",BD_MO[[#This Row],[EMULNOR 1000 (N° CART.)]]*PE_EMUL_1000[PE],"")</f>
        <v/>
      </c>
      <c r="AR291" s="24" t="str">
        <f>+IF(BD_MO[[#This Row],[N° VALE]]&lt;&gt;"",BD_MO[[#This Row],[EMULNOR 3000 (N° CART.)]]*PE_EMUL_3000[PE],"")</f>
        <v/>
      </c>
      <c r="AS291" s="24" t="str">
        <f>+IF(BD_MO[[#This Row],[N° VALE]]&lt;&gt;"",BD_MO[[#This Row],[PULVERULENTA (N° CART.)]]*PE_PULV_65[PE],"")</f>
        <v/>
      </c>
      <c r="AT291" s="24" t="str">
        <f>+IF(BD_MO[[#This Row],[N° DISP]]&lt;&gt;"",BD_MO[[#This Row],[SEMIGELATINA (N° CART.)]]*PE_SEMIGEL_65[PE],"")</f>
        <v/>
      </c>
      <c r="AU291" s="24" t="str">
        <f>+IF(BD_MO[N° VALE]&lt;&gt;"",BD_MO[[#This Row],[KG EXPLO SEMIGEL]]+BD_MO[[#This Row],[KG EXPLO PULVE]]+BD_MO[[#This Row],[KG EXPLO EMULN 3000]]+BD_MO[[#This Row],[KG EXPLO EMULN 1000]],"")</f>
        <v/>
      </c>
      <c r="AV291" s="46"/>
      <c r="AW291" s="46"/>
      <c r="AX291" s="46" t="str">
        <f>+IF(BD_MO[[#This Row],[MINERAL (U-35)]]&lt;&gt;"",BD_MO[[#This Row],[MINERAL (U-35)]]*1.45,"-")</f>
        <v>-</v>
      </c>
      <c r="AY291" s="46" t="str">
        <f>+IF(BD_MO[[#This Row],[DESMONTE (U-35)]]&lt;&gt;"",BD_MO[[#This Row],[DESMONTE (U-35)]]*1.23,"-")</f>
        <v>-</v>
      </c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2"/>
      <c r="BO291" s="46"/>
      <c r="BP291" s="46"/>
      <c r="BQ291" s="42"/>
      <c r="BR291" s="46"/>
      <c r="BS291" s="42"/>
      <c r="BT291" s="24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24">
        <f>+IF(BD_MO[[#This Row],[FECHA]]&lt;&gt;"",BD_MO[[#This Row],[PUNTAL 4"]]+BD_MO[[#This Row],[PUNTAL 5"]]+BD_MO[[#This Row],[PUNTAL 6"]]+BD_MO[[#This Row],[PUNTAL 7"]]+BD_MO[[#This Row],[PUNTAL 8"]],"")</f>
        <v>0</v>
      </c>
      <c r="CQ291" s="46"/>
      <c r="CR291" s="46"/>
      <c r="CS291" s="46"/>
      <c r="CT291" s="46"/>
      <c r="CU291" s="46"/>
      <c r="CV291" s="46"/>
      <c r="CW291" s="46"/>
      <c r="CX291" s="46"/>
      <c r="CY291" s="24"/>
      <c r="CZ291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91" s="24">
        <f>+IF(BD_MO[[#This Row],[FECHA]]&lt;&gt;"",BD_MO[[#This Row],[DURMIENTE2]]*6.561+BD_MO[[#This Row],[LISTONES]]*4.921+BD_MO[[#This Row],[TABLA 1"x8"x3m]]*6.561+BD_MO[[#This Row],[TABLA 2"x8"x3m]]*13.122,"")</f>
        <v>0</v>
      </c>
      <c r="DB291" s="24">
        <f>+IF(BD_MO[[#This Row],[FECHA]]&lt;&gt;"",BD_MO[[#This Row],[PIE2 MADERA ASERRADA]]*1.95,"")</f>
        <v>0</v>
      </c>
      <c r="DC291" s="24">
        <f>+IF(BD_MO[[#This Row],[FECHA]]&lt;&gt;"",BD_MO[[#This Row],[KG. MADERA REDONDA]]+BD_MO[[#This Row],[KG MADERA ASERRADA]],"")</f>
        <v>0</v>
      </c>
      <c r="DD291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91" s="46"/>
      <c r="DF291" s="46"/>
      <c r="DG291" s="46"/>
      <c r="DH291" s="46"/>
      <c r="DI291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91" s="56"/>
      <c r="DK291" s="56"/>
      <c r="DL291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91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91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291" s="56" t="str">
        <f>+IF(BD_MO[[#This Row],[M o D]]&lt;&gt;"",IF(BD_MO[[#This Row],[M o D]]="M",BD_MO[[#This Row],[ROTURA TMH]]/2.65,BD_MO[[#This Row],[ROTURA TMH]]/2.4),"")</f>
        <v/>
      </c>
      <c r="DQ291" s="56"/>
      <c r="DR291" s="116" t="str">
        <f>IF(BD_MO[[#This Row],[TIPO AVANCE]]="Avance",((BD_MO[[#This Row],[AVANCE (m)]]/BD_MO[[#This Row],[AVANCE TEÓRICO]]))," ")</f>
        <v xml:space="preserve"> </v>
      </c>
      <c r="DS291" s="49"/>
      <c r="DT291" s="49"/>
      <c r="DU291" s="49"/>
      <c r="DV291" s="49"/>
      <c r="DW291" s="49"/>
      <c r="DX291" s="49"/>
      <c r="DY291" s="49"/>
      <c r="DZ291" s="49"/>
    </row>
    <row r="292" spans="1:130" ht="18" customHeight="1" thickBot="1" x14ac:dyDescent="0.3">
      <c r="A292" s="130">
        <v>44668</v>
      </c>
      <c r="B292" s="117" t="s">
        <v>10647</v>
      </c>
      <c r="C292" s="117" t="s">
        <v>10672</v>
      </c>
      <c r="D292" s="118" t="s">
        <v>10717</v>
      </c>
      <c r="E292" s="119" t="str">
        <f>LEFT(BD_MO[[#This Row],[LABOR]],2)</f>
        <v>BO</v>
      </c>
      <c r="F292" s="120"/>
      <c r="G292" s="120" t="s">
        <v>10669</v>
      </c>
      <c r="H292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92" s="119" t="str">
        <f>IF(BD_MO[FECHA]&lt;&gt;"",VLOOKUP(BD_MO[LABOR],TB_CECO[[LABOR]:[CECO_T]],3,FALSE),"")</f>
        <v>CACHORRO</v>
      </c>
      <c r="J292" s="119" t="str">
        <f>IF(BD_MO[FECHA]&lt;&gt;"",VLOOKUP(BD_MO[LABOR],D_CECO!B:H,7,FALSE),"")</f>
        <v>SERVICIOS</v>
      </c>
      <c r="K292" s="119" t="str">
        <f>IF(BD_MO[FECHA]&lt;&gt;"",VLOOKUP(BD_MO[LABOR],D_CECO!B:H,4,FALSE),"")</f>
        <v>SERVICIOS</v>
      </c>
      <c r="L292" s="119"/>
      <c r="M292" s="117"/>
      <c r="N292" s="120"/>
      <c r="O292" s="121" t="s">
        <v>12294</v>
      </c>
      <c r="P292" s="121"/>
      <c r="Q292" s="121"/>
      <c r="R292" s="122"/>
      <c r="S292" s="123" t="str">
        <f>IFERROR(VLOOKUP(BD_MO[DNI 4],#REF!,2,FALSE)," ")</f>
        <v xml:space="preserve"> </v>
      </c>
      <c r="T292" s="124">
        <f>+IF(BD_MO[[#This Row],[FECHA]]&lt;&gt;"",COUNTA(BD_MO[[#This Row],[DNI]],BD_MO[[#This Row],[DNI 2]],BD_MO[[#This Row],[DNI 3]],BD_MO[[#This Row],[DNI 4]]),"")</f>
        <v>1</v>
      </c>
      <c r="U292" s="124"/>
      <c r="V292" s="124"/>
      <c r="W292" s="124"/>
      <c r="X292" s="124"/>
      <c r="Y292" s="125">
        <f>SUM(BD_MO[[#This Row],[LIMP]:[SERV]])</f>
        <v>0</v>
      </c>
      <c r="Z292" s="120"/>
      <c r="AA292" s="120" t="str">
        <f>+IF(BD_MO[[#This Row],[N° VALE]]&lt;&gt;"",1,"")</f>
        <v/>
      </c>
      <c r="AB292" s="117"/>
      <c r="AC292" s="120"/>
      <c r="AD292" s="120" t="str">
        <f>+IF(BD_MO[[#This Row],[N° VALE]]&lt;&gt;"",BD_MO[[#This Row],[FULMINANTE N° 08]]+BD_MO[CARMEX 7''],"")</f>
        <v/>
      </c>
      <c r="AE292" s="120"/>
      <c r="AF292" s="120" t="str">
        <f>+IF(BD_MO[[#This Row],[N° VALE]]&lt;&gt;"",BD_MO[[#This Row],[N° TALADROS]]+BD_MO[[#This Row],[N° TAL. VACIOS]],"")</f>
        <v/>
      </c>
      <c r="AG292" s="126"/>
      <c r="AH292" s="126"/>
      <c r="AI292" s="126"/>
      <c r="AJ292" s="126"/>
      <c r="AK292" s="126"/>
      <c r="AL292" s="126"/>
      <c r="AM292" s="119"/>
      <c r="AN292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92" s="120" t="str">
        <f>+IF(BD_MO[[#This Row],[N° VALE]]&lt;&gt;"",IF(BD_MO[[#This Row],[FULMINANTE N° 08]]&lt;&gt;"",BD_MO[[#This Row],[FULMINANTE N° 08]],IF(BD_MO[[#This Row],[CARMEX 7'']]&lt;&gt;0,0,"")),"")</f>
        <v/>
      </c>
      <c r="AP292" s="124" t="str">
        <f>+IF(BD_MO[[#This Row],[N° VALE]]&lt;&gt;"",BD_MO[[#This Row],[N°  TOTAL TALADROS]]*BD_MO[[#This Row],[BARRA]]*0.95,"")</f>
        <v/>
      </c>
      <c r="AQ292" s="124" t="str">
        <f>+IF(BD_MO[[#This Row],[N° VALE]]&lt;&gt;"",BD_MO[[#This Row],[EMULNOR 1000 (N° CART.)]]*PE_EMUL_1000[PE],"")</f>
        <v/>
      </c>
      <c r="AR292" s="124" t="str">
        <f>+IF(BD_MO[[#This Row],[N° VALE]]&lt;&gt;"",BD_MO[[#This Row],[EMULNOR 3000 (N° CART.)]]*PE_EMUL_3000[PE],"")</f>
        <v/>
      </c>
      <c r="AS292" s="124" t="str">
        <f>+IF(BD_MO[[#This Row],[N° VALE]]&lt;&gt;"",BD_MO[[#This Row],[PULVERULENTA (N° CART.)]]*PE_PULV_65[PE],"")</f>
        <v/>
      </c>
      <c r="AT292" s="124" t="str">
        <f>+IF(BD_MO[[#This Row],[N° DISP]]&lt;&gt;"",BD_MO[[#This Row],[SEMIGELATINA (N° CART.)]]*PE_SEMIGEL_65[PE],"")</f>
        <v/>
      </c>
      <c r="AU292" s="124" t="str">
        <f>+IF(BD_MO[N° VALE]&lt;&gt;"",BD_MO[[#This Row],[KG EXPLO SEMIGEL]]+BD_MO[[#This Row],[KG EXPLO PULVE]]+BD_MO[[#This Row],[KG EXPLO EMULN 3000]]+BD_MO[[#This Row],[KG EXPLO EMULN 1000]],"")</f>
        <v/>
      </c>
      <c r="AV292" s="120"/>
      <c r="AW292" s="120"/>
      <c r="AX292" s="120" t="str">
        <f>+IF(BD_MO[[#This Row],[MINERAL (U-35)]]&lt;&gt;"",BD_MO[[#This Row],[MINERAL (U-35)]]*1.45,"-")</f>
        <v>-</v>
      </c>
      <c r="AY292" s="120" t="str">
        <f>+IF(BD_MO[[#This Row],[DESMONTE (U-35)]]&lt;&gt;"",BD_MO[[#This Row],[DESMONTE (U-35)]]*1.23,"-")</f>
        <v>-</v>
      </c>
      <c r="AZ292" s="120"/>
      <c r="BA292" s="120"/>
      <c r="BB292" s="120"/>
      <c r="BC292" s="120"/>
      <c r="BD292" s="120"/>
      <c r="BE292" s="120"/>
      <c r="BF292" s="120"/>
      <c r="BG292" s="120"/>
      <c r="BH292" s="120"/>
      <c r="BI292" s="120"/>
      <c r="BJ292" s="120"/>
      <c r="BK292" s="120"/>
      <c r="BL292" s="120"/>
      <c r="BM292" s="120"/>
      <c r="BN292" s="119"/>
      <c r="BO292" s="120"/>
      <c r="BP292" s="120"/>
      <c r="BQ292" s="119"/>
      <c r="BR292" s="120"/>
      <c r="BS292" s="119"/>
      <c r="BT292" s="124"/>
      <c r="BU292" s="120"/>
      <c r="BV292" s="120"/>
      <c r="BW292" s="120"/>
      <c r="BX292" s="120"/>
      <c r="BY292" s="120"/>
      <c r="BZ292" s="120"/>
      <c r="CA292" s="120"/>
      <c r="CB292" s="120"/>
      <c r="CC292" s="120"/>
      <c r="CD292" s="120"/>
      <c r="CE292" s="120"/>
      <c r="CF292" s="120"/>
      <c r="CG292" s="120"/>
      <c r="CH292" s="120"/>
      <c r="CI292" s="120"/>
      <c r="CJ292" s="120"/>
      <c r="CK292" s="120"/>
      <c r="CL292" s="120"/>
      <c r="CM292" s="120"/>
      <c r="CN292" s="120"/>
      <c r="CO292" s="120"/>
      <c r="CP292" s="124">
        <f>+IF(BD_MO[[#This Row],[FECHA]]&lt;&gt;"",BD_MO[[#This Row],[PUNTAL 4"]]+BD_MO[[#This Row],[PUNTAL 5"]]+BD_MO[[#This Row],[PUNTAL 6"]]+BD_MO[[#This Row],[PUNTAL 7"]]+BD_MO[[#This Row],[PUNTAL 8"]],"")</f>
        <v>0</v>
      </c>
      <c r="CQ292" s="120"/>
      <c r="CR292" s="120"/>
      <c r="CS292" s="120"/>
      <c r="CT292" s="120"/>
      <c r="CU292" s="120"/>
      <c r="CV292" s="120"/>
      <c r="CW292" s="120"/>
      <c r="CX292" s="120"/>
      <c r="CY292" s="124"/>
      <c r="CZ292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92" s="124">
        <f>+IF(BD_MO[[#This Row],[FECHA]]&lt;&gt;"",BD_MO[[#This Row],[DURMIENTE2]]*6.561+BD_MO[[#This Row],[LISTONES]]*4.921+BD_MO[[#This Row],[TABLA 1"x8"x3m]]*6.561+BD_MO[[#This Row],[TABLA 2"x8"x3m]]*13.122,"")</f>
        <v>0</v>
      </c>
      <c r="DB292" s="124">
        <f>+IF(BD_MO[[#This Row],[FECHA]]&lt;&gt;"",BD_MO[[#This Row],[PIE2 MADERA ASERRADA]]*1.95,"")</f>
        <v>0</v>
      </c>
      <c r="DC292" s="124">
        <f>+IF(BD_MO[[#This Row],[FECHA]]&lt;&gt;"",BD_MO[[#This Row],[KG. MADERA REDONDA]]+BD_MO[[#This Row],[KG MADERA ASERRADA]],"")</f>
        <v>0</v>
      </c>
      <c r="DD292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92" s="120"/>
      <c r="DF292" s="120"/>
      <c r="DG292" s="120"/>
      <c r="DH292" s="120"/>
      <c r="DI292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92" s="128"/>
      <c r="DK292" s="128"/>
      <c r="DL292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92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92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292" s="128" t="str">
        <f>+IF(BD_MO[[#This Row],[M o D]]&lt;&gt;"",IF(BD_MO[[#This Row],[M o D]]="M",BD_MO[[#This Row],[ROTURA TMH]]/2.65,BD_MO[[#This Row],[ROTURA TMH]]/2.4),"")</f>
        <v/>
      </c>
      <c r="DQ292" s="128"/>
      <c r="DR292" s="116" t="str">
        <f>IF(BD_MO[[#This Row],[TIPO AVANCE]]="Avance",((BD_MO[[#This Row],[AVANCE (m)]]/BD_MO[[#This Row],[AVANCE TEÓRICO]]))," ")</f>
        <v xml:space="preserve"> </v>
      </c>
      <c r="DS292" s="49"/>
      <c r="DT292" s="49"/>
      <c r="DU292" s="49"/>
      <c r="DV292" s="49"/>
      <c r="DW292" s="49"/>
      <c r="DX292" s="49"/>
      <c r="DY292" s="49"/>
      <c r="DZ292" s="49"/>
    </row>
    <row r="293" spans="1:130" ht="18" customHeight="1" x14ac:dyDescent="0.25">
      <c r="A293" s="92">
        <v>44668</v>
      </c>
      <c r="B293" s="40" t="s">
        <v>10655</v>
      </c>
      <c r="C293" s="40" t="s">
        <v>10680</v>
      </c>
      <c r="D293" s="61" t="s">
        <v>11595</v>
      </c>
      <c r="E293" s="42" t="str">
        <f>LEFT(BD_MO[[#This Row],[LABOR]],2)</f>
        <v>Tj</v>
      </c>
      <c r="F293" s="46" t="s">
        <v>10687</v>
      </c>
      <c r="G293" s="46" t="s">
        <v>10648</v>
      </c>
      <c r="H293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93" s="42" t="str">
        <f>IF(BD_MO[FECHA]&lt;&gt;"",VLOOKUP(BD_MO[LABOR],TB_CECO[[LABOR]:[CECO_T]],3,FALSE),"")</f>
        <v>ESCONDIDA</v>
      </c>
      <c r="J293" s="42" t="str">
        <f>IF(BD_MO[FECHA]&lt;&gt;"",VLOOKUP(BD_MO[LABOR],D_CECO!B:H,7,FALSE),"")</f>
        <v>TAJO</v>
      </c>
      <c r="K293" s="42" t="str">
        <f>IF(BD_MO[FECHA]&lt;&gt;"",VLOOKUP(BD_MO[LABOR],D_CECO!B:H,4,FALSE),"")</f>
        <v>EXPLOTACION</v>
      </c>
      <c r="L293" s="42"/>
      <c r="M293" s="48" t="s">
        <v>10679</v>
      </c>
      <c r="N293" s="46"/>
      <c r="O293" s="93" t="s">
        <v>11976</v>
      </c>
      <c r="P293" s="93" t="s">
        <v>11924</v>
      </c>
      <c r="Q293" s="93"/>
      <c r="R293" s="45"/>
      <c r="S293" s="54" t="str">
        <f>IFERROR(VLOOKUP(BD_MO[DNI 4],#REF!,2,FALSE)," ")</f>
        <v xml:space="preserve"> </v>
      </c>
      <c r="T293" s="24">
        <f>+IF(BD_MO[[#This Row],[FECHA]]&lt;&gt;"",COUNTA(BD_MO[[#This Row],[DNI]],BD_MO[[#This Row],[DNI 2]],BD_MO[[#This Row],[DNI 3]],BD_MO[[#This Row],[DNI 4]]),"")</f>
        <v>2</v>
      </c>
      <c r="U293" s="24">
        <v>1</v>
      </c>
      <c r="V293" s="24">
        <v>0.2</v>
      </c>
      <c r="W293" s="24">
        <v>0.6</v>
      </c>
      <c r="X293" s="24">
        <v>0.2</v>
      </c>
      <c r="Y293" s="86">
        <f>SUM(BD_MO[[#This Row],[LIMP]:[SERV]])</f>
        <v>1.9999999999999998</v>
      </c>
      <c r="Z293" s="46" t="s">
        <v>12301</v>
      </c>
      <c r="AA293" s="46">
        <f>+IF(BD_MO[[#This Row],[N° VALE]]&lt;&gt;"",1,"")</f>
        <v>1</v>
      </c>
      <c r="AB293" s="40" t="s">
        <v>10691</v>
      </c>
      <c r="AC293" s="46">
        <v>4</v>
      </c>
      <c r="AD293" s="46">
        <f>+IF(BD_MO[[#This Row],[N° VALE]]&lt;&gt;"",BD_MO[[#This Row],[FULMINANTE N° 08]]+BD_MO[CARMEX 7''],"")</f>
        <v>4</v>
      </c>
      <c r="AE293" s="46"/>
      <c r="AF293" s="46">
        <f>+IF(BD_MO[[#This Row],[N° VALE]]&lt;&gt;"",BD_MO[[#This Row],[N° TALADROS]]+BD_MO[[#This Row],[N° TAL. VACIOS]],"")</f>
        <v>4</v>
      </c>
      <c r="AG293" s="55">
        <v>4</v>
      </c>
      <c r="AH293" s="55">
        <v>16</v>
      </c>
      <c r="AI293" s="55"/>
      <c r="AJ293" s="55"/>
      <c r="AK293" s="55">
        <v>4</v>
      </c>
      <c r="AL293" s="55">
        <v>1</v>
      </c>
      <c r="AM293" s="42"/>
      <c r="AN293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93" s="46">
        <f>+IF(BD_MO[[#This Row],[N° VALE]]&lt;&gt;"",IF(BD_MO[[#This Row],[FULMINANTE N° 08]]&lt;&gt;"",BD_MO[[#This Row],[FULMINANTE N° 08]],IF(BD_MO[[#This Row],[CARMEX 7'']]&lt;&gt;0,0,"")),"")</f>
        <v>0</v>
      </c>
      <c r="AP293" s="24">
        <f>+IF(BD_MO[[#This Row],[N° VALE]]&lt;&gt;"",BD_MO[[#This Row],[N°  TOTAL TALADROS]]*BD_MO[[#This Row],[BARRA]]*0.95,"")</f>
        <v>15.2</v>
      </c>
      <c r="AQ293" s="24">
        <f>+IF(BD_MO[[#This Row],[N° VALE]]&lt;&gt;"",BD_MO[[#This Row],[EMULNOR 1000 (N° CART.)]]*PE_EMUL_1000[PE],"")</f>
        <v>1.5152000000000001</v>
      </c>
      <c r="AR293" s="24">
        <f>+IF(BD_MO[[#This Row],[N° VALE]]&lt;&gt;"",BD_MO[[#This Row],[EMULNOR 3000 (N° CART.)]]*PE_EMUL_3000[PE],"")</f>
        <v>0.3846153846153848</v>
      </c>
      <c r="AS293" s="24">
        <f>+IF(BD_MO[[#This Row],[N° VALE]]&lt;&gt;"",BD_MO[[#This Row],[PULVERULENTA (N° CART.)]]*PE_PULV_65[PE],"")</f>
        <v>0</v>
      </c>
      <c r="AT293" s="24">
        <f>+IF(BD_MO[[#This Row],[N° DISP]]&lt;&gt;"",BD_MO[[#This Row],[SEMIGELATINA (N° CART.)]]*PE_SEMIGEL_65[PE],"")</f>
        <v>0</v>
      </c>
      <c r="AU293" s="24">
        <f>+IF(BD_MO[N° VALE]&lt;&gt;"",BD_MO[[#This Row],[KG EXPLO SEMIGEL]]+BD_MO[[#This Row],[KG EXPLO PULVE]]+BD_MO[[#This Row],[KG EXPLO EMULN 3000]]+BD_MO[[#This Row],[KG EXPLO EMULN 1000]],"")</f>
        <v>1.8998153846153849</v>
      </c>
      <c r="AV293" s="46">
        <v>3</v>
      </c>
      <c r="AW293" s="46"/>
      <c r="AX293" s="46">
        <f>+IF(BD_MO[[#This Row],[MINERAL (U-35)]]&lt;&gt;"",BD_MO[[#This Row],[MINERAL (U-35)]]*1.45,"-")</f>
        <v>4.3499999999999996</v>
      </c>
      <c r="AY293" s="46" t="str">
        <f>+IF(BD_MO[[#This Row],[DESMONTE (U-35)]]&lt;&gt;"",BD_MO[[#This Row],[DESMONTE (U-35)]]*1.23,"-")</f>
        <v>-</v>
      </c>
      <c r="AZ293" s="46"/>
      <c r="BA293" s="46"/>
      <c r="BB293" s="46"/>
      <c r="BC293" s="46"/>
      <c r="BD293" s="46"/>
      <c r="BE293" s="46"/>
      <c r="BF293" s="46"/>
      <c r="BG293" s="46"/>
      <c r="BH293" s="46"/>
      <c r="BI293" s="46">
        <v>1</v>
      </c>
      <c r="BJ293" s="46"/>
      <c r="BK293" s="46"/>
      <c r="BL293" s="46"/>
      <c r="BM293" s="46"/>
      <c r="BN293" s="42"/>
      <c r="BO293" s="46"/>
      <c r="BP293" s="46"/>
      <c r="BQ293" s="42"/>
      <c r="BR293" s="46"/>
      <c r="BS293" s="42"/>
      <c r="BT293" s="24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>
        <v>2</v>
      </c>
      <c r="CO293" s="46"/>
      <c r="CP293" s="24">
        <f>+IF(BD_MO[[#This Row],[FECHA]]&lt;&gt;"",BD_MO[[#This Row],[PUNTAL 4"]]+BD_MO[[#This Row],[PUNTAL 5"]]+BD_MO[[#This Row],[PUNTAL 6"]]+BD_MO[[#This Row],[PUNTAL 7"]]+BD_MO[[#This Row],[PUNTAL 8"]],"")</f>
        <v>2</v>
      </c>
      <c r="CQ293" s="46"/>
      <c r="CR293" s="46"/>
      <c r="CS293" s="46"/>
      <c r="CT293" s="46"/>
      <c r="CU293" s="46"/>
      <c r="CV293" s="46"/>
      <c r="CW293" s="46"/>
      <c r="CX293" s="46"/>
      <c r="CY293" s="24"/>
      <c r="CZ293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122.158</v>
      </c>
      <c r="DA293" s="24">
        <f>+IF(BD_MO[[#This Row],[FECHA]]&lt;&gt;"",BD_MO[[#This Row],[DURMIENTE2]]*6.561+BD_MO[[#This Row],[LISTONES]]*4.921+BD_MO[[#This Row],[TABLA 1"x8"x3m]]*6.561+BD_MO[[#This Row],[TABLA 2"x8"x3m]]*13.122,"")</f>
        <v>0</v>
      </c>
      <c r="DB293" s="24">
        <f>+IF(BD_MO[[#This Row],[FECHA]]&lt;&gt;"",BD_MO[[#This Row],[PIE2 MADERA ASERRADA]]*1.95,"")</f>
        <v>0</v>
      </c>
      <c r="DC293" s="24">
        <f>+IF(BD_MO[[#This Row],[FECHA]]&lt;&gt;"",BD_MO[[#This Row],[KG. MADERA REDONDA]]+BD_MO[[#This Row],[KG MADERA ASERRADA]],"")</f>
        <v>122.158</v>
      </c>
      <c r="DD293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35.6</v>
      </c>
      <c r="DE293" s="46"/>
      <c r="DF293" s="46"/>
      <c r="DG293" s="46"/>
      <c r="DH293" s="46"/>
      <c r="DI293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93" s="56"/>
      <c r="DK293" s="56"/>
      <c r="DL293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0.93</v>
      </c>
      <c r="DM293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0.96720000000000006</v>
      </c>
      <c r="DN293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93" s="17">
        <v>15</v>
      </c>
      <c r="DP293" s="56">
        <f>+IF(BD_MO[[#This Row],[M o D]]&lt;&gt;"",IF(BD_MO[[#This Row],[M o D]]="M",BD_MO[[#This Row],[ROTURA TMH]]/2.65,BD_MO[[#This Row],[ROTURA TMH]]/2.4),"")</f>
        <v>6.25</v>
      </c>
      <c r="DQ293" s="56"/>
      <c r="DR293" s="116" t="str">
        <f>IF(BD_MO[[#This Row],[TIPO AVANCE]]="Avance",((BD_MO[[#This Row],[AVANCE (m)]]/BD_MO[[#This Row],[AVANCE TEÓRICO]]))," ")</f>
        <v xml:space="preserve"> </v>
      </c>
      <c r="DS293" s="49"/>
      <c r="DT293" s="49"/>
      <c r="DU293" s="49"/>
      <c r="DV293" s="49"/>
      <c r="DW293" s="49"/>
      <c r="DX293" s="49"/>
      <c r="DY293" s="49"/>
      <c r="DZ293" s="49"/>
    </row>
    <row r="294" spans="1:130" ht="18" customHeight="1" x14ac:dyDescent="0.25">
      <c r="A294" s="92">
        <v>44668</v>
      </c>
      <c r="B294" s="40" t="s">
        <v>10655</v>
      </c>
      <c r="C294" s="40" t="s">
        <v>10680</v>
      </c>
      <c r="D294" s="61" t="s">
        <v>11827</v>
      </c>
      <c r="E294" s="42" t="str">
        <f>LEFT(BD_MO[[#This Row],[LABOR]],2)</f>
        <v>Tj</v>
      </c>
      <c r="F294" s="46" t="s">
        <v>10687</v>
      </c>
      <c r="G294" s="46" t="s">
        <v>10648</v>
      </c>
      <c r="H294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94" s="42" t="str">
        <f>IF(BD_MO[FECHA]&lt;&gt;"",VLOOKUP(BD_MO[LABOR],TB_CECO[[LABOR]:[CECO_T]],3,FALSE),"")</f>
        <v>VANESSA</v>
      </c>
      <c r="J294" s="42" t="str">
        <f>IF(BD_MO[FECHA]&lt;&gt;"",VLOOKUP(BD_MO[LABOR],D_CECO!B:H,7,FALSE),"")</f>
        <v>TAJO</v>
      </c>
      <c r="K294" s="42" t="str">
        <f>IF(BD_MO[FECHA]&lt;&gt;"",VLOOKUP(BD_MO[LABOR],D_CECO!B:H,4,FALSE),"")</f>
        <v>EXPLOTACION</v>
      </c>
      <c r="L294" s="42"/>
      <c r="M294" s="48" t="s">
        <v>10679</v>
      </c>
      <c r="N294" s="46"/>
      <c r="O294" s="93" t="s">
        <v>11910</v>
      </c>
      <c r="P294" s="93"/>
      <c r="Q294" s="93"/>
      <c r="R294" s="45"/>
      <c r="S294" s="54" t="str">
        <f>IFERROR(VLOOKUP(BD_MO[DNI 4],#REF!,2,FALSE)," ")</f>
        <v xml:space="preserve"> </v>
      </c>
      <c r="T294" s="24">
        <f>+IF(BD_MO[[#This Row],[FECHA]]&lt;&gt;"",COUNTA(BD_MO[[#This Row],[DNI]],BD_MO[[#This Row],[DNI 2]],BD_MO[[#This Row],[DNI 3]],BD_MO[[#This Row],[DNI 4]]),"")</f>
        <v>1</v>
      </c>
      <c r="U294" s="24">
        <v>0.5</v>
      </c>
      <c r="V294" s="24">
        <v>0.3</v>
      </c>
      <c r="W294" s="24"/>
      <c r="X294" s="24">
        <v>0.2</v>
      </c>
      <c r="Y294" s="86">
        <f>SUM(BD_MO[[#This Row],[LIMP]:[SERV]])</f>
        <v>1</v>
      </c>
      <c r="Z294" s="46" t="s">
        <v>12302</v>
      </c>
      <c r="AA294" s="46">
        <f>+IF(BD_MO[[#This Row],[N° VALE]]&lt;&gt;"",1,"")</f>
        <v>1</v>
      </c>
      <c r="AB294" s="40" t="s">
        <v>10644</v>
      </c>
      <c r="AC294" s="46">
        <v>4</v>
      </c>
      <c r="AD294" s="46">
        <f>+IF(BD_MO[[#This Row],[N° VALE]]&lt;&gt;"",BD_MO[[#This Row],[FULMINANTE N° 08]]+BD_MO[CARMEX 7''],"")</f>
        <v>20</v>
      </c>
      <c r="AE294" s="46">
        <v>3</v>
      </c>
      <c r="AF294" s="46">
        <f>+IF(BD_MO[[#This Row],[N° VALE]]&lt;&gt;"",BD_MO[[#This Row],[N° TALADROS]]+BD_MO[[#This Row],[N° TAL. VACIOS]],"")</f>
        <v>23</v>
      </c>
      <c r="AG294" s="55">
        <v>32</v>
      </c>
      <c r="AH294" s="55">
        <v>60</v>
      </c>
      <c r="AI294" s="55"/>
      <c r="AJ294" s="55"/>
      <c r="AK294" s="55">
        <v>20</v>
      </c>
      <c r="AL294" s="55">
        <v>4</v>
      </c>
      <c r="AM294" s="42"/>
      <c r="AN294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94" s="46">
        <f>+IF(BD_MO[[#This Row],[N° VALE]]&lt;&gt;"",IF(BD_MO[[#This Row],[FULMINANTE N° 08]]&lt;&gt;"",BD_MO[[#This Row],[FULMINANTE N° 08]],IF(BD_MO[[#This Row],[CARMEX 7'']]&lt;&gt;0,0,"")),"")</f>
        <v>0</v>
      </c>
      <c r="AP294" s="24">
        <f>+IF(BD_MO[[#This Row],[N° VALE]]&lt;&gt;"",BD_MO[[#This Row],[N°  TOTAL TALADROS]]*BD_MO[[#This Row],[BARRA]]*0.95,"")</f>
        <v>87.399999999999991</v>
      </c>
      <c r="AQ294" s="24">
        <f>+IF(BD_MO[[#This Row],[N° VALE]]&lt;&gt;"",BD_MO[[#This Row],[EMULNOR 1000 (N° CART.)]]*PE_EMUL_1000[PE],"")</f>
        <v>5.6820000000000004</v>
      </c>
      <c r="AR294" s="24">
        <f>+IF(BD_MO[[#This Row],[N° VALE]]&lt;&gt;"",BD_MO[[#This Row],[EMULNOR 3000 (N° CART.)]]*PE_EMUL_3000[PE],"")</f>
        <v>3.0769230769230784</v>
      </c>
      <c r="AS294" s="24">
        <f>+IF(BD_MO[[#This Row],[N° VALE]]&lt;&gt;"",BD_MO[[#This Row],[PULVERULENTA (N° CART.)]]*PE_PULV_65[PE],"")</f>
        <v>0</v>
      </c>
      <c r="AT294" s="24">
        <f>+IF(BD_MO[[#This Row],[N° DISP]]&lt;&gt;"",BD_MO[[#This Row],[SEMIGELATINA (N° CART.)]]*PE_SEMIGEL_65[PE],"")</f>
        <v>0</v>
      </c>
      <c r="AU294" s="24">
        <f>+IF(BD_MO[N° VALE]&lt;&gt;"",BD_MO[[#This Row],[KG EXPLO SEMIGEL]]+BD_MO[[#This Row],[KG EXPLO PULVE]]+BD_MO[[#This Row],[KG EXPLO EMULN 3000]]+BD_MO[[#This Row],[KG EXPLO EMULN 1000]],"")</f>
        <v>8.7589230769230788</v>
      </c>
      <c r="AV294" s="46"/>
      <c r="AW294" s="46"/>
      <c r="AX294" s="46" t="str">
        <f>+IF(BD_MO[[#This Row],[MINERAL (U-35)]]&lt;&gt;"",BD_MO[[#This Row],[MINERAL (U-35)]]*1.45,"-")</f>
        <v>-</v>
      </c>
      <c r="AY294" s="46" t="str">
        <f>+IF(BD_MO[[#This Row],[DESMONTE (U-35)]]&lt;&gt;"",BD_MO[[#This Row],[DESMONTE (U-35)]]*1.23,"-")</f>
        <v>-</v>
      </c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2">
        <v>8</v>
      </c>
      <c r="BO294" s="46"/>
      <c r="BP294" s="46"/>
      <c r="BQ294" s="42"/>
      <c r="BR294" s="46"/>
      <c r="BS294" s="42"/>
      <c r="BT294" s="24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>
        <v>2</v>
      </c>
      <c r="CN294" s="46"/>
      <c r="CO294" s="46"/>
      <c r="CP294" s="24">
        <f>+IF(BD_MO[[#This Row],[FECHA]]&lt;&gt;"",BD_MO[[#This Row],[PUNTAL 4"]]+BD_MO[[#This Row],[PUNTAL 5"]]+BD_MO[[#This Row],[PUNTAL 6"]]+BD_MO[[#This Row],[PUNTAL 7"]]+BD_MO[[#This Row],[PUNTAL 8"]],"")</f>
        <v>2</v>
      </c>
      <c r="CQ294" s="46"/>
      <c r="CR294" s="46"/>
      <c r="CS294" s="46"/>
      <c r="CT294" s="46"/>
      <c r="CU294" s="46"/>
      <c r="CV294" s="46"/>
      <c r="CW294" s="46"/>
      <c r="CX294" s="46"/>
      <c r="CY294" s="24"/>
      <c r="CZ294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89.748000000000005</v>
      </c>
      <c r="DA294" s="24">
        <f>+IF(BD_MO[[#This Row],[FECHA]]&lt;&gt;"",BD_MO[[#This Row],[DURMIENTE2]]*6.561+BD_MO[[#This Row],[LISTONES]]*4.921+BD_MO[[#This Row],[TABLA 1"x8"x3m]]*6.561+BD_MO[[#This Row],[TABLA 2"x8"x3m]]*13.122,"")</f>
        <v>0</v>
      </c>
      <c r="DB294" s="24">
        <f>+IF(BD_MO[[#This Row],[FECHA]]&lt;&gt;"",BD_MO[[#This Row],[PIE2 MADERA ASERRADA]]*1.95,"")</f>
        <v>0</v>
      </c>
      <c r="DC294" s="24">
        <f>+IF(BD_MO[[#This Row],[FECHA]]&lt;&gt;"",BD_MO[[#This Row],[KG. MADERA REDONDA]]+BD_MO[[#This Row],[KG MADERA ASERRADA]],"")</f>
        <v>89.748000000000005</v>
      </c>
      <c r="DD294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35.6</v>
      </c>
      <c r="DE294" s="46"/>
      <c r="DF294" s="46"/>
      <c r="DG294" s="46"/>
      <c r="DH294" s="46"/>
      <c r="DI294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94" s="56"/>
      <c r="DK294" s="56"/>
      <c r="DL294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5.37</v>
      </c>
      <c r="DM294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5.5848000000000004</v>
      </c>
      <c r="DN294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94" s="17">
        <f>0.72315*20</f>
        <v>14.462999999999999</v>
      </c>
      <c r="DP294" s="56">
        <f>+IF(BD_MO[[#This Row],[M o D]]&lt;&gt;"",IF(BD_MO[[#This Row],[M o D]]="M",BD_MO[[#This Row],[ROTURA TMH]]/2.65,BD_MO[[#This Row],[ROTURA TMH]]/2.4),"")</f>
        <v>6.0262500000000001</v>
      </c>
      <c r="DQ294" s="56"/>
      <c r="DR294" s="116" t="str">
        <f>IF(BD_MO[[#This Row],[TIPO AVANCE]]="Avance",((BD_MO[[#This Row],[AVANCE (m)]]/BD_MO[[#This Row],[AVANCE TEÓRICO]]))," ")</f>
        <v xml:space="preserve"> </v>
      </c>
      <c r="DS294" s="49"/>
      <c r="DT294" s="49"/>
      <c r="DU294" s="49"/>
      <c r="DV294" s="49"/>
      <c r="DW294" s="49"/>
      <c r="DX294" s="49"/>
      <c r="DY294" s="49"/>
      <c r="DZ294" s="49"/>
    </row>
    <row r="295" spans="1:130" ht="18" customHeight="1" x14ac:dyDescent="0.25">
      <c r="A295" s="92">
        <v>44668</v>
      </c>
      <c r="B295" s="40" t="s">
        <v>10655</v>
      </c>
      <c r="C295" s="40" t="s">
        <v>10680</v>
      </c>
      <c r="D295" s="61" t="s">
        <v>11827</v>
      </c>
      <c r="E295" s="42" t="str">
        <f>LEFT(BD_MO[[#This Row],[LABOR]],2)</f>
        <v>Tj</v>
      </c>
      <c r="F295" s="46" t="s">
        <v>10687</v>
      </c>
      <c r="G295" s="46" t="s">
        <v>10648</v>
      </c>
      <c r="H295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295" s="42" t="str">
        <f>IF(BD_MO[FECHA]&lt;&gt;"",VLOOKUP(BD_MO[LABOR],TB_CECO[[LABOR]:[CECO_T]],3,FALSE),"")</f>
        <v>VANESSA</v>
      </c>
      <c r="J295" s="42" t="str">
        <f>IF(BD_MO[FECHA]&lt;&gt;"",VLOOKUP(BD_MO[LABOR],D_CECO!B:H,7,FALSE),"")</f>
        <v>TAJO</v>
      </c>
      <c r="K295" s="42" t="str">
        <f>IF(BD_MO[FECHA]&lt;&gt;"",VLOOKUP(BD_MO[LABOR],D_CECO!B:H,4,FALSE),"")</f>
        <v>EXPLOTACION</v>
      </c>
      <c r="L295" s="42"/>
      <c r="M295" s="48" t="s">
        <v>10679</v>
      </c>
      <c r="N295" s="46"/>
      <c r="O295" s="93" t="s">
        <v>11912</v>
      </c>
      <c r="P295" s="93"/>
      <c r="Q295" s="93"/>
      <c r="R295" s="45"/>
      <c r="S295" s="54" t="str">
        <f>IFERROR(VLOOKUP(BD_MO[DNI 4],#REF!,2,FALSE)," ")</f>
        <v xml:space="preserve"> </v>
      </c>
      <c r="T295" s="24">
        <f>+IF(BD_MO[[#This Row],[FECHA]]&lt;&gt;"",COUNTA(BD_MO[[#This Row],[DNI]],BD_MO[[#This Row],[DNI 2]],BD_MO[[#This Row],[DNI 3]],BD_MO[[#This Row],[DNI 4]]),"")</f>
        <v>1</v>
      </c>
      <c r="U295" s="24">
        <v>0.5</v>
      </c>
      <c r="V295" s="24">
        <v>0.3</v>
      </c>
      <c r="W295" s="24"/>
      <c r="X295" s="24">
        <v>0.2</v>
      </c>
      <c r="Y295" s="86">
        <f>SUM(BD_MO[[#This Row],[LIMP]:[SERV]])</f>
        <v>1</v>
      </c>
      <c r="Z295" s="46" t="s">
        <v>12303</v>
      </c>
      <c r="AA295" s="46">
        <f>+IF(BD_MO[[#This Row],[N° VALE]]&lt;&gt;"",1,"")</f>
        <v>1</v>
      </c>
      <c r="AB295" s="40" t="s">
        <v>10644</v>
      </c>
      <c r="AC295" s="46">
        <v>4</v>
      </c>
      <c r="AD295" s="46">
        <f>+IF(BD_MO[[#This Row],[N° VALE]]&lt;&gt;"",BD_MO[[#This Row],[FULMINANTE N° 08]]+BD_MO[CARMEX 7''],"")</f>
        <v>20</v>
      </c>
      <c r="AE295" s="46">
        <v>3</v>
      </c>
      <c r="AF295" s="46">
        <f>+IF(BD_MO[[#This Row],[N° VALE]]&lt;&gt;"",BD_MO[[#This Row],[N° TALADROS]]+BD_MO[[#This Row],[N° TAL. VACIOS]],"")</f>
        <v>23</v>
      </c>
      <c r="AG295" s="55">
        <v>32</v>
      </c>
      <c r="AH295" s="55">
        <v>60</v>
      </c>
      <c r="AI295" s="55"/>
      <c r="AJ295" s="55"/>
      <c r="AK295" s="55">
        <v>20</v>
      </c>
      <c r="AL295" s="55">
        <v>4</v>
      </c>
      <c r="AM295" s="42"/>
      <c r="AN295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295" s="46">
        <f>+IF(BD_MO[[#This Row],[N° VALE]]&lt;&gt;"",IF(BD_MO[[#This Row],[FULMINANTE N° 08]]&lt;&gt;"",BD_MO[[#This Row],[FULMINANTE N° 08]],IF(BD_MO[[#This Row],[CARMEX 7'']]&lt;&gt;0,0,"")),"")</f>
        <v>0</v>
      </c>
      <c r="AP295" s="24">
        <f>+IF(BD_MO[[#This Row],[N° VALE]]&lt;&gt;"",BD_MO[[#This Row],[N°  TOTAL TALADROS]]*BD_MO[[#This Row],[BARRA]]*0.95,"")</f>
        <v>87.399999999999991</v>
      </c>
      <c r="AQ295" s="24">
        <f>+IF(BD_MO[[#This Row],[N° VALE]]&lt;&gt;"",BD_MO[[#This Row],[EMULNOR 1000 (N° CART.)]]*PE_EMUL_1000[PE],"")</f>
        <v>5.6820000000000004</v>
      </c>
      <c r="AR295" s="24">
        <f>+IF(BD_MO[[#This Row],[N° VALE]]&lt;&gt;"",BD_MO[[#This Row],[EMULNOR 3000 (N° CART.)]]*PE_EMUL_3000[PE],"")</f>
        <v>3.0769230769230784</v>
      </c>
      <c r="AS295" s="24">
        <f>+IF(BD_MO[[#This Row],[N° VALE]]&lt;&gt;"",BD_MO[[#This Row],[PULVERULENTA (N° CART.)]]*PE_PULV_65[PE],"")</f>
        <v>0</v>
      </c>
      <c r="AT295" s="24">
        <f>+IF(BD_MO[[#This Row],[N° DISP]]&lt;&gt;"",BD_MO[[#This Row],[SEMIGELATINA (N° CART.)]]*PE_SEMIGEL_65[PE],"")</f>
        <v>0</v>
      </c>
      <c r="AU295" s="24">
        <f>+IF(BD_MO[N° VALE]&lt;&gt;"",BD_MO[[#This Row],[KG EXPLO SEMIGEL]]+BD_MO[[#This Row],[KG EXPLO PULVE]]+BD_MO[[#This Row],[KG EXPLO EMULN 3000]]+BD_MO[[#This Row],[KG EXPLO EMULN 1000]],"")</f>
        <v>8.7589230769230788</v>
      </c>
      <c r="AV295" s="46"/>
      <c r="AW295" s="46"/>
      <c r="AX295" s="46" t="str">
        <f>+IF(BD_MO[[#This Row],[MINERAL (U-35)]]&lt;&gt;"",BD_MO[[#This Row],[MINERAL (U-35)]]*1.45,"-")</f>
        <v>-</v>
      </c>
      <c r="AY295" s="46" t="str">
        <f>+IF(BD_MO[[#This Row],[DESMONTE (U-35)]]&lt;&gt;"",BD_MO[[#This Row],[DESMONTE (U-35)]]*1.23,"-")</f>
        <v>-</v>
      </c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2"/>
      <c r="BO295" s="46"/>
      <c r="BP295" s="46"/>
      <c r="BQ295" s="42"/>
      <c r="BR295" s="46"/>
      <c r="BS295" s="42"/>
      <c r="BT295" s="24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>
        <v>1</v>
      </c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24">
        <f>+IF(BD_MO[[#This Row],[FECHA]]&lt;&gt;"",BD_MO[[#This Row],[PUNTAL 4"]]+BD_MO[[#This Row],[PUNTAL 5"]]+BD_MO[[#This Row],[PUNTAL 6"]]+BD_MO[[#This Row],[PUNTAL 7"]]+BD_MO[[#This Row],[PUNTAL 8"]],"")</f>
        <v>0</v>
      </c>
      <c r="CQ295" s="46"/>
      <c r="CR295" s="46"/>
      <c r="CS295" s="46"/>
      <c r="CT295" s="46"/>
      <c r="CU295" s="46"/>
      <c r="CV295" s="46"/>
      <c r="CW295" s="46"/>
      <c r="CX295" s="46"/>
      <c r="CY295" s="24"/>
      <c r="CZ295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95" s="24">
        <f>+IF(BD_MO[[#This Row],[FECHA]]&lt;&gt;"",BD_MO[[#This Row],[DURMIENTE2]]*6.561+BD_MO[[#This Row],[LISTONES]]*4.921+BD_MO[[#This Row],[TABLA 1"x8"x3m]]*6.561+BD_MO[[#This Row],[TABLA 2"x8"x3m]]*13.122,"")</f>
        <v>0</v>
      </c>
      <c r="DB295" s="24">
        <f>+IF(BD_MO[[#This Row],[FECHA]]&lt;&gt;"",BD_MO[[#This Row],[PIE2 MADERA ASERRADA]]*1.95,"")</f>
        <v>0</v>
      </c>
      <c r="DC295" s="24">
        <f>+IF(BD_MO[[#This Row],[FECHA]]&lt;&gt;"",BD_MO[[#This Row],[KG. MADERA REDONDA]]+BD_MO[[#This Row],[KG MADERA ASERRADA]],"")</f>
        <v>0</v>
      </c>
      <c r="DD295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95" s="46"/>
      <c r="DF295" s="46"/>
      <c r="DG295" s="46"/>
      <c r="DH295" s="46"/>
      <c r="DI295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295" s="56"/>
      <c r="DK295" s="56"/>
      <c r="DL295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5.37</v>
      </c>
      <c r="DM295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5.5848000000000004</v>
      </c>
      <c r="DN295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295" s="17">
        <f>0.72315*20</f>
        <v>14.462999999999999</v>
      </c>
      <c r="DP295" s="56">
        <f>+IF(BD_MO[[#This Row],[M o D]]&lt;&gt;"",IF(BD_MO[[#This Row],[M o D]]="M",BD_MO[[#This Row],[ROTURA TMH]]/2.65,BD_MO[[#This Row],[ROTURA TMH]]/2.4),"")</f>
        <v>6.0262500000000001</v>
      </c>
      <c r="DQ295" s="56"/>
      <c r="DR295" s="116" t="str">
        <f>IF(BD_MO[[#This Row],[TIPO AVANCE]]="Avance",((BD_MO[[#This Row],[AVANCE (m)]]/BD_MO[[#This Row],[AVANCE TEÓRICO]]))," ")</f>
        <v xml:space="preserve"> </v>
      </c>
      <c r="DS295" s="49"/>
      <c r="DT295" s="49"/>
      <c r="DU295" s="49"/>
      <c r="DV295" s="49"/>
      <c r="DW295" s="49"/>
      <c r="DX295" s="49"/>
      <c r="DY295" s="49"/>
      <c r="DZ295" s="49"/>
    </row>
    <row r="296" spans="1:130" ht="18" customHeight="1" x14ac:dyDescent="0.25">
      <c r="A296" s="92">
        <v>44668</v>
      </c>
      <c r="B296" s="40" t="s">
        <v>10655</v>
      </c>
      <c r="C296" s="40" t="s">
        <v>10680</v>
      </c>
      <c r="D296" s="61" t="s">
        <v>12149</v>
      </c>
      <c r="E296" s="42" t="str">
        <f>LEFT(BD_MO[[#This Row],[LABOR]],2)</f>
        <v>Es</v>
      </c>
      <c r="F296" s="46"/>
      <c r="G296" s="46" t="s">
        <v>10656</v>
      </c>
      <c r="H296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296" s="42" t="str">
        <f>IF(BD_MO[FECHA]&lt;&gt;"",VLOOKUP(BD_MO[LABOR],TB_CECO[[LABOR]:[CECO_T]],3,FALSE),"")</f>
        <v>VANESSA</v>
      </c>
      <c r="J296" s="42" t="str">
        <f>IF(BD_MO[FECHA]&lt;&gt;"",VLOOKUP(BD_MO[LABOR],D_CECO!B:H,7,FALSE),"")</f>
        <v>LINEAL</v>
      </c>
      <c r="K296" s="42" t="str">
        <f>IF(BD_MO[FECHA]&lt;&gt;"",VLOOKUP(BD_MO[LABOR],D_CECO!B:H,4,FALSE),"")</f>
        <v>EXPLORACION</v>
      </c>
      <c r="L296" s="42"/>
      <c r="M296" s="48"/>
      <c r="N296" s="46"/>
      <c r="O296" s="93" t="s">
        <v>11904</v>
      </c>
      <c r="P296" s="93" t="s">
        <v>11926</v>
      </c>
      <c r="Q296" s="93"/>
      <c r="R296" s="45"/>
      <c r="S296" s="54" t="str">
        <f>IFERROR(VLOOKUP(BD_MO[DNI 4],#REF!,2,FALSE)," ")</f>
        <v xml:space="preserve"> </v>
      </c>
      <c r="T296" s="24">
        <f>+IF(BD_MO[[#This Row],[FECHA]]&lt;&gt;"",COUNTA(BD_MO[[#This Row],[DNI]],BD_MO[[#This Row],[DNI 2]],BD_MO[[#This Row],[DNI 3]],BD_MO[[#This Row],[DNI 4]]),"")</f>
        <v>2</v>
      </c>
      <c r="U296" s="24">
        <v>1</v>
      </c>
      <c r="V296" s="24"/>
      <c r="W296" s="24">
        <v>0.6</v>
      </c>
      <c r="X296" s="24">
        <v>0.4</v>
      </c>
      <c r="Y296" s="86">
        <f>SUM(BD_MO[[#This Row],[LIMP]:[SERV]])</f>
        <v>2</v>
      </c>
      <c r="Z296" s="46"/>
      <c r="AA296" s="46" t="str">
        <f>+IF(BD_MO[[#This Row],[N° VALE]]&lt;&gt;"",1,"")</f>
        <v/>
      </c>
      <c r="AB296" s="40"/>
      <c r="AC296" s="46"/>
      <c r="AD296" s="46" t="str">
        <f>+IF(BD_MO[[#This Row],[N° VALE]]&lt;&gt;"",BD_MO[[#This Row],[FULMINANTE N° 08]]+BD_MO[CARMEX 7''],"")</f>
        <v/>
      </c>
      <c r="AE296" s="46"/>
      <c r="AF296" s="46" t="str">
        <f>+IF(BD_MO[[#This Row],[N° VALE]]&lt;&gt;"",BD_MO[[#This Row],[N° TALADROS]]+BD_MO[[#This Row],[N° TAL. VACIOS]],"")</f>
        <v/>
      </c>
      <c r="AG296" s="55"/>
      <c r="AH296" s="55"/>
      <c r="AI296" s="55"/>
      <c r="AJ296" s="55"/>
      <c r="AK296" s="55"/>
      <c r="AL296" s="55"/>
      <c r="AM296" s="42"/>
      <c r="AN296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96" s="46" t="str">
        <f>+IF(BD_MO[[#This Row],[N° VALE]]&lt;&gt;"",IF(BD_MO[[#This Row],[FULMINANTE N° 08]]&lt;&gt;"",BD_MO[[#This Row],[FULMINANTE N° 08]],IF(BD_MO[[#This Row],[CARMEX 7'']]&lt;&gt;0,0,"")),"")</f>
        <v/>
      </c>
      <c r="AP296" s="24" t="str">
        <f>+IF(BD_MO[[#This Row],[N° VALE]]&lt;&gt;"",BD_MO[[#This Row],[N°  TOTAL TALADROS]]*BD_MO[[#This Row],[BARRA]]*0.95,"")</f>
        <v/>
      </c>
      <c r="AQ296" s="24" t="str">
        <f>+IF(BD_MO[[#This Row],[N° VALE]]&lt;&gt;"",BD_MO[[#This Row],[EMULNOR 1000 (N° CART.)]]*PE_EMUL_1000[PE],"")</f>
        <v/>
      </c>
      <c r="AR296" s="24" t="str">
        <f>+IF(BD_MO[[#This Row],[N° VALE]]&lt;&gt;"",BD_MO[[#This Row],[EMULNOR 3000 (N° CART.)]]*PE_EMUL_3000[PE],"")</f>
        <v/>
      </c>
      <c r="AS296" s="24" t="str">
        <f>+IF(BD_MO[[#This Row],[N° VALE]]&lt;&gt;"",BD_MO[[#This Row],[PULVERULENTA (N° CART.)]]*PE_PULV_65[PE],"")</f>
        <v/>
      </c>
      <c r="AT296" s="24" t="str">
        <f>+IF(BD_MO[[#This Row],[N° DISP]]&lt;&gt;"",BD_MO[[#This Row],[SEMIGELATINA (N° CART.)]]*PE_SEMIGEL_65[PE],"")</f>
        <v/>
      </c>
      <c r="AU296" s="24" t="str">
        <f>+IF(BD_MO[N° VALE]&lt;&gt;"",BD_MO[[#This Row],[KG EXPLO SEMIGEL]]+BD_MO[[#This Row],[KG EXPLO PULVE]]+BD_MO[[#This Row],[KG EXPLO EMULN 3000]]+BD_MO[[#This Row],[KG EXPLO EMULN 1000]],"")</f>
        <v/>
      </c>
      <c r="AV296" s="46"/>
      <c r="AW296" s="46">
        <v>6</v>
      </c>
      <c r="AX296" s="46" t="str">
        <f>+IF(BD_MO[[#This Row],[MINERAL (U-35)]]&lt;&gt;"",BD_MO[[#This Row],[MINERAL (U-35)]]*1.45,"-")</f>
        <v>-</v>
      </c>
      <c r="AY296" s="46">
        <f>+IF(BD_MO[[#This Row],[DESMONTE (U-35)]]&lt;&gt;"",BD_MO[[#This Row],[DESMONTE (U-35)]]*1.23,"-")</f>
        <v>7.38</v>
      </c>
      <c r="AZ296" s="46"/>
      <c r="BA296" s="46"/>
      <c r="BB296" s="46"/>
      <c r="BC296" s="46">
        <v>1</v>
      </c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2"/>
      <c r="BO296" s="46"/>
      <c r="BP296" s="46"/>
      <c r="BQ296" s="42"/>
      <c r="BR296" s="46"/>
      <c r="BS296" s="42"/>
      <c r="BT296" s="24">
        <v>6</v>
      </c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>
        <v>3</v>
      </c>
      <c r="CO296" s="46"/>
      <c r="CP296" s="24">
        <f>+IF(BD_MO[[#This Row],[FECHA]]&lt;&gt;"",BD_MO[[#This Row],[PUNTAL 4"]]+BD_MO[[#This Row],[PUNTAL 5"]]+BD_MO[[#This Row],[PUNTAL 6"]]+BD_MO[[#This Row],[PUNTAL 7"]]+BD_MO[[#This Row],[PUNTAL 8"]],"")</f>
        <v>3</v>
      </c>
      <c r="CQ296" s="46"/>
      <c r="CR296" s="46"/>
      <c r="CS296" s="46">
        <v>12</v>
      </c>
      <c r="CT296" s="46"/>
      <c r="CU296" s="46"/>
      <c r="CV296" s="46"/>
      <c r="CW296" s="46"/>
      <c r="CX296" s="46"/>
      <c r="CY296" s="24"/>
      <c r="CZ296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478.43700000000001</v>
      </c>
      <c r="DA296" s="24">
        <f>+IF(BD_MO[[#This Row],[FECHA]]&lt;&gt;"",BD_MO[[#This Row],[DURMIENTE2]]*6.561+BD_MO[[#This Row],[LISTONES]]*4.921+BD_MO[[#This Row],[TABLA 1"x8"x3m]]*6.561+BD_MO[[#This Row],[TABLA 2"x8"x3m]]*13.122,"")</f>
        <v>0</v>
      </c>
      <c r="DB296" s="24">
        <f>+IF(BD_MO[[#This Row],[FECHA]]&lt;&gt;"",BD_MO[[#This Row],[PIE2 MADERA ASERRADA]]*1.95,"")</f>
        <v>0</v>
      </c>
      <c r="DC296" s="24">
        <f>+IF(BD_MO[[#This Row],[FECHA]]&lt;&gt;"",BD_MO[[#This Row],[KG. MADERA REDONDA]]+BD_MO[[#This Row],[KG MADERA ASERRADA]],"")</f>
        <v>478.43700000000001</v>
      </c>
      <c r="DD296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200.88</v>
      </c>
      <c r="DE296" s="46"/>
      <c r="DF296" s="46"/>
      <c r="DG296" s="46"/>
      <c r="DH296" s="46"/>
      <c r="DI296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96" s="56"/>
      <c r="DK296" s="56"/>
      <c r="DL296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96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96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296" s="56" t="str">
        <f>+IF(BD_MO[[#This Row],[M o D]]&lt;&gt;"",IF(BD_MO[[#This Row],[M o D]]="M",BD_MO[[#This Row],[ROTURA TMH]]/2.65,BD_MO[[#This Row],[ROTURA TMH]]/2.4),"")</f>
        <v/>
      </c>
      <c r="DQ296" s="56"/>
      <c r="DR296" s="116" t="str">
        <f>IF(BD_MO[[#This Row],[TIPO AVANCE]]="Avance",((BD_MO[[#This Row],[AVANCE (m)]]/BD_MO[[#This Row],[AVANCE TEÓRICO]]))," ")</f>
        <v xml:space="preserve"> </v>
      </c>
      <c r="DS296" s="49"/>
      <c r="DT296" s="49"/>
      <c r="DU296" s="49"/>
      <c r="DV296" s="49"/>
      <c r="DW296" s="49"/>
      <c r="DX296" s="49"/>
      <c r="DY296" s="49"/>
      <c r="DZ296" s="49"/>
    </row>
    <row r="297" spans="1:130" ht="18" customHeight="1" x14ac:dyDescent="0.25">
      <c r="A297" s="92">
        <v>44668</v>
      </c>
      <c r="B297" s="40" t="s">
        <v>10655</v>
      </c>
      <c r="C297" s="40" t="s">
        <v>10680</v>
      </c>
      <c r="D297" s="61" t="s">
        <v>12116</v>
      </c>
      <c r="E297" s="42" t="str">
        <f>LEFT(BD_MO[[#This Row],[LABOR]],2)</f>
        <v>Cx</v>
      </c>
      <c r="F297" s="46"/>
      <c r="G297" s="46" t="s">
        <v>10669</v>
      </c>
      <c r="H297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97" s="42" t="str">
        <f>IF(BD_MO[FECHA]&lt;&gt;"",VLOOKUP(BD_MO[LABOR],TB_CECO[[LABOR]:[CECO_T]],3,FALSE),"")</f>
        <v>ESCONDIDA</v>
      </c>
      <c r="J297" s="42" t="str">
        <f>IF(BD_MO[FECHA]&lt;&gt;"",VLOOKUP(BD_MO[LABOR],D_CECO!B:H,7,FALSE),"")</f>
        <v>LINEAL</v>
      </c>
      <c r="K297" s="42" t="str">
        <f>IF(BD_MO[FECHA]&lt;&gt;"",VLOOKUP(BD_MO[LABOR],D_CECO!B:H,4,FALSE),"")</f>
        <v>EXPLOTACION</v>
      </c>
      <c r="L297" s="42"/>
      <c r="M297" s="48"/>
      <c r="N297" s="46"/>
      <c r="O297" s="93" t="s">
        <v>11911</v>
      </c>
      <c r="P297" s="93" t="s">
        <v>11913</v>
      </c>
      <c r="Q297" s="93"/>
      <c r="R297" s="45"/>
      <c r="S297" s="54" t="str">
        <f>IFERROR(VLOOKUP(BD_MO[DNI 4],#REF!,2,FALSE)," ")</f>
        <v xml:space="preserve"> </v>
      </c>
      <c r="T297" s="24">
        <f>+IF(BD_MO[[#This Row],[FECHA]]&lt;&gt;"",COUNTA(BD_MO[[#This Row],[DNI]],BD_MO[[#This Row],[DNI 2]],BD_MO[[#This Row],[DNI 3]],BD_MO[[#This Row],[DNI 4]]),"")</f>
        <v>2</v>
      </c>
      <c r="U297" s="24"/>
      <c r="V297" s="24"/>
      <c r="W297" s="24"/>
      <c r="X297" s="24">
        <v>2</v>
      </c>
      <c r="Y297" s="86">
        <f>SUM(BD_MO[[#This Row],[LIMP]:[SERV]])</f>
        <v>2</v>
      </c>
      <c r="Z297" s="46"/>
      <c r="AA297" s="46" t="str">
        <f>+IF(BD_MO[[#This Row],[N° VALE]]&lt;&gt;"",1,"")</f>
        <v/>
      </c>
      <c r="AB297" s="40"/>
      <c r="AC297" s="46"/>
      <c r="AD297" s="46" t="str">
        <f>+IF(BD_MO[[#This Row],[N° VALE]]&lt;&gt;"",BD_MO[[#This Row],[FULMINANTE N° 08]]+BD_MO[CARMEX 7''],"")</f>
        <v/>
      </c>
      <c r="AE297" s="46"/>
      <c r="AF297" s="46" t="str">
        <f>+IF(BD_MO[[#This Row],[N° VALE]]&lt;&gt;"",BD_MO[[#This Row],[N° TALADROS]]+BD_MO[[#This Row],[N° TAL. VACIOS]],"")</f>
        <v/>
      </c>
      <c r="AG297" s="55"/>
      <c r="AH297" s="55"/>
      <c r="AI297" s="55"/>
      <c r="AJ297" s="55"/>
      <c r="AK297" s="55"/>
      <c r="AL297" s="55"/>
      <c r="AM297" s="42"/>
      <c r="AN297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97" s="46" t="str">
        <f>+IF(BD_MO[[#This Row],[N° VALE]]&lt;&gt;"",IF(BD_MO[[#This Row],[FULMINANTE N° 08]]&lt;&gt;"",BD_MO[[#This Row],[FULMINANTE N° 08]],IF(BD_MO[[#This Row],[CARMEX 7'']]&lt;&gt;0,0,"")),"")</f>
        <v/>
      </c>
      <c r="AP297" s="24" t="str">
        <f>+IF(BD_MO[[#This Row],[N° VALE]]&lt;&gt;"",BD_MO[[#This Row],[N°  TOTAL TALADROS]]*BD_MO[[#This Row],[BARRA]]*0.95,"")</f>
        <v/>
      </c>
      <c r="AQ297" s="24" t="str">
        <f>+IF(BD_MO[[#This Row],[N° VALE]]&lt;&gt;"",BD_MO[[#This Row],[EMULNOR 1000 (N° CART.)]]*PE_EMUL_1000[PE],"")</f>
        <v/>
      </c>
      <c r="AR297" s="24" t="str">
        <f>+IF(BD_MO[[#This Row],[N° VALE]]&lt;&gt;"",BD_MO[[#This Row],[EMULNOR 3000 (N° CART.)]]*PE_EMUL_3000[PE],"")</f>
        <v/>
      </c>
      <c r="AS297" s="24" t="str">
        <f>+IF(BD_MO[[#This Row],[N° VALE]]&lt;&gt;"",BD_MO[[#This Row],[PULVERULENTA (N° CART.)]]*PE_PULV_65[PE],"")</f>
        <v/>
      </c>
      <c r="AT297" s="24" t="str">
        <f>+IF(BD_MO[[#This Row],[N° DISP]]&lt;&gt;"",BD_MO[[#This Row],[SEMIGELATINA (N° CART.)]]*PE_SEMIGEL_65[PE],"")</f>
        <v/>
      </c>
      <c r="AU297" s="24" t="str">
        <f>+IF(BD_MO[N° VALE]&lt;&gt;"",BD_MO[[#This Row],[KG EXPLO SEMIGEL]]+BD_MO[[#This Row],[KG EXPLO PULVE]]+BD_MO[[#This Row],[KG EXPLO EMULN 3000]]+BD_MO[[#This Row],[KG EXPLO EMULN 1000]],"")</f>
        <v/>
      </c>
      <c r="AV297" s="46"/>
      <c r="AW297" s="46">
        <v>1</v>
      </c>
      <c r="AX297" s="46" t="str">
        <f>+IF(BD_MO[[#This Row],[MINERAL (U-35)]]&lt;&gt;"",BD_MO[[#This Row],[MINERAL (U-35)]]*1.45,"-")</f>
        <v>-</v>
      </c>
      <c r="AY297" s="46">
        <f>+IF(BD_MO[[#This Row],[DESMONTE (U-35)]]&lt;&gt;"",BD_MO[[#This Row],[DESMONTE (U-35)]]*1.23,"-")</f>
        <v>1.23</v>
      </c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2"/>
      <c r="BO297" s="46"/>
      <c r="BP297" s="46"/>
      <c r="BQ297" s="42"/>
      <c r="BR297" s="46"/>
      <c r="BS297" s="42"/>
      <c r="BT297" s="24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>
        <v>7</v>
      </c>
      <c r="CP297" s="24">
        <f>+IF(BD_MO[[#This Row],[FECHA]]&lt;&gt;"",BD_MO[[#This Row],[PUNTAL 4"]]+BD_MO[[#This Row],[PUNTAL 5"]]+BD_MO[[#This Row],[PUNTAL 6"]]+BD_MO[[#This Row],[PUNTAL 7"]]+BD_MO[[#This Row],[PUNTAL 8"]],"")</f>
        <v>7</v>
      </c>
      <c r="CQ297" s="46"/>
      <c r="CR297" s="46"/>
      <c r="CS297" s="46"/>
      <c r="CT297" s="46"/>
      <c r="CU297" s="46"/>
      <c r="CV297" s="46"/>
      <c r="CW297" s="46"/>
      <c r="CX297" s="46">
        <v>2</v>
      </c>
      <c r="CY297" s="24"/>
      <c r="CZ297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558.43200000000002</v>
      </c>
      <c r="DA297" s="24">
        <f>+IF(BD_MO[[#This Row],[FECHA]]&lt;&gt;"",BD_MO[[#This Row],[DURMIENTE2]]*6.561+BD_MO[[#This Row],[LISTONES]]*4.921+BD_MO[[#This Row],[TABLA 1"x8"x3m]]*6.561+BD_MO[[#This Row],[TABLA 2"x8"x3m]]*13.122,"")</f>
        <v>26.244</v>
      </c>
      <c r="DB297" s="24">
        <f>+IF(BD_MO[[#This Row],[FECHA]]&lt;&gt;"",BD_MO[[#This Row],[PIE2 MADERA ASERRADA]]*1.95,"")</f>
        <v>51.175799999999995</v>
      </c>
      <c r="DC297" s="24">
        <f>+IF(BD_MO[[#This Row],[FECHA]]&lt;&gt;"",BD_MO[[#This Row],[KG. MADERA REDONDA]]+BD_MO[[#This Row],[KG MADERA ASERRADA]],"")</f>
        <v>609.6078</v>
      </c>
      <c r="DD297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155.04000000000002</v>
      </c>
      <c r="DE297" s="46"/>
      <c r="DF297" s="46"/>
      <c r="DG297" s="46"/>
      <c r="DH297" s="46"/>
      <c r="DI297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97" s="56"/>
      <c r="DK297" s="56"/>
      <c r="DL297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97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97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297" s="56" t="str">
        <f>+IF(BD_MO[[#This Row],[M o D]]&lt;&gt;"",IF(BD_MO[[#This Row],[M o D]]="M",BD_MO[[#This Row],[ROTURA TMH]]/2.65,BD_MO[[#This Row],[ROTURA TMH]]/2.4),"")</f>
        <v/>
      </c>
      <c r="DQ297" s="56"/>
      <c r="DR297" s="116" t="str">
        <f>IF(BD_MO[[#This Row],[TIPO AVANCE]]="Avance",((BD_MO[[#This Row],[AVANCE (m)]]/BD_MO[[#This Row],[AVANCE TEÓRICO]]))," ")</f>
        <v xml:space="preserve"> </v>
      </c>
      <c r="DS297" s="49"/>
      <c r="DT297" s="49"/>
      <c r="DU297" s="49"/>
      <c r="DV297" s="49"/>
      <c r="DW297" s="49"/>
      <c r="DX297" s="49"/>
      <c r="DY297" s="49"/>
      <c r="DZ297" s="49"/>
    </row>
    <row r="298" spans="1:130" ht="18" customHeight="1" x14ac:dyDescent="0.25">
      <c r="A298" s="92">
        <v>44668</v>
      </c>
      <c r="B298" s="40" t="s">
        <v>10655</v>
      </c>
      <c r="C298" s="40" t="s">
        <v>10680</v>
      </c>
      <c r="D298" s="61" t="s">
        <v>12149</v>
      </c>
      <c r="E298" s="42" t="str">
        <f>LEFT(BD_MO[[#This Row],[LABOR]],2)</f>
        <v>Es</v>
      </c>
      <c r="F298" s="46"/>
      <c r="G298" s="46" t="s">
        <v>10669</v>
      </c>
      <c r="H298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98" s="42" t="str">
        <f>IF(BD_MO[FECHA]&lt;&gt;"",VLOOKUP(BD_MO[LABOR],TB_CECO[[LABOR]:[CECO_T]],3,FALSE),"")</f>
        <v>VANESSA</v>
      </c>
      <c r="J298" s="42" t="str">
        <f>IF(BD_MO[FECHA]&lt;&gt;"",VLOOKUP(BD_MO[LABOR],D_CECO!B:H,7,FALSE),"")</f>
        <v>LINEAL</v>
      </c>
      <c r="K298" s="42" t="str">
        <f>IF(BD_MO[FECHA]&lt;&gt;"",VLOOKUP(BD_MO[LABOR],D_CECO!B:H,4,FALSE),"")</f>
        <v>EXPLORACION</v>
      </c>
      <c r="L298" s="42"/>
      <c r="M298" s="48"/>
      <c r="N298" s="46"/>
      <c r="O298" s="93" t="s">
        <v>12151</v>
      </c>
      <c r="P298" s="93"/>
      <c r="Q298" s="93"/>
      <c r="R298" s="45"/>
      <c r="S298" s="54" t="str">
        <f>IFERROR(VLOOKUP(BD_MO[DNI 4],#REF!,2,FALSE)," ")</f>
        <v xml:space="preserve"> </v>
      </c>
      <c r="T298" s="24">
        <f>+IF(BD_MO[[#This Row],[FECHA]]&lt;&gt;"",COUNTA(BD_MO[[#This Row],[DNI]],BD_MO[[#This Row],[DNI 2]],BD_MO[[#This Row],[DNI 3]],BD_MO[[#This Row],[DNI 4]]),"")</f>
        <v>1</v>
      </c>
      <c r="U298" s="24"/>
      <c r="V298" s="24"/>
      <c r="W298" s="24"/>
      <c r="X298" s="24">
        <v>1</v>
      </c>
      <c r="Y298" s="86">
        <f>SUM(BD_MO[[#This Row],[LIMP]:[SERV]])</f>
        <v>1</v>
      </c>
      <c r="Z298" s="46"/>
      <c r="AA298" s="46" t="str">
        <f>+IF(BD_MO[[#This Row],[N° VALE]]&lt;&gt;"",1,"")</f>
        <v/>
      </c>
      <c r="AB298" s="40"/>
      <c r="AC298" s="46"/>
      <c r="AD298" s="46" t="str">
        <f>+IF(BD_MO[[#This Row],[N° VALE]]&lt;&gt;"",BD_MO[[#This Row],[FULMINANTE N° 08]]+BD_MO[CARMEX 7''],"")</f>
        <v/>
      </c>
      <c r="AE298" s="46"/>
      <c r="AF298" s="46" t="str">
        <f>+IF(BD_MO[[#This Row],[N° VALE]]&lt;&gt;"",BD_MO[[#This Row],[N° TALADROS]]+BD_MO[[#This Row],[N° TAL. VACIOS]],"")</f>
        <v/>
      </c>
      <c r="AG298" s="55"/>
      <c r="AH298" s="55"/>
      <c r="AI298" s="55"/>
      <c r="AJ298" s="55"/>
      <c r="AK298" s="55"/>
      <c r="AL298" s="55"/>
      <c r="AM298" s="42"/>
      <c r="AN298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98" s="46" t="str">
        <f>+IF(BD_MO[[#This Row],[N° VALE]]&lt;&gt;"",IF(BD_MO[[#This Row],[FULMINANTE N° 08]]&lt;&gt;"",BD_MO[[#This Row],[FULMINANTE N° 08]],IF(BD_MO[[#This Row],[CARMEX 7'']]&lt;&gt;0,0,"")),"")</f>
        <v/>
      </c>
      <c r="AP298" s="24" t="str">
        <f>+IF(BD_MO[[#This Row],[N° VALE]]&lt;&gt;"",BD_MO[[#This Row],[N°  TOTAL TALADROS]]*BD_MO[[#This Row],[BARRA]]*0.95,"")</f>
        <v/>
      </c>
      <c r="AQ298" s="24" t="str">
        <f>+IF(BD_MO[[#This Row],[N° VALE]]&lt;&gt;"",BD_MO[[#This Row],[EMULNOR 1000 (N° CART.)]]*PE_EMUL_1000[PE],"")</f>
        <v/>
      </c>
      <c r="AR298" s="24" t="str">
        <f>+IF(BD_MO[[#This Row],[N° VALE]]&lt;&gt;"",BD_MO[[#This Row],[EMULNOR 3000 (N° CART.)]]*PE_EMUL_3000[PE],"")</f>
        <v/>
      </c>
      <c r="AS298" s="24" t="str">
        <f>+IF(BD_MO[[#This Row],[N° VALE]]&lt;&gt;"",BD_MO[[#This Row],[PULVERULENTA (N° CART.)]]*PE_PULV_65[PE],"")</f>
        <v/>
      </c>
      <c r="AT298" s="24" t="str">
        <f>+IF(BD_MO[[#This Row],[N° DISP]]&lt;&gt;"",BD_MO[[#This Row],[SEMIGELATINA (N° CART.)]]*PE_SEMIGEL_65[PE],"")</f>
        <v/>
      </c>
      <c r="AU298" s="24" t="str">
        <f>+IF(BD_MO[N° VALE]&lt;&gt;"",BD_MO[[#This Row],[KG EXPLO SEMIGEL]]+BD_MO[[#This Row],[KG EXPLO PULVE]]+BD_MO[[#This Row],[KG EXPLO EMULN 3000]]+BD_MO[[#This Row],[KG EXPLO EMULN 1000]],"")</f>
        <v/>
      </c>
      <c r="AV298" s="46"/>
      <c r="AW298" s="46"/>
      <c r="AX298" s="46" t="str">
        <f>+IF(BD_MO[[#This Row],[MINERAL (U-35)]]&lt;&gt;"",BD_MO[[#This Row],[MINERAL (U-35)]]*1.45,"-")</f>
        <v>-</v>
      </c>
      <c r="AY298" s="46" t="str">
        <f>+IF(BD_MO[[#This Row],[DESMONTE (U-35)]]&lt;&gt;"",BD_MO[[#This Row],[DESMONTE (U-35)]]*1.23,"-")</f>
        <v>-</v>
      </c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2"/>
      <c r="BO298" s="46"/>
      <c r="BP298" s="46"/>
      <c r="BQ298" s="42"/>
      <c r="BR298" s="46"/>
      <c r="BS298" s="42"/>
      <c r="BT298" s="24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24">
        <f>+IF(BD_MO[[#This Row],[FECHA]]&lt;&gt;"",BD_MO[[#This Row],[PUNTAL 4"]]+BD_MO[[#This Row],[PUNTAL 5"]]+BD_MO[[#This Row],[PUNTAL 6"]]+BD_MO[[#This Row],[PUNTAL 7"]]+BD_MO[[#This Row],[PUNTAL 8"]],"")</f>
        <v>0</v>
      </c>
      <c r="CQ298" s="46"/>
      <c r="CR298" s="46"/>
      <c r="CS298" s="46"/>
      <c r="CT298" s="46"/>
      <c r="CU298" s="46"/>
      <c r="CV298" s="46"/>
      <c r="CW298" s="46"/>
      <c r="CX298" s="46"/>
      <c r="CY298" s="24"/>
      <c r="CZ298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98" s="24">
        <f>+IF(BD_MO[[#This Row],[FECHA]]&lt;&gt;"",BD_MO[[#This Row],[DURMIENTE2]]*6.561+BD_MO[[#This Row],[LISTONES]]*4.921+BD_MO[[#This Row],[TABLA 1"x8"x3m]]*6.561+BD_MO[[#This Row],[TABLA 2"x8"x3m]]*13.122,"")</f>
        <v>0</v>
      </c>
      <c r="DB298" s="24">
        <f>+IF(BD_MO[[#This Row],[FECHA]]&lt;&gt;"",BD_MO[[#This Row],[PIE2 MADERA ASERRADA]]*1.95,"")</f>
        <v>0</v>
      </c>
      <c r="DC298" s="24">
        <f>+IF(BD_MO[[#This Row],[FECHA]]&lt;&gt;"",BD_MO[[#This Row],[KG. MADERA REDONDA]]+BD_MO[[#This Row],[KG MADERA ASERRADA]],"")</f>
        <v>0</v>
      </c>
      <c r="DD298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98" s="46"/>
      <c r="DF298" s="46"/>
      <c r="DG298" s="46"/>
      <c r="DH298" s="46"/>
      <c r="DI298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98" s="56"/>
      <c r="DK298" s="56"/>
      <c r="DL298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98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98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98" s="66"/>
      <c r="DP298" s="56" t="str">
        <f>+IF(BD_MO[[#This Row],[M o D]]&lt;&gt;"",IF(BD_MO[[#This Row],[M o D]]="M",BD_MO[[#This Row],[ROTURA TMH]]/2.65,BD_MO[[#This Row],[ROTURA TMH]]/2.4),"")</f>
        <v/>
      </c>
      <c r="DQ298" s="56"/>
      <c r="DR298" s="116" t="str">
        <f>IF(BD_MO[[#This Row],[TIPO AVANCE]]="Avance",((BD_MO[[#This Row],[AVANCE (m)]]/BD_MO[[#This Row],[AVANCE TEÓRICO]]))," ")</f>
        <v xml:space="preserve"> </v>
      </c>
      <c r="DS298" s="49"/>
      <c r="DT298" s="49"/>
      <c r="DU298" s="49"/>
      <c r="DV298" s="49"/>
      <c r="DW298" s="49"/>
      <c r="DX298" s="49"/>
      <c r="DY298" s="49"/>
      <c r="DZ298" s="49"/>
    </row>
    <row r="299" spans="1:130" ht="18" customHeight="1" x14ac:dyDescent="0.25">
      <c r="A299" s="92">
        <v>44668</v>
      </c>
      <c r="B299" s="40" t="s">
        <v>10655</v>
      </c>
      <c r="C299" s="40" t="s">
        <v>10680</v>
      </c>
      <c r="D299" s="61" t="s">
        <v>10952</v>
      </c>
      <c r="E299" s="42" t="str">
        <f>LEFT(BD_MO[[#This Row],[LABOR]],2)</f>
        <v>In</v>
      </c>
      <c r="F299" s="46"/>
      <c r="G299" s="46" t="s">
        <v>10669</v>
      </c>
      <c r="H299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299" s="42" t="str">
        <f>IF(BD_MO[FECHA]&lt;&gt;"",VLOOKUP(BD_MO[LABOR],TB_CECO[[LABOR]:[CECO_T]],3,FALSE),"")</f>
        <v>VANESSA</v>
      </c>
      <c r="J299" s="42" t="str">
        <f>IF(BD_MO[FECHA]&lt;&gt;"",VLOOKUP(BD_MO[LABOR],D_CECO!B:H,7,FALSE),"")</f>
        <v>LINEAL</v>
      </c>
      <c r="K299" s="42" t="str">
        <f>IF(BD_MO[FECHA]&lt;&gt;"",VLOOKUP(BD_MO[LABOR],D_CECO!B:H,4,FALSE),"")</f>
        <v>EXPLORACION</v>
      </c>
      <c r="L299" s="42"/>
      <c r="M299" s="48"/>
      <c r="N299" s="46"/>
      <c r="O299" s="93" t="s">
        <v>11925</v>
      </c>
      <c r="P299" s="93" t="s">
        <v>11906</v>
      </c>
      <c r="Q299" s="93"/>
      <c r="R299" s="45"/>
      <c r="S299" s="54" t="str">
        <f>IFERROR(VLOOKUP(BD_MO[DNI 4],#REF!,2,FALSE)," ")</f>
        <v xml:space="preserve"> </v>
      </c>
      <c r="T299" s="24">
        <f>+IF(BD_MO[[#This Row],[FECHA]]&lt;&gt;"",COUNTA(BD_MO[[#This Row],[DNI]],BD_MO[[#This Row],[DNI 2]],BD_MO[[#This Row],[DNI 3]],BD_MO[[#This Row],[DNI 4]]),"")</f>
        <v>2</v>
      </c>
      <c r="U299" s="24"/>
      <c r="V299" s="24"/>
      <c r="W299" s="24"/>
      <c r="X299" s="24">
        <v>2</v>
      </c>
      <c r="Y299" s="86">
        <f>SUM(BD_MO[[#This Row],[LIMP]:[SERV]])</f>
        <v>2</v>
      </c>
      <c r="Z299" s="46"/>
      <c r="AA299" s="46" t="str">
        <f>+IF(BD_MO[[#This Row],[N° VALE]]&lt;&gt;"",1,"")</f>
        <v/>
      </c>
      <c r="AB299" s="40"/>
      <c r="AC299" s="46"/>
      <c r="AD299" s="46" t="str">
        <f>+IF(BD_MO[[#This Row],[N° VALE]]&lt;&gt;"",BD_MO[[#This Row],[FULMINANTE N° 08]]+BD_MO[CARMEX 7''],"")</f>
        <v/>
      </c>
      <c r="AE299" s="46"/>
      <c r="AF299" s="46" t="str">
        <f>+IF(BD_MO[[#This Row],[N° VALE]]&lt;&gt;"",BD_MO[[#This Row],[N° TALADROS]]+BD_MO[[#This Row],[N° TAL. VACIOS]],"")</f>
        <v/>
      </c>
      <c r="AG299" s="55"/>
      <c r="AH299" s="55"/>
      <c r="AI299" s="55"/>
      <c r="AJ299" s="55"/>
      <c r="AK299" s="55"/>
      <c r="AL299" s="55"/>
      <c r="AM299" s="42"/>
      <c r="AN299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299" s="46" t="str">
        <f>+IF(BD_MO[[#This Row],[N° VALE]]&lt;&gt;"",IF(BD_MO[[#This Row],[FULMINANTE N° 08]]&lt;&gt;"",BD_MO[[#This Row],[FULMINANTE N° 08]],IF(BD_MO[[#This Row],[CARMEX 7'']]&lt;&gt;0,0,"")),"")</f>
        <v/>
      </c>
      <c r="AP299" s="24" t="str">
        <f>+IF(BD_MO[[#This Row],[N° VALE]]&lt;&gt;"",BD_MO[[#This Row],[N°  TOTAL TALADROS]]*BD_MO[[#This Row],[BARRA]]*0.95,"")</f>
        <v/>
      </c>
      <c r="AQ299" s="24" t="str">
        <f>+IF(BD_MO[[#This Row],[N° VALE]]&lt;&gt;"",BD_MO[[#This Row],[EMULNOR 1000 (N° CART.)]]*PE_EMUL_1000[PE],"")</f>
        <v/>
      </c>
      <c r="AR299" s="24" t="str">
        <f>+IF(BD_MO[[#This Row],[N° VALE]]&lt;&gt;"",BD_MO[[#This Row],[EMULNOR 3000 (N° CART.)]]*PE_EMUL_3000[PE],"")</f>
        <v/>
      </c>
      <c r="AS299" s="24" t="str">
        <f>+IF(BD_MO[[#This Row],[N° VALE]]&lt;&gt;"",BD_MO[[#This Row],[PULVERULENTA (N° CART.)]]*PE_PULV_65[PE],"")</f>
        <v/>
      </c>
      <c r="AT299" s="24" t="str">
        <f>+IF(BD_MO[[#This Row],[N° DISP]]&lt;&gt;"",BD_MO[[#This Row],[SEMIGELATINA (N° CART.)]]*PE_SEMIGEL_65[PE],"")</f>
        <v/>
      </c>
      <c r="AU299" s="24" t="str">
        <f>+IF(BD_MO[N° VALE]&lt;&gt;"",BD_MO[[#This Row],[KG EXPLO SEMIGEL]]+BD_MO[[#This Row],[KG EXPLO PULVE]]+BD_MO[[#This Row],[KG EXPLO EMULN 3000]]+BD_MO[[#This Row],[KG EXPLO EMULN 1000]],"")</f>
        <v/>
      </c>
      <c r="AV299" s="46"/>
      <c r="AW299" s="46"/>
      <c r="AX299" s="46" t="str">
        <f>+IF(BD_MO[[#This Row],[MINERAL (U-35)]]&lt;&gt;"",BD_MO[[#This Row],[MINERAL (U-35)]]*1.45,"-")</f>
        <v>-</v>
      </c>
      <c r="AY299" s="46" t="str">
        <f>+IF(BD_MO[[#This Row],[DESMONTE (U-35)]]&lt;&gt;"",BD_MO[[#This Row],[DESMONTE (U-35)]]*1.23,"-")</f>
        <v>-</v>
      </c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2"/>
      <c r="BO299" s="46"/>
      <c r="BP299" s="46"/>
      <c r="BQ299" s="42"/>
      <c r="BR299" s="46"/>
      <c r="BS299" s="42"/>
      <c r="BT299" s="24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24">
        <f>+IF(BD_MO[[#This Row],[FECHA]]&lt;&gt;"",BD_MO[[#This Row],[PUNTAL 4"]]+BD_MO[[#This Row],[PUNTAL 5"]]+BD_MO[[#This Row],[PUNTAL 6"]]+BD_MO[[#This Row],[PUNTAL 7"]]+BD_MO[[#This Row],[PUNTAL 8"]],"")</f>
        <v>0</v>
      </c>
      <c r="CQ299" s="46"/>
      <c r="CR299" s="46"/>
      <c r="CS299" s="46"/>
      <c r="CT299" s="46"/>
      <c r="CU299" s="46"/>
      <c r="CV299" s="46"/>
      <c r="CW299" s="46"/>
      <c r="CX299" s="46"/>
      <c r="CY299" s="24"/>
      <c r="CZ299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299" s="24">
        <f>+IF(BD_MO[[#This Row],[FECHA]]&lt;&gt;"",BD_MO[[#This Row],[DURMIENTE2]]*6.561+BD_MO[[#This Row],[LISTONES]]*4.921+BD_MO[[#This Row],[TABLA 1"x8"x3m]]*6.561+BD_MO[[#This Row],[TABLA 2"x8"x3m]]*13.122,"")</f>
        <v>0</v>
      </c>
      <c r="DB299" s="24">
        <f>+IF(BD_MO[[#This Row],[FECHA]]&lt;&gt;"",BD_MO[[#This Row],[PIE2 MADERA ASERRADA]]*1.95,"")</f>
        <v>0</v>
      </c>
      <c r="DC299" s="24">
        <f>+IF(BD_MO[[#This Row],[FECHA]]&lt;&gt;"",BD_MO[[#This Row],[KG. MADERA REDONDA]]+BD_MO[[#This Row],[KG MADERA ASERRADA]],"")</f>
        <v>0</v>
      </c>
      <c r="DD299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299" s="46"/>
      <c r="DF299" s="46"/>
      <c r="DG299" s="46" t="s">
        <v>12239</v>
      </c>
      <c r="DH299" s="46">
        <v>6</v>
      </c>
      <c r="DI299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299" s="56"/>
      <c r="DK299" s="56"/>
      <c r="DL299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299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299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299" s="66"/>
      <c r="DP299" s="56" t="str">
        <f>+IF(BD_MO[[#This Row],[M o D]]&lt;&gt;"",IF(BD_MO[[#This Row],[M o D]]="M",BD_MO[[#This Row],[ROTURA TMH]]/2.65,BD_MO[[#This Row],[ROTURA TMH]]/2.4),"")</f>
        <v/>
      </c>
      <c r="DQ299" s="56"/>
      <c r="DR299" s="116" t="str">
        <f>IF(BD_MO[[#This Row],[TIPO AVANCE]]="Avance",((BD_MO[[#This Row],[AVANCE (m)]]/BD_MO[[#This Row],[AVANCE TEÓRICO]]))," ")</f>
        <v xml:space="preserve"> </v>
      </c>
      <c r="DS299" s="49"/>
      <c r="DT299" s="49"/>
      <c r="DU299" s="49"/>
      <c r="DV299" s="49"/>
      <c r="DW299" s="49"/>
      <c r="DX299" s="49"/>
      <c r="DY299" s="49"/>
      <c r="DZ299" s="49"/>
    </row>
    <row r="300" spans="1:130" ht="18" customHeight="1" x14ac:dyDescent="0.25">
      <c r="A300" s="92">
        <v>44668</v>
      </c>
      <c r="B300" s="40" t="s">
        <v>10655</v>
      </c>
      <c r="C300" s="40" t="s">
        <v>10680</v>
      </c>
      <c r="D300" s="61" t="s">
        <v>11872</v>
      </c>
      <c r="E300" s="42" t="str">
        <f>LEFT(BD_MO[[#This Row],[LABOR]],2)</f>
        <v>PQ</v>
      </c>
      <c r="F300" s="46"/>
      <c r="G300" s="46" t="s">
        <v>10669</v>
      </c>
      <c r="H300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00" s="42" t="str">
        <f>IF(BD_MO[FECHA]&lt;&gt;"",VLOOKUP(BD_MO[LABOR],TB_CECO[[LABOR]:[CECO_T]],3,FALSE),"")</f>
        <v>ANDREA</v>
      </c>
      <c r="J300" s="42" t="str">
        <f>IF(BD_MO[FECHA]&lt;&gt;"",VLOOKUP(BD_MO[LABOR],D_CECO!B:H,7,FALSE),"")</f>
        <v>LINEAL</v>
      </c>
      <c r="K300" s="42" t="str">
        <f>IF(BD_MO[FECHA]&lt;&gt;"",VLOOKUP(BD_MO[LABOR],D_CECO!B:H,4,FALSE),"")</f>
        <v>EXPLOTACION</v>
      </c>
      <c r="L300" s="42"/>
      <c r="M300" s="48"/>
      <c r="N300" s="46"/>
      <c r="O300" s="93" t="s">
        <v>11908</v>
      </c>
      <c r="P300" s="93" t="s">
        <v>12171</v>
      </c>
      <c r="Q300" s="93" t="s">
        <v>12211</v>
      </c>
      <c r="R300" s="45"/>
      <c r="S300" s="54" t="str">
        <f>IFERROR(VLOOKUP(BD_MO[DNI 4],#REF!,2,FALSE)," ")</f>
        <v xml:space="preserve"> </v>
      </c>
      <c r="T300" s="24">
        <f>+IF(BD_MO[[#This Row],[FECHA]]&lt;&gt;"",COUNTA(BD_MO[[#This Row],[DNI]],BD_MO[[#This Row],[DNI 2]],BD_MO[[#This Row],[DNI 3]],BD_MO[[#This Row],[DNI 4]]),"")</f>
        <v>3</v>
      </c>
      <c r="U300" s="24"/>
      <c r="V300" s="24"/>
      <c r="W300" s="24"/>
      <c r="X300" s="24">
        <v>3</v>
      </c>
      <c r="Y300" s="86">
        <f>SUM(BD_MO[[#This Row],[LIMP]:[SERV]])</f>
        <v>3</v>
      </c>
      <c r="Z300" s="46"/>
      <c r="AA300" s="46" t="str">
        <f>+IF(BD_MO[[#This Row],[N° VALE]]&lt;&gt;"",1,"")</f>
        <v/>
      </c>
      <c r="AB300" s="40"/>
      <c r="AC300" s="46"/>
      <c r="AD300" s="46" t="str">
        <f>+IF(BD_MO[[#This Row],[N° VALE]]&lt;&gt;"",BD_MO[[#This Row],[FULMINANTE N° 08]]+BD_MO[CARMEX 7''],"")</f>
        <v/>
      </c>
      <c r="AE300" s="46"/>
      <c r="AF300" s="46" t="str">
        <f>+IF(BD_MO[[#This Row],[N° VALE]]&lt;&gt;"",BD_MO[[#This Row],[N° TALADROS]]+BD_MO[[#This Row],[N° TAL. VACIOS]],"")</f>
        <v/>
      </c>
      <c r="AG300" s="55"/>
      <c r="AH300" s="55"/>
      <c r="AI300" s="55"/>
      <c r="AJ300" s="55"/>
      <c r="AK300" s="55"/>
      <c r="AL300" s="55"/>
      <c r="AM300" s="42"/>
      <c r="AN300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00" s="46" t="str">
        <f>+IF(BD_MO[[#This Row],[N° VALE]]&lt;&gt;"",IF(BD_MO[[#This Row],[FULMINANTE N° 08]]&lt;&gt;"",BD_MO[[#This Row],[FULMINANTE N° 08]],IF(BD_MO[[#This Row],[CARMEX 7'']]&lt;&gt;0,0,"")),"")</f>
        <v/>
      </c>
      <c r="AP300" s="24" t="str">
        <f>+IF(BD_MO[[#This Row],[N° VALE]]&lt;&gt;"",BD_MO[[#This Row],[N°  TOTAL TALADROS]]*BD_MO[[#This Row],[BARRA]]*0.95,"")</f>
        <v/>
      </c>
      <c r="AQ300" s="24" t="str">
        <f>+IF(BD_MO[[#This Row],[N° VALE]]&lt;&gt;"",BD_MO[[#This Row],[EMULNOR 1000 (N° CART.)]]*PE_EMUL_1000[PE],"")</f>
        <v/>
      </c>
      <c r="AR300" s="24" t="str">
        <f>+IF(BD_MO[[#This Row],[N° VALE]]&lt;&gt;"",BD_MO[[#This Row],[EMULNOR 3000 (N° CART.)]]*PE_EMUL_3000[PE],"")</f>
        <v/>
      </c>
      <c r="AS300" s="24" t="str">
        <f>+IF(BD_MO[[#This Row],[N° VALE]]&lt;&gt;"",BD_MO[[#This Row],[PULVERULENTA (N° CART.)]]*PE_PULV_65[PE],"")</f>
        <v/>
      </c>
      <c r="AT300" s="24" t="str">
        <f>+IF(BD_MO[[#This Row],[N° DISP]]&lt;&gt;"",BD_MO[[#This Row],[SEMIGELATINA (N° CART.)]]*PE_SEMIGEL_65[PE],"")</f>
        <v/>
      </c>
      <c r="AU300" s="24" t="str">
        <f>+IF(BD_MO[N° VALE]&lt;&gt;"",BD_MO[[#This Row],[KG EXPLO SEMIGEL]]+BD_MO[[#This Row],[KG EXPLO PULVE]]+BD_MO[[#This Row],[KG EXPLO EMULN 3000]]+BD_MO[[#This Row],[KG EXPLO EMULN 1000]],"")</f>
        <v/>
      </c>
      <c r="AV300" s="46"/>
      <c r="AW300" s="46"/>
      <c r="AX300" s="46" t="str">
        <f>+IF(BD_MO[[#This Row],[MINERAL (U-35)]]&lt;&gt;"",BD_MO[[#This Row],[MINERAL (U-35)]]*1.45,"-")</f>
        <v>-</v>
      </c>
      <c r="AY300" s="46" t="str">
        <f>+IF(BD_MO[[#This Row],[DESMONTE (U-35)]]&lt;&gt;"",BD_MO[[#This Row],[DESMONTE (U-35)]]*1.23,"-")</f>
        <v>-</v>
      </c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2"/>
      <c r="BO300" s="46"/>
      <c r="BP300" s="46"/>
      <c r="BQ300" s="42"/>
      <c r="BR300" s="46"/>
      <c r="BS300" s="42"/>
      <c r="BT300" s="24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24">
        <f>+IF(BD_MO[[#This Row],[FECHA]]&lt;&gt;"",BD_MO[[#This Row],[PUNTAL 4"]]+BD_MO[[#This Row],[PUNTAL 5"]]+BD_MO[[#This Row],[PUNTAL 6"]]+BD_MO[[#This Row],[PUNTAL 7"]]+BD_MO[[#This Row],[PUNTAL 8"]],"")</f>
        <v>0</v>
      </c>
      <c r="CQ300" s="46"/>
      <c r="CR300" s="46"/>
      <c r="CS300" s="46"/>
      <c r="CT300" s="46"/>
      <c r="CU300" s="46"/>
      <c r="CV300" s="46"/>
      <c r="CW300" s="46"/>
      <c r="CX300" s="46"/>
      <c r="CY300" s="24"/>
      <c r="CZ300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00" s="24">
        <f>+IF(BD_MO[[#This Row],[FECHA]]&lt;&gt;"",BD_MO[[#This Row],[DURMIENTE2]]*6.561+BD_MO[[#This Row],[LISTONES]]*4.921+BD_MO[[#This Row],[TABLA 1"x8"x3m]]*6.561+BD_MO[[#This Row],[TABLA 2"x8"x3m]]*13.122,"")</f>
        <v>0</v>
      </c>
      <c r="DB300" s="24">
        <f>+IF(BD_MO[[#This Row],[FECHA]]&lt;&gt;"",BD_MO[[#This Row],[PIE2 MADERA ASERRADA]]*1.95,"")</f>
        <v>0</v>
      </c>
      <c r="DC300" s="24">
        <f>+IF(BD_MO[[#This Row],[FECHA]]&lt;&gt;"",BD_MO[[#This Row],[KG. MADERA REDONDA]]+BD_MO[[#This Row],[KG MADERA ASERRADA]],"")</f>
        <v>0</v>
      </c>
      <c r="DD300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00" s="46"/>
      <c r="DF300" s="46"/>
      <c r="DG300" s="46" t="s">
        <v>12238</v>
      </c>
      <c r="DH300" s="46">
        <v>4</v>
      </c>
      <c r="DI300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00" s="56"/>
      <c r="DK300" s="56"/>
      <c r="DL300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00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00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00" s="66"/>
      <c r="DP300" s="56" t="str">
        <f>+IF(BD_MO[[#This Row],[M o D]]&lt;&gt;"",IF(BD_MO[[#This Row],[M o D]]="M",BD_MO[[#This Row],[ROTURA TMH]]/2.65,BD_MO[[#This Row],[ROTURA TMH]]/2.4),"")</f>
        <v/>
      </c>
      <c r="DQ300" s="56"/>
      <c r="DR300" s="116" t="str">
        <f>IF(BD_MO[[#This Row],[TIPO AVANCE]]="Avance",((BD_MO[[#This Row],[AVANCE (m)]]/BD_MO[[#This Row],[AVANCE TEÓRICO]]))," ")</f>
        <v xml:space="preserve"> </v>
      </c>
      <c r="DS300" s="49"/>
      <c r="DT300" s="49"/>
      <c r="DU300" s="49"/>
      <c r="DV300" s="49"/>
      <c r="DW300" s="49"/>
      <c r="DX300" s="49"/>
      <c r="DY300" s="49"/>
      <c r="DZ300" s="49"/>
    </row>
    <row r="301" spans="1:130" ht="18" customHeight="1" x14ac:dyDescent="0.25">
      <c r="A301" s="92">
        <v>44668</v>
      </c>
      <c r="B301" s="40" t="s">
        <v>10655</v>
      </c>
      <c r="C301" s="40" t="s">
        <v>10680</v>
      </c>
      <c r="D301" s="61" t="s">
        <v>10954</v>
      </c>
      <c r="E301" s="42" t="str">
        <f>LEFT(BD_MO[[#This Row],[LABOR]],2)</f>
        <v>MO</v>
      </c>
      <c r="F301" s="46"/>
      <c r="G301" s="46" t="s">
        <v>10669</v>
      </c>
      <c r="H301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01" s="42" t="str">
        <f>IF(BD_MO[FECHA]&lt;&gt;"",VLOOKUP(BD_MO[LABOR],TB_CECO[[LABOR]:[CECO_T]],3,FALSE),"")</f>
        <v>INCA</v>
      </c>
      <c r="J301" s="42" t="str">
        <f>IF(BD_MO[FECHA]&lt;&gt;"",VLOOKUP(BD_MO[LABOR],D_CECO!B:H,7,FALSE),"")</f>
        <v>SERVICIOS</v>
      </c>
      <c r="K301" s="42" t="str">
        <f>IF(BD_MO[FECHA]&lt;&gt;"",VLOOKUP(BD_MO[LABOR],D_CECO!B:H,4,FALSE),"")</f>
        <v>SERVICIOS</v>
      </c>
      <c r="L301" s="42"/>
      <c r="M301" s="48"/>
      <c r="N301" s="46"/>
      <c r="O301" s="93" t="s">
        <v>12117</v>
      </c>
      <c r="P301" s="93" t="s">
        <v>11907</v>
      </c>
      <c r="Q301" s="93"/>
      <c r="R301" s="45"/>
      <c r="S301" s="54" t="str">
        <f>IFERROR(VLOOKUP(BD_MO[DNI 4],#REF!,2,FALSE)," ")</f>
        <v xml:space="preserve"> </v>
      </c>
      <c r="T301" s="24">
        <f>+IF(BD_MO[[#This Row],[FECHA]]&lt;&gt;"",COUNTA(BD_MO[[#This Row],[DNI]],BD_MO[[#This Row],[DNI 2]],BD_MO[[#This Row],[DNI 3]],BD_MO[[#This Row],[DNI 4]]),"")</f>
        <v>2</v>
      </c>
      <c r="U301" s="24"/>
      <c r="V301" s="24"/>
      <c r="W301" s="24"/>
      <c r="X301" s="24">
        <v>2</v>
      </c>
      <c r="Y301" s="86">
        <f>SUM(BD_MO[[#This Row],[LIMP]:[SERV]])</f>
        <v>2</v>
      </c>
      <c r="Z301" s="46"/>
      <c r="AA301" s="46" t="str">
        <f>+IF(BD_MO[[#This Row],[N° VALE]]&lt;&gt;"",1,"")</f>
        <v/>
      </c>
      <c r="AB301" s="40"/>
      <c r="AC301" s="46"/>
      <c r="AD301" s="46" t="str">
        <f>+IF(BD_MO[[#This Row],[N° VALE]]&lt;&gt;"",BD_MO[[#This Row],[FULMINANTE N° 08]]+BD_MO[CARMEX 7''],"")</f>
        <v/>
      </c>
      <c r="AE301" s="46"/>
      <c r="AF301" s="46" t="str">
        <f>+IF(BD_MO[[#This Row],[N° VALE]]&lt;&gt;"",BD_MO[[#This Row],[N° TALADROS]]+BD_MO[[#This Row],[N° TAL. VACIOS]],"")</f>
        <v/>
      </c>
      <c r="AG301" s="55"/>
      <c r="AH301" s="55"/>
      <c r="AI301" s="55"/>
      <c r="AJ301" s="55"/>
      <c r="AK301" s="55"/>
      <c r="AL301" s="55"/>
      <c r="AM301" s="42"/>
      <c r="AN301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01" s="46" t="str">
        <f>+IF(BD_MO[[#This Row],[N° VALE]]&lt;&gt;"",IF(BD_MO[[#This Row],[FULMINANTE N° 08]]&lt;&gt;"",BD_MO[[#This Row],[FULMINANTE N° 08]],IF(BD_MO[[#This Row],[CARMEX 7'']]&lt;&gt;0,0,"")),"")</f>
        <v/>
      </c>
      <c r="AP301" s="24" t="str">
        <f>+IF(BD_MO[[#This Row],[N° VALE]]&lt;&gt;"",BD_MO[[#This Row],[N°  TOTAL TALADROS]]*BD_MO[[#This Row],[BARRA]]*0.95,"")</f>
        <v/>
      </c>
      <c r="AQ301" s="24" t="str">
        <f>+IF(BD_MO[[#This Row],[N° VALE]]&lt;&gt;"",BD_MO[[#This Row],[EMULNOR 1000 (N° CART.)]]*PE_EMUL_1000[PE],"")</f>
        <v/>
      </c>
      <c r="AR301" s="24" t="str">
        <f>+IF(BD_MO[[#This Row],[N° VALE]]&lt;&gt;"",BD_MO[[#This Row],[EMULNOR 3000 (N° CART.)]]*PE_EMUL_3000[PE],"")</f>
        <v/>
      </c>
      <c r="AS301" s="24" t="str">
        <f>+IF(BD_MO[[#This Row],[N° VALE]]&lt;&gt;"",BD_MO[[#This Row],[PULVERULENTA (N° CART.)]]*PE_PULV_65[PE],"")</f>
        <v/>
      </c>
      <c r="AT301" s="24" t="str">
        <f>+IF(BD_MO[[#This Row],[N° DISP]]&lt;&gt;"",BD_MO[[#This Row],[SEMIGELATINA (N° CART.)]]*PE_SEMIGEL_65[PE],"")</f>
        <v/>
      </c>
      <c r="AU301" s="24" t="str">
        <f>+IF(BD_MO[N° VALE]&lt;&gt;"",BD_MO[[#This Row],[KG EXPLO SEMIGEL]]+BD_MO[[#This Row],[KG EXPLO PULVE]]+BD_MO[[#This Row],[KG EXPLO EMULN 3000]]+BD_MO[[#This Row],[KG EXPLO EMULN 1000]],"")</f>
        <v/>
      </c>
      <c r="AV301" s="46"/>
      <c r="AW301" s="46"/>
      <c r="AX301" s="46" t="str">
        <f>+IF(BD_MO[[#This Row],[MINERAL (U-35)]]&lt;&gt;"",BD_MO[[#This Row],[MINERAL (U-35)]]*1.45,"-")</f>
        <v>-</v>
      </c>
      <c r="AY301" s="46" t="str">
        <f>+IF(BD_MO[[#This Row],[DESMONTE (U-35)]]&lt;&gt;"",BD_MO[[#This Row],[DESMONTE (U-35)]]*1.23,"-")</f>
        <v>-</v>
      </c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2"/>
      <c r="BO301" s="46"/>
      <c r="BP301" s="46"/>
      <c r="BQ301" s="42"/>
      <c r="BR301" s="46"/>
      <c r="BS301" s="42"/>
      <c r="BT301" s="24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24">
        <f>+IF(BD_MO[[#This Row],[FECHA]]&lt;&gt;"",BD_MO[[#This Row],[PUNTAL 4"]]+BD_MO[[#This Row],[PUNTAL 5"]]+BD_MO[[#This Row],[PUNTAL 6"]]+BD_MO[[#This Row],[PUNTAL 7"]]+BD_MO[[#This Row],[PUNTAL 8"]],"")</f>
        <v>0</v>
      </c>
      <c r="CQ301" s="46"/>
      <c r="CR301" s="46"/>
      <c r="CS301" s="46"/>
      <c r="CT301" s="46"/>
      <c r="CU301" s="46"/>
      <c r="CV301" s="46"/>
      <c r="CW301" s="46"/>
      <c r="CX301" s="46"/>
      <c r="CY301" s="24"/>
      <c r="CZ301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01" s="24">
        <f>+IF(BD_MO[[#This Row],[FECHA]]&lt;&gt;"",BD_MO[[#This Row],[DURMIENTE2]]*6.561+BD_MO[[#This Row],[LISTONES]]*4.921+BD_MO[[#This Row],[TABLA 1"x8"x3m]]*6.561+BD_MO[[#This Row],[TABLA 2"x8"x3m]]*13.122,"")</f>
        <v>0</v>
      </c>
      <c r="DB301" s="24">
        <f>+IF(BD_MO[[#This Row],[FECHA]]&lt;&gt;"",BD_MO[[#This Row],[PIE2 MADERA ASERRADA]]*1.95,"")</f>
        <v>0</v>
      </c>
      <c r="DC301" s="24">
        <f>+IF(BD_MO[[#This Row],[FECHA]]&lt;&gt;"",BD_MO[[#This Row],[KG. MADERA REDONDA]]+BD_MO[[#This Row],[KG MADERA ASERRADA]],"")</f>
        <v>0</v>
      </c>
      <c r="DD301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01" s="46"/>
      <c r="DF301" s="46"/>
      <c r="DG301" s="46"/>
      <c r="DH301" s="46"/>
      <c r="DI301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01" s="56"/>
      <c r="DK301" s="56"/>
      <c r="DL301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01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01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01" s="66"/>
      <c r="DP301" s="56" t="str">
        <f>+IF(BD_MO[[#This Row],[M o D]]&lt;&gt;"",IF(BD_MO[[#This Row],[M o D]]="M",BD_MO[[#This Row],[ROTURA TMH]]/2.65,BD_MO[[#This Row],[ROTURA TMH]]/2.4),"")</f>
        <v/>
      </c>
      <c r="DQ301" s="56"/>
      <c r="DR301" s="116" t="str">
        <f>IF(BD_MO[[#This Row],[TIPO AVANCE]]="Avance",((BD_MO[[#This Row],[AVANCE (m)]]/BD_MO[[#This Row],[AVANCE TEÓRICO]]))," ")</f>
        <v xml:space="preserve"> </v>
      </c>
      <c r="DS301" s="49"/>
      <c r="DT301" s="49"/>
      <c r="DU301" s="49"/>
      <c r="DV301" s="49"/>
      <c r="DW301" s="49"/>
      <c r="DX301" s="49"/>
      <c r="DY301" s="49"/>
      <c r="DZ301" s="49"/>
    </row>
    <row r="302" spans="1:130" s="115" customFormat="1" ht="18" customHeight="1" thickBot="1" x14ac:dyDescent="0.3">
      <c r="A302" s="130">
        <v>44668</v>
      </c>
      <c r="B302" s="117" t="s">
        <v>10655</v>
      </c>
      <c r="C302" s="117" t="s">
        <v>10680</v>
      </c>
      <c r="D302" s="118" t="s">
        <v>10717</v>
      </c>
      <c r="E302" s="119" t="str">
        <f>LEFT(BD_MO[[#This Row],[LABOR]],2)</f>
        <v>BO</v>
      </c>
      <c r="F302" s="120"/>
      <c r="G302" s="120" t="s">
        <v>10669</v>
      </c>
      <c r="H302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02" s="119" t="str">
        <f>IF(BD_MO[FECHA]&lt;&gt;"",VLOOKUP(BD_MO[LABOR],TB_CECO[[LABOR]:[CECO_T]],3,FALSE),"")</f>
        <v>CACHORRO</v>
      </c>
      <c r="J302" s="119" t="str">
        <f>IF(BD_MO[FECHA]&lt;&gt;"",VLOOKUP(BD_MO[LABOR],D_CECO!B:H,7,FALSE),"")</f>
        <v>SERVICIOS</v>
      </c>
      <c r="K302" s="119" t="str">
        <f>IF(BD_MO[FECHA]&lt;&gt;"",VLOOKUP(BD_MO[LABOR],D_CECO!B:H,4,FALSE),"")</f>
        <v>SERVICIOS</v>
      </c>
      <c r="L302" s="119"/>
      <c r="M302" s="117"/>
      <c r="N302" s="120"/>
      <c r="O302" s="121" t="s">
        <v>12300</v>
      </c>
      <c r="P302" s="121"/>
      <c r="Q302" s="121"/>
      <c r="R302" s="122"/>
      <c r="S302" s="123" t="str">
        <f>IFERROR(VLOOKUP(BD_MO[DNI 4],#REF!,2,FALSE)," ")</f>
        <v xml:space="preserve"> </v>
      </c>
      <c r="T302" s="124">
        <f>+IF(BD_MO[[#This Row],[FECHA]]&lt;&gt;"",COUNTA(BD_MO[[#This Row],[DNI]],BD_MO[[#This Row],[DNI 2]],BD_MO[[#This Row],[DNI 3]],BD_MO[[#This Row],[DNI 4]]),"")</f>
        <v>1</v>
      </c>
      <c r="U302" s="124"/>
      <c r="V302" s="124"/>
      <c r="W302" s="124"/>
      <c r="X302" s="124">
        <v>1</v>
      </c>
      <c r="Y302" s="125">
        <f>SUM(BD_MO[[#This Row],[LIMP]:[SERV]])</f>
        <v>1</v>
      </c>
      <c r="Z302" s="120"/>
      <c r="AA302" s="120" t="str">
        <f>+IF(BD_MO[[#This Row],[N° VALE]]&lt;&gt;"",1,"")</f>
        <v/>
      </c>
      <c r="AB302" s="117"/>
      <c r="AC302" s="120"/>
      <c r="AD302" s="120" t="str">
        <f>+IF(BD_MO[[#This Row],[N° VALE]]&lt;&gt;"",BD_MO[[#This Row],[FULMINANTE N° 08]]+BD_MO[CARMEX 7''],"")</f>
        <v/>
      </c>
      <c r="AE302" s="120"/>
      <c r="AF302" s="120" t="str">
        <f>+IF(BD_MO[[#This Row],[N° VALE]]&lt;&gt;"",BD_MO[[#This Row],[N° TALADROS]]+BD_MO[[#This Row],[N° TAL. VACIOS]],"")</f>
        <v/>
      </c>
      <c r="AG302" s="126"/>
      <c r="AH302" s="126"/>
      <c r="AI302" s="126"/>
      <c r="AJ302" s="126"/>
      <c r="AK302" s="126"/>
      <c r="AL302" s="126"/>
      <c r="AM302" s="119"/>
      <c r="AN302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02" s="120" t="str">
        <f>+IF(BD_MO[[#This Row],[N° VALE]]&lt;&gt;"",IF(BD_MO[[#This Row],[FULMINANTE N° 08]]&lt;&gt;"",BD_MO[[#This Row],[FULMINANTE N° 08]],IF(BD_MO[[#This Row],[CARMEX 7'']]&lt;&gt;0,0,"")),"")</f>
        <v/>
      </c>
      <c r="AP302" s="124" t="str">
        <f>+IF(BD_MO[[#This Row],[N° VALE]]&lt;&gt;"",BD_MO[[#This Row],[N°  TOTAL TALADROS]]*BD_MO[[#This Row],[BARRA]]*0.95,"")</f>
        <v/>
      </c>
      <c r="AQ302" s="124" t="str">
        <f>+IF(BD_MO[[#This Row],[N° VALE]]&lt;&gt;"",BD_MO[[#This Row],[EMULNOR 1000 (N° CART.)]]*PE_EMUL_1000[PE],"")</f>
        <v/>
      </c>
      <c r="AR302" s="124" t="str">
        <f>+IF(BD_MO[[#This Row],[N° VALE]]&lt;&gt;"",BD_MO[[#This Row],[EMULNOR 3000 (N° CART.)]]*PE_EMUL_3000[PE],"")</f>
        <v/>
      </c>
      <c r="AS302" s="124" t="str">
        <f>+IF(BD_MO[[#This Row],[N° VALE]]&lt;&gt;"",BD_MO[[#This Row],[PULVERULENTA (N° CART.)]]*PE_PULV_65[PE],"")</f>
        <v/>
      </c>
      <c r="AT302" s="124" t="str">
        <f>+IF(BD_MO[[#This Row],[N° DISP]]&lt;&gt;"",BD_MO[[#This Row],[SEMIGELATINA (N° CART.)]]*PE_SEMIGEL_65[PE],"")</f>
        <v/>
      </c>
      <c r="AU302" s="124" t="str">
        <f>+IF(BD_MO[N° VALE]&lt;&gt;"",BD_MO[[#This Row],[KG EXPLO SEMIGEL]]+BD_MO[[#This Row],[KG EXPLO PULVE]]+BD_MO[[#This Row],[KG EXPLO EMULN 3000]]+BD_MO[[#This Row],[KG EXPLO EMULN 1000]],"")</f>
        <v/>
      </c>
      <c r="AV302" s="120"/>
      <c r="AW302" s="120"/>
      <c r="AX302" s="120" t="str">
        <f>+IF(BD_MO[[#This Row],[MINERAL (U-35)]]&lt;&gt;"",BD_MO[[#This Row],[MINERAL (U-35)]]*1.45,"-")</f>
        <v>-</v>
      </c>
      <c r="AY302" s="120" t="str">
        <f>+IF(BD_MO[[#This Row],[DESMONTE (U-35)]]&lt;&gt;"",BD_MO[[#This Row],[DESMONTE (U-35)]]*1.23,"-")</f>
        <v>-</v>
      </c>
      <c r="AZ302" s="120"/>
      <c r="BA302" s="120"/>
      <c r="BB302" s="120"/>
      <c r="BC302" s="120"/>
      <c r="BD302" s="120"/>
      <c r="BE302" s="120"/>
      <c r="BF302" s="120"/>
      <c r="BG302" s="120"/>
      <c r="BH302" s="120"/>
      <c r="BI302" s="120"/>
      <c r="BJ302" s="120"/>
      <c r="BK302" s="120"/>
      <c r="BL302" s="120"/>
      <c r="BM302" s="120"/>
      <c r="BN302" s="119"/>
      <c r="BO302" s="120"/>
      <c r="BP302" s="120"/>
      <c r="BQ302" s="119"/>
      <c r="BR302" s="120"/>
      <c r="BS302" s="119"/>
      <c r="BT302" s="124"/>
      <c r="BU302" s="120"/>
      <c r="BV302" s="120"/>
      <c r="BW302" s="120"/>
      <c r="BX302" s="120"/>
      <c r="BY302" s="120"/>
      <c r="BZ302" s="120"/>
      <c r="CA302" s="120"/>
      <c r="CB302" s="120"/>
      <c r="CC302" s="120"/>
      <c r="CD302" s="120"/>
      <c r="CE302" s="120"/>
      <c r="CF302" s="120"/>
      <c r="CG302" s="120"/>
      <c r="CH302" s="120"/>
      <c r="CI302" s="120"/>
      <c r="CJ302" s="120"/>
      <c r="CK302" s="120"/>
      <c r="CL302" s="120"/>
      <c r="CM302" s="120"/>
      <c r="CN302" s="120"/>
      <c r="CO302" s="120"/>
      <c r="CP302" s="124">
        <f>+IF(BD_MO[[#This Row],[FECHA]]&lt;&gt;"",BD_MO[[#This Row],[PUNTAL 4"]]+BD_MO[[#This Row],[PUNTAL 5"]]+BD_MO[[#This Row],[PUNTAL 6"]]+BD_MO[[#This Row],[PUNTAL 7"]]+BD_MO[[#This Row],[PUNTAL 8"]],"")</f>
        <v>0</v>
      </c>
      <c r="CQ302" s="120"/>
      <c r="CR302" s="120"/>
      <c r="CS302" s="120"/>
      <c r="CT302" s="120"/>
      <c r="CU302" s="120"/>
      <c r="CV302" s="120"/>
      <c r="CW302" s="120"/>
      <c r="CX302" s="120"/>
      <c r="CY302" s="124"/>
      <c r="CZ302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02" s="124">
        <f>+IF(BD_MO[[#This Row],[FECHA]]&lt;&gt;"",BD_MO[[#This Row],[DURMIENTE2]]*6.561+BD_MO[[#This Row],[LISTONES]]*4.921+BD_MO[[#This Row],[TABLA 1"x8"x3m]]*6.561+BD_MO[[#This Row],[TABLA 2"x8"x3m]]*13.122,"")</f>
        <v>0</v>
      </c>
      <c r="DB302" s="124">
        <f>+IF(BD_MO[[#This Row],[FECHA]]&lt;&gt;"",BD_MO[[#This Row],[PIE2 MADERA ASERRADA]]*1.95,"")</f>
        <v>0</v>
      </c>
      <c r="DC302" s="124">
        <f>+IF(BD_MO[[#This Row],[FECHA]]&lt;&gt;"",BD_MO[[#This Row],[KG. MADERA REDONDA]]+BD_MO[[#This Row],[KG MADERA ASERRADA]],"")</f>
        <v>0</v>
      </c>
      <c r="DD302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02" s="120"/>
      <c r="DF302" s="120"/>
      <c r="DG302" s="120"/>
      <c r="DH302" s="120"/>
      <c r="DI302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02" s="128"/>
      <c r="DK302" s="128"/>
      <c r="DL302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02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02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02" s="129"/>
      <c r="DP302" s="128" t="str">
        <f>+IF(BD_MO[[#This Row],[M o D]]&lt;&gt;"",IF(BD_MO[[#This Row],[M o D]]="M",BD_MO[[#This Row],[ROTURA TMH]]/2.65,BD_MO[[#This Row],[ROTURA TMH]]/2.4),"")</f>
        <v/>
      </c>
      <c r="DQ302" s="128"/>
      <c r="DR302" s="116" t="str">
        <f>IF(BD_MO[[#This Row],[TIPO AVANCE]]="Avance",((BD_MO[[#This Row],[AVANCE (m)]]/BD_MO[[#This Row],[AVANCE TEÓRICO]]))," ")</f>
        <v xml:space="preserve"> </v>
      </c>
    </row>
    <row r="303" spans="1:130" ht="18" customHeight="1" x14ac:dyDescent="0.25">
      <c r="A303" s="92">
        <v>44669</v>
      </c>
      <c r="B303" s="40" t="s">
        <v>10647</v>
      </c>
      <c r="C303" s="40" t="s">
        <v>10668</v>
      </c>
      <c r="D303" s="61" t="s">
        <v>11595</v>
      </c>
      <c r="E303" s="42" t="str">
        <f>LEFT(BD_MO[[#This Row],[LABOR]],2)</f>
        <v>Tj</v>
      </c>
      <c r="F303" s="46" t="s">
        <v>10950</v>
      </c>
      <c r="G303" s="46" t="s">
        <v>10648</v>
      </c>
      <c r="H303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03" s="42" t="str">
        <f>IF(BD_MO[FECHA]&lt;&gt;"",VLOOKUP(BD_MO[LABOR],TB_CECO[[LABOR]:[CECO_T]],3,FALSE),"")</f>
        <v>ESCONDIDA</v>
      </c>
      <c r="J303" s="42" t="str">
        <f>IF(BD_MO[FECHA]&lt;&gt;"",VLOOKUP(BD_MO[LABOR],D_CECO!B:H,7,FALSE),"")</f>
        <v>TAJO</v>
      </c>
      <c r="K303" s="42" t="str">
        <f>IF(BD_MO[FECHA]&lt;&gt;"",VLOOKUP(BD_MO[LABOR],D_CECO!B:H,4,FALSE),"")</f>
        <v>EXPLOTACION</v>
      </c>
      <c r="L303" s="42"/>
      <c r="M303" s="48" t="s">
        <v>10661</v>
      </c>
      <c r="N303" s="46"/>
      <c r="O303" s="93" t="s">
        <v>12091</v>
      </c>
      <c r="P303" s="93" t="s">
        <v>12159</v>
      </c>
      <c r="Q303" s="93"/>
      <c r="R303" s="45"/>
      <c r="S303" s="54" t="str">
        <f>IFERROR(VLOOKUP(BD_MO[DNI 4],#REF!,2,FALSE)," ")</f>
        <v xml:space="preserve"> </v>
      </c>
      <c r="T303" s="24">
        <f>+IF(BD_MO[[#This Row],[FECHA]]&lt;&gt;"",COUNTA(BD_MO[[#This Row],[DNI]],BD_MO[[#This Row],[DNI 2]],BD_MO[[#This Row],[DNI 3]],BD_MO[[#This Row],[DNI 4]]),"")</f>
        <v>2</v>
      </c>
      <c r="U303" s="24"/>
      <c r="V303" s="24">
        <v>0.7</v>
      </c>
      <c r="W303" s="24">
        <v>0.9</v>
      </c>
      <c r="X303" s="24">
        <v>0.4</v>
      </c>
      <c r="Y303" s="86">
        <f>SUM(BD_MO[[#This Row],[LIMP]:[SERV]])</f>
        <v>2</v>
      </c>
      <c r="Z303" s="46" t="s">
        <v>12307</v>
      </c>
      <c r="AA303" s="46">
        <f>+IF(BD_MO[[#This Row],[N° VALE]]&lt;&gt;"",1,"")</f>
        <v>1</v>
      </c>
      <c r="AB303" s="40" t="s">
        <v>10691</v>
      </c>
      <c r="AC303" s="46">
        <v>4</v>
      </c>
      <c r="AD303" s="46">
        <f>+IF(BD_MO[[#This Row],[N° VALE]]&lt;&gt;"",BD_MO[[#This Row],[FULMINANTE N° 08]]+BD_MO[CARMEX 7''],"")</f>
        <v>26</v>
      </c>
      <c r="AE303" s="46"/>
      <c r="AF303" s="46">
        <f>+IF(BD_MO[[#This Row],[N° VALE]]&lt;&gt;"",BD_MO[[#This Row],[N° TALADROS]]+BD_MO[[#This Row],[N° TAL. VACIOS]],"")</f>
        <v>26</v>
      </c>
      <c r="AG303" s="55">
        <v>52</v>
      </c>
      <c r="AH303" s="55">
        <v>62</v>
      </c>
      <c r="AI303" s="55"/>
      <c r="AJ303" s="55"/>
      <c r="AK303" s="55">
        <v>26</v>
      </c>
      <c r="AL303" s="55">
        <v>4</v>
      </c>
      <c r="AM303" s="42"/>
      <c r="AN303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03" s="46">
        <f>+IF(BD_MO[[#This Row],[N° VALE]]&lt;&gt;"",IF(BD_MO[[#This Row],[FULMINANTE N° 08]]&lt;&gt;"",BD_MO[[#This Row],[FULMINANTE N° 08]],IF(BD_MO[[#This Row],[CARMEX 7'']]&lt;&gt;0,0,"")),"")</f>
        <v>0</v>
      </c>
      <c r="AP303" s="24">
        <f>+IF(BD_MO[[#This Row],[N° VALE]]&lt;&gt;"",BD_MO[[#This Row],[N°  TOTAL TALADROS]]*BD_MO[[#This Row],[BARRA]]*0.95,"")</f>
        <v>98.8</v>
      </c>
      <c r="AQ303" s="24">
        <f>+IF(BD_MO[[#This Row],[N° VALE]]&lt;&gt;"",BD_MO[[#This Row],[EMULNOR 1000 (N° CART.)]]*PE_EMUL_1000[PE],"")</f>
        <v>5.8714000000000004</v>
      </c>
      <c r="AR303" s="24">
        <f>+IF(BD_MO[[#This Row],[N° VALE]]&lt;&gt;"",BD_MO[[#This Row],[EMULNOR 3000 (N° CART.)]]*PE_EMUL_3000[PE],"")</f>
        <v>5.0000000000000027</v>
      </c>
      <c r="AS303" s="24">
        <f>+IF(BD_MO[[#This Row],[N° VALE]]&lt;&gt;"",BD_MO[[#This Row],[PULVERULENTA (N° CART.)]]*PE_PULV_65[PE],"")</f>
        <v>0</v>
      </c>
      <c r="AT303" s="24">
        <f>+IF(BD_MO[[#This Row],[N° DISP]]&lt;&gt;"",BD_MO[[#This Row],[SEMIGELATINA (N° CART.)]]*PE_SEMIGEL_65[PE],"")</f>
        <v>0</v>
      </c>
      <c r="AU303" s="24">
        <f>+IF(BD_MO[N° VALE]&lt;&gt;"",BD_MO[[#This Row],[KG EXPLO SEMIGEL]]+BD_MO[[#This Row],[KG EXPLO PULVE]]+BD_MO[[#This Row],[KG EXPLO EMULN 3000]]+BD_MO[[#This Row],[KG EXPLO EMULN 1000]],"")</f>
        <v>10.871400000000003</v>
      </c>
      <c r="AV303" s="46"/>
      <c r="AW303" s="46"/>
      <c r="AX303" s="46" t="str">
        <f>+IF(BD_MO[[#This Row],[MINERAL (U-35)]]&lt;&gt;"",BD_MO[[#This Row],[MINERAL (U-35)]]*1.45,"-")</f>
        <v>-</v>
      </c>
      <c r="AY303" s="46" t="str">
        <f>+IF(BD_MO[[#This Row],[DESMONTE (U-35)]]&lt;&gt;"",BD_MO[[#This Row],[DESMONTE (U-35)]]*1.23,"-")</f>
        <v>-</v>
      </c>
      <c r="AZ303" s="46"/>
      <c r="BA303" s="46"/>
      <c r="BB303" s="46"/>
      <c r="BC303" s="46"/>
      <c r="BD303" s="46"/>
      <c r="BE303" s="46"/>
      <c r="BF303" s="46"/>
      <c r="BG303" s="46"/>
      <c r="BH303" s="46"/>
      <c r="BI303" s="46">
        <v>1</v>
      </c>
      <c r="BJ303" s="46"/>
      <c r="BK303" s="46"/>
      <c r="BL303" s="46"/>
      <c r="BM303" s="46"/>
      <c r="BN303" s="42"/>
      <c r="BO303" s="46"/>
      <c r="BP303" s="46"/>
      <c r="BQ303" s="42"/>
      <c r="BR303" s="46"/>
      <c r="BS303" s="42"/>
      <c r="BT303" s="24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>
        <v>1</v>
      </c>
      <c r="CP303" s="24">
        <f>+IF(BD_MO[[#This Row],[FECHA]]&lt;&gt;"",BD_MO[[#This Row],[PUNTAL 4"]]+BD_MO[[#This Row],[PUNTAL 5"]]+BD_MO[[#This Row],[PUNTAL 6"]]+BD_MO[[#This Row],[PUNTAL 7"]]+BD_MO[[#This Row],[PUNTAL 8"]],"")</f>
        <v>1</v>
      </c>
      <c r="CQ303" s="46"/>
      <c r="CR303" s="46"/>
      <c r="CS303" s="46"/>
      <c r="CT303" s="46"/>
      <c r="CU303" s="46"/>
      <c r="CV303" s="46"/>
      <c r="CW303" s="46"/>
      <c r="CX303" s="46"/>
      <c r="CY303" s="24"/>
      <c r="CZ303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79.775999999999996</v>
      </c>
      <c r="DA303" s="24">
        <f>+IF(BD_MO[[#This Row],[FECHA]]&lt;&gt;"",BD_MO[[#This Row],[DURMIENTE2]]*6.561+BD_MO[[#This Row],[LISTONES]]*4.921+BD_MO[[#This Row],[TABLA 1"x8"x3m]]*6.561+BD_MO[[#This Row],[TABLA 2"x8"x3m]]*13.122,"")</f>
        <v>0</v>
      </c>
      <c r="DB303" s="24">
        <f>+IF(BD_MO[[#This Row],[FECHA]]&lt;&gt;"",BD_MO[[#This Row],[PIE2 MADERA ASERRADA]]*1.95,"")</f>
        <v>0</v>
      </c>
      <c r="DC303" s="24">
        <f>+IF(BD_MO[[#This Row],[FECHA]]&lt;&gt;"",BD_MO[[#This Row],[KG. MADERA REDONDA]]+BD_MO[[#This Row],[KG MADERA ASERRADA]],"")</f>
        <v>79.775999999999996</v>
      </c>
      <c r="DD303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303" s="46"/>
      <c r="DF303" s="46"/>
      <c r="DG303" s="46"/>
      <c r="DH303" s="46"/>
      <c r="DI303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03" s="56"/>
      <c r="DK303" s="56"/>
      <c r="DL303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6.07</v>
      </c>
      <c r="DM303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6.3128000000000002</v>
      </c>
      <c r="DN303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03" s="66">
        <v>17.100000000000001</v>
      </c>
      <c r="DP303" s="56">
        <f>+IF(BD_MO[[#This Row],[M o D]]&lt;&gt;"",IF(BD_MO[[#This Row],[M o D]]="M",BD_MO[[#This Row],[ROTURA TMH]]/2.65,BD_MO[[#This Row],[ROTURA TMH]]/2.4),"")</f>
        <v>6.4528301886792461</v>
      </c>
      <c r="DQ303" s="56"/>
      <c r="DR303" s="116" t="str">
        <f>IF(BD_MO[[#This Row],[TIPO AVANCE]]="Avance",((BD_MO[[#This Row],[AVANCE (m)]]/BD_MO[[#This Row],[AVANCE TEÓRICO]]))," ")</f>
        <v xml:space="preserve"> </v>
      </c>
      <c r="DS303" s="49"/>
      <c r="DT303" s="49"/>
      <c r="DU303" s="49"/>
      <c r="DV303" s="49"/>
      <c r="DW303" s="49"/>
      <c r="DX303" s="49"/>
      <c r="DY303" s="49"/>
      <c r="DZ303" s="49"/>
    </row>
    <row r="304" spans="1:130" ht="18" customHeight="1" x14ac:dyDescent="0.25">
      <c r="A304" s="92">
        <v>44669</v>
      </c>
      <c r="B304" s="40" t="s">
        <v>10647</v>
      </c>
      <c r="C304" s="40" t="s">
        <v>10668</v>
      </c>
      <c r="D304" s="61" t="s">
        <v>11827</v>
      </c>
      <c r="E304" s="42" t="str">
        <f>LEFT(BD_MO[[#This Row],[LABOR]],2)</f>
        <v>Tj</v>
      </c>
      <c r="F304" s="46" t="s">
        <v>10687</v>
      </c>
      <c r="G304" s="46" t="s">
        <v>10648</v>
      </c>
      <c r="H304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04" s="42" t="str">
        <f>IF(BD_MO[FECHA]&lt;&gt;"",VLOOKUP(BD_MO[LABOR],TB_CECO[[LABOR]:[CECO_T]],3,FALSE),"")</f>
        <v>VANESSA</v>
      </c>
      <c r="J304" s="42" t="str">
        <f>IF(BD_MO[FECHA]&lt;&gt;"",VLOOKUP(BD_MO[LABOR],D_CECO!B:H,7,FALSE),"")</f>
        <v>TAJO</v>
      </c>
      <c r="K304" s="42" t="str">
        <f>IF(BD_MO[FECHA]&lt;&gt;"",VLOOKUP(BD_MO[LABOR],D_CECO!B:H,4,FALSE),"")</f>
        <v>EXPLOTACION</v>
      </c>
      <c r="L304" s="42"/>
      <c r="M304" s="48" t="s">
        <v>10679</v>
      </c>
      <c r="N304" s="46"/>
      <c r="O304" s="93" t="s">
        <v>12095</v>
      </c>
      <c r="P304" s="93"/>
      <c r="Q304" s="93"/>
      <c r="R304" s="45"/>
      <c r="S304" s="54" t="str">
        <f>IFERROR(VLOOKUP(BD_MO[DNI 4],#REF!,2,FALSE)," ")</f>
        <v xml:space="preserve"> </v>
      </c>
      <c r="T304" s="24">
        <f>+IF(BD_MO[[#This Row],[FECHA]]&lt;&gt;"",COUNTA(BD_MO[[#This Row],[DNI]],BD_MO[[#This Row],[DNI 2]],BD_MO[[#This Row],[DNI 3]],BD_MO[[#This Row],[DNI 4]]),"")</f>
        <v>1</v>
      </c>
      <c r="U304" s="24"/>
      <c r="V304" s="24">
        <v>0.4</v>
      </c>
      <c r="W304" s="24">
        <v>0.3</v>
      </c>
      <c r="X304" s="24">
        <v>0.3</v>
      </c>
      <c r="Y304" s="86">
        <f>SUM(BD_MO[[#This Row],[LIMP]:[SERV]])</f>
        <v>1</v>
      </c>
      <c r="Z304" s="46" t="s">
        <v>12308</v>
      </c>
      <c r="AA304" s="46">
        <f>+IF(BD_MO[[#This Row],[N° VALE]]&lt;&gt;"",1,"")</f>
        <v>1</v>
      </c>
      <c r="AB304" s="40" t="s">
        <v>10670</v>
      </c>
      <c r="AC304" s="46">
        <v>4</v>
      </c>
      <c r="AD304" s="46">
        <v>15</v>
      </c>
      <c r="AE304" s="46">
        <v>3</v>
      </c>
      <c r="AF304" s="46">
        <f>+IF(BD_MO[[#This Row],[N° VALE]]&lt;&gt;"",BD_MO[[#This Row],[N° TALADROS]]+BD_MO[[#This Row],[N° TAL. VACIOS]],"")</f>
        <v>18</v>
      </c>
      <c r="AG304" s="55">
        <v>56</v>
      </c>
      <c r="AH304" s="55">
        <v>76</v>
      </c>
      <c r="AI304" s="55"/>
      <c r="AJ304" s="55"/>
      <c r="AK304" s="55">
        <v>30</v>
      </c>
      <c r="AL304" s="55">
        <v>4</v>
      </c>
      <c r="AM304" s="42"/>
      <c r="AN304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04" s="46">
        <f>+IF(BD_MO[[#This Row],[N° VALE]]&lt;&gt;"",IF(BD_MO[[#This Row],[FULMINANTE N° 08]]&lt;&gt;"",BD_MO[[#This Row],[FULMINANTE N° 08]],IF(BD_MO[[#This Row],[CARMEX 7'']]&lt;&gt;0,0,"")),"")</f>
        <v>0</v>
      </c>
      <c r="AP304" s="24">
        <f>+IF(BD_MO[[#This Row],[N° VALE]]&lt;&gt;"",BD_MO[[#This Row],[N°  TOTAL TALADROS]]*BD_MO[[#This Row],[BARRA]]*0.95,"")</f>
        <v>68.399999999999991</v>
      </c>
      <c r="AQ304" s="24">
        <f>+IF(BD_MO[[#This Row],[N° VALE]]&lt;&gt;"",BD_MO[[#This Row],[EMULNOR 1000 (N° CART.)]]*PE_EMUL_1000[PE],"")</f>
        <v>7.1972000000000005</v>
      </c>
      <c r="AR304" s="24">
        <f>+IF(BD_MO[[#This Row],[N° VALE]]&lt;&gt;"",BD_MO[[#This Row],[EMULNOR 3000 (N° CART.)]]*PE_EMUL_3000[PE],"")</f>
        <v>5.3846153846153868</v>
      </c>
      <c r="AS304" s="24">
        <f>+IF(BD_MO[[#This Row],[N° VALE]]&lt;&gt;"",BD_MO[[#This Row],[PULVERULENTA (N° CART.)]]*PE_PULV_65[PE],"")</f>
        <v>0</v>
      </c>
      <c r="AT304" s="24">
        <f>+IF(BD_MO[[#This Row],[N° DISP]]&lt;&gt;"",BD_MO[[#This Row],[SEMIGELATINA (N° CART.)]]*PE_SEMIGEL_65[PE],"")</f>
        <v>0</v>
      </c>
      <c r="AU304" s="24">
        <f>+IF(BD_MO[N° VALE]&lt;&gt;"",BD_MO[[#This Row],[KG EXPLO SEMIGEL]]+BD_MO[[#This Row],[KG EXPLO PULVE]]+BD_MO[[#This Row],[KG EXPLO EMULN 3000]]+BD_MO[[#This Row],[KG EXPLO EMULN 1000]],"")</f>
        <v>12.581815384615387</v>
      </c>
      <c r="AV304" s="46"/>
      <c r="AW304" s="46"/>
      <c r="AX304" s="46" t="str">
        <f>+IF(BD_MO[[#This Row],[MINERAL (U-35)]]&lt;&gt;"",BD_MO[[#This Row],[MINERAL (U-35)]]*1.45,"-")</f>
        <v>-</v>
      </c>
      <c r="AY304" s="46" t="str">
        <f>+IF(BD_MO[[#This Row],[DESMONTE (U-35)]]&lt;&gt;"",BD_MO[[#This Row],[DESMONTE (U-35)]]*1.23,"-")</f>
        <v>-</v>
      </c>
      <c r="AZ304" s="46"/>
      <c r="BA304" s="46"/>
      <c r="BB304" s="46"/>
      <c r="BC304" s="46"/>
      <c r="BD304" s="46"/>
      <c r="BE304" s="46"/>
      <c r="BF304" s="46"/>
      <c r="BG304" s="46"/>
      <c r="BH304" s="46"/>
      <c r="BI304" s="46">
        <v>1</v>
      </c>
      <c r="BJ304" s="46"/>
      <c r="BK304" s="46"/>
      <c r="BL304" s="46"/>
      <c r="BM304" s="46"/>
      <c r="BN304" s="42">
        <v>2.7</v>
      </c>
      <c r="BO304" s="46"/>
      <c r="BP304" s="46"/>
      <c r="BQ304" s="42"/>
      <c r="BR304" s="46"/>
      <c r="BS304" s="42"/>
      <c r="BT304" s="24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>
        <v>1</v>
      </c>
      <c r="CO304" s="46"/>
      <c r="CP304" s="24">
        <f>+IF(BD_MO[[#This Row],[FECHA]]&lt;&gt;"",BD_MO[[#This Row],[PUNTAL 4"]]+BD_MO[[#This Row],[PUNTAL 5"]]+BD_MO[[#This Row],[PUNTAL 6"]]+BD_MO[[#This Row],[PUNTAL 7"]]+BD_MO[[#This Row],[PUNTAL 8"]],"")</f>
        <v>1</v>
      </c>
      <c r="CQ304" s="46"/>
      <c r="CR304" s="46"/>
      <c r="CS304" s="46">
        <v>5</v>
      </c>
      <c r="CT304" s="46"/>
      <c r="CU304" s="46"/>
      <c r="CV304" s="46"/>
      <c r="CW304" s="46"/>
      <c r="CX304" s="46"/>
      <c r="CY304" s="24"/>
      <c r="CZ304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184.07900000000001</v>
      </c>
      <c r="DA304" s="24">
        <f>+IF(BD_MO[[#This Row],[FECHA]]&lt;&gt;"",BD_MO[[#This Row],[DURMIENTE2]]*6.561+BD_MO[[#This Row],[LISTONES]]*4.921+BD_MO[[#This Row],[TABLA 1"x8"x3m]]*6.561+BD_MO[[#This Row],[TABLA 2"x8"x3m]]*13.122,"")</f>
        <v>0</v>
      </c>
      <c r="DB304" s="24">
        <f>+IF(BD_MO[[#This Row],[FECHA]]&lt;&gt;"",BD_MO[[#This Row],[PIE2 MADERA ASERRADA]]*1.95,"")</f>
        <v>0</v>
      </c>
      <c r="DC304" s="24">
        <f>+IF(BD_MO[[#This Row],[FECHA]]&lt;&gt;"",BD_MO[[#This Row],[KG. MADERA REDONDA]]+BD_MO[[#This Row],[KG MADERA ASERRADA]],"")</f>
        <v>184.07900000000001</v>
      </c>
      <c r="DD304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79.25</v>
      </c>
      <c r="DE304" s="46"/>
      <c r="DF304" s="46"/>
      <c r="DG304" s="46"/>
      <c r="DH304" s="46"/>
      <c r="DI304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04" s="56"/>
      <c r="DK304" s="56"/>
      <c r="DL304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4.2</v>
      </c>
      <c r="DM304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4.3680000000000003</v>
      </c>
      <c r="DN304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04" s="66">
        <f>15*0.72315</f>
        <v>10.847249999999999</v>
      </c>
      <c r="DP304" s="56">
        <f>+IF(BD_MO[[#This Row],[M o D]]&lt;&gt;"",IF(BD_MO[[#This Row],[M o D]]="M",BD_MO[[#This Row],[ROTURA TMH]]/2.65,BD_MO[[#This Row],[ROTURA TMH]]/2.4),"")</f>
        <v>4.5196874999999999</v>
      </c>
      <c r="DQ304" s="56"/>
      <c r="DR304" s="116" t="str">
        <f>IF(BD_MO[[#This Row],[TIPO AVANCE]]="Avance",((BD_MO[[#This Row],[AVANCE (m)]]/BD_MO[[#This Row],[AVANCE TEÓRICO]]))," ")</f>
        <v xml:space="preserve"> </v>
      </c>
      <c r="DS304" s="49"/>
      <c r="DT304" s="49"/>
      <c r="DU304" s="49"/>
      <c r="DV304" s="49"/>
      <c r="DW304" s="49"/>
      <c r="DX304" s="49"/>
      <c r="DY304" s="49"/>
      <c r="DZ304" s="49"/>
    </row>
    <row r="305" spans="1:130" ht="18" customHeight="1" x14ac:dyDescent="0.25">
      <c r="A305" s="92">
        <v>44669</v>
      </c>
      <c r="B305" s="40" t="s">
        <v>10647</v>
      </c>
      <c r="C305" s="40" t="s">
        <v>10668</v>
      </c>
      <c r="D305" s="61" t="s">
        <v>11827</v>
      </c>
      <c r="E305" s="42" t="str">
        <f>LEFT(BD_MO[[#This Row],[LABOR]],2)</f>
        <v>Tj</v>
      </c>
      <c r="F305" s="46" t="s">
        <v>10950</v>
      </c>
      <c r="G305" s="46" t="s">
        <v>10648</v>
      </c>
      <c r="H305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05" s="42" t="str">
        <f>IF(BD_MO[FECHA]&lt;&gt;"",VLOOKUP(BD_MO[LABOR],TB_CECO[[LABOR]:[CECO_T]],3,FALSE),"")</f>
        <v>VANESSA</v>
      </c>
      <c r="J305" s="42" t="str">
        <f>IF(BD_MO[FECHA]&lt;&gt;"",VLOOKUP(BD_MO[LABOR],D_CECO!B:H,7,FALSE),"")</f>
        <v>TAJO</v>
      </c>
      <c r="K305" s="42" t="str">
        <f>IF(BD_MO[FECHA]&lt;&gt;"",VLOOKUP(BD_MO[LABOR],D_CECO!B:H,4,FALSE),"")</f>
        <v>EXPLOTACION</v>
      </c>
      <c r="L305" s="42"/>
      <c r="M305" s="48" t="s">
        <v>10654</v>
      </c>
      <c r="N305" s="46"/>
      <c r="O305" s="93" t="s">
        <v>12096</v>
      </c>
      <c r="P305" s="93"/>
      <c r="Q305" s="93"/>
      <c r="R305" s="45"/>
      <c r="S305" s="54" t="str">
        <f>IFERROR(VLOOKUP(BD_MO[DNI 4],#REF!,2,FALSE)," ")</f>
        <v xml:space="preserve"> </v>
      </c>
      <c r="T305" s="24">
        <f>+IF(BD_MO[[#This Row],[FECHA]]&lt;&gt;"",COUNTA(BD_MO[[#This Row],[DNI]],BD_MO[[#This Row],[DNI 2]],BD_MO[[#This Row],[DNI 3]],BD_MO[[#This Row],[DNI 4]]),"")</f>
        <v>1</v>
      </c>
      <c r="U305" s="24"/>
      <c r="V305" s="24">
        <v>0.4</v>
      </c>
      <c r="W305" s="24">
        <v>0.3</v>
      </c>
      <c r="X305" s="24">
        <v>0.3</v>
      </c>
      <c r="Y305" s="86">
        <f>SUM(BD_MO[[#This Row],[LIMP]:[SERV]])</f>
        <v>1</v>
      </c>
      <c r="Z305" s="46" t="s">
        <v>12309</v>
      </c>
      <c r="AA305" s="46">
        <f>+IF(BD_MO[[#This Row],[N° VALE]]&lt;&gt;"",1,"")</f>
        <v>1</v>
      </c>
      <c r="AB305" s="40" t="s">
        <v>10670</v>
      </c>
      <c r="AC305" s="46">
        <v>4</v>
      </c>
      <c r="AD305" s="46">
        <f>+IF(BD_MO[[#This Row],[N° VALE]]&lt;&gt;"",BD_MO[[#This Row],[FULMINANTE N° 08]]+BD_MO[CARMEX 7''],"")</f>
        <v>15</v>
      </c>
      <c r="AE305" s="46"/>
      <c r="AF305" s="46">
        <f>+IF(BD_MO[[#This Row],[N° VALE]]&lt;&gt;"",BD_MO[[#This Row],[N° TALADROS]]+BD_MO[[#This Row],[N° TAL. VACIOS]],"")</f>
        <v>15</v>
      </c>
      <c r="AG305" s="55">
        <v>50</v>
      </c>
      <c r="AH305" s="55">
        <v>48</v>
      </c>
      <c r="AI305" s="55"/>
      <c r="AJ305" s="55"/>
      <c r="AK305" s="55">
        <v>15</v>
      </c>
      <c r="AL305" s="55">
        <v>4</v>
      </c>
      <c r="AM305" s="42"/>
      <c r="AN305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05" s="46">
        <f>+IF(BD_MO[[#This Row],[N° VALE]]&lt;&gt;"",IF(BD_MO[[#This Row],[FULMINANTE N° 08]]&lt;&gt;"",BD_MO[[#This Row],[FULMINANTE N° 08]],IF(BD_MO[[#This Row],[CARMEX 7'']]&lt;&gt;0,0,"")),"")</f>
        <v>0</v>
      </c>
      <c r="AP305" s="24">
        <f>+IF(BD_MO[[#This Row],[N° VALE]]&lt;&gt;"",BD_MO[[#This Row],[N°  TOTAL TALADROS]]*BD_MO[[#This Row],[BARRA]]*0.95,"")</f>
        <v>57</v>
      </c>
      <c r="AQ305" s="24">
        <f>+IF(BD_MO[[#This Row],[N° VALE]]&lt;&gt;"",BD_MO[[#This Row],[EMULNOR 1000 (N° CART.)]]*PE_EMUL_1000[PE],"")</f>
        <v>4.5456000000000003</v>
      </c>
      <c r="AR305" s="24">
        <f>+IF(BD_MO[[#This Row],[N° VALE]]&lt;&gt;"",BD_MO[[#This Row],[EMULNOR 3000 (N° CART.)]]*PE_EMUL_3000[PE],"")</f>
        <v>4.8076923076923102</v>
      </c>
      <c r="AS305" s="24">
        <f>+IF(BD_MO[[#This Row],[N° VALE]]&lt;&gt;"",BD_MO[[#This Row],[PULVERULENTA (N° CART.)]]*PE_PULV_65[PE],"")</f>
        <v>0</v>
      </c>
      <c r="AT305" s="24">
        <f>+IF(BD_MO[[#This Row],[N° DISP]]&lt;&gt;"",BD_MO[[#This Row],[SEMIGELATINA (N° CART.)]]*PE_SEMIGEL_65[PE],"")</f>
        <v>0</v>
      </c>
      <c r="AU305" s="24">
        <f>+IF(BD_MO[N° VALE]&lt;&gt;"",BD_MO[[#This Row],[KG EXPLO SEMIGEL]]+BD_MO[[#This Row],[KG EXPLO PULVE]]+BD_MO[[#This Row],[KG EXPLO EMULN 3000]]+BD_MO[[#This Row],[KG EXPLO EMULN 1000]],"")</f>
        <v>9.3532923076923105</v>
      </c>
      <c r="AV305" s="46"/>
      <c r="AW305" s="46"/>
      <c r="AX305" s="46" t="str">
        <f>+IF(BD_MO[[#This Row],[MINERAL (U-35)]]&lt;&gt;"",BD_MO[[#This Row],[MINERAL (U-35)]]*1.45,"-")</f>
        <v>-</v>
      </c>
      <c r="AY305" s="46" t="str">
        <f>+IF(BD_MO[[#This Row],[DESMONTE (U-35)]]&lt;&gt;"",BD_MO[[#This Row],[DESMONTE (U-35)]]*1.23,"-")</f>
        <v>-</v>
      </c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2"/>
      <c r="BO305" s="46"/>
      <c r="BP305" s="46"/>
      <c r="BQ305" s="42"/>
      <c r="BR305" s="46"/>
      <c r="BS305" s="42"/>
      <c r="BT305" s="24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24">
        <f>+IF(BD_MO[[#This Row],[FECHA]]&lt;&gt;"",BD_MO[[#This Row],[PUNTAL 4"]]+BD_MO[[#This Row],[PUNTAL 5"]]+BD_MO[[#This Row],[PUNTAL 6"]]+BD_MO[[#This Row],[PUNTAL 7"]]+BD_MO[[#This Row],[PUNTAL 8"]],"")</f>
        <v>0</v>
      </c>
      <c r="CQ305" s="46"/>
      <c r="CR305" s="46"/>
      <c r="CS305" s="46"/>
      <c r="CT305" s="46"/>
      <c r="CU305" s="46"/>
      <c r="CV305" s="46"/>
      <c r="CW305" s="46"/>
      <c r="CX305" s="46"/>
      <c r="CY305" s="24"/>
      <c r="CZ305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05" s="24">
        <f>+IF(BD_MO[[#This Row],[FECHA]]&lt;&gt;"",BD_MO[[#This Row],[DURMIENTE2]]*6.561+BD_MO[[#This Row],[LISTONES]]*4.921+BD_MO[[#This Row],[TABLA 1"x8"x3m]]*6.561+BD_MO[[#This Row],[TABLA 2"x8"x3m]]*13.122,"")</f>
        <v>0</v>
      </c>
      <c r="DB305" s="24">
        <f>+IF(BD_MO[[#This Row],[FECHA]]&lt;&gt;"",BD_MO[[#This Row],[PIE2 MADERA ASERRADA]]*1.95,"")</f>
        <v>0</v>
      </c>
      <c r="DC305" s="24">
        <f>+IF(BD_MO[[#This Row],[FECHA]]&lt;&gt;"",BD_MO[[#This Row],[KG. MADERA REDONDA]]+BD_MO[[#This Row],[KG MADERA ASERRADA]],"")</f>
        <v>0</v>
      </c>
      <c r="DD305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05" s="46"/>
      <c r="DF305" s="46"/>
      <c r="DG305" s="46"/>
      <c r="DH305" s="46"/>
      <c r="DI305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05" s="56"/>
      <c r="DK305" s="56"/>
      <c r="DL305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3.5</v>
      </c>
      <c r="DM305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3.64</v>
      </c>
      <c r="DN305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05" s="50">
        <f>22*0.4873</f>
        <v>10.720600000000001</v>
      </c>
      <c r="DP305" s="56">
        <f>+IF(BD_MO[[#This Row],[M o D]]&lt;&gt;"",IF(BD_MO[[#This Row],[M o D]]="M",BD_MO[[#This Row],[ROTURA TMH]]/2.65,BD_MO[[#This Row],[ROTURA TMH]]/2.4),"")</f>
        <v>4.0455094339622644</v>
      </c>
      <c r="DQ305" s="56"/>
      <c r="DR305" s="116" t="str">
        <f>IF(BD_MO[[#This Row],[TIPO AVANCE]]="Avance",((BD_MO[[#This Row],[AVANCE (m)]]/BD_MO[[#This Row],[AVANCE TEÓRICO]]))," ")</f>
        <v xml:space="preserve"> </v>
      </c>
      <c r="DS305" s="49"/>
      <c r="DT305" s="49"/>
      <c r="DU305" s="49"/>
      <c r="DV305" s="49"/>
      <c r="DW305" s="49"/>
      <c r="DX305" s="49"/>
      <c r="DY305" s="49"/>
      <c r="DZ305" s="49"/>
    </row>
    <row r="306" spans="1:130" ht="18.75" customHeight="1" x14ac:dyDescent="0.25">
      <c r="A306" s="92">
        <v>44669</v>
      </c>
      <c r="B306" s="40" t="s">
        <v>10647</v>
      </c>
      <c r="C306" s="40" t="s">
        <v>10668</v>
      </c>
      <c r="D306" s="61" t="s">
        <v>11928</v>
      </c>
      <c r="E306" s="42" t="str">
        <f>LEFT(BD_MO[[#This Row],[LABOR]],2)</f>
        <v>Tj</v>
      </c>
      <c r="F306" s="46"/>
      <c r="G306" s="46" t="s">
        <v>10662</v>
      </c>
      <c r="H306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306" s="42" t="str">
        <f>IF(BD_MO[FECHA]&lt;&gt;"",VLOOKUP(BD_MO[LABOR],TB_CECO[[LABOR]:[CECO_T]],3,FALSE),"")</f>
        <v>ESCONDIDA</v>
      </c>
      <c r="J306" s="42" t="str">
        <f>IF(BD_MO[FECHA]&lt;&gt;"",VLOOKUP(BD_MO[LABOR],D_CECO!B:H,7,FALSE),"")</f>
        <v>TAJO</v>
      </c>
      <c r="K306" s="42" t="str">
        <f>IF(BD_MO[FECHA]&lt;&gt;"",VLOOKUP(BD_MO[LABOR],D_CECO!B:H,4,FALSE),"")</f>
        <v>EXPLOTACION</v>
      </c>
      <c r="L306" s="42"/>
      <c r="M306" s="48"/>
      <c r="N306" s="46"/>
      <c r="O306" s="93" t="s">
        <v>12101</v>
      </c>
      <c r="P306" s="93" t="s">
        <v>12305</v>
      </c>
      <c r="Q306" s="93"/>
      <c r="R306" s="45"/>
      <c r="S306" s="54" t="str">
        <f>IFERROR(VLOOKUP(BD_MO[DNI 4],#REF!,2,FALSE)," ")</f>
        <v xml:space="preserve"> </v>
      </c>
      <c r="T306" s="24">
        <f>+IF(BD_MO[[#This Row],[FECHA]]&lt;&gt;"",COUNTA(BD_MO[[#This Row],[DNI]],BD_MO[[#This Row],[DNI 2]],BD_MO[[#This Row],[DNI 3]],BD_MO[[#This Row],[DNI 4]]),"")</f>
        <v>2</v>
      </c>
      <c r="U306" s="24"/>
      <c r="V306" s="24"/>
      <c r="W306" s="24">
        <v>1.4</v>
      </c>
      <c r="X306" s="24">
        <v>0.6</v>
      </c>
      <c r="Y306" s="86">
        <f>SUM(BD_MO[[#This Row],[LIMP]:[SERV]])</f>
        <v>2</v>
      </c>
      <c r="Z306" s="46"/>
      <c r="AA306" s="46" t="str">
        <f>+IF(BD_MO[[#This Row],[N° VALE]]&lt;&gt;"",1,"")</f>
        <v/>
      </c>
      <c r="AB306" s="40"/>
      <c r="AC306" s="46"/>
      <c r="AD306" s="46" t="str">
        <f>+IF(BD_MO[[#This Row],[N° VALE]]&lt;&gt;"",BD_MO[[#This Row],[FULMINANTE N° 08]]+BD_MO[CARMEX 7''],"")</f>
        <v/>
      </c>
      <c r="AE306" s="46"/>
      <c r="AF306" s="46" t="str">
        <f>+IF(BD_MO[[#This Row],[N° VALE]]&lt;&gt;"",BD_MO[[#This Row],[N° TALADROS]]+BD_MO[[#This Row],[N° TAL. VACIOS]],"")</f>
        <v/>
      </c>
      <c r="AG306" s="55"/>
      <c r="AH306" s="55"/>
      <c r="AI306" s="55"/>
      <c r="AJ306" s="55"/>
      <c r="AK306" s="55"/>
      <c r="AL306" s="55"/>
      <c r="AM306" s="42"/>
      <c r="AN306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06" s="46" t="str">
        <f>+IF(BD_MO[[#This Row],[N° VALE]]&lt;&gt;"",IF(BD_MO[[#This Row],[FULMINANTE N° 08]]&lt;&gt;"",BD_MO[[#This Row],[FULMINANTE N° 08]],IF(BD_MO[[#This Row],[CARMEX 7'']]&lt;&gt;0,0,"")),"")</f>
        <v/>
      </c>
      <c r="AP306" s="24" t="str">
        <f>+IF(BD_MO[[#This Row],[N° VALE]]&lt;&gt;"",BD_MO[[#This Row],[N°  TOTAL TALADROS]]*BD_MO[[#This Row],[BARRA]]*0.95,"")</f>
        <v/>
      </c>
      <c r="AQ306" s="24" t="str">
        <f>+IF(BD_MO[[#This Row],[N° VALE]]&lt;&gt;"",BD_MO[[#This Row],[EMULNOR 1000 (N° CART.)]]*PE_EMUL_1000[PE],"")</f>
        <v/>
      </c>
      <c r="AR306" s="24" t="str">
        <f>+IF(BD_MO[[#This Row],[N° VALE]]&lt;&gt;"",BD_MO[[#This Row],[EMULNOR 3000 (N° CART.)]]*PE_EMUL_3000[PE],"")</f>
        <v/>
      </c>
      <c r="AS306" s="24" t="str">
        <f>+IF(BD_MO[[#This Row],[N° VALE]]&lt;&gt;"",BD_MO[[#This Row],[PULVERULENTA (N° CART.)]]*PE_PULV_65[PE],"")</f>
        <v/>
      </c>
      <c r="AT306" s="24" t="str">
        <f>+IF(BD_MO[[#This Row],[N° DISP]]&lt;&gt;"",BD_MO[[#This Row],[SEMIGELATINA (N° CART.)]]*PE_SEMIGEL_65[PE],"")</f>
        <v/>
      </c>
      <c r="AU306" s="24" t="str">
        <f>+IF(BD_MO[N° VALE]&lt;&gt;"",BD_MO[[#This Row],[KG EXPLO SEMIGEL]]+BD_MO[[#This Row],[KG EXPLO PULVE]]+BD_MO[[#This Row],[KG EXPLO EMULN 3000]]+BD_MO[[#This Row],[KG EXPLO EMULN 1000]],"")</f>
        <v/>
      </c>
      <c r="AV306" s="46"/>
      <c r="AW306" s="46"/>
      <c r="AX306" s="46" t="str">
        <f>+IF(BD_MO[[#This Row],[MINERAL (U-35)]]&lt;&gt;"",BD_MO[[#This Row],[MINERAL (U-35)]]*1.45,"-")</f>
        <v>-</v>
      </c>
      <c r="AY306" s="46" t="str">
        <f>+IF(BD_MO[[#This Row],[DESMONTE (U-35)]]&lt;&gt;"",BD_MO[[#This Row],[DESMONTE (U-35)]]*1.23,"-")</f>
        <v>-</v>
      </c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2">
        <v>1.8</v>
      </c>
      <c r="BO306" s="46"/>
      <c r="BP306" s="46"/>
      <c r="BQ306" s="42"/>
      <c r="BR306" s="46">
        <v>7.2</v>
      </c>
      <c r="BS306" s="42"/>
      <c r="BT306" s="24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24">
        <f>+IF(BD_MO[[#This Row],[FECHA]]&lt;&gt;"",BD_MO[[#This Row],[PUNTAL 4"]]+BD_MO[[#This Row],[PUNTAL 5"]]+BD_MO[[#This Row],[PUNTAL 6"]]+BD_MO[[#This Row],[PUNTAL 7"]]+BD_MO[[#This Row],[PUNTAL 8"]],"")</f>
        <v>0</v>
      </c>
      <c r="CQ306" s="46"/>
      <c r="CR306" s="46"/>
      <c r="CS306" s="46"/>
      <c r="CT306" s="46"/>
      <c r="CU306" s="46"/>
      <c r="CV306" s="46"/>
      <c r="CW306" s="46"/>
      <c r="CX306" s="46"/>
      <c r="CY306" s="24"/>
      <c r="CZ306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06" s="24">
        <f>+IF(BD_MO[[#This Row],[FECHA]]&lt;&gt;"",BD_MO[[#This Row],[DURMIENTE2]]*6.561+BD_MO[[#This Row],[LISTONES]]*4.921+BD_MO[[#This Row],[TABLA 1"x8"x3m]]*6.561+BD_MO[[#This Row],[TABLA 2"x8"x3m]]*13.122,"")</f>
        <v>0</v>
      </c>
      <c r="DB306" s="24">
        <f>+IF(BD_MO[[#This Row],[FECHA]]&lt;&gt;"",BD_MO[[#This Row],[PIE2 MADERA ASERRADA]]*1.95,"")</f>
        <v>0</v>
      </c>
      <c r="DC306" s="24">
        <f>+IF(BD_MO[[#This Row],[FECHA]]&lt;&gt;"",BD_MO[[#This Row],[KG. MADERA REDONDA]]+BD_MO[[#This Row],[KG MADERA ASERRADA]],"")</f>
        <v>0</v>
      </c>
      <c r="DD306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06" s="46"/>
      <c r="DF306" s="46"/>
      <c r="DG306" s="46"/>
      <c r="DH306" s="46"/>
      <c r="DI306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06" s="56"/>
      <c r="DK306" s="56"/>
      <c r="DL306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06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06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06" s="66"/>
      <c r="DP306" s="56" t="str">
        <f>+IF(BD_MO[[#This Row],[M o D]]&lt;&gt;"",IF(BD_MO[[#This Row],[M o D]]="M",BD_MO[[#This Row],[ROTURA TMH]]/2.65,BD_MO[[#This Row],[ROTURA TMH]]/2.4),"")</f>
        <v/>
      </c>
      <c r="DQ306" s="56"/>
      <c r="DR306" s="116" t="str">
        <f>IF(BD_MO[[#This Row],[TIPO AVANCE]]="Avance",((BD_MO[[#This Row],[AVANCE (m)]]/BD_MO[[#This Row],[AVANCE TEÓRICO]]))," ")</f>
        <v xml:space="preserve"> </v>
      </c>
      <c r="DS306" s="49"/>
      <c r="DT306" s="49"/>
      <c r="DU306" s="49"/>
      <c r="DV306" s="49"/>
      <c r="DW306" s="49"/>
      <c r="DX306" s="49"/>
      <c r="DY306" s="49"/>
      <c r="DZ306" s="49"/>
    </row>
    <row r="307" spans="1:130" ht="18.75" customHeight="1" x14ac:dyDescent="0.25">
      <c r="A307" s="92">
        <v>44669</v>
      </c>
      <c r="B307" s="40" t="s">
        <v>10647</v>
      </c>
      <c r="C307" s="40" t="s">
        <v>10668</v>
      </c>
      <c r="D307" s="61" t="s">
        <v>12304</v>
      </c>
      <c r="E307" s="42" t="str">
        <f>LEFT(BD_MO[[#This Row],[LABOR]],2)</f>
        <v>Ch</v>
      </c>
      <c r="F307" s="46" t="s">
        <v>10687</v>
      </c>
      <c r="G307" s="46" t="s">
        <v>10648</v>
      </c>
      <c r="H307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07" s="42" t="s">
        <v>12254</v>
      </c>
      <c r="J307" s="42" t="s">
        <v>10525</v>
      </c>
      <c r="K307" s="42" t="s">
        <v>12249</v>
      </c>
      <c r="L307" s="42"/>
      <c r="M307" s="48" t="s">
        <v>10646</v>
      </c>
      <c r="N307" s="46"/>
      <c r="O307" s="93" t="s">
        <v>12306</v>
      </c>
      <c r="P307" s="93" t="s">
        <v>12093</v>
      </c>
      <c r="Q307" s="93"/>
      <c r="R307" s="45"/>
      <c r="S307" s="54" t="str">
        <f>IFERROR(VLOOKUP(BD_MO[DNI 4],#REF!,2,FALSE)," ")</f>
        <v xml:space="preserve"> </v>
      </c>
      <c r="T307" s="24">
        <f>+IF(BD_MO[[#This Row],[FECHA]]&lt;&gt;"",COUNTA(BD_MO[[#This Row],[DNI]],BD_MO[[#This Row],[DNI 2]],BD_MO[[#This Row],[DNI 3]],BD_MO[[#This Row],[DNI 4]]),"")</f>
        <v>2</v>
      </c>
      <c r="U307" s="24">
        <v>0.9</v>
      </c>
      <c r="V307" s="24">
        <v>0.4</v>
      </c>
      <c r="W307" s="24">
        <v>0.4</v>
      </c>
      <c r="X307" s="24">
        <v>0.3</v>
      </c>
      <c r="Y307" s="86">
        <f>SUM(BD_MO[[#This Row],[LIMP]:[SERV]])</f>
        <v>2</v>
      </c>
      <c r="Z307" s="46" t="s">
        <v>12310</v>
      </c>
      <c r="AA307" s="46">
        <f>+IF(BD_MO[[#This Row],[N° VALE]]&lt;&gt;"",1,"")</f>
        <v>1</v>
      </c>
      <c r="AB307" s="40" t="s">
        <v>10710</v>
      </c>
      <c r="AC307" s="46">
        <v>4</v>
      </c>
      <c r="AD307" s="46">
        <f>+IF(BD_MO[[#This Row],[N° VALE]]&lt;&gt;"",BD_MO[[#This Row],[FULMINANTE N° 08]]+BD_MO[CARMEX 7''],"")</f>
        <v>21</v>
      </c>
      <c r="AE307" s="46"/>
      <c r="AF307" s="46">
        <f>+IF(BD_MO[[#This Row],[N° VALE]]&lt;&gt;"",BD_MO[[#This Row],[N° TALADROS]]+BD_MO[[#This Row],[N° TAL. VACIOS]],"")</f>
        <v>21</v>
      </c>
      <c r="AG307" s="55">
        <v>48</v>
      </c>
      <c r="AH307" s="55">
        <v>46</v>
      </c>
      <c r="AI307" s="55"/>
      <c r="AJ307" s="55"/>
      <c r="AK307" s="55">
        <v>21</v>
      </c>
      <c r="AL307" s="55">
        <v>5</v>
      </c>
      <c r="AM307" s="42"/>
      <c r="AN307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07" s="46">
        <f>+IF(BD_MO[[#This Row],[N° VALE]]&lt;&gt;"",IF(BD_MO[[#This Row],[FULMINANTE N° 08]]&lt;&gt;"",BD_MO[[#This Row],[FULMINANTE N° 08]],IF(BD_MO[[#This Row],[CARMEX 7'']]&lt;&gt;0,0,"")),"")</f>
        <v>0</v>
      </c>
      <c r="AP307" s="24">
        <f>+IF(BD_MO[[#This Row],[N° VALE]]&lt;&gt;"",BD_MO[[#This Row],[N°  TOTAL TALADROS]]*BD_MO[[#This Row],[BARRA]]*0.95,"")</f>
        <v>79.8</v>
      </c>
      <c r="AQ307" s="24">
        <f>+IF(BD_MO[[#This Row],[N° VALE]]&lt;&gt;"",BD_MO[[#This Row],[EMULNOR 1000 (N° CART.)]]*PE_EMUL_1000[PE],"")</f>
        <v>4.3562000000000003</v>
      </c>
      <c r="AR307" s="24">
        <f>+IF(BD_MO[[#This Row],[N° VALE]]&lt;&gt;"",BD_MO[[#This Row],[EMULNOR 3000 (N° CART.)]]*PE_EMUL_3000[PE],"")</f>
        <v>4.6153846153846176</v>
      </c>
      <c r="AS307" s="24">
        <f>+IF(BD_MO[[#This Row],[N° VALE]]&lt;&gt;"",BD_MO[[#This Row],[PULVERULENTA (N° CART.)]]*PE_PULV_65[PE],"")</f>
        <v>0</v>
      </c>
      <c r="AT307" s="24">
        <f>+IF(BD_MO[[#This Row],[N° DISP]]&lt;&gt;"",BD_MO[[#This Row],[SEMIGELATINA (N° CART.)]]*PE_SEMIGEL_65[PE],"")</f>
        <v>0</v>
      </c>
      <c r="AU307" s="24">
        <f>+IF(BD_MO[N° VALE]&lt;&gt;"",BD_MO[[#This Row],[KG EXPLO SEMIGEL]]+BD_MO[[#This Row],[KG EXPLO PULVE]]+BD_MO[[#This Row],[KG EXPLO EMULN 3000]]+BD_MO[[#This Row],[KG EXPLO EMULN 1000]],"")</f>
        <v>8.9715846153846179</v>
      </c>
      <c r="AV307" s="46"/>
      <c r="AW307" s="46"/>
      <c r="AX307" s="46" t="str">
        <f>+IF(BD_MO[[#This Row],[MINERAL (U-35)]]&lt;&gt;"",BD_MO[[#This Row],[MINERAL (U-35)]]*1.45,"-")</f>
        <v>-</v>
      </c>
      <c r="AY307" s="46" t="str">
        <f>+IF(BD_MO[[#This Row],[DESMONTE (U-35)]]&lt;&gt;"",BD_MO[[#This Row],[DESMONTE (U-35)]]*1.23,"-")</f>
        <v>-</v>
      </c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2"/>
      <c r="BO307" s="46"/>
      <c r="BP307" s="46"/>
      <c r="BQ307" s="42"/>
      <c r="BR307" s="46">
        <v>4.5</v>
      </c>
      <c r="BS307" s="42"/>
      <c r="BT307" s="24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>
        <v>6</v>
      </c>
      <c r="CN307" s="46"/>
      <c r="CO307" s="46"/>
      <c r="CP307" s="24">
        <f>+IF(BD_MO[[#This Row],[FECHA]]&lt;&gt;"",BD_MO[[#This Row],[PUNTAL 4"]]+BD_MO[[#This Row],[PUNTAL 5"]]+BD_MO[[#This Row],[PUNTAL 6"]]+BD_MO[[#This Row],[PUNTAL 7"]]+BD_MO[[#This Row],[PUNTAL 8"]],"")</f>
        <v>6</v>
      </c>
      <c r="CQ307" s="46"/>
      <c r="CR307" s="46"/>
      <c r="CS307" s="46"/>
      <c r="CT307" s="46"/>
      <c r="CU307" s="46"/>
      <c r="CV307" s="46"/>
      <c r="CW307" s="46"/>
      <c r="CX307" s="46"/>
      <c r="CY307" s="24"/>
      <c r="CZ307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269.24400000000003</v>
      </c>
      <c r="DA307" s="24">
        <f>+IF(BD_MO[[#This Row],[FECHA]]&lt;&gt;"",BD_MO[[#This Row],[DURMIENTE2]]*6.561+BD_MO[[#This Row],[LISTONES]]*4.921+BD_MO[[#This Row],[TABLA 1"x8"x3m]]*6.561+BD_MO[[#This Row],[TABLA 2"x8"x3m]]*13.122,"")</f>
        <v>0</v>
      </c>
      <c r="DB307" s="24">
        <f>+IF(BD_MO[[#This Row],[FECHA]]&lt;&gt;"",BD_MO[[#This Row],[PIE2 MADERA ASERRADA]]*1.95,"")</f>
        <v>0</v>
      </c>
      <c r="DC307" s="24">
        <f>+IF(BD_MO[[#This Row],[FECHA]]&lt;&gt;"",BD_MO[[#This Row],[KG. MADERA REDONDA]]+BD_MO[[#This Row],[KG MADERA ASERRADA]],"")</f>
        <v>269.24400000000003</v>
      </c>
      <c r="DD307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106.80000000000001</v>
      </c>
      <c r="DE307" s="46"/>
      <c r="DF307" s="46"/>
      <c r="DG307" s="46"/>
      <c r="DH307" s="46"/>
      <c r="DI307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07" s="56"/>
      <c r="DK307" s="56"/>
      <c r="DL307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07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07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07" s="66">
        <f>21*0.75017241</f>
        <v>15.75362061</v>
      </c>
      <c r="DP307" s="56">
        <f>+IF(BD_MO[[#This Row],[M o D]]&lt;&gt;"",IF(BD_MO[[#This Row],[M o D]]="M",BD_MO[[#This Row],[ROTURA TMH]]/2.65,BD_MO[[#This Row],[ROTURA TMH]]/2.4),"")</f>
        <v>6.5640085875</v>
      </c>
      <c r="DQ307" s="56">
        <f>0.051751*21</f>
        <v>1.0867709999999999</v>
      </c>
      <c r="DR307" s="116">
        <f>IF(BD_MO[[#This Row],[TIPO AVANCE]]="Avance",((BD_MO[[#This Row],[AVANCE (m)]]/BD_MO[[#This Row],[AVANCE TEÓRICO]]))," ")</f>
        <v>1.0062694444444442</v>
      </c>
      <c r="DS307" s="49"/>
      <c r="DT307" s="49"/>
      <c r="DU307" s="49"/>
      <c r="DV307" s="49"/>
      <c r="DW307" s="49"/>
      <c r="DX307" s="49"/>
      <c r="DY307" s="49"/>
      <c r="DZ307" s="49"/>
    </row>
    <row r="308" spans="1:130" ht="18.75" customHeight="1" x14ac:dyDescent="0.25">
      <c r="A308" s="92">
        <v>44669</v>
      </c>
      <c r="B308" s="40" t="s">
        <v>10647</v>
      </c>
      <c r="C308" s="40" t="s">
        <v>10668</v>
      </c>
      <c r="D308" s="61" t="s">
        <v>10952</v>
      </c>
      <c r="E308" s="42" t="str">
        <f>LEFT(BD_MO[[#This Row],[LABOR]],2)</f>
        <v>In</v>
      </c>
      <c r="F308" s="46"/>
      <c r="G308" s="46" t="s">
        <v>10669</v>
      </c>
      <c r="H308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08" s="42" t="str">
        <f>IF(BD_MO[FECHA]&lt;&gt;"",VLOOKUP(BD_MO[LABOR],TB_CECO[[LABOR]:[CECO_T]],3,FALSE),"")</f>
        <v>VANESSA</v>
      </c>
      <c r="J308" s="42" t="str">
        <f>IF(BD_MO[FECHA]&lt;&gt;"",VLOOKUP(BD_MO[LABOR],D_CECO!B:H,7,FALSE),"")</f>
        <v>LINEAL</v>
      </c>
      <c r="K308" s="42" t="str">
        <f>IF(BD_MO[FECHA]&lt;&gt;"",VLOOKUP(BD_MO[LABOR],D_CECO!B:H,4,FALSE),"")</f>
        <v>EXPLORACION</v>
      </c>
      <c r="L308" s="42"/>
      <c r="M308" s="48"/>
      <c r="N308" s="46"/>
      <c r="O308" s="93" t="s">
        <v>12092</v>
      </c>
      <c r="P308" s="93" t="s">
        <v>12099</v>
      </c>
      <c r="Q308" s="93"/>
      <c r="R308" s="45"/>
      <c r="S308" s="54" t="str">
        <f>IFERROR(VLOOKUP(BD_MO[DNI 4],#REF!,2,FALSE)," ")</f>
        <v xml:space="preserve"> </v>
      </c>
      <c r="T308" s="24">
        <f>+IF(BD_MO[[#This Row],[FECHA]]&lt;&gt;"",COUNTA(BD_MO[[#This Row],[DNI]],BD_MO[[#This Row],[DNI 2]],BD_MO[[#This Row],[DNI 3]],BD_MO[[#This Row],[DNI 4]]),"")</f>
        <v>2</v>
      </c>
      <c r="U308" s="24"/>
      <c r="V308" s="24"/>
      <c r="W308" s="24"/>
      <c r="X308" s="24">
        <v>2</v>
      </c>
      <c r="Y308" s="86">
        <f>SUM(BD_MO[[#This Row],[LIMP]:[SERV]])</f>
        <v>2</v>
      </c>
      <c r="Z308" s="46"/>
      <c r="AA308" s="46" t="str">
        <f>+IF(BD_MO[[#This Row],[N° VALE]]&lt;&gt;"",1,"")</f>
        <v/>
      </c>
      <c r="AB308" s="40"/>
      <c r="AC308" s="46"/>
      <c r="AD308" s="46" t="str">
        <f>+IF(BD_MO[[#This Row],[N° VALE]]&lt;&gt;"",BD_MO[[#This Row],[FULMINANTE N° 08]]+BD_MO[CARMEX 7''],"")</f>
        <v/>
      </c>
      <c r="AE308" s="46"/>
      <c r="AF308" s="46" t="str">
        <f>+IF(BD_MO[[#This Row],[N° VALE]]&lt;&gt;"",BD_MO[[#This Row],[N° TALADROS]]+BD_MO[[#This Row],[N° TAL. VACIOS]],"")</f>
        <v/>
      </c>
      <c r="AG308" s="55"/>
      <c r="AH308" s="55"/>
      <c r="AI308" s="55"/>
      <c r="AJ308" s="55"/>
      <c r="AK308" s="55"/>
      <c r="AL308" s="55"/>
      <c r="AM308" s="42"/>
      <c r="AN308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08" s="46" t="str">
        <f>+IF(BD_MO[[#This Row],[N° VALE]]&lt;&gt;"",IF(BD_MO[[#This Row],[FULMINANTE N° 08]]&lt;&gt;"",BD_MO[[#This Row],[FULMINANTE N° 08]],IF(BD_MO[[#This Row],[CARMEX 7'']]&lt;&gt;0,0,"")),"")</f>
        <v/>
      </c>
      <c r="AP308" s="24" t="str">
        <f>+IF(BD_MO[[#This Row],[N° VALE]]&lt;&gt;"",BD_MO[[#This Row],[N°  TOTAL TALADROS]]*BD_MO[[#This Row],[BARRA]]*0.95,"")</f>
        <v/>
      </c>
      <c r="AQ308" s="24" t="str">
        <f>+IF(BD_MO[[#This Row],[N° VALE]]&lt;&gt;"",BD_MO[[#This Row],[EMULNOR 1000 (N° CART.)]]*PE_EMUL_1000[PE],"")</f>
        <v/>
      </c>
      <c r="AR308" s="24" t="str">
        <f>+IF(BD_MO[[#This Row],[N° VALE]]&lt;&gt;"",BD_MO[[#This Row],[EMULNOR 3000 (N° CART.)]]*PE_EMUL_3000[PE],"")</f>
        <v/>
      </c>
      <c r="AS308" s="24" t="str">
        <f>+IF(BD_MO[[#This Row],[N° VALE]]&lt;&gt;"",BD_MO[[#This Row],[PULVERULENTA (N° CART.)]]*PE_PULV_65[PE],"")</f>
        <v/>
      </c>
      <c r="AT308" s="24" t="str">
        <f>+IF(BD_MO[[#This Row],[N° DISP]]&lt;&gt;"",BD_MO[[#This Row],[SEMIGELATINA (N° CART.)]]*PE_SEMIGEL_65[PE],"")</f>
        <v/>
      </c>
      <c r="AU308" s="24" t="str">
        <f>+IF(BD_MO[N° VALE]&lt;&gt;"",BD_MO[[#This Row],[KG EXPLO SEMIGEL]]+BD_MO[[#This Row],[KG EXPLO PULVE]]+BD_MO[[#This Row],[KG EXPLO EMULN 3000]]+BD_MO[[#This Row],[KG EXPLO EMULN 1000]],"")</f>
        <v/>
      </c>
      <c r="AV308" s="46"/>
      <c r="AW308" s="46"/>
      <c r="AX308" s="46" t="str">
        <f>+IF(BD_MO[[#This Row],[MINERAL (U-35)]]&lt;&gt;"",BD_MO[[#This Row],[MINERAL (U-35)]]*1.45,"-")</f>
        <v>-</v>
      </c>
      <c r="AY308" s="46" t="str">
        <f>+IF(BD_MO[[#This Row],[DESMONTE (U-35)]]&lt;&gt;"",BD_MO[[#This Row],[DESMONTE (U-35)]]*1.23,"-")</f>
        <v>-</v>
      </c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2"/>
      <c r="BO308" s="46"/>
      <c r="BP308" s="46"/>
      <c r="BQ308" s="42"/>
      <c r="BR308" s="46"/>
      <c r="BS308" s="42"/>
      <c r="BT308" s="24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24">
        <f>+IF(BD_MO[[#This Row],[FECHA]]&lt;&gt;"",BD_MO[[#This Row],[PUNTAL 4"]]+BD_MO[[#This Row],[PUNTAL 5"]]+BD_MO[[#This Row],[PUNTAL 6"]]+BD_MO[[#This Row],[PUNTAL 7"]]+BD_MO[[#This Row],[PUNTAL 8"]],"")</f>
        <v>0</v>
      </c>
      <c r="CQ308" s="46"/>
      <c r="CR308" s="46"/>
      <c r="CS308" s="46"/>
      <c r="CT308" s="46"/>
      <c r="CU308" s="46"/>
      <c r="CV308" s="46"/>
      <c r="CW308" s="46"/>
      <c r="CX308" s="46"/>
      <c r="CY308" s="24"/>
      <c r="CZ308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08" s="24">
        <f>+IF(BD_MO[[#This Row],[FECHA]]&lt;&gt;"",BD_MO[[#This Row],[DURMIENTE2]]*6.561+BD_MO[[#This Row],[LISTONES]]*4.921+BD_MO[[#This Row],[TABLA 1"x8"x3m]]*6.561+BD_MO[[#This Row],[TABLA 2"x8"x3m]]*13.122,"")</f>
        <v>0</v>
      </c>
      <c r="DB308" s="24">
        <f>+IF(BD_MO[[#This Row],[FECHA]]&lt;&gt;"",BD_MO[[#This Row],[PIE2 MADERA ASERRADA]]*1.95,"")</f>
        <v>0</v>
      </c>
      <c r="DC308" s="24">
        <f>+IF(BD_MO[[#This Row],[FECHA]]&lt;&gt;"",BD_MO[[#This Row],[KG. MADERA REDONDA]]+BD_MO[[#This Row],[KG MADERA ASERRADA]],"")</f>
        <v>0</v>
      </c>
      <c r="DD308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08" s="46"/>
      <c r="DF308" s="46"/>
      <c r="DG308" s="46"/>
      <c r="DH308" s="46"/>
      <c r="DI308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08" s="56"/>
      <c r="DK308" s="56"/>
      <c r="DL308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08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08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08" s="66"/>
      <c r="DP308" s="56" t="str">
        <f>+IF(BD_MO[[#This Row],[M o D]]&lt;&gt;"",IF(BD_MO[[#This Row],[M o D]]="M",BD_MO[[#This Row],[ROTURA TMH]]/2.65,BD_MO[[#This Row],[ROTURA TMH]]/2.4),"")</f>
        <v/>
      </c>
      <c r="DQ308" s="56"/>
      <c r="DR308" s="116" t="str">
        <f>IF(BD_MO[[#This Row],[TIPO AVANCE]]="Avance",((BD_MO[[#This Row],[AVANCE (m)]]/BD_MO[[#This Row],[AVANCE TEÓRICO]]))," ")</f>
        <v xml:space="preserve"> </v>
      </c>
      <c r="DS308" s="49"/>
      <c r="DT308" s="49"/>
      <c r="DU308" s="49"/>
      <c r="DV308" s="49"/>
      <c r="DW308" s="49"/>
      <c r="DX308" s="49"/>
      <c r="DY308" s="49"/>
      <c r="DZ308" s="49"/>
    </row>
    <row r="309" spans="1:130" ht="18.75" customHeight="1" x14ac:dyDescent="0.25">
      <c r="A309" s="92">
        <v>44669</v>
      </c>
      <c r="B309" s="40" t="s">
        <v>10647</v>
      </c>
      <c r="C309" s="40" t="s">
        <v>10668</v>
      </c>
      <c r="D309" s="61" t="s">
        <v>11872</v>
      </c>
      <c r="E309" s="42" t="str">
        <f>LEFT(BD_MO[[#This Row],[LABOR]],2)</f>
        <v>PQ</v>
      </c>
      <c r="F309" s="46"/>
      <c r="G309" s="46" t="s">
        <v>10669</v>
      </c>
      <c r="H309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09" s="42" t="str">
        <f>IF(BD_MO[FECHA]&lt;&gt;"",VLOOKUP(BD_MO[LABOR],TB_CECO[[LABOR]:[CECO_T]],3,FALSE),"")</f>
        <v>ANDREA</v>
      </c>
      <c r="J309" s="42" t="str">
        <f>IF(BD_MO[FECHA]&lt;&gt;"",VLOOKUP(BD_MO[LABOR],D_CECO!B:H,7,FALSE),"")</f>
        <v>LINEAL</v>
      </c>
      <c r="K309" s="42" t="str">
        <f>IF(BD_MO[FECHA]&lt;&gt;"",VLOOKUP(BD_MO[LABOR],D_CECO!B:H,4,FALSE),"")</f>
        <v>EXPLOTACION</v>
      </c>
      <c r="L309" s="42"/>
      <c r="M309" s="48"/>
      <c r="N309" s="46"/>
      <c r="O309" s="93" t="s">
        <v>12097</v>
      </c>
      <c r="P309" s="93" t="s">
        <v>12090</v>
      </c>
      <c r="Q309" s="93" t="s">
        <v>12089</v>
      </c>
      <c r="R309" s="45"/>
      <c r="S309" s="54" t="str">
        <f>IFERROR(VLOOKUP(BD_MO[DNI 4],#REF!,2,FALSE)," ")</f>
        <v xml:space="preserve"> </v>
      </c>
      <c r="T309" s="24">
        <f>+IF(BD_MO[[#This Row],[FECHA]]&lt;&gt;"",COUNTA(BD_MO[[#This Row],[DNI]],BD_MO[[#This Row],[DNI 2]],BD_MO[[#This Row],[DNI 3]],BD_MO[[#This Row],[DNI 4]]),"")</f>
        <v>3</v>
      </c>
      <c r="U309" s="24"/>
      <c r="V309" s="24"/>
      <c r="W309" s="24"/>
      <c r="X309" s="24">
        <v>3</v>
      </c>
      <c r="Y309" s="86">
        <f>SUM(BD_MO[[#This Row],[LIMP]:[SERV]])</f>
        <v>3</v>
      </c>
      <c r="Z309" s="46"/>
      <c r="AA309" s="46" t="str">
        <f>+IF(BD_MO[[#This Row],[N° VALE]]&lt;&gt;"",1,"")</f>
        <v/>
      </c>
      <c r="AB309" s="40"/>
      <c r="AC309" s="46"/>
      <c r="AD309" s="46" t="str">
        <f>+IF(BD_MO[[#This Row],[N° VALE]]&lt;&gt;"",BD_MO[[#This Row],[FULMINANTE N° 08]]+BD_MO[CARMEX 7''],"")</f>
        <v/>
      </c>
      <c r="AE309" s="46"/>
      <c r="AF309" s="46" t="str">
        <f>+IF(BD_MO[[#This Row],[N° VALE]]&lt;&gt;"",BD_MO[[#This Row],[N° TALADROS]]+BD_MO[[#This Row],[N° TAL. VACIOS]],"")</f>
        <v/>
      </c>
      <c r="AG309" s="55"/>
      <c r="AH309" s="55"/>
      <c r="AI309" s="55"/>
      <c r="AJ309" s="55"/>
      <c r="AK309" s="55"/>
      <c r="AL309" s="55"/>
      <c r="AM309" s="42"/>
      <c r="AN309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09" s="46" t="str">
        <f>+IF(BD_MO[[#This Row],[N° VALE]]&lt;&gt;"",IF(BD_MO[[#This Row],[FULMINANTE N° 08]]&lt;&gt;"",BD_MO[[#This Row],[FULMINANTE N° 08]],IF(BD_MO[[#This Row],[CARMEX 7'']]&lt;&gt;0,0,"")),"")</f>
        <v/>
      </c>
      <c r="AP309" s="24" t="str">
        <f>+IF(BD_MO[[#This Row],[N° VALE]]&lt;&gt;"",BD_MO[[#This Row],[N°  TOTAL TALADROS]]*BD_MO[[#This Row],[BARRA]]*0.95,"")</f>
        <v/>
      </c>
      <c r="AQ309" s="24" t="str">
        <f>+IF(BD_MO[[#This Row],[N° VALE]]&lt;&gt;"",BD_MO[[#This Row],[EMULNOR 1000 (N° CART.)]]*PE_EMUL_1000[PE],"")</f>
        <v/>
      </c>
      <c r="AR309" s="24" t="str">
        <f>+IF(BD_MO[[#This Row],[N° VALE]]&lt;&gt;"",BD_MO[[#This Row],[EMULNOR 3000 (N° CART.)]]*PE_EMUL_3000[PE],"")</f>
        <v/>
      </c>
      <c r="AS309" s="24" t="str">
        <f>+IF(BD_MO[[#This Row],[N° VALE]]&lt;&gt;"",BD_MO[[#This Row],[PULVERULENTA (N° CART.)]]*PE_PULV_65[PE],"")</f>
        <v/>
      </c>
      <c r="AT309" s="24" t="str">
        <f>+IF(BD_MO[[#This Row],[N° DISP]]&lt;&gt;"",BD_MO[[#This Row],[SEMIGELATINA (N° CART.)]]*PE_SEMIGEL_65[PE],"")</f>
        <v/>
      </c>
      <c r="AU309" s="24" t="str">
        <f>+IF(BD_MO[N° VALE]&lt;&gt;"",BD_MO[[#This Row],[KG EXPLO SEMIGEL]]+BD_MO[[#This Row],[KG EXPLO PULVE]]+BD_MO[[#This Row],[KG EXPLO EMULN 3000]]+BD_MO[[#This Row],[KG EXPLO EMULN 1000]],"")</f>
        <v/>
      </c>
      <c r="AV309" s="46"/>
      <c r="AW309" s="46"/>
      <c r="AX309" s="46" t="str">
        <f>+IF(BD_MO[[#This Row],[MINERAL (U-35)]]&lt;&gt;"",BD_MO[[#This Row],[MINERAL (U-35)]]*1.45,"-")</f>
        <v>-</v>
      </c>
      <c r="AY309" s="46" t="str">
        <f>+IF(BD_MO[[#This Row],[DESMONTE (U-35)]]&lt;&gt;"",BD_MO[[#This Row],[DESMONTE (U-35)]]*1.23,"-")</f>
        <v>-</v>
      </c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2"/>
      <c r="BO309" s="46"/>
      <c r="BP309" s="46"/>
      <c r="BQ309" s="42"/>
      <c r="BR309" s="46"/>
      <c r="BS309" s="42"/>
      <c r="BT309" s="24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24">
        <f>+IF(BD_MO[[#This Row],[FECHA]]&lt;&gt;"",BD_MO[[#This Row],[PUNTAL 4"]]+BD_MO[[#This Row],[PUNTAL 5"]]+BD_MO[[#This Row],[PUNTAL 6"]]+BD_MO[[#This Row],[PUNTAL 7"]]+BD_MO[[#This Row],[PUNTAL 8"]],"")</f>
        <v>0</v>
      </c>
      <c r="CQ309" s="46"/>
      <c r="CR309" s="46"/>
      <c r="CS309" s="46"/>
      <c r="CT309" s="46"/>
      <c r="CU309" s="46"/>
      <c r="CV309" s="46"/>
      <c r="CW309" s="46"/>
      <c r="CX309" s="46"/>
      <c r="CY309" s="24"/>
      <c r="CZ309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09" s="24">
        <f>+IF(BD_MO[[#This Row],[FECHA]]&lt;&gt;"",BD_MO[[#This Row],[DURMIENTE2]]*6.561+BD_MO[[#This Row],[LISTONES]]*4.921+BD_MO[[#This Row],[TABLA 1"x8"x3m]]*6.561+BD_MO[[#This Row],[TABLA 2"x8"x3m]]*13.122,"")</f>
        <v>0</v>
      </c>
      <c r="DB309" s="24">
        <f>+IF(BD_MO[[#This Row],[FECHA]]&lt;&gt;"",BD_MO[[#This Row],[PIE2 MADERA ASERRADA]]*1.95,"")</f>
        <v>0</v>
      </c>
      <c r="DC309" s="24">
        <f>+IF(BD_MO[[#This Row],[FECHA]]&lt;&gt;"",BD_MO[[#This Row],[KG. MADERA REDONDA]]+BD_MO[[#This Row],[KG MADERA ASERRADA]],"")</f>
        <v>0</v>
      </c>
      <c r="DD309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09" s="46"/>
      <c r="DF309" s="46"/>
      <c r="DG309" s="46"/>
      <c r="DH309" s="46"/>
      <c r="DI309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09" s="56"/>
      <c r="DK309" s="56"/>
      <c r="DL309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09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09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09" s="66"/>
      <c r="DP309" s="56" t="str">
        <f>+IF(BD_MO[[#This Row],[M o D]]&lt;&gt;"",IF(BD_MO[[#This Row],[M o D]]="M",BD_MO[[#This Row],[ROTURA TMH]]/2.65,BD_MO[[#This Row],[ROTURA TMH]]/2.4),"")</f>
        <v/>
      </c>
      <c r="DQ309" s="56"/>
      <c r="DR309" s="116" t="str">
        <f>IF(BD_MO[[#This Row],[TIPO AVANCE]]="Avance",((BD_MO[[#This Row],[AVANCE (m)]]/BD_MO[[#This Row],[AVANCE TEÓRICO]]))," ")</f>
        <v xml:space="preserve"> </v>
      </c>
      <c r="DS309" s="49"/>
      <c r="DT309" s="49"/>
      <c r="DU309" s="49"/>
      <c r="DV309" s="49"/>
      <c r="DW309" s="49"/>
      <c r="DX309" s="49"/>
      <c r="DY309" s="49"/>
      <c r="DZ309" s="49"/>
    </row>
    <row r="310" spans="1:130" ht="18.75" customHeight="1" x14ac:dyDescent="0.25">
      <c r="A310" s="92">
        <v>44669</v>
      </c>
      <c r="B310" s="40" t="s">
        <v>10647</v>
      </c>
      <c r="C310" s="40" t="s">
        <v>10668</v>
      </c>
      <c r="D310" s="61" t="s">
        <v>10954</v>
      </c>
      <c r="E310" s="42" t="str">
        <f>LEFT(BD_MO[[#This Row],[LABOR]],2)</f>
        <v>MO</v>
      </c>
      <c r="F310" s="46"/>
      <c r="G310" s="46" t="s">
        <v>10669</v>
      </c>
      <c r="H310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10" s="42" t="str">
        <f>IF(BD_MO[FECHA]&lt;&gt;"",VLOOKUP(BD_MO[LABOR],TB_CECO[[LABOR]:[CECO_T]],3,FALSE),"")</f>
        <v>INCA</v>
      </c>
      <c r="J310" s="42" t="str">
        <f>IF(BD_MO[FECHA]&lt;&gt;"",VLOOKUP(BD_MO[LABOR],D_CECO!B:H,7,FALSE),"")</f>
        <v>SERVICIOS</v>
      </c>
      <c r="K310" s="42" t="str">
        <f>IF(BD_MO[FECHA]&lt;&gt;"",VLOOKUP(BD_MO[LABOR],D_CECO!B:H,4,FALSE),"")</f>
        <v>SERVICIOS</v>
      </c>
      <c r="L310" s="42"/>
      <c r="M310" s="48"/>
      <c r="N310" s="46"/>
      <c r="O310" s="93" t="s">
        <v>12098</v>
      </c>
      <c r="P310" s="93" t="s">
        <v>12162</v>
      </c>
      <c r="Q310" s="93"/>
      <c r="R310" s="45"/>
      <c r="S310" s="54" t="str">
        <f>IFERROR(VLOOKUP(BD_MO[DNI 4],#REF!,2,FALSE)," ")</f>
        <v xml:space="preserve"> </v>
      </c>
      <c r="T310" s="24">
        <f>+IF(BD_MO[[#This Row],[FECHA]]&lt;&gt;"",COUNTA(BD_MO[[#This Row],[DNI]],BD_MO[[#This Row],[DNI 2]],BD_MO[[#This Row],[DNI 3]],BD_MO[[#This Row],[DNI 4]]),"")</f>
        <v>2</v>
      </c>
      <c r="U310" s="24"/>
      <c r="V310" s="24"/>
      <c r="W310" s="24"/>
      <c r="X310" s="24">
        <v>2</v>
      </c>
      <c r="Y310" s="86">
        <f>SUM(BD_MO[[#This Row],[LIMP]:[SERV]])</f>
        <v>2</v>
      </c>
      <c r="Z310" s="46"/>
      <c r="AA310" s="46" t="str">
        <f>+IF(BD_MO[[#This Row],[N° VALE]]&lt;&gt;"",1,"")</f>
        <v/>
      </c>
      <c r="AB310" s="40"/>
      <c r="AC310" s="46"/>
      <c r="AD310" s="46" t="str">
        <f>+IF(BD_MO[[#This Row],[N° VALE]]&lt;&gt;"",BD_MO[[#This Row],[FULMINANTE N° 08]]+BD_MO[CARMEX 7''],"")</f>
        <v/>
      </c>
      <c r="AE310" s="46"/>
      <c r="AF310" s="46" t="str">
        <f>+IF(BD_MO[[#This Row],[N° VALE]]&lt;&gt;"",BD_MO[[#This Row],[N° TALADROS]]+BD_MO[[#This Row],[N° TAL. VACIOS]],"")</f>
        <v/>
      </c>
      <c r="AG310" s="55"/>
      <c r="AH310" s="55"/>
      <c r="AI310" s="55"/>
      <c r="AJ310" s="55"/>
      <c r="AK310" s="55"/>
      <c r="AL310" s="55"/>
      <c r="AM310" s="42"/>
      <c r="AN310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10" s="46" t="str">
        <f>+IF(BD_MO[[#This Row],[N° VALE]]&lt;&gt;"",IF(BD_MO[[#This Row],[FULMINANTE N° 08]]&lt;&gt;"",BD_MO[[#This Row],[FULMINANTE N° 08]],IF(BD_MO[[#This Row],[CARMEX 7'']]&lt;&gt;0,0,"")),"")</f>
        <v/>
      </c>
      <c r="AP310" s="24" t="str">
        <f>+IF(BD_MO[[#This Row],[N° VALE]]&lt;&gt;"",BD_MO[[#This Row],[N°  TOTAL TALADROS]]*BD_MO[[#This Row],[BARRA]]*0.95,"")</f>
        <v/>
      </c>
      <c r="AQ310" s="24" t="str">
        <f>+IF(BD_MO[[#This Row],[N° VALE]]&lt;&gt;"",BD_MO[[#This Row],[EMULNOR 1000 (N° CART.)]]*PE_EMUL_1000[PE],"")</f>
        <v/>
      </c>
      <c r="AR310" s="24" t="str">
        <f>+IF(BD_MO[[#This Row],[N° VALE]]&lt;&gt;"",BD_MO[[#This Row],[EMULNOR 3000 (N° CART.)]]*PE_EMUL_3000[PE],"")</f>
        <v/>
      </c>
      <c r="AS310" s="24" t="str">
        <f>+IF(BD_MO[[#This Row],[N° VALE]]&lt;&gt;"",BD_MO[[#This Row],[PULVERULENTA (N° CART.)]]*PE_PULV_65[PE],"")</f>
        <v/>
      </c>
      <c r="AT310" s="24" t="str">
        <f>+IF(BD_MO[[#This Row],[N° DISP]]&lt;&gt;"",BD_MO[[#This Row],[SEMIGELATINA (N° CART.)]]*PE_SEMIGEL_65[PE],"")</f>
        <v/>
      </c>
      <c r="AU310" s="24" t="str">
        <f>+IF(BD_MO[N° VALE]&lt;&gt;"",BD_MO[[#This Row],[KG EXPLO SEMIGEL]]+BD_MO[[#This Row],[KG EXPLO PULVE]]+BD_MO[[#This Row],[KG EXPLO EMULN 3000]]+BD_MO[[#This Row],[KG EXPLO EMULN 1000]],"")</f>
        <v/>
      </c>
      <c r="AV310" s="46"/>
      <c r="AW310" s="46"/>
      <c r="AX310" s="46" t="str">
        <f>+IF(BD_MO[[#This Row],[MINERAL (U-35)]]&lt;&gt;"",BD_MO[[#This Row],[MINERAL (U-35)]]*1.45,"-")</f>
        <v>-</v>
      </c>
      <c r="AY310" s="46" t="str">
        <f>+IF(BD_MO[[#This Row],[DESMONTE (U-35)]]&lt;&gt;"",BD_MO[[#This Row],[DESMONTE (U-35)]]*1.23,"-")</f>
        <v>-</v>
      </c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2"/>
      <c r="BO310" s="46"/>
      <c r="BP310" s="46"/>
      <c r="BQ310" s="42"/>
      <c r="BR310" s="46"/>
      <c r="BS310" s="42"/>
      <c r="BT310" s="24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24">
        <f>+IF(BD_MO[[#This Row],[FECHA]]&lt;&gt;"",BD_MO[[#This Row],[PUNTAL 4"]]+BD_MO[[#This Row],[PUNTAL 5"]]+BD_MO[[#This Row],[PUNTAL 6"]]+BD_MO[[#This Row],[PUNTAL 7"]]+BD_MO[[#This Row],[PUNTAL 8"]],"")</f>
        <v>0</v>
      </c>
      <c r="CQ310" s="46"/>
      <c r="CR310" s="46"/>
      <c r="CS310" s="46"/>
      <c r="CT310" s="46"/>
      <c r="CU310" s="46"/>
      <c r="CV310" s="46"/>
      <c r="CW310" s="46"/>
      <c r="CX310" s="46"/>
      <c r="CY310" s="24"/>
      <c r="CZ310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10" s="24">
        <f>+IF(BD_MO[[#This Row],[FECHA]]&lt;&gt;"",BD_MO[[#This Row],[DURMIENTE2]]*6.561+BD_MO[[#This Row],[LISTONES]]*4.921+BD_MO[[#This Row],[TABLA 1"x8"x3m]]*6.561+BD_MO[[#This Row],[TABLA 2"x8"x3m]]*13.122,"")</f>
        <v>0</v>
      </c>
      <c r="DB310" s="24">
        <f>+IF(BD_MO[[#This Row],[FECHA]]&lt;&gt;"",BD_MO[[#This Row],[PIE2 MADERA ASERRADA]]*1.95,"")</f>
        <v>0</v>
      </c>
      <c r="DC310" s="24">
        <f>+IF(BD_MO[[#This Row],[FECHA]]&lt;&gt;"",BD_MO[[#This Row],[KG. MADERA REDONDA]]+BD_MO[[#This Row],[KG MADERA ASERRADA]],"")</f>
        <v>0</v>
      </c>
      <c r="DD310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10" s="46"/>
      <c r="DF310" s="46"/>
      <c r="DG310" s="46"/>
      <c r="DH310" s="46"/>
      <c r="DI310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10" s="56"/>
      <c r="DK310" s="56"/>
      <c r="DL310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10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10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10" s="66"/>
      <c r="DP310" s="56" t="str">
        <f>+IF(BD_MO[[#This Row],[M o D]]&lt;&gt;"",IF(BD_MO[[#This Row],[M o D]]="M",BD_MO[[#This Row],[ROTURA TMH]]/2.65,BD_MO[[#This Row],[ROTURA TMH]]/2.4),"")</f>
        <v/>
      </c>
      <c r="DQ310" s="56"/>
      <c r="DR310" s="116" t="str">
        <f>IF(BD_MO[[#This Row],[TIPO AVANCE]]="Avance",((BD_MO[[#This Row],[AVANCE (m)]]/BD_MO[[#This Row],[AVANCE TEÓRICO]]))," ")</f>
        <v xml:space="preserve"> </v>
      </c>
      <c r="DS310" s="49"/>
      <c r="DT310" s="49"/>
      <c r="DU310" s="49"/>
      <c r="DV310" s="49"/>
      <c r="DW310" s="49"/>
      <c r="DX310" s="49"/>
      <c r="DY310" s="49"/>
      <c r="DZ310" s="49"/>
    </row>
    <row r="311" spans="1:130" s="115" customFormat="1" ht="18.75" customHeight="1" thickBot="1" x14ac:dyDescent="0.3">
      <c r="A311" s="130">
        <v>44669</v>
      </c>
      <c r="B311" s="117" t="s">
        <v>10647</v>
      </c>
      <c r="C311" s="117" t="s">
        <v>10668</v>
      </c>
      <c r="D311" s="118" t="s">
        <v>10717</v>
      </c>
      <c r="E311" s="119" t="str">
        <f>LEFT(BD_MO[[#This Row],[LABOR]],2)</f>
        <v>BO</v>
      </c>
      <c r="F311" s="120"/>
      <c r="G311" s="120" t="s">
        <v>10669</v>
      </c>
      <c r="H311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11" s="119" t="str">
        <f>IF(BD_MO[FECHA]&lt;&gt;"",VLOOKUP(BD_MO[LABOR],TB_CECO[[LABOR]:[CECO_T]],3,FALSE),"")</f>
        <v>CACHORRO</v>
      </c>
      <c r="J311" s="119" t="str">
        <f>IF(BD_MO[FECHA]&lt;&gt;"",VLOOKUP(BD_MO[LABOR],D_CECO!B:H,7,FALSE),"")</f>
        <v>SERVICIOS</v>
      </c>
      <c r="K311" s="119" t="str">
        <f>IF(BD_MO[FECHA]&lt;&gt;"",VLOOKUP(BD_MO[LABOR],D_CECO!B:H,4,FALSE),"")</f>
        <v>SERVICIOS</v>
      </c>
      <c r="L311" s="119"/>
      <c r="M311" s="117"/>
      <c r="N311" s="120"/>
      <c r="O311" s="121" t="s">
        <v>12118</v>
      </c>
      <c r="P311" s="121"/>
      <c r="Q311" s="121"/>
      <c r="R311" s="122"/>
      <c r="S311" s="123" t="str">
        <f>IFERROR(VLOOKUP(BD_MO[DNI 4],#REF!,2,FALSE)," ")</f>
        <v xml:space="preserve"> </v>
      </c>
      <c r="T311" s="124">
        <f>+IF(BD_MO[[#This Row],[FECHA]]&lt;&gt;"",COUNTA(BD_MO[[#This Row],[DNI]],BD_MO[[#This Row],[DNI 2]],BD_MO[[#This Row],[DNI 3]],BD_MO[[#This Row],[DNI 4]]),"")</f>
        <v>1</v>
      </c>
      <c r="U311" s="124"/>
      <c r="V311" s="124"/>
      <c r="W311" s="124"/>
      <c r="X311" s="124">
        <v>1</v>
      </c>
      <c r="Y311" s="125">
        <f>SUM(BD_MO[[#This Row],[LIMP]:[SERV]])</f>
        <v>1</v>
      </c>
      <c r="Z311" s="120"/>
      <c r="AA311" s="120" t="str">
        <f>+IF(BD_MO[[#This Row],[N° VALE]]&lt;&gt;"",1,"")</f>
        <v/>
      </c>
      <c r="AB311" s="117"/>
      <c r="AC311" s="120"/>
      <c r="AD311" s="120" t="str">
        <f>+IF(BD_MO[[#This Row],[N° VALE]]&lt;&gt;"",BD_MO[[#This Row],[FULMINANTE N° 08]]+BD_MO[CARMEX 7''],"")</f>
        <v/>
      </c>
      <c r="AE311" s="120"/>
      <c r="AF311" s="120" t="str">
        <f>+IF(BD_MO[[#This Row],[N° VALE]]&lt;&gt;"",BD_MO[[#This Row],[N° TALADROS]]+BD_MO[[#This Row],[N° TAL. VACIOS]],"")</f>
        <v/>
      </c>
      <c r="AG311" s="126"/>
      <c r="AH311" s="126"/>
      <c r="AI311" s="126"/>
      <c r="AJ311" s="126"/>
      <c r="AK311" s="126"/>
      <c r="AL311" s="126"/>
      <c r="AM311" s="119"/>
      <c r="AN311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11" s="120" t="str">
        <f>+IF(BD_MO[[#This Row],[N° VALE]]&lt;&gt;"",IF(BD_MO[[#This Row],[FULMINANTE N° 08]]&lt;&gt;"",BD_MO[[#This Row],[FULMINANTE N° 08]],IF(BD_MO[[#This Row],[CARMEX 7'']]&lt;&gt;0,0,"")),"")</f>
        <v/>
      </c>
      <c r="AP311" s="124" t="str">
        <f>+IF(BD_MO[[#This Row],[N° VALE]]&lt;&gt;"",BD_MO[[#This Row],[N°  TOTAL TALADROS]]*BD_MO[[#This Row],[BARRA]]*0.95,"")</f>
        <v/>
      </c>
      <c r="AQ311" s="124" t="str">
        <f>+IF(BD_MO[[#This Row],[N° VALE]]&lt;&gt;"",BD_MO[[#This Row],[EMULNOR 1000 (N° CART.)]]*PE_EMUL_1000[PE],"")</f>
        <v/>
      </c>
      <c r="AR311" s="124" t="str">
        <f>+IF(BD_MO[[#This Row],[N° VALE]]&lt;&gt;"",BD_MO[[#This Row],[EMULNOR 3000 (N° CART.)]]*PE_EMUL_3000[PE],"")</f>
        <v/>
      </c>
      <c r="AS311" s="124" t="str">
        <f>+IF(BD_MO[[#This Row],[N° VALE]]&lt;&gt;"",BD_MO[[#This Row],[PULVERULENTA (N° CART.)]]*PE_PULV_65[PE],"")</f>
        <v/>
      </c>
      <c r="AT311" s="124" t="str">
        <f>+IF(BD_MO[[#This Row],[N° DISP]]&lt;&gt;"",BD_MO[[#This Row],[SEMIGELATINA (N° CART.)]]*PE_SEMIGEL_65[PE],"")</f>
        <v/>
      </c>
      <c r="AU311" s="124" t="str">
        <f>+IF(BD_MO[N° VALE]&lt;&gt;"",BD_MO[[#This Row],[KG EXPLO SEMIGEL]]+BD_MO[[#This Row],[KG EXPLO PULVE]]+BD_MO[[#This Row],[KG EXPLO EMULN 3000]]+BD_MO[[#This Row],[KG EXPLO EMULN 1000]],"")</f>
        <v/>
      </c>
      <c r="AV311" s="120"/>
      <c r="AW311" s="120"/>
      <c r="AX311" s="120" t="str">
        <f>+IF(BD_MO[[#This Row],[MINERAL (U-35)]]&lt;&gt;"",BD_MO[[#This Row],[MINERAL (U-35)]]*1.45,"-")</f>
        <v>-</v>
      </c>
      <c r="AY311" s="120" t="str">
        <f>+IF(BD_MO[[#This Row],[DESMONTE (U-35)]]&lt;&gt;"",BD_MO[[#This Row],[DESMONTE (U-35)]]*1.23,"-")</f>
        <v>-</v>
      </c>
      <c r="AZ311" s="120"/>
      <c r="BA311" s="120"/>
      <c r="BB311" s="120"/>
      <c r="BC311" s="120"/>
      <c r="BD311" s="120"/>
      <c r="BE311" s="120"/>
      <c r="BF311" s="120"/>
      <c r="BG311" s="120"/>
      <c r="BH311" s="120"/>
      <c r="BI311" s="120"/>
      <c r="BJ311" s="120"/>
      <c r="BK311" s="120"/>
      <c r="BL311" s="120"/>
      <c r="BM311" s="120"/>
      <c r="BN311" s="119"/>
      <c r="BO311" s="120"/>
      <c r="BP311" s="120"/>
      <c r="BQ311" s="119"/>
      <c r="BR311" s="120"/>
      <c r="BS311" s="119"/>
      <c r="BT311" s="124"/>
      <c r="BU311" s="120"/>
      <c r="BV311" s="120"/>
      <c r="BW311" s="120"/>
      <c r="BX311" s="120"/>
      <c r="BY311" s="120"/>
      <c r="BZ311" s="120"/>
      <c r="CA311" s="120"/>
      <c r="CB311" s="120"/>
      <c r="CC311" s="120"/>
      <c r="CD311" s="120"/>
      <c r="CE311" s="120"/>
      <c r="CF311" s="120"/>
      <c r="CG311" s="120"/>
      <c r="CH311" s="120"/>
      <c r="CI311" s="120"/>
      <c r="CJ311" s="120"/>
      <c r="CK311" s="120"/>
      <c r="CL311" s="120"/>
      <c r="CM311" s="120"/>
      <c r="CN311" s="120"/>
      <c r="CO311" s="120"/>
      <c r="CP311" s="124">
        <f>+IF(BD_MO[[#This Row],[FECHA]]&lt;&gt;"",BD_MO[[#This Row],[PUNTAL 4"]]+BD_MO[[#This Row],[PUNTAL 5"]]+BD_MO[[#This Row],[PUNTAL 6"]]+BD_MO[[#This Row],[PUNTAL 7"]]+BD_MO[[#This Row],[PUNTAL 8"]],"")</f>
        <v>0</v>
      </c>
      <c r="CQ311" s="120"/>
      <c r="CR311" s="120"/>
      <c r="CS311" s="120"/>
      <c r="CT311" s="120"/>
      <c r="CU311" s="120"/>
      <c r="CV311" s="120"/>
      <c r="CW311" s="120"/>
      <c r="CX311" s="120"/>
      <c r="CY311" s="124"/>
      <c r="CZ311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11" s="124">
        <f>+IF(BD_MO[[#This Row],[FECHA]]&lt;&gt;"",BD_MO[[#This Row],[DURMIENTE2]]*6.561+BD_MO[[#This Row],[LISTONES]]*4.921+BD_MO[[#This Row],[TABLA 1"x8"x3m]]*6.561+BD_MO[[#This Row],[TABLA 2"x8"x3m]]*13.122,"")</f>
        <v>0</v>
      </c>
      <c r="DB311" s="124">
        <f>+IF(BD_MO[[#This Row],[FECHA]]&lt;&gt;"",BD_MO[[#This Row],[PIE2 MADERA ASERRADA]]*1.95,"")</f>
        <v>0</v>
      </c>
      <c r="DC311" s="124">
        <f>+IF(BD_MO[[#This Row],[FECHA]]&lt;&gt;"",BD_MO[[#This Row],[KG. MADERA REDONDA]]+BD_MO[[#This Row],[KG MADERA ASERRADA]],"")</f>
        <v>0</v>
      </c>
      <c r="DD311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11" s="120"/>
      <c r="DF311" s="120"/>
      <c r="DG311" s="120"/>
      <c r="DH311" s="120"/>
      <c r="DI311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11" s="128"/>
      <c r="DK311" s="128"/>
      <c r="DL311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11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11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11" s="66"/>
      <c r="DP311" s="128" t="str">
        <f>+IF(BD_MO[[#This Row],[M o D]]&lt;&gt;"",IF(BD_MO[[#This Row],[M o D]]="M",BD_MO[[#This Row],[ROTURA TMH]]/2.65,BD_MO[[#This Row],[ROTURA TMH]]/2.4),"")</f>
        <v/>
      </c>
      <c r="DQ311" s="128"/>
      <c r="DR311" s="116" t="str">
        <f>IF(BD_MO[[#This Row],[TIPO AVANCE]]="Avance",((BD_MO[[#This Row],[AVANCE (m)]]/BD_MO[[#This Row],[AVANCE TEÓRICO]]))," ")</f>
        <v xml:space="preserve"> </v>
      </c>
    </row>
    <row r="312" spans="1:130" ht="18.75" customHeight="1" x14ac:dyDescent="0.25">
      <c r="A312" s="92">
        <v>44669</v>
      </c>
      <c r="B312" s="40" t="s">
        <v>10655</v>
      </c>
      <c r="C312" s="40" t="s">
        <v>10672</v>
      </c>
      <c r="D312" s="61" t="s">
        <v>11827</v>
      </c>
      <c r="E312" s="42" t="str">
        <f>LEFT(BD_MO[[#This Row],[LABOR]],2)</f>
        <v>Tj</v>
      </c>
      <c r="F312" s="46" t="s">
        <v>10687</v>
      </c>
      <c r="G312" s="46" t="s">
        <v>10648</v>
      </c>
      <c r="H312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12" s="42" t="str">
        <f>IF(BD_MO[FECHA]&lt;&gt;"",VLOOKUP(BD_MO[LABOR],TB_CECO[[LABOR]:[CECO_T]],3,FALSE),"")</f>
        <v>VANESSA</v>
      </c>
      <c r="J312" s="42" t="str">
        <f>IF(BD_MO[FECHA]&lt;&gt;"",VLOOKUP(BD_MO[LABOR],D_CECO!B:H,7,FALSE),"")</f>
        <v>TAJO</v>
      </c>
      <c r="K312" s="42" t="str">
        <f>IF(BD_MO[FECHA]&lt;&gt;"",VLOOKUP(BD_MO[LABOR],D_CECO!B:H,4,FALSE),"")</f>
        <v>EXPLOTACION</v>
      </c>
      <c r="L312" s="42"/>
      <c r="M312" s="48" t="s">
        <v>10661</v>
      </c>
      <c r="N312" s="46"/>
      <c r="O312" s="93" t="s">
        <v>12192</v>
      </c>
      <c r="P312" s="93" t="s">
        <v>12205</v>
      </c>
      <c r="Q312" s="93"/>
      <c r="R312" s="45"/>
      <c r="S312" s="54" t="str">
        <f>IFERROR(VLOOKUP(BD_MO[DNI 4],#REF!,2,FALSE)," ")</f>
        <v xml:space="preserve"> </v>
      </c>
      <c r="T312" s="24">
        <f>+IF(BD_MO[[#This Row],[FECHA]]&lt;&gt;"",COUNTA(BD_MO[[#This Row],[DNI]],BD_MO[[#This Row],[DNI 2]],BD_MO[[#This Row],[DNI 3]],BD_MO[[#This Row],[DNI 4]]),"")</f>
        <v>2</v>
      </c>
      <c r="U312" s="24">
        <v>0.76</v>
      </c>
      <c r="V312" s="24">
        <v>0.28000000000000003</v>
      </c>
      <c r="W312" s="24">
        <v>0.57999999999999996</v>
      </c>
      <c r="X312" s="24">
        <v>0.38</v>
      </c>
      <c r="Y312" s="86">
        <f>SUM(BD_MO[[#This Row],[LIMP]:[SERV]])</f>
        <v>2</v>
      </c>
      <c r="Z312" s="46" t="s">
        <v>12313</v>
      </c>
      <c r="AA312" s="46">
        <f>+IF(BD_MO[[#This Row],[N° VALE]]&lt;&gt;"",1,"")</f>
        <v>1</v>
      </c>
      <c r="AB312" s="40" t="s">
        <v>10691</v>
      </c>
      <c r="AC312" s="46">
        <v>4</v>
      </c>
      <c r="AD312" s="46">
        <v>40</v>
      </c>
      <c r="AE312" s="46"/>
      <c r="AF312" s="46">
        <f>+IF(BD_MO[[#This Row],[N° VALE]]&lt;&gt;"",BD_MO[[#This Row],[N° TALADROS]]+BD_MO[[#This Row],[N° TAL. VACIOS]],"")</f>
        <v>40</v>
      </c>
      <c r="AG312" s="55">
        <v>110</v>
      </c>
      <c r="AH312" s="55">
        <v>90</v>
      </c>
      <c r="AI312" s="55"/>
      <c r="AJ312" s="55"/>
      <c r="AK312" s="55">
        <v>50</v>
      </c>
      <c r="AL312" s="55">
        <v>10</v>
      </c>
      <c r="AM312" s="42"/>
      <c r="AN312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12" s="46">
        <f>+IF(BD_MO[[#This Row],[N° VALE]]&lt;&gt;"",IF(BD_MO[[#This Row],[FULMINANTE N° 08]]&lt;&gt;"",BD_MO[[#This Row],[FULMINANTE N° 08]],IF(BD_MO[[#This Row],[CARMEX 7'']]&lt;&gt;0,0,"")),"")</f>
        <v>0</v>
      </c>
      <c r="AP312" s="24">
        <f>+IF(BD_MO[[#This Row],[N° VALE]]&lt;&gt;"",BD_MO[[#This Row],[N°  TOTAL TALADROS]]*BD_MO[[#This Row],[BARRA]]*0.95,"")</f>
        <v>152</v>
      </c>
      <c r="AQ312" s="24">
        <f>+IF(BD_MO[[#This Row],[N° VALE]]&lt;&gt;"",BD_MO[[#This Row],[EMULNOR 1000 (N° CART.)]]*PE_EMUL_1000[PE],"")</f>
        <v>8.5229999999999997</v>
      </c>
      <c r="AR312" s="24">
        <f>+IF(BD_MO[[#This Row],[N° VALE]]&lt;&gt;"",BD_MO[[#This Row],[EMULNOR 3000 (N° CART.)]]*PE_EMUL_3000[PE],"")</f>
        <v>10.576923076923082</v>
      </c>
      <c r="AS312" s="24">
        <f>+IF(BD_MO[[#This Row],[N° VALE]]&lt;&gt;"",BD_MO[[#This Row],[PULVERULENTA (N° CART.)]]*PE_PULV_65[PE],"")</f>
        <v>0</v>
      </c>
      <c r="AT312" s="24">
        <f>+IF(BD_MO[[#This Row],[N° DISP]]&lt;&gt;"",BD_MO[[#This Row],[SEMIGELATINA (N° CART.)]]*PE_SEMIGEL_65[PE],"")</f>
        <v>0</v>
      </c>
      <c r="AU312" s="24">
        <f>+IF(BD_MO[N° VALE]&lt;&gt;"",BD_MO[[#This Row],[KG EXPLO SEMIGEL]]+BD_MO[[#This Row],[KG EXPLO PULVE]]+BD_MO[[#This Row],[KG EXPLO EMULN 3000]]+BD_MO[[#This Row],[KG EXPLO EMULN 1000]],"")</f>
        <v>19.099923076923083</v>
      </c>
      <c r="AV312" s="46">
        <v>18</v>
      </c>
      <c r="AW312" s="46"/>
      <c r="AX312" s="46">
        <f>+IF(BD_MO[[#This Row],[MINERAL (U-35)]]&lt;&gt;"",BD_MO[[#This Row],[MINERAL (U-35)]]*1.45,"-")</f>
        <v>26.099999999999998</v>
      </c>
      <c r="AY312" s="46" t="str">
        <f>+IF(BD_MO[[#This Row],[DESMONTE (U-35)]]&lt;&gt;"",BD_MO[[#This Row],[DESMONTE (U-35)]]*1.23,"-")</f>
        <v>-</v>
      </c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>
        <v>1</v>
      </c>
      <c r="BK312" s="46"/>
      <c r="BL312" s="46"/>
      <c r="BM312" s="46"/>
      <c r="BN312" s="42">
        <v>3.6</v>
      </c>
      <c r="BO312" s="46"/>
      <c r="BP312" s="46"/>
      <c r="BQ312" s="42"/>
      <c r="BR312" s="46"/>
      <c r="BS312" s="42"/>
      <c r="BT312" s="24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>
        <v>1</v>
      </c>
      <c r="CO312" s="46"/>
      <c r="CP312" s="24">
        <f>+IF(BD_MO[[#This Row],[FECHA]]&lt;&gt;"",BD_MO[[#This Row],[PUNTAL 4"]]+BD_MO[[#This Row],[PUNTAL 5"]]+BD_MO[[#This Row],[PUNTAL 6"]]+BD_MO[[#This Row],[PUNTAL 7"]]+BD_MO[[#This Row],[PUNTAL 8"]],"")</f>
        <v>1</v>
      </c>
      <c r="CQ312" s="46"/>
      <c r="CR312" s="46"/>
      <c r="CS312" s="46">
        <v>6</v>
      </c>
      <c r="CT312" s="46"/>
      <c r="CU312" s="46"/>
      <c r="CV312" s="46"/>
      <c r="CW312" s="46"/>
      <c r="CX312" s="46"/>
      <c r="CY312" s="24"/>
      <c r="CZ312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208.67900000000003</v>
      </c>
      <c r="DA312" s="24">
        <f>+IF(BD_MO[[#This Row],[FECHA]]&lt;&gt;"",BD_MO[[#This Row],[DURMIENTE2]]*6.561+BD_MO[[#This Row],[LISTONES]]*4.921+BD_MO[[#This Row],[TABLA 1"x8"x3m]]*6.561+BD_MO[[#This Row],[TABLA 2"x8"x3m]]*13.122,"")</f>
        <v>0</v>
      </c>
      <c r="DB312" s="24">
        <f>+IF(BD_MO[[#This Row],[FECHA]]&lt;&gt;"",BD_MO[[#This Row],[PIE2 MADERA ASERRADA]]*1.95,"")</f>
        <v>0</v>
      </c>
      <c r="DC312" s="24">
        <f>+IF(BD_MO[[#This Row],[FECHA]]&lt;&gt;"",BD_MO[[#This Row],[KG. MADERA REDONDA]]+BD_MO[[#This Row],[KG MADERA ASERRADA]],"")</f>
        <v>208.67900000000003</v>
      </c>
      <c r="DD312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91.539999999999992</v>
      </c>
      <c r="DE312" s="46"/>
      <c r="DF312" s="46"/>
      <c r="DG312" s="46"/>
      <c r="DH312" s="46"/>
      <c r="DI312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12" s="56"/>
      <c r="DK312" s="56"/>
      <c r="DL312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9.33</v>
      </c>
      <c r="DM312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9.7032000000000007</v>
      </c>
      <c r="DN312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12" s="66">
        <v>14.23</v>
      </c>
      <c r="DP312" s="56">
        <f>+IF(BD_MO[[#This Row],[M o D]]&lt;&gt;"",IF(BD_MO[[#This Row],[M o D]]="M",BD_MO[[#This Row],[ROTURA TMH]]/2.65,BD_MO[[#This Row],[ROTURA TMH]]/2.4),"")</f>
        <v>5.9291666666666671</v>
      </c>
      <c r="DQ312" s="56"/>
      <c r="DR312" s="116" t="str">
        <f>IF(BD_MO[[#This Row],[TIPO AVANCE]]="Avance",((BD_MO[[#This Row],[AVANCE (m)]]/BD_MO[[#This Row],[AVANCE TEÓRICO]]))," ")</f>
        <v xml:space="preserve"> </v>
      </c>
      <c r="DS312" s="49"/>
      <c r="DT312" s="49"/>
      <c r="DU312" s="49"/>
      <c r="DV312" s="49"/>
      <c r="DW312" s="49"/>
      <c r="DX312" s="49"/>
      <c r="DY312" s="49"/>
      <c r="DZ312" s="49"/>
    </row>
    <row r="313" spans="1:130" ht="18.75" customHeight="1" x14ac:dyDescent="0.25">
      <c r="A313" s="328">
        <v>44669</v>
      </c>
      <c r="B313" s="329" t="s">
        <v>10655</v>
      </c>
      <c r="C313" s="329" t="s">
        <v>10672</v>
      </c>
      <c r="D313" s="61" t="s">
        <v>11827</v>
      </c>
      <c r="E313" s="330" t="str">
        <f>LEFT(BD_MO[[#This Row],[LABOR]],2)</f>
        <v>Tj</v>
      </c>
      <c r="F313" s="331" t="s">
        <v>10950</v>
      </c>
      <c r="G313" s="331" t="s">
        <v>10648</v>
      </c>
      <c r="H313" s="330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13" s="330" t="str">
        <f>IF(BD_MO[FECHA]&lt;&gt;"",VLOOKUP(BD_MO[LABOR],TB_CECO[[LABOR]:[CECO_T]],3,FALSE),"")</f>
        <v>VANESSA</v>
      </c>
      <c r="J313" s="330" t="str">
        <f>IF(BD_MO[FECHA]&lt;&gt;"",VLOOKUP(BD_MO[LABOR],D_CECO!B:H,7,FALSE),"")</f>
        <v>TAJO</v>
      </c>
      <c r="K313" s="330" t="str">
        <f>IF(BD_MO[FECHA]&lt;&gt;"",VLOOKUP(BD_MO[LABOR],D_CECO!B:H,4,FALSE),"")</f>
        <v>EXPLOTACION</v>
      </c>
      <c r="L313" s="330"/>
      <c r="M313" s="332" t="s">
        <v>10686</v>
      </c>
      <c r="N313" s="331"/>
      <c r="O313" s="333" t="s">
        <v>12194</v>
      </c>
      <c r="P313" s="333"/>
      <c r="Q313" s="333"/>
      <c r="R313" s="334"/>
      <c r="S313" s="335" t="str">
        <f>IFERROR(VLOOKUP(BD_MO[DNI 4],#REF!,2,FALSE)," ")</f>
        <v xml:space="preserve"> </v>
      </c>
      <c r="T313" s="336">
        <f>+IF(BD_MO[[#This Row],[FECHA]]&lt;&gt;"",COUNTA(BD_MO[[#This Row],[DNI]],BD_MO[[#This Row],[DNI 2]],BD_MO[[#This Row],[DNI 3]],BD_MO[[#This Row],[DNI 4]]),"")</f>
        <v>1</v>
      </c>
      <c r="U313" s="336">
        <v>0.52</v>
      </c>
      <c r="V313" s="336">
        <v>0.28999999999999998</v>
      </c>
      <c r="W313" s="336"/>
      <c r="X313" s="336">
        <v>0.19</v>
      </c>
      <c r="Y313" s="337">
        <f>SUM(BD_MO[[#This Row],[LIMP]:[SERV]])</f>
        <v>1</v>
      </c>
      <c r="Z313" s="331" t="s">
        <v>12314</v>
      </c>
      <c r="AA313" s="331">
        <f>+IF(BD_MO[[#This Row],[N° VALE]]&lt;&gt;"",1,"")</f>
        <v>1</v>
      </c>
      <c r="AB313" s="329" t="s">
        <v>10670</v>
      </c>
      <c r="AC313" s="331">
        <v>4</v>
      </c>
      <c r="AD313" s="331">
        <f>+IF(BD_MO[[#This Row],[N° VALE]]&lt;&gt;"",BD_MO[[#This Row],[FULMINANTE N° 08]]+BD_MO[CARMEX 7''],"")</f>
        <v>15</v>
      </c>
      <c r="AE313" s="331"/>
      <c r="AF313" s="331">
        <f>+IF(BD_MO[[#This Row],[N° VALE]]&lt;&gt;"",BD_MO[[#This Row],[N° TALADROS]]+BD_MO[[#This Row],[N° TAL. VACIOS]],"")</f>
        <v>15</v>
      </c>
      <c r="AG313" s="338">
        <v>50</v>
      </c>
      <c r="AH313" s="338">
        <v>48</v>
      </c>
      <c r="AI313" s="338"/>
      <c r="AJ313" s="338"/>
      <c r="AK313" s="338">
        <v>15</v>
      </c>
      <c r="AL313" s="338">
        <v>5</v>
      </c>
      <c r="AM313" s="330"/>
      <c r="AN313" s="331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13" s="331">
        <f>+IF(BD_MO[[#This Row],[N° VALE]]&lt;&gt;"",IF(BD_MO[[#This Row],[FULMINANTE N° 08]]&lt;&gt;"",BD_MO[[#This Row],[FULMINANTE N° 08]],IF(BD_MO[[#This Row],[CARMEX 7'']]&lt;&gt;0,0,"")),"")</f>
        <v>0</v>
      </c>
      <c r="AP313" s="336">
        <f>+IF(BD_MO[[#This Row],[N° VALE]]&lt;&gt;"",BD_MO[[#This Row],[N°  TOTAL TALADROS]]*BD_MO[[#This Row],[BARRA]]*0.95,"")</f>
        <v>57</v>
      </c>
      <c r="AQ313" s="336">
        <f>+IF(BD_MO[[#This Row],[N° VALE]]&lt;&gt;"",BD_MO[[#This Row],[EMULNOR 1000 (N° CART.)]]*PE_EMUL_1000[PE],"")</f>
        <v>4.5456000000000003</v>
      </c>
      <c r="AR313" s="336">
        <f>+IF(BD_MO[[#This Row],[N° VALE]]&lt;&gt;"",BD_MO[[#This Row],[EMULNOR 3000 (N° CART.)]]*PE_EMUL_3000[PE],"")</f>
        <v>4.8076923076923102</v>
      </c>
      <c r="AS313" s="336">
        <f>+IF(BD_MO[[#This Row],[N° VALE]]&lt;&gt;"",BD_MO[[#This Row],[PULVERULENTA (N° CART.)]]*PE_PULV_65[PE],"")</f>
        <v>0</v>
      </c>
      <c r="AT313" s="336">
        <f>+IF(BD_MO[[#This Row],[N° DISP]]&lt;&gt;"",BD_MO[[#This Row],[SEMIGELATINA (N° CART.)]]*PE_SEMIGEL_65[PE],"")</f>
        <v>0</v>
      </c>
      <c r="AU313" s="336">
        <f>+IF(BD_MO[N° VALE]&lt;&gt;"",BD_MO[[#This Row],[KG EXPLO SEMIGEL]]+BD_MO[[#This Row],[KG EXPLO PULVE]]+BD_MO[[#This Row],[KG EXPLO EMULN 3000]]+BD_MO[[#This Row],[KG EXPLO EMULN 1000]],"")</f>
        <v>9.3532923076923105</v>
      </c>
      <c r="AV313" s="331"/>
      <c r="AW313" s="331"/>
      <c r="AX313" s="331" t="str">
        <f>+IF(BD_MO[[#This Row],[MINERAL (U-35)]]&lt;&gt;"",BD_MO[[#This Row],[MINERAL (U-35)]]*1.45,"-")</f>
        <v>-</v>
      </c>
      <c r="AY313" s="331" t="str">
        <f>+IF(BD_MO[[#This Row],[DESMONTE (U-35)]]&lt;&gt;"",BD_MO[[#This Row],[DESMONTE (U-35)]]*1.23,"-")</f>
        <v>-</v>
      </c>
      <c r="AZ313" s="331"/>
      <c r="BA313" s="331"/>
      <c r="BB313" s="331"/>
      <c r="BC313" s="331"/>
      <c r="BD313" s="331"/>
      <c r="BE313" s="331"/>
      <c r="BF313" s="331"/>
      <c r="BG313" s="331"/>
      <c r="BH313" s="331"/>
      <c r="BI313" s="331"/>
      <c r="BJ313" s="331"/>
      <c r="BK313" s="331"/>
      <c r="BL313" s="331"/>
      <c r="BM313" s="331"/>
      <c r="BN313" s="330"/>
      <c r="BO313" s="331"/>
      <c r="BP313" s="331"/>
      <c r="BQ313" s="330"/>
      <c r="BR313" s="331"/>
      <c r="BS313" s="330">
        <f>1.8*1.2</f>
        <v>2.16</v>
      </c>
      <c r="BT313" s="336"/>
      <c r="BU313" s="331"/>
      <c r="BV313" s="331"/>
      <c r="BW313" s="331"/>
      <c r="BX313" s="331"/>
      <c r="BY313" s="331"/>
      <c r="BZ313" s="331"/>
      <c r="CA313" s="331"/>
      <c r="CB313" s="331"/>
      <c r="CC313" s="331"/>
      <c r="CD313" s="331"/>
      <c r="CE313" s="331"/>
      <c r="CF313" s="331"/>
      <c r="CG313" s="331"/>
      <c r="CH313" s="331"/>
      <c r="CI313" s="331"/>
      <c r="CJ313" s="331"/>
      <c r="CK313" s="331"/>
      <c r="CL313" s="331"/>
      <c r="CM313" s="331"/>
      <c r="CN313" s="331"/>
      <c r="CO313" s="331"/>
      <c r="CP313" s="336">
        <f>+IF(BD_MO[[#This Row],[FECHA]]&lt;&gt;"",BD_MO[[#This Row],[PUNTAL 4"]]+BD_MO[[#This Row],[PUNTAL 5"]]+BD_MO[[#This Row],[PUNTAL 6"]]+BD_MO[[#This Row],[PUNTAL 7"]]+BD_MO[[#This Row],[PUNTAL 8"]],"")</f>
        <v>0</v>
      </c>
      <c r="CQ313" s="331"/>
      <c r="CR313" s="331"/>
      <c r="CS313" s="331"/>
      <c r="CT313" s="331"/>
      <c r="CU313" s="331"/>
      <c r="CV313" s="331"/>
      <c r="CW313" s="331"/>
      <c r="CX313" s="331"/>
      <c r="CY313" s="336"/>
      <c r="CZ313" s="33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13" s="336">
        <f>+IF(BD_MO[[#This Row],[FECHA]]&lt;&gt;"",BD_MO[[#This Row],[DURMIENTE2]]*6.561+BD_MO[[#This Row],[LISTONES]]*4.921+BD_MO[[#This Row],[TABLA 1"x8"x3m]]*6.561+BD_MO[[#This Row],[TABLA 2"x8"x3m]]*13.122,"")</f>
        <v>0</v>
      </c>
      <c r="DB313" s="336">
        <f>+IF(BD_MO[[#This Row],[FECHA]]&lt;&gt;"",BD_MO[[#This Row],[PIE2 MADERA ASERRADA]]*1.95,"")</f>
        <v>0</v>
      </c>
      <c r="DC313" s="336">
        <f>+IF(BD_MO[[#This Row],[FECHA]]&lt;&gt;"",BD_MO[[#This Row],[KG. MADERA REDONDA]]+BD_MO[[#This Row],[KG MADERA ASERRADA]],"")</f>
        <v>0</v>
      </c>
      <c r="DD313" s="33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13" s="331"/>
      <c r="DF313" s="331"/>
      <c r="DG313" s="331"/>
      <c r="DH313" s="331"/>
      <c r="DI313" s="340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13" s="340"/>
      <c r="DK313" s="340"/>
      <c r="DL313" s="340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3.5</v>
      </c>
      <c r="DM313" s="340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3.64</v>
      </c>
      <c r="DN313" s="340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13" s="50">
        <f>22*0.4873</f>
        <v>10.720600000000001</v>
      </c>
      <c r="DP313" s="340">
        <f>+IF(BD_MO[[#This Row],[M o D]]&lt;&gt;"",IF(BD_MO[[#This Row],[M o D]]="M",BD_MO[[#This Row],[ROTURA TMH]]/2.65,BD_MO[[#This Row],[ROTURA TMH]]/2.4),"")</f>
        <v>4.0455094339622644</v>
      </c>
      <c r="DQ313" s="340"/>
      <c r="DR313" s="116" t="str">
        <f>IF(BD_MO[[#This Row],[TIPO AVANCE]]="Avance",((BD_MO[[#This Row],[AVANCE (m)]]/BD_MO[[#This Row],[AVANCE TEÓRICO]]))," ")</f>
        <v xml:space="preserve"> </v>
      </c>
      <c r="DS313" s="49"/>
      <c r="DT313" s="49"/>
      <c r="DU313" s="49"/>
      <c r="DV313" s="49"/>
      <c r="DW313" s="49"/>
      <c r="DX313" s="49"/>
      <c r="DY313" s="49"/>
      <c r="DZ313" s="49"/>
    </row>
    <row r="314" spans="1:130" ht="18.75" customHeight="1" x14ac:dyDescent="0.25">
      <c r="A314" s="92">
        <v>44669</v>
      </c>
      <c r="B314" s="40" t="s">
        <v>10655</v>
      </c>
      <c r="C314" s="40" t="s">
        <v>10672</v>
      </c>
      <c r="D314" s="61" t="s">
        <v>11827</v>
      </c>
      <c r="E314" s="42" t="str">
        <f>LEFT(BD_MO[[#This Row],[LABOR]],2)</f>
        <v>Tj</v>
      </c>
      <c r="F314" s="46" t="s">
        <v>10950</v>
      </c>
      <c r="G314" s="46" t="s">
        <v>10648</v>
      </c>
      <c r="H314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14" s="42" t="str">
        <f>IF(BD_MO[FECHA]&lt;&gt;"",VLOOKUP(BD_MO[LABOR],TB_CECO[[LABOR]:[CECO_T]],3,FALSE),"")</f>
        <v>VANESSA</v>
      </c>
      <c r="J314" s="42" t="str">
        <f>IF(BD_MO[FECHA]&lt;&gt;"",VLOOKUP(BD_MO[LABOR],D_CECO!B:H,7,FALSE),"")</f>
        <v>TAJO</v>
      </c>
      <c r="K314" s="42" t="str">
        <f>IF(BD_MO[FECHA]&lt;&gt;"",VLOOKUP(BD_MO[LABOR],D_CECO!B:H,4,FALSE),"")</f>
        <v>EXPLOTACION</v>
      </c>
      <c r="L314" s="42"/>
      <c r="M314" s="48" t="s">
        <v>10686</v>
      </c>
      <c r="N314" s="46"/>
      <c r="O314" s="93" t="s">
        <v>12195</v>
      </c>
      <c r="P314" s="93"/>
      <c r="Q314" s="93"/>
      <c r="R314" s="45"/>
      <c r="S314" s="54" t="str">
        <f>IFERROR(VLOOKUP(BD_MO[DNI 4],#REF!,2,FALSE)," ")</f>
        <v xml:space="preserve"> </v>
      </c>
      <c r="T314" s="24">
        <f>+IF(BD_MO[[#This Row],[FECHA]]&lt;&gt;"",COUNTA(BD_MO[[#This Row],[DNI]],BD_MO[[#This Row],[DNI 2]],BD_MO[[#This Row],[DNI 3]],BD_MO[[#This Row],[DNI 4]]),"")</f>
        <v>1</v>
      </c>
      <c r="U314" s="24">
        <v>0.52</v>
      </c>
      <c r="V314" s="24">
        <v>0.28999999999999998</v>
      </c>
      <c r="W314" s="24"/>
      <c r="X314" s="24">
        <v>0.19</v>
      </c>
      <c r="Y314" s="86">
        <f>SUM(BD_MO[[#This Row],[LIMP]:[SERV]])</f>
        <v>1</v>
      </c>
      <c r="Z314" s="46" t="s">
        <v>12315</v>
      </c>
      <c r="AA314" s="46">
        <f>+IF(BD_MO[[#This Row],[N° VALE]]&lt;&gt;"",1,"")</f>
        <v>1</v>
      </c>
      <c r="AB314" s="40" t="s">
        <v>10670</v>
      </c>
      <c r="AC314" s="46">
        <v>4</v>
      </c>
      <c r="AD314" s="46">
        <f>+IF(BD_MO[[#This Row],[N° VALE]]&lt;&gt;"",BD_MO[[#This Row],[FULMINANTE N° 08]]+BD_MO[CARMEX 7''],"")</f>
        <v>20</v>
      </c>
      <c r="AE314" s="46"/>
      <c r="AF314" s="46">
        <f>+IF(BD_MO[[#This Row],[N° VALE]]&lt;&gt;"",BD_MO[[#This Row],[N° TALADROS]]+BD_MO[[#This Row],[N° TAL. VACIOS]],"")</f>
        <v>20</v>
      </c>
      <c r="AG314" s="55">
        <v>17</v>
      </c>
      <c r="AH314" s="55">
        <v>47</v>
      </c>
      <c r="AI314" s="55"/>
      <c r="AJ314" s="55"/>
      <c r="AK314" s="55">
        <v>20</v>
      </c>
      <c r="AL314" s="55">
        <v>5</v>
      </c>
      <c r="AM314" s="42"/>
      <c r="AN314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14" s="46">
        <f>+IF(BD_MO[[#This Row],[N° VALE]]&lt;&gt;"",IF(BD_MO[[#This Row],[FULMINANTE N° 08]]&lt;&gt;"",BD_MO[[#This Row],[FULMINANTE N° 08]],IF(BD_MO[[#This Row],[CARMEX 7'']]&lt;&gt;0,0,"")),"")</f>
        <v>0</v>
      </c>
      <c r="AP314" s="24">
        <f>+IF(BD_MO[[#This Row],[N° VALE]]&lt;&gt;"",BD_MO[[#This Row],[N°  TOTAL TALADROS]]*BD_MO[[#This Row],[BARRA]]*0.95,"")</f>
        <v>76</v>
      </c>
      <c r="AQ314" s="24">
        <f>+IF(BD_MO[[#This Row],[N° VALE]]&lt;&gt;"",BD_MO[[#This Row],[EMULNOR 1000 (N° CART.)]]*PE_EMUL_1000[PE],"")</f>
        <v>4.4509000000000007</v>
      </c>
      <c r="AR314" s="24">
        <f>+IF(BD_MO[[#This Row],[N° VALE]]&lt;&gt;"",BD_MO[[#This Row],[EMULNOR 3000 (N° CART.)]]*PE_EMUL_3000[PE],"")</f>
        <v>1.6346153846153855</v>
      </c>
      <c r="AS314" s="24">
        <f>+IF(BD_MO[[#This Row],[N° VALE]]&lt;&gt;"",BD_MO[[#This Row],[PULVERULENTA (N° CART.)]]*PE_PULV_65[PE],"")</f>
        <v>0</v>
      </c>
      <c r="AT314" s="24">
        <f>+IF(BD_MO[[#This Row],[N° DISP]]&lt;&gt;"",BD_MO[[#This Row],[SEMIGELATINA (N° CART.)]]*PE_SEMIGEL_65[PE],"")</f>
        <v>0</v>
      </c>
      <c r="AU314" s="24">
        <f>+IF(BD_MO[N° VALE]&lt;&gt;"",BD_MO[[#This Row],[KG EXPLO SEMIGEL]]+BD_MO[[#This Row],[KG EXPLO PULVE]]+BD_MO[[#This Row],[KG EXPLO EMULN 3000]]+BD_MO[[#This Row],[KG EXPLO EMULN 1000]],"")</f>
        <v>6.0855153846153858</v>
      </c>
      <c r="AV314" s="46"/>
      <c r="AW314" s="46"/>
      <c r="AX314" s="46" t="str">
        <f>+IF(BD_MO[[#This Row],[MINERAL (U-35)]]&lt;&gt;"",BD_MO[[#This Row],[MINERAL (U-35)]]*1.45,"-")</f>
        <v>-</v>
      </c>
      <c r="AY314" s="46" t="str">
        <f>+IF(BD_MO[[#This Row],[DESMONTE (U-35)]]&lt;&gt;"",BD_MO[[#This Row],[DESMONTE (U-35)]]*1.23,"-")</f>
        <v>-</v>
      </c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2"/>
      <c r="BO314" s="46"/>
      <c r="BP314" s="46"/>
      <c r="BQ314" s="42"/>
      <c r="BR314" s="46"/>
      <c r="BS314" s="42"/>
      <c r="BT314" s="24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24">
        <f>+IF(BD_MO[[#This Row],[FECHA]]&lt;&gt;"",BD_MO[[#This Row],[PUNTAL 4"]]+BD_MO[[#This Row],[PUNTAL 5"]]+BD_MO[[#This Row],[PUNTAL 6"]]+BD_MO[[#This Row],[PUNTAL 7"]]+BD_MO[[#This Row],[PUNTAL 8"]],"")</f>
        <v>0</v>
      </c>
      <c r="CQ314" s="46"/>
      <c r="CR314" s="46"/>
      <c r="CS314" s="46"/>
      <c r="CT314" s="46"/>
      <c r="CU314" s="46"/>
      <c r="CV314" s="46"/>
      <c r="CW314" s="46"/>
      <c r="CX314" s="46"/>
      <c r="CY314" s="24"/>
      <c r="CZ314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14" s="24">
        <f>+IF(BD_MO[[#This Row],[FECHA]]&lt;&gt;"",BD_MO[[#This Row],[DURMIENTE2]]*6.561+BD_MO[[#This Row],[LISTONES]]*4.921+BD_MO[[#This Row],[TABLA 1"x8"x3m]]*6.561+BD_MO[[#This Row],[TABLA 2"x8"x3m]]*13.122,"")</f>
        <v>0</v>
      </c>
      <c r="DB314" s="24">
        <f>+IF(BD_MO[[#This Row],[FECHA]]&lt;&gt;"",BD_MO[[#This Row],[PIE2 MADERA ASERRADA]]*1.95,"")</f>
        <v>0</v>
      </c>
      <c r="DC314" s="24">
        <f>+IF(BD_MO[[#This Row],[FECHA]]&lt;&gt;"",BD_MO[[#This Row],[KG. MADERA REDONDA]]+BD_MO[[#This Row],[KG MADERA ASERRADA]],"")</f>
        <v>0</v>
      </c>
      <c r="DD314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14" s="46"/>
      <c r="DF314" s="46"/>
      <c r="DG314" s="46"/>
      <c r="DH314" s="46"/>
      <c r="DI314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14" s="56"/>
      <c r="DK314" s="56"/>
      <c r="DL314" s="5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4.67</v>
      </c>
      <c r="DM314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4.8567999999999998</v>
      </c>
      <c r="DN314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14" s="50">
        <v>12.58</v>
      </c>
      <c r="DP314" s="56">
        <f>+IF(BD_MO[[#This Row],[M o D]]&lt;&gt;"",IF(BD_MO[[#This Row],[M o D]]="M",BD_MO[[#This Row],[ROTURA TMH]]/2.65,BD_MO[[#This Row],[ROTURA TMH]]/2.4),"")</f>
        <v>4.747169811320755</v>
      </c>
      <c r="DQ314" s="56"/>
      <c r="DR314" s="116" t="str">
        <f>IF(BD_MO[[#This Row],[TIPO AVANCE]]="Avance",((BD_MO[[#This Row],[AVANCE (m)]]/BD_MO[[#This Row],[AVANCE TEÓRICO]]))," ")</f>
        <v xml:space="preserve"> </v>
      </c>
      <c r="DS314" s="49"/>
      <c r="DT314" s="49"/>
      <c r="DU314" s="49"/>
      <c r="DV314" s="49"/>
      <c r="DW314" s="49"/>
      <c r="DX314" s="49"/>
      <c r="DY314" s="49"/>
      <c r="DZ314" s="49"/>
    </row>
    <row r="315" spans="1:130" ht="18.75" customHeight="1" x14ac:dyDescent="0.25">
      <c r="A315" s="92">
        <v>44669</v>
      </c>
      <c r="B315" s="40" t="s">
        <v>10655</v>
      </c>
      <c r="C315" s="40" t="s">
        <v>10672</v>
      </c>
      <c r="D315" s="61" t="s">
        <v>12304</v>
      </c>
      <c r="E315" s="42" t="str">
        <f>LEFT(BD_MO[[#This Row],[LABOR]],2)</f>
        <v>Ch</v>
      </c>
      <c r="F315" s="46" t="s">
        <v>10687</v>
      </c>
      <c r="G315" s="46" t="s">
        <v>10648</v>
      </c>
      <c r="H315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15" s="42" t="s">
        <v>12254</v>
      </c>
      <c r="J315" s="55" t="s">
        <v>10525</v>
      </c>
      <c r="K315" s="42" t="s">
        <v>12249</v>
      </c>
      <c r="L315" s="42"/>
      <c r="M315" s="48" t="s">
        <v>10679</v>
      </c>
      <c r="N315" s="46"/>
      <c r="O315" s="93" t="s">
        <v>12233</v>
      </c>
      <c r="P315" s="93" t="s">
        <v>12197</v>
      </c>
      <c r="Q315" s="93"/>
      <c r="R315" s="45"/>
      <c r="S315" s="54" t="str">
        <f>IFERROR(VLOOKUP(BD_MO[DNI 4],#REF!,2,FALSE)," ")</f>
        <v xml:space="preserve"> </v>
      </c>
      <c r="T315" s="24">
        <f>+IF(BD_MO[[#This Row],[FECHA]]&lt;&gt;"",COUNTA(BD_MO[[#This Row],[DNI]],BD_MO[[#This Row],[DNI 2]],BD_MO[[#This Row],[DNI 3]],BD_MO[[#This Row],[DNI 4]]),"")</f>
        <v>2</v>
      </c>
      <c r="U315" s="24">
        <v>0.96</v>
      </c>
      <c r="V315" s="24">
        <v>0.28000000000000003</v>
      </c>
      <c r="W315" s="24"/>
      <c r="X315" s="24">
        <v>0.76</v>
      </c>
      <c r="Y315" s="86">
        <f>SUM(BD_MO[[#This Row],[LIMP]:[SERV]])</f>
        <v>2</v>
      </c>
      <c r="Z315" s="46" t="s">
        <v>12316</v>
      </c>
      <c r="AA315" s="46">
        <f>+IF(BD_MO[[#This Row],[N° VALE]]&lt;&gt;"",1,"")</f>
        <v>1</v>
      </c>
      <c r="AB315" s="40" t="s">
        <v>10710</v>
      </c>
      <c r="AC315" s="46">
        <v>4</v>
      </c>
      <c r="AD315" s="46">
        <f>+IF(BD_MO[[#This Row],[N° VALE]]&lt;&gt;"",BD_MO[[#This Row],[FULMINANTE N° 08]]+BD_MO[CARMEX 7''],"")</f>
        <v>7</v>
      </c>
      <c r="AE315" s="46"/>
      <c r="AF315" s="46">
        <f>+IF(BD_MO[[#This Row],[N° VALE]]&lt;&gt;"",BD_MO[[#This Row],[N° TALADROS]]+BD_MO[[#This Row],[N° TAL. VACIOS]],"")</f>
        <v>7</v>
      </c>
      <c r="AG315" s="55">
        <v>7</v>
      </c>
      <c r="AH315" s="55">
        <v>12</v>
      </c>
      <c r="AI315" s="55"/>
      <c r="AJ315" s="55"/>
      <c r="AK315" s="55">
        <v>7</v>
      </c>
      <c r="AL315" s="55">
        <v>5</v>
      </c>
      <c r="AM315" s="42"/>
      <c r="AN315" s="46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15" s="46">
        <f>+IF(BD_MO[[#This Row],[N° VALE]]&lt;&gt;"",IF(BD_MO[[#This Row],[FULMINANTE N° 08]]&lt;&gt;"",BD_MO[[#This Row],[FULMINANTE N° 08]],IF(BD_MO[[#This Row],[CARMEX 7'']]&lt;&gt;0,0,"")),"")</f>
        <v>0</v>
      </c>
      <c r="AP315" s="24">
        <f>+IF(BD_MO[[#This Row],[N° VALE]]&lt;&gt;"",BD_MO[[#This Row],[N°  TOTAL TALADROS]]*BD_MO[[#This Row],[BARRA]]*0.95,"")</f>
        <v>26.599999999999998</v>
      </c>
      <c r="AQ315" s="24">
        <f>+IF(BD_MO[[#This Row],[N° VALE]]&lt;&gt;"",BD_MO[[#This Row],[EMULNOR 1000 (N° CART.)]]*PE_EMUL_1000[PE],"")</f>
        <v>1.1364000000000001</v>
      </c>
      <c r="AR315" s="24">
        <f>+IF(BD_MO[[#This Row],[N° VALE]]&lt;&gt;"",BD_MO[[#This Row],[EMULNOR 3000 (N° CART.)]]*PE_EMUL_3000[PE],"")</f>
        <v>0.67307692307692335</v>
      </c>
      <c r="AS315" s="24">
        <f>+IF(BD_MO[[#This Row],[N° VALE]]&lt;&gt;"",BD_MO[[#This Row],[PULVERULENTA (N° CART.)]]*PE_PULV_65[PE],"")</f>
        <v>0</v>
      </c>
      <c r="AT315" s="24">
        <f>+IF(BD_MO[[#This Row],[N° DISP]]&lt;&gt;"",BD_MO[[#This Row],[SEMIGELATINA (N° CART.)]]*PE_SEMIGEL_65[PE],"")</f>
        <v>0</v>
      </c>
      <c r="AU315" s="24">
        <f>+IF(BD_MO[N° VALE]&lt;&gt;"",BD_MO[[#This Row],[KG EXPLO SEMIGEL]]+BD_MO[[#This Row],[KG EXPLO PULVE]]+BD_MO[[#This Row],[KG EXPLO EMULN 3000]]+BD_MO[[#This Row],[KG EXPLO EMULN 1000]],"")</f>
        <v>1.8094769230769234</v>
      </c>
      <c r="AV315" s="46"/>
      <c r="AW315" s="46">
        <v>7</v>
      </c>
      <c r="AX315" s="46" t="str">
        <f>+IF(BD_MO[[#This Row],[MINERAL (U-35)]]&lt;&gt;"",BD_MO[[#This Row],[MINERAL (U-35)]]*1.45,"-")</f>
        <v>-</v>
      </c>
      <c r="AY315" s="46">
        <f>+IF(BD_MO[[#This Row],[DESMONTE (U-35)]]&lt;&gt;"",BD_MO[[#This Row],[DESMONTE (U-35)]]*1.23,"-")</f>
        <v>8.61</v>
      </c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2"/>
      <c r="BO315" s="46"/>
      <c r="BP315" s="46"/>
      <c r="BQ315" s="42"/>
      <c r="BR315" s="46"/>
      <c r="BS315" s="42"/>
      <c r="BT315" s="24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24">
        <f>+IF(BD_MO[[#This Row],[FECHA]]&lt;&gt;"",BD_MO[[#This Row],[PUNTAL 4"]]+BD_MO[[#This Row],[PUNTAL 5"]]+BD_MO[[#This Row],[PUNTAL 6"]]+BD_MO[[#This Row],[PUNTAL 7"]]+BD_MO[[#This Row],[PUNTAL 8"]],"")</f>
        <v>0</v>
      </c>
      <c r="CQ315" s="46"/>
      <c r="CR315" s="46"/>
      <c r="CS315" s="46"/>
      <c r="CT315" s="46"/>
      <c r="CU315" s="46"/>
      <c r="CV315" s="46"/>
      <c r="CW315" s="46"/>
      <c r="CX315" s="46"/>
      <c r="CY315" s="24"/>
      <c r="CZ315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15" s="24">
        <f>+IF(BD_MO[[#This Row],[FECHA]]&lt;&gt;"",BD_MO[[#This Row],[DURMIENTE2]]*6.561+BD_MO[[#This Row],[LISTONES]]*4.921+BD_MO[[#This Row],[TABLA 1"x8"x3m]]*6.561+BD_MO[[#This Row],[TABLA 2"x8"x3m]]*13.122,"")</f>
        <v>0</v>
      </c>
      <c r="DB315" s="24">
        <f>+IF(BD_MO[[#This Row],[FECHA]]&lt;&gt;"",BD_MO[[#This Row],[PIE2 MADERA ASERRADA]]*1.95,"")</f>
        <v>0</v>
      </c>
      <c r="DC315" s="24">
        <f>+IF(BD_MO[[#This Row],[FECHA]]&lt;&gt;"",BD_MO[[#This Row],[KG. MADERA REDONDA]]+BD_MO[[#This Row],[KG MADERA ASERRADA]],"")</f>
        <v>0</v>
      </c>
      <c r="DD315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15" s="46"/>
      <c r="DF315" s="46"/>
      <c r="DG315" s="46"/>
      <c r="DH315" s="46"/>
      <c r="DI315" s="5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15" s="56"/>
      <c r="DK315" s="56"/>
      <c r="DL315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15" s="5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15" s="5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15" s="50">
        <f>7*0.75017241</f>
        <v>5.2512068699999999</v>
      </c>
      <c r="DP315" s="56">
        <f>+IF(BD_MO[[#This Row],[M o D]]&lt;&gt;"",IF(BD_MO[[#This Row],[M o D]]="M",BD_MO[[#This Row],[ROTURA TMH]]/2.65,BD_MO[[#This Row],[ROTURA TMH]]/2.4),"")</f>
        <v>2.1880028624999999</v>
      </c>
      <c r="DQ315" s="56">
        <f>0.05*7</f>
        <v>0.35000000000000003</v>
      </c>
      <c r="DR315" s="116" t="str">
        <f>IF(BD_MO[[#This Row],[TIPO AVANCE]]="Avance",((BD_MO[[#This Row],[AVANCE (m)]]/BD_MO[[#This Row],[AVANCE TEÓRICO]]))," ")</f>
        <v xml:space="preserve"> </v>
      </c>
      <c r="DS315" s="49"/>
      <c r="DT315" s="49"/>
      <c r="DU315" s="49"/>
      <c r="DV315" s="49"/>
      <c r="DW315" s="49"/>
      <c r="DX315" s="49"/>
      <c r="DY315" s="49"/>
      <c r="DZ315" s="49"/>
    </row>
    <row r="316" spans="1:130" ht="18.75" customHeight="1" x14ac:dyDescent="0.25">
      <c r="A316" s="92">
        <v>44669</v>
      </c>
      <c r="B316" s="40" t="s">
        <v>10655</v>
      </c>
      <c r="C316" s="40" t="s">
        <v>10672</v>
      </c>
      <c r="D316" s="61" t="s">
        <v>11928</v>
      </c>
      <c r="E316" s="42" t="str">
        <f>LEFT(BD_MO[[#This Row],[LABOR]],2)</f>
        <v>Tj</v>
      </c>
      <c r="F316" s="46"/>
      <c r="G316" s="46" t="s">
        <v>10662</v>
      </c>
      <c r="H316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316" s="42" t="str">
        <f>IF(BD_MO[FECHA]&lt;&gt;"",VLOOKUP(BD_MO[LABOR],TB_CECO[[LABOR]:[CECO_T]],3,FALSE),"")</f>
        <v>ESCONDIDA</v>
      </c>
      <c r="J316" s="42" t="str">
        <f>IF(BD_MO[FECHA]&lt;&gt;"",VLOOKUP(BD_MO[LABOR],D_CECO!B:H,7,FALSE),"")</f>
        <v>TAJO</v>
      </c>
      <c r="K316" s="42" t="str">
        <f>IF(BD_MO[FECHA]&lt;&gt;"",VLOOKUP(BD_MO[LABOR],D_CECO!B:H,4,FALSE),"")</f>
        <v>EXPLOTACION</v>
      </c>
      <c r="L316" s="42"/>
      <c r="M316" s="48"/>
      <c r="N316" s="46"/>
      <c r="O316" s="93" t="s">
        <v>12207</v>
      </c>
      <c r="P316" s="93" t="s">
        <v>12201</v>
      </c>
      <c r="Q316" s="93"/>
      <c r="R316" s="45"/>
      <c r="S316" s="54" t="str">
        <f>IFERROR(VLOOKUP(BD_MO[DNI 4],#REF!,2,FALSE)," ")</f>
        <v xml:space="preserve"> </v>
      </c>
      <c r="T316" s="24">
        <f>+IF(BD_MO[[#This Row],[FECHA]]&lt;&gt;"",COUNTA(BD_MO[[#This Row],[DNI]],BD_MO[[#This Row],[DNI 2]],BD_MO[[#This Row],[DNI 3]],BD_MO[[#This Row],[DNI 4]]),"")</f>
        <v>2</v>
      </c>
      <c r="U316" s="24"/>
      <c r="V316" s="24"/>
      <c r="W316" s="24"/>
      <c r="X316" s="24">
        <v>2</v>
      </c>
      <c r="Y316" s="86">
        <f>SUM(BD_MO[[#This Row],[LIMP]:[SERV]])</f>
        <v>2</v>
      </c>
      <c r="Z316" s="46"/>
      <c r="AA316" s="46" t="str">
        <f>+IF(BD_MO[[#This Row],[N° VALE]]&lt;&gt;"",1,"")</f>
        <v/>
      </c>
      <c r="AB316" s="40"/>
      <c r="AC316" s="46"/>
      <c r="AD316" s="46" t="str">
        <f>+IF(BD_MO[[#This Row],[N° VALE]]&lt;&gt;"",BD_MO[[#This Row],[FULMINANTE N° 08]]+BD_MO[CARMEX 7''],"")</f>
        <v/>
      </c>
      <c r="AE316" s="46"/>
      <c r="AF316" s="46" t="str">
        <f>+IF(BD_MO[[#This Row],[N° VALE]]&lt;&gt;"",BD_MO[[#This Row],[N° TALADROS]]+BD_MO[[#This Row],[N° TAL. VACIOS]],"")</f>
        <v/>
      </c>
      <c r="AG316" s="55"/>
      <c r="AH316" s="55"/>
      <c r="AI316" s="55"/>
      <c r="AJ316" s="55"/>
      <c r="AK316" s="55"/>
      <c r="AL316" s="55"/>
      <c r="AM316" s="42"/>
      <c r="AN316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16" s="46" t="str">
        <f>+IF(BD_MO[[#This Row],[N° VALE]]&lt;&gt;"",IF(BD_MO[[#This Row],[FULMINANTE N° 08]]&lt;&gt;"",BD_MO[[#This Row],[FULMINANTE N° 08]],IF(BD_MO[[#This Row],[CARMEX 7'']]&lt;&gt;0,0,"")),"")</f>
        <v/>
      </c>
      <c r="AP316" s="24" t="str">
        <f>+IF(BD_MO[[#This Row],[N° VALE]]&lt;&gt;"",BD_MO[[#This Row],[N°  TOTAL TALADROS]]*BD_MO[[#This Row],[BARRA]]*0.95,"")</f>
        <v/>
      </c>
      <c r="AQ316" s="24" t="str">
        <f>+IF(BD_MO[[#This Row],[N° VALE]]&lt;&gt;"",BD_MO[[#This Row],[EMULNOR 1000 (N° CART.)]]*PE_EMUL_1000[PE],"")</f>
        <v/>
      </c>
      <c r="AR316" s="24" t="str">
        <f>+IF(BD_MO[[#This Row],[N° VALE]]&lt;&gt;"",BD_MO[[#This Row],[EMULNOR 3000 (N° CART.)]]*PE_EMUL_3000[PE],"")</f>
        <v/>
      </c>
      <c r="AS316" s="24" t="str">
        <f>+IF(BD_MO[[#This Row],[N° VALE]]&lt;&gt;"",BD_MO[[#This Row],[PULVERULENTA (N° CART.)]]*PE_PULV_65[PE],"")</f>
        <v/>
      </c>
      <c r="AT316" s="24" t="str">
        <f>+IF(BD_MO[[#This Row],[N° DISP]]&lt;&gt;"",BD_MO[[#This Row],[SEMIGELATINA (N° CART.)]]*PE_SEMIGEL_65[PE],"")</f>
        <v/>
      </c>
      <c r="AU316" s="24" t="str">
        <f>+IF(BD_MO[N° VALE]&lt;&gt;"",BD_MO[[#This Row],[KG EXPLO SEMIGEL]]+BD_MO[[#This Row],[KG EXPLO PULVE]]+BD_MO[[#This Row],[KG EXPLO EMULN 3000]]+BD_MO[[#This Row],[KG EXPLO EMULN 1000]],"")</f>
        <v/>
      </c>
      <c r="AV316" s="46"/>
      <c r="AW316" s="46"/>
      <c r="AX316" s="46" t="str">
        <f>+IF(BD_MO[[#This Row],[MINERAL (U-35)]]&lt;&gt;"",BD_MO[[#This Row],[MINERAL (U-35)]]*1.45,"-")</f>
        <v>-</v>
      </c>
      <c r="AY316" s="46" t="str">
        <f>+IF(BD_MO[[#This Row],[DESMONTE (U-35)]]&lt;&gt;"",BD_MO[[#This Row],[DESMONTE (U-35)]]*1.23,"-")</f>
        <v>-</v>
      </c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2">
        <v>3.6</v>
      </c>
      <c r="BO316" s="46"/>
      <c r="BP316" s="46"/>
      <c r="BQ316" s="42"/>
      <c r="BR316" s="46"/>
      <c r="BS316" s="42"/>
      <c r="BT316" s="24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24">
        <f>+IF(BD_MO[[#This Row],[FECHA]]&lt;&gt;"",BD_MO[[#This Row],[PUNTAL 4"]]+BD_MO[[#This Row],[PUNTAL 5"]]+BD_MO[[#This Row],[PUNTAL 6"]]+BD_MO[[#This Row],[PUNTAL 7"]]+BD_MO[[#This Row],[PUNTAL 8"]],"")</f>
        <v>0</v>
      </c>
      <c r="CQ316" s="46"/>
      <c r="CR316" s="46"/>
      <c r="CS316" s="46">
        <v>5</v>
      </c>
      <c r="CT316" s="46"/>
      <c r="CU316" s="46"/>
      <c r="CV316" s="46"/>
      <c r="CW316" s="46"/>
      <c r="CX316" s="46"/>
      <c r="CY316" s="24"/>
      <c r="CZ316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123</v>
      </c>
      <c r="DA316" s="24">
        <f>+IF(BD_MO[[#This Row],[FECHA]]&lt;&gt;"",BD_MO[[#This Row],[DURMIENTE2]]*6.561+BD_MO[[#This Row],[LISTONES]]*4.921+BD_MO[[#This Row],[TABLA 1"x8"x3m]]*6.561+BD_MO[[#This Row],[TABLA 2"x8"x3m]]*13.122,"")</f>
        <v>0</v>
      </c>
      <c r="DB316" s="24">
        <f>+IF(BD_MO[[#This Row],[FECHA]]&lt;&gt;"",BD_MO[[#This Row],[PIE2 MADERA ASERRADA]]*1.95,"")</f>
        <v>0</v>
      </c>
      <c r="DC316" s="24">
        <f>+IF(BD_MO[[#This Row],[FECHA]]&lt;&gt;"",BD_MO[[#This Row],[KG. MADERA REDONDA]]+BD_MO[[#This Row],[KG MADERA ASERRADA]],"")</f>
        <v>123</v>
      </c>
      <c r="DD316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61.449999999999996</v>
      </c>
      <c r="DE316" s="46"/>
      <c r="DF316" s="46"/>
      <c r="DG316" s="46"/>
      <c r="DH316" s="46"/>
      <c r="DI316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16" s="56"/>
      <c r="DK316" s="56"/>
      <c r="DL316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16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16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16" s="50"/>
      <c r="DP316" s="56" t="str">
        <f>+IF(BD_MO[[#This Row],[M o D]]&lt;&gt;"",IF(BD_MO[[#This Row],[M o D]]="M",BD_MO[[#This Row],[ROTURA TMH]]/2.65,BD_MO[[#This Row],[ROTURA TMH]]/2.4),"")</f>
        <v/>
      </c>
      <c r="DQ316" s="56"/>
      <c r="DR316" s="116" t="str">
        <f>IF(BD_MO[[#This Row],[TIPO AVANCE]]="Avance",((BD_MO[[#This Row],[AVANCE (m)]]/BD_MO[[#This Row],[AVANCE TEÓRICO]]))," ")</f>
        <v xml:space="preserve"> </v>
      </c>
      <c r="DS316" s="49"/>
      <c r="DT316" s="49"/>
      <c r="DU316" s="49"/>
      <c r="DV316" s="49"/>
      <c r="DW316" s="49"/>
      <c r="DX316" s="49"/>
      <c r="DY316" s="49"/>
      <c r="DZ316" s="49"/>
    </row>
    <row r="317" spans="1:130" ht="18" customHeight="1" x14ac:dyDescent="0.25">
      <c r="A317" s="92">
        <v>44669</v>
      </c>
      <c r="B317" s="40" t="s">
        <v>10655</v>
      </c>
      <c r="C317" s="40" t="s">
        <v>10672</v>
      </c>
      <c r="D317" s="61" t="s">
        <v>11872</v>
      </c>
      <c r="E317" s="42" t="str">
        <f>LEFT(BD_MO[[#This Row],[LABOR]],2)</f>
        <v>PQ</v>
      </c>
      <c r="F317" s="46"/>
      <c r="G317" s="46" t="s">
        <v>10669</v>
      </c>
      <c r="H317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17" s="42" t="str">
        <f>IF(BD_MO[FECHA]&lt;&gt;"",VLOOKUP(BD_MO[LABOR],TB_CECO[[LABOR]:[CECO_T]],3,FALSE),"")</f>
        <v>ANDREA</v>
      </c>
      <c r="J317" s="42" t="str">
        <f>IF(BD_MO[FECHA]&lt;&gt;"",VLOOKUP(BD_MO[LABOR],D_CECO!B:H,7,FALSE),"")</f>
        <v>LINEAL</v>
      </c>
      <c r="K317" s="42" t="str">
        <f>IF(BD_MO[FECHA]&lt;&gt;"",VLOOKUP(BD_MO[LABOR],D_CECO!B:H,4,FALSE),"")</f>
        <v>EXPLOTACION</v>
      </c>
      <c r="L317" s="42"/>
      <c r="M317" s="48"/>
      <c r="N317" s="46"/>
      <c r="O317" s="93" t="s">
        <v>12199</v>
      </c>
      <c r="P317" s="93" t="s">
        <v>12220</v>
      </c>
      <c r="Q317" s="93"/>
      <c r="R317" s="45"/>
      <c r="S317" s="54" t="str">
        <f>IFERROR(VLOOKUP(BD_MO[DNI 4],#REF!,2,FALSE)," ")</f>
        <v xml:space="preserve"> </v>
      </c>
      <c r="T317" s="24">
        <f>+IF(BD_MO[[#This Row],[FECHA]]&lt;&gt;"",COUNTA(BD_MO[[#This Row],[DNI]],BD_MO[[#This Row],[DNI 2]],BD_MO[[#This Row],[DNI 3]],BD_MO[[#This Row],[DNI 4]]),"")</f>
        <v>2</v>
      </c>
      <c r="U317" s="24"/>
      <c r="V317" s="24"/>
      <c r="W317" s="24"/>
      <c r="X317" s="24">
        <v>2</v>
      </c>
      <c r="Y317" s="86">
        <f>SUM(BD_MO[[#This Row],[LIMP]:[SERV]])</f>
        <v>2</v>
      </c>
      <c r="Z317" s="46"/>
      <c r="AA317" s="46" t="str">
        <f>+IF(BD_MO[[#This Row],[N° VALE]]&lt;&gt;"",1,"")</f>
        <v/>
      </c>
      <c r="AB317" s="40"/>
      <c r="AC317" s="46"/>
      <c r="AD317" s="46" t="str">
        <f>+IF(BD_MO[[#This Row],[N° VALE]]&lt;&gt;"",BD_MO[[#This Row],[FULMINANTE N° 08]]+BD_MO[CARMEX 7''],"")</f>
        <v/>
      </c>
      <c r="AE317" s="46"/>
      <c r="AF317" s="46" t="str">
        <f>+IF(BD_MO[[#This Row],[N° VALE]]&lt;&gt;"",BD_MO[[#This Row],[N° TALADROS]]+BD_MO[[#This Row],[N° TAL. VACIOS]],"")</f>
        <v/>
      </c>
      <c r="AG317" s="55"/>
      <c r="AH317" s="55"/>
      <c r="AI317" s="55"/>
      <c r="AJ317" s="55"/>
      <c r="AK317" s="55"/>
      <c r="AL317" s="55"/>
      <c r="AM317" s="42"/>
      <c r="AN317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17" s="46" t="str">
        <f>+IF(BD_MO[[#This Row],[N° VALE]]&lt;&gt;"",IF(BD_MO[[#This Row],[FULMINANTE N° 08]]&lt;&gt;"",BD_MO[[#This Row],[FULMINANTE N° 08]],IF(BD_MO[[#This Row],[CARMEX 7'']]&lt;&gt;0,0,"")),"")</f>
        <v/>
      </c>
      <c r="AP317" s="24" t="str">
        <f>+IF(BD_MO[[#This Row],[N° VALE]]&lt;&gt;"",BD_MO[[#This Row],[N°  TOTAL TALADROS]]*BD_MO[[#This Row],[BARRA]]*0.95,"")</f>
        <v/>
      </c>
      <c r="AQ317" s="24" t="str">
        <f>+IF(BD_MO[[#This Row],[N° VALE]]&lt;&gt;"",BD_MO[[#This Row],[EMULNOR 1000 (N° CART.)]]*PE_EMUL_1000[PE],"")</f>
        <v/>
      </c>
      <c r="AR317" s="24" t="str">
        <f>+IF(BD_MO[[#This Row],[N° VALE]]&lt;&gt;"",BD_MO[[#This Row],[EMULNOR 3000 (N° CART.)]]*PE_EMUL_3000[PE],"")</f>
        <v/>
      </c>
      <c r="AS317" s="24" t="str">
        <f>+IF(BD_MO[[#This Row],[N° VALE]]&lt;&gt;"",BD_MO[[#This Row],[PULVERULENTA (N° CART.)]]*PE_PULV_65[PE],"")</f>
        <v/>
      </c>
      <c r="AT317" s="24" t="str">
        <f>+IF(BD_MO[[#This Row],[N° DISP]]&lt;&gt;"",BD_MO[[#This Row],[SEMIGELATINA (N° CART.)]]*PE_SEMIGEL_65[PE],"")</f>
        <v/>
      </c>
      <c r="AU317" s="24" t="str">
        <f>+IF(BD_MO[N° VALE]&lt;&gt;"",BD_MO[[#This Row],[KG EXPLO SEMIGEL]]+BD_MO[[#This Row],[KG EXPLO PULVE]]+BD_MO[[#This Row],[KG EXPLO EMULN 3000]]+BD_MO[[#This Row],[KG EXPLO EMULN 1000]],"")</f>
        <v/>
      </c>
      <c r="AV317" s="46"/>
      <c r="AW317" s="46"/>
      <c r="AX317" s="46" t="str">
        <f>+IF(BD_MO[[#This Row],[MINERAL (U-35)]]&lt;&gt;"",BD_MO[[#This Row],[MINERAL (U-35)]]*1.45,"-")</f>
        <v>-</v>
      </c>
      <c r="AY317" s="46" t="str">
        <f>+IF(BD_MO[[#This Row],[DESMONTE (U-35)]]&lt;&gt;"",BD_MO[[#This Row],[DESMONTE (U-35)]]*1.23,"-")</f>
        <v>-</v>
      </c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2"/>
      <c r="BO317" s="46"/>
      <c r="BP317" s="46"/>
      <c r="BQ317" s="42"/>
      <c r="BR317" s="46"/>
      <c r="BS317" s="42"/>
      <c r="BT317" s="24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24">
        <f>+IF(BD_MO[[#This Row],[FECHA]]&lt;&gt;"",BD_MO[[#This Row],[PUNTAL 4"]]+BD_MO[[#This Row],[PUNTAL 5"]]+BD_MO[[#This Row],[PUNTAL 6"]]+BD_MO[[#This Row],[PUNTAL 7"]]+BD_MO[[#This Row],[PUNTAL 8"]],"")</f>
        <v>0</v>
      </c>
      <c r="CQ317" s="46"/>
      <c r="CR317" s="46"/>
      <c r="CS317" s="46"/>
      <c r="CT317" s="46"/>
      <c r="CU317" s="46"/>
      <c r="CV317" s="46"/>
      <c r="CW317" s="46"/>
      <c r="CX317" s="46"/>
      <c r="CY317" s="24"/>
      <c r="CZ317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17" s="24">
        <f>+IF(BD_MO[[#This Row],[FECHA]]&lt;&gt;"",BD_MO[[#This Row],[DURMIENTE2]]*6.561+BD_MO[[#This Row],[LISTONES]]*4.921+BD_MO[[#This Row],[TABLA 1"x8"x3m]]*6.561+BD_MO[[#This Row],[TABLA 2"x8"x3m]]*13.122,"")</f>
        <v>0</v>
      </c>
      <c r="DB317" s="24">
        <f>+IF(BD_MO[[#This Row],[FECHA]]&lt;&gt;"",BD_MO[[#This Row],[PIE2 MADERA ASERRADA]]*1.95,"")</f>
        <v>0</v>
      </c>
      <c r="DC317" s="24">
        <f>+IF(BD_MO[[#This Row],[FECHA]]&lt;&gt;"",BD_MO[[#This Row],[KG. MADERA REDONDA]]+BD_MO[[#This Row],[KG MADERA ASERRADA]],"")</f>
        <v>0</v>
      </c>
      <c r="DD317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17" s="46"/>
      <c r="DF317" s="46"/>
      <c r="DG317" s="46" t="s">
        <v>12238</v>
      </c>
      <c r="DH317" s="46">
        <v>8</v>
      </c>
      <c r="DI317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17" s="56"/>
      <c r="DK317" s="56"/>
      <c r="DL317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17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17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317" s="56" t="str">
        <f>+IF(BD_MO[[#This Row],[M o D]]&lt;&gt;"",IF(BD_MO[[#This Row],[M o D]]="M",BD_MO[[#This Row],[ROTURA TMH]]/2.65,BD_MO[[#This Row],[ROTURA TMH]]/2.4),"")</f>
        <v/>
      </c>
      <c r="DQ317" s="56"/>
      <c r="DR317" s="116" t="str">
        <f>IF(BD_MO[[#This Row],[TIPO AVANCE]]="Avance",((BD_MO[[#This Row],[AVANCE (m)]]/BD_MO[[#This Row],[AVANCE TEÓRICO]]))," ")</f>
        <v xml:space="preserve"> </v>
      </c>
      <c r="DS317" s="49"/>
      <c r="DT317" s="49"/>
      <c r="DU317" s="49"/>
      <c r="DV317" s="49"/>
      <c r="DW317" s="49"/>
      <c r="DX317" s="49"/>
      <c r="DY317" s="49"/>
      <c r="DZ317" s="49"/>
    </row>
    <row r="318" spans="1:130" ht="18" customHeight="1" x14ac:dyDescent="0.25">
      <c r="A318" s="92">
        <v>44669</v>
      </c>
      <c r="B318" s="40" t="s">
        <v>10655</v>
      </c>
      <c r="C318" s="40" t="s">
        <v>10672</v>
      </c>
      <c r="D318" s="61" t="s">
        <v>10952</v>
      </c>
      <c r="E318" s="42" t="str">
        <f>LEFT(BD_MO[[#This Row],[LABOR]],2)</f>
        <v>In</v>
      </c>
      <c r="F318" s="46"/>
      <c r="G318" s="46" t="s">
        <v>10669</v>
      </c>
      <c r="H318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18" s="42" t="str">
        <f>IF(BD_MO[FECHA]&lt;&gt;"",VLOOKUP(BD_MO[LABOR],TB_CECO[[LABOR]:[CECO_T]],3,FALSE),"")</f>
        <v>VANESSA</v>
      </c>
      <c r="J318" s="42" t="str">
        <f>IF(BD_MO[FECHA]&lt;&gt;"",VLOOKUP(BD_MO[LABOR],D_CECO!B:H,7,FALSE),"")</f>
        <v>LINEAL</v>
      </c>
      <c r="K318" s="42" t="str">
        <f>IF(BD_MO[FECHA]&lt;&gt;"",VLOOKUP(BD_MO[LABOR],D_CECO!B:H,4,FALSE),"")</f>
        <v>EXPLORACION</v>
      </c>
      <c r="L318" s="42"/>
      <c r="M318" s="48"/>
      <c r="N318" s="46"/>
      <c r="O318" s="93" t="s">
        <v>12198</v>
      </c>
      <c r="P318" s="93" t="s">
        <v>12234</v>
      </c>
      <c r="Q318" s="93"/>
      <c r="R318" s="45"/>
      <c r="S318" s="54" t="str">
        <f>IFERROR(VLOOKUP(BD_MO[DNI 4],#REF!,2,FALSE)," ")</f>
        <v xml:space="preserve"> </v>
      </c>
      <c r="T318" s="24">
        <f>+IF(BD_MO[[#This Row],[FECHA]]&lt;&gt;"",COUNTA(BD_MO[[#This Row],[DNI]],BD_MO[[#This Row],[DNI 2]],BD_MO[[#This Row],[DNI 3]],BD_MO[[#This Row],[DNI 4]]),"")</f>
        <v>2</v>
      </c>
      <c r="U318" s="24"/>
      <c r="V318" s="24"/>
      <c r="W318" s="24"/>
      <c r="X318" s="24">
        <v>2</v>
      </c>
      <c r="Y318" s="86">
        <f>SUM(BD_MO[[#This Row],[LIMP]:[SERV]])</f>
        <v>2</v>
      </c>
      <c r="Z318" s="46"/>
      <c r="AA318" s="46" t="str">
        <f>+IF(BD_MO[[#This Row],[N° VALE]]&lt;&gt;"",1,"")</f>
        <v/>
      </c>
      <c r="AB318" s="40"/>
      <c r="AC318" s="46"/>
      <c r="AD318" s="46" t="str">
        <f>+IF(BD_MO[[#This Row],[N° VALE]]&lt;&gt;"",BD_MO[[#This Row],[FULMINANTE N° 08]]+BD_MO[CARMEX 7''],"")</f>
        <v/>
      </c>
      <c r="AE318" s="46"/>
      <c r="AF318" s="46" t="str">
        <f>+IF(BD_MO[[#This Row],[N° VALE]]&lt;&gt;"",BD_MO[[#This Row],[N° TALADROS]]+BD_MO[[#This Row],[N° TAL. VACIOS]],"")</f>
        <v/>
      </c>
      <c r="AG318" s="55"/>
      <c r="AH318" s="55"/>
      <c r="AI318" s="55"/>
      <c r="AJ318" s="55"/>
      <c r="AK318" s="55"/>
      <c r="AL318" s="55"/>
      <c r="AM318" s="42"/>
      <c r="AN318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18" s="46" t="str">
        <f>+IF(BD_MO[[#This Row],[N° VALE]]&lt;&gt;"",IF(BD_MO[[#This Row],[FULMINANTE N° 08]]&lt;&gt;"",BD_MO[[#This Row],[FULMINANTE N° 08]],IF(BD_MO[[#This Row],[CARMEX 7'']]&lt;&gt;0,0,"")),"")</f>
        <v/>
      </c>
      <c r="AP318" s="24" t="str">
        <f>+IF(BD_MO[[#This Row],[N° VALE]]&lt;&gt;"",BD_MO[[#This Row],[N°  TOTAL TALADROS]]*BD_MO[[#This Row],[BARRA]]*0.95,"")</f>
        <v/>
      </c>
      <c r="AQ318" s="24" t="str">
        <f>+IF(BD_MO[[#This Row],[N° VALE]]&lt;&gt;"",BD_MO[[#This Row],[EMULNOR 1000 (N° CART.)]]*PE_EMUL_1000[PE],"")</f>
        <v/>
      </c>
      <c r="AR318" s="24" t="str">
        <f>+IF(BD_MO[[#This Row],[N° VALE]]&lt;&gt;"",BD_MO[[#This Row],[EMULNOR 3000 (N° CART.)]]*PE_EMUL_3000[PE],"")</f>
        <v/>
      </c>
      <c r="AS318" s="24" t="str">
        <f>+IF(BD_MO[[#This Row],[N° VALE]]&lt;&gt;"",BD_MO[[#This Row],[PULVERULENTA (N° CART.)]]*PE_PULV_65[PE],"")</f>
        <v/>
      </c>
      <c r="AT318" s="24" t="str">
        <f>+IF(BD_MO[[#This Row],[N° DISP]]&lt;&gt;"",BD_MO[[#This Row],[SEMIGELATINA (N° CART.)]]*PE_SEMIGEL_65[PE],"")</f>
        <v/>
      </c>
      <c r="AU318" s="24" t="str">
        <f>+IF(BD_MO[N° VALE]&lt;&gt;"",BD_MO[[#This Row],[KG EXPLO SEMIGEL]]+BD_MO[[#This Row],[KG EXPLO PULVE]]+BD_MO[[#This Row],[KG EXPLO EMULN 3000]]+BD_MO[[#This Row],[KG EXPLO EMULN 1000]],"")</f>
        <v/>
      </c>
      <c r="AV318" s="46"/>
      <c r="AW318" s="46"/>
      <c r="AX318" s="46" t="str">
        <f>+IF(BD_MO[[#This Row],[MINERAL (U-35)]]&lt;&gt;"",BD_MO[[#This Row],[MINERAL (U-35)]]*1.45,"-")</f>
        <v>-</v>
      </c>
      <c r="AY318" s="46" t="str">
        <f>+IF(BD_MO[[#This Row],[DESMONTE (U-35)]]&lt;&gt;"",BD_MO[[#This Row],[DESMONTE (U-35)]]*1.23,"-")</f>
        <v>-</v>
      </c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2"/>
      <c r="BO318" s="46"/>
      <c r="BP318" s="46"/>
      <c r="BQ318" s="42"/>
      <c r="BR318" s="46"/>
      <c r="BS318" s="42"/>
      <c r="BT318" s="24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24">
        <f>+IF(BD_MO[[#This Row],[FECHA]]&lt;&gt;"",BD_MO[[#This Row],[PUNTAL 4"]]+BD_MO[[#This Row],[PUNTAL 5"]]+BD_MO[[#This Row],[PUNTAL 6"]]+BD_MO[[#This Row],[PUNTAL 7"]]+BD_MO[[#This Row],[PUNTAL 8"]],"")</f>
        <v>0</v>
      </c>
      <c r="CQ318" s="46"/>
      <c r="CR318" s="46"/>
      <c r="CS318" s="46"/>
      <c r="CT318" s="46"/>
      <c r="CU318" s="46"/>
      <c r="CV318" s="46"/>
      <c r="CW318" s="46"/>
      <c r="CX318" s="46"/>
      <c r="CY318" s="24"/>
      <c r="CZ318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18" s="24">
        <f>+IF(BD_MO[[#This Row],[FECHA]]&lt;&gt;"",BD_MO[[#This Row],[DURMIENTE2]]*6.561+BD_MO[[#This Row],[LISTONES]]*4.921+BD_MO[[#This Row],[TABLA 1"x8"x3m]]*6.561+BD_MO[[#This Row],[TABLA 2"x8"x3m]]*13.122,"")</f>
        <v>0</v>
      </c>
      <c r="DB318" s="24">
        <f>+IF(BD_MO[[#This Row],[FECHA]]&lt;&gt;"",BD_MO[[#This Row],[PIE2 MADERA ASERRADA]]*1.95,"")</f>
        <v>0</v>
      </c>
      <c r="DC318" s="24">
        <f>+IF(BD_MO[[#This Row],[FECHA]]&lt;&gt;"",BD_MO[[#This Row],[KG. MADERA REDONDA]]+BD_MO[[#This Row],[KG MADERA ASERRADA]],"")</f>
        <v>0</v>
      </c>
      <c r="DD318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18" s="46"/>
      <c r="DF318" s="46"/>
      <c r="DG318" s="46" t="s">
        <v>12239</v>
      </c>
      <c r="DH318" s="46">
        <v>8</v>
      </c>
      <c r="DI318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18" s="56"/>
      <c r="DK318" s="56"/>
      <c r="DL318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18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18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318" s="56" t="str">
        <f>+IF(BD_MO[[#This Row],[M o D]]&lt;&gt;"",IF(BD_MO[[#This Row],[M o D]]="M",BD_MO[[#This Row],[ROTURA TMH]]/2.65,BD_MO[[#This Row],[ROTURA TMH]]/2.4),"")</f>
        <v/>
      </c>
      <c r="DQ318" s="56"/>
      <c r="DR318" s="116" t="str">
        <f>IF(BD_MO[[#This Row],[TIPO AVANCE]]="Avance",((BD_MO[[#This Row],[AVANCE (m)]]/BD_MO[[#This Row],[AVANCE TEÓRICO]]))," ")</f>
        <v xml:space="preserve"> </v>
      </c>
      <c r="DS318" s="49"/>
      <c r="DT318" s="49"/>
      <c r="DU318" s="49"/>
      <c r="DV318" s="49"/>
      <c r="DW318" s="49"/>
      <c r="DX318" s="49"/>
      <c r="DY318" s="49"/>
      <c r="DZ318" s="49"/>
    </row>
    <row r="319" spans="1:130" ht="18" customHeight="1" x14ac:dyDescent="0.25">
      <c r="A319" s="92">
        <v>44669</v>
      </c>
      <c r="B319" s="40" t="s">
        <v>10655</v>
      </c>
      <c r="C319" s="40" t="s">
        <v>10672</v>
      </c>
      <c r="D319" s="61" t="s">
        <v>10954</v>
      </c>
      <c r="E319" s="42" t="str">
        <f>LEFT(BD_MO[[#This Row],[LABOR]],2)</f>
        <v>MO</v>
      </c>
      <c r="F319" s="46"/>
      <c r="G319" s="46" t="s">
        <v>10669</v>
      </c>
      <c r="H319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19" s="42" t="str">
        <f>IF(BD_MO[FECHA]&lt;&gt;"",VLOOKUP(BD_MO[LABOR],TB_CECO[[LABOR]:[CECO_T]],3,FALSE),"")</f>
        <v>INCA</v>
      </c>
      <c r="J319" s="42" t="str">
        <f>IF(BD_MO[FECHA]&lt;&gt;"",VLOOKUP(BD_MO[LABOR],D_CECO!B:H,7,FALSE),"")</f>
        <v>SERVICIOS</v>
      </c>
      <c r="K319" s="42" t="str">
        <f>IF(BD_MO[FECHA]&lt;&gt;"",VLOOKUP(BD_MO[LABOR],D_CECO!B:H,4,FALSE),"")</f>
        <v>SERVICIOS</v>
      </c>
      <c r="L319" s="42"/>
      <c r="M319" s="48"/>
      <c r="N319" s="46"/>
      <c r="O319" s="93" t="s">
        <v>12311</v>
      </c>
      <c r="P319" s="93" t="s">
        <v>12312</v>
      </c>
      <c r="Q319" s="93"/>
      <c r="R319" s="45"/>
      <c r="S319" s="54" t="str">
        <f>IFERROR(VLOOKUP(BD_MO[DNI 4],#REF!,2,FALSE)," ")</f>
        <v xml:space="preserve"> </v>
      </c>
      <c r="T319" s="24">
        <f>+IF(BD_MO[[#This Row],[FECHA]]&lt;&gt;"",COUNTA(BD_MO[[#This Row],[DNI]],BD_MO[[#This Row],[DNI 2]],BD_MO[[#This Row],[DNI 3]],BD_MO[[#This Row],[DNI 4]]),"")</f>
        <v>2</v>
      </c>
      <c r="U319" s="24"/>
      <c r="V319" s="24"/>
      <c r="W319" s="24"/>
      <c r="X319" s="24">
        <v>2</v>
      </c>
      <c r="Y319" s="86">
        <f>SUM(BD_MO[[#This Row],[LIMP]:[SERV]])</f>
        <v>2</v>
      </c>
      <c r="Z319" s="46"/>
      <c r="AA319" s="46" t="str">
        <f>+IF(BD_MO[[#This Row],[N° VALE]]&lt;&gt;"",1,"")</f>
        <v/>
      </c>
      <c r="AB319" s="40"/>
      <c r="AC319" s="46"/>
      <c r="AD319" s="46" t="str">
        <f>+IF(BD_MO[[#This Row],[N° VALE]]&lt;&gt;"",BD_MO[[#This Row],[FULMINANTE N° 08]]+BD_MO[CARMEX 7''],"")</f>
        <v/>
      </c>
      <c r="AE319" s="46"/>
      <c r="AF319" s="46" t="str">
        <f>+IF(BD_MO[[#This Row],[N° VALE]]&lt;&gt;"",BD_MO[[#This Row],[N° TALADROS]]+BD_MO[[#This Row],[N° TAL. VACIOS]],"")</f>
        <v/>
      </c>
      <c r="AG319" s="55"/>
      <c r="AH319" s="55"/>
      <c r="AI319" s="55"/>
      <c r="AJ319" s="55"/>
      <c r="AK319" s="55"/>
      <c r="AL319" s="55"/>
      <c r="AM319" s="42"/>
      <c r="AN319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19" s="46" t="str">
        <f>+IF(BD_MO[[#This Row],[N° VALE]]&lt;&gt;"",IF(BD_MO[[#This Row],[FULMINANTE N° 08]]&lt;&gt;"",BD_MO[[#This Row],[FULMINANTE N° 08]],IF(BD_MO[[#This Row],[CARMEX 7'']]&lt;&gt;0,0,"")),"")</f>
        <v/>
      </c>
      <c r="AP319" s="24" t="str">
        <f>+IF(BD_MO[[#This Row],[N° VALE]]&lt;&gt;"",BD_MO[[#This Row],[N°  TOTAL TALADROS]]*BD_MO[[#This Row],[BARRA]]*0.95,"")</f>
        <v/>
      </c>
      <c r="AQ319" s="24" t="str">
        <f>+IF(BD_MO[[#This Row],[N° VALE]]&lt;&gt;"",BD_MO[[#This Row],[EMULNOR 1000 (N° CART.)]]*PE_EMUL_1000[PE],"")</f>
        <v/>
      </c>
      <c r="AR319" s="24" t="str">
        <f>+IF(BD_MO[[#This Row],[N° VALE]]&lt;&gt;"",BD_MO[[#This Row],[EMULNOR 3000 (N° CART.)]]*PE_EMUL_3000[PE],"")</f>
        <v/>
      </c>
      <c r="AS319" s="24" t="str">
        <f>+IF(BD_MO[[#This Row],[N° VALE]]&lt;&gt;"",BD_MO[[#This Row],[PULVERULENTA (N° CART.)]]*PE_PULV_65[PE],"")</f>
        <v/>
      </c>
      <c r="AT319" s="24" t="str">
        <f>+IF(BD_MO[[#This Row],[N° DISP]]&lt;&gt;"",BD_MO[[#This Row],[SEMIGELATINA (N° CART.)]]*PE_SEMIGEL_65[PE],"")</f>
        <v/>
      </c>
      <c r="AU319" s="24" t="str">
        <f>+IF(BD_MO[N° VALE]&lt;&gt;"",BD_MO[[#This Row],[KG EXPLO SEMIGEL]]+BD_MO[[#This Row],[KG EXPLO PULVE]]+BD_MO[[#This Row],[KG EXPLO EMULN 3000]]+BD_MO[[#This Row],[KG EXPLO EMULN 1000]],"")</f>
        <v/>
      </c>
      <c r="AV319" s="46"/>
      <c r="AW319" s="46"/>
      <c r="AX319" s="46" t="str">
        <f>+IF(BD_MO[[#This Row],[MINERAL (U-35)]]&lt;&gt;"",BD_MO[[#This Row],[MINERAL (U-35)]]*1.45,"-")</f>
        <v>-</v>
      </c>
      <c r="AY319" s="46" t="str">
        <f>+IF(BD_MO[[#This Row],[DESMONTE (U-35)]]&lt;&gt;"",BD_MO[[#This Row],[DESMONTE (U-35)]]*1.23,"-")</f>
        <v>-</v>
      </c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2"/>
      <c r="BO319" s="46"/>
      <c r="BP319" s="46"/>
      <c r="BQ319" s="42"/>
      <c r="BR319" s="46"/>
      <c r="BS319" s="42"/>
      <c r="BT319" s="24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24">
        <f>+IF(BD_MO[[#This Row],[FECHA]]&lt;&gt;"",BD_MO[[#This Row],[PUNTAL 4"]]+BD_MO[[#This Row],[PUNTAL 5"]]+BD_MO[[#This Row],[PUNTAL 6"]]+BD_MO[[#This Row],[PUNTAL 7"]]+BD_MO[[#This Row],[PUNTAL 8"]],"")</f>
        <v>0</v>
      </c>
      <c r="CQ319" s="46"/>
      <c r="CR319" s="46"/>
      <c r="CS319" s="46"/>
      <c r="CT319" s="46"/>
      <c r="CU319" s="46"/>
      <c r="CV319" s="46"/>
      <c r="CW319" s="46"/>
      <c r="CX319" s="46"/>
      <c r="CY319" s="24"/>
      <c r="CZ319" s="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19" s="24">
        <f>+IF(BD_MO[[#This Row],[FECHA]]&lt;&gt;"",BD_MO[[#This Row],[DURMIENTE2]]*6.561+BD_MO[[#This Row],[LISTONES]]*4.921+BD_MO[[#This Row],[TABLA 1"x8"x3m]]*6.561+BD_MO[[#This Row],[TABLA 2"x8"x3m]]*13.122,"")</f>
        <v>0</v>
      </c>
      <c r="DB319" s="24">
        <f>+IF(BD_MO[[#This Row],[FECHA]]&lt;&gt;"",BD_MO[[#This Row],[PIE2 MADERA ASERRADA]]*1.95,"")</f>
        <v>0</v>
      </c>
      <c r="DC319" s="24">
        <f>+IF(BD_MO[[#This Row],[FECHA]]&lt;&gt;"",BD_MO[[#This Row],[KG. MADERA REDONDA]]+BD_MO[[#This Row],[KG MADERA ASERRADA]],"")</f>
        <v>0</v>
      </c>
      <c r="DD319" s="82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19" s="46"/>
      <c r="DF319" s="46"/>
      <c r="DG319" s="46"/>
      <c r="DH319" s="46"/>
      <c r="DI319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19" s="56"/>
      <c r="DK319" s="56"/>
      <c r="DL319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19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19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319" s="56" t="str">
        <f>+IF(BD_MO[[#This Row],[M o D]]&lt;&gt;"",IF(BD_MO[[#This Row],[M o D]]="M",BD_MO[[#This Row],[ROTURA TMH]]/2.65,BD_MO[[#This Row],[ROTURA TMH]]/2.4),"")</f>
        <v/>
      </c>
      <c r="DQ319" s="56"/>
      <c r="DR319" s="116" t="str">
        <f>IF(BD_MO[[#This Row],[TIPO AVANCE]]="Avance",((BD_MO[[#This Row],[AVANCE (m)]]/BD_MO[[#This Row],[AVANCE TEÓRICO]]))," ")</f>
        <v xml:space="preserve"> </v>
      </c>
      <c r="DS319" s="49"/>
      <c r="DT319" s="49"/>
      <c r="DU319" s="49"/>
      <c r="DV319" s="49"/>
      <c r="DW319" s="49"/>
      <c r="DX319" s="49"/>
      <c r="DY319" s="49"/>
      <c r="DZ319" s="49"/>
    </row>
    <row r="320" spans="1:130" ht="18" customHeight="1" thickBot="1" x14ac:dyDescent="0.3">
      <c r="A320" s="130">
        <v>44669</v>
      </c>
      <c r="B320" s="117" t="s">
        <v>10655</v>
      </c>
      <c r="C320" s="117" t="s">
        <v>10672</v>
      </c>
      <c r="D320" s="118" t="s">
        <v>10717</v>
      </c>
      <c r="E320" s="317" t="str">
        <f>LEFT(BD_MO[[#This Row],[LABOR]],2)</f>
        <v>BO</v>
      </c>
      <c r="F320" s="318"/>
      <c r="G320" s="318" t="s">
        <v>10669</v>
      </c>
      <c r="H320" s="31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20" s="317" t="str">
        <f>IF(BD_MO[FECHA]&lt;&gt;"",VLOOKUP(BD_MO[LABOR],TB_CECO[[LABOR]:[CECO_T]],3,FALSE),"")</f>
        <v>CACHORRO</v>
      </c>
      <c r="J320" s="317" t="str">
        <f>IF(BD_MO[FECHA]&lt;&gt;"",VLOOKUP(BD_MO[LABOR],D_CECO!B:H,7,FALSE),"")</f>
        <v>SERVICIOS</v>
      </c>
      <c r="K320" s="317" t="str">
        <f>IF(BD_MO[FECHA]&lt;&gt;"",VLOOKUP(BD_MO[LABOR],D_CECO!B:H,4,FALSE),"")</f>
        <v>SERVICIOS</v>
      </c>
      <c r="L320" s="317"/>
      <c r="M320" s="315"/>
      <c r="N320" s="318"/>
      <c r="O320" s="121" t="s">
        <v>12202</v>
      </c>
      <c r="P320" s="319"/>
      <c r="Q320" s="319"/>
      <c r="R320" s="320"/>
      <c r="S320" s="321" t="str">
        <f>IFERROR(VLOOKUP(BD_MO[DNI 4],#REF!,2,FALSE)," ")</f>
        <v xml:space="preserve"> </v>
      </c>
      <c r="T320" s="322">
        <f>+IF(BD_MO[[#This Row],[FECHA]]&lt;&gt;"",COUNTA(BD_MO[[#This Row],[DNI]],BD_MO[[#This Row],[DNI 2]],BD_MO[[#This Row],[DNI 3]],BD_MO[[#This Row],[DNI 4]]),"")</f>
        <v>1</v>
      </c>
      <c r="U320" s="322"/>
      <c r="V320" s="322"/>
      <c r="W320" s="322"/>
      <c r="X320" s="322">
        <v>1</v>
      </c>
      <c r="Y320" s="323">
        <f>SUM(BD_MO[[#This Row],[LIMP]:[SERV]])</f>
        <v>1</v>
      </c>
      <c r="Z320" s="318"/>
      <c r="AA320" s="318" t="str">
        <f>+IF(BD_MO[[#This Row],[N° VALE]]&lt;&gt;"",1,"")</f>
        <v/>
      </c>
      <c r="AB320" s="315"/>
      <c r="AC320" s="318"/>
      <c r="AD320" s="318" t="str">
        <f>+IF(BD_MO[[#This Row],[N° VALE]]&lt;&gt;"",BD_MO[[#This Row],[FULMINANTE N° 08]]+BD_MO[CARMEX 7''],"")</f>
        <v/>
      </c>
      <c r="AE320" s="318"/>
      <c r="AF320" s="318" t="str">
        <f>+IF(BD_MO[[#This Row],[N° VALE]]&lt;&gt;"",BD_MO[[#This Row],[N° TALADROS]]+BD_MO[[#This Row],[N° TAL. VACIOS]],"")</f>
        <v/>
      </c>
      <c r="AG320" s="324"/>
      <c r="AH320" s="324"/>
      <c r="AI320" s="324"/>
      <c r="AJ320" s="324"/>
      <c r="AK320" s="324"/>
      <c r="AL320" s="324"/>
      <c r="AM320" s="317"/>
      <c r="AN320" s="31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20" s="318" t="str">
        <f>+IF(BD_MO[[#This Row],[N° VALE]]&lt;&gt;"",IF(BD_MO[[#This Row],[FULMINANTE N° 08]]&lt;&gt;"",BD_MO[[#This Row],[FULMINANTE N° 08]],IF(BD_MO[[#This Row],[CARMEX 7'']]&lt;&gt;0,0,"")),"")</f>
        <v/>
      </c>
      <c r="AP320" s="322" t="str">
        <f>+IF(BD_MO[[#This Row],[N° VALE]]&lt;&gt;"",BD_MO[[#This Row],[N°  TOTAL TALADROS]]*BD_MO[[#This Row],[BARRA]]*0.95,"")</f>
        <v/>
      </c>
      <c r="AQ320" s="322" t="str">
        <f>+IF(BD_MO[[#This Row],[N° VALE]]&lt;&gt;"",BD_MO[[#This Row],[EMULNOR 1000 (N° CART.)]]*PE_EMUL_1000[PE],"")</f>
        <v/>
      </c>
      <c r="AR320" s="322" t="str">
        <f>+IF(BD_MO[[#This Row],[N° VALE]]&lt;&gt;"",BD_MO[[#This Row],[EMULNOR 3000 (N° CART.)]]*PE_EMUL_3000[PE],"")</f>
        <v/>
      </c>
      <c r="AS320" s="322" t="str">
        <f>+IF(BD_MO[[#This Row],[N° VALE]]&lt;&gt;"",BD_MO[[#This Row],[PULVERULENTA (N° CART.)]]*PE_PULV_65[PE],"")</f>
        <v/>
      </c>
      <c r="AT320" s="322" t="str">
        <f>+IF(BD_MO[[#This Row],[N° DISP]]&lt;&gt;"",BD_MO[[#This Row],[SEMIGELATINA (N° CART.)]]*PE_SEMIGEL_65[PE],"")</f>
        <v/>
      </c>
      <c r="AU320" s="322" t="str">
        <f>+IF(BD_MO[N° VALE]&lt;&gt;"",BD_MO[[#This Row],[KG EXPLO SEMIGEL]]+BD_MO[[#This Row],[KG EXPLO PULVE]]+BD_MO[[#This Row],[KG EXPLO EMULN 3000]]+BD_MO[[#This Row],[KG EXPLO EMULN 1000]],"")</f>
        <v/>
      </c>
      <c r="AV320" s="318"/>
      <c r="AW320" s="318"/>
      <c r="AX320" s="318" t="str">
        <f>+IF(BD_MO[[#This Row],[MINERAL (U-35)]]&lt;&gt;"",BD_MO[[#This Row],[MINERAL (U-35)]]*1.45,"-")</f>
        <v>-</v>
      </c>
      <c r="AY320" s="318" t="str">
        <f>+IF(BD_MO[[#This Row],[DESMONTE (U-35)]]&lt;&gt;"",BD_MO[[#This Row],[DESMONTE (U-35)]]*1.23,"-")</f>
        <v>-</v>
      </c>
      <c r="AZ320" s="318"/>
      <c r="BA320" s="318"/>
      <c r="BB320" s="318"/>
      <c r="BC320" s="318"/>
      <c r="BD320" s="318"/>
      <c r="BE320" s="318"/>
      <c r="BF320" s="318"/>
      <c r="BG320" s="318"/>
      <c r="BH320" s="318"/>
      <c r="BI320" s="318"/>
      <c r="BJ320" s="318"/>
      <c r="BK320" s="318"/>
      <c r="BL320" s="318"/>
      <c r="BM320" s="318"/>
      <c r="BN320" s="317"/>
      <c r="BO320" s="318"/>
      <c r="BP320" s="318"/>
      <c r="BQ320" s="317"/>
      <c r="BR320" s="318"/>
      <c r="BS320" s="317"/>
      <c r="BT320" s="322"/>
      <c r="BU320" s="318"/>
      <c r="BV320" s="318"/>
      <c r="BW320" s="318"/>
      <c r="BX320" s="318"/>
      <c r="BY320" s="318"/>
      <c r="BZ320" s="318"/>
      <c r="CA320" s="318"/>
      <c r="CB320" s="318"/>
      <c r="CC320" s="318"/>
      <c r="CD320" s="318"/>
      <c r="CE320" s="318"/>
      <c r="CF320" s="318"/>
      <c r="CG320" s="318"/>
      <c r="CH320" s="318"/>
      <c r="CI320" s="318"/>
      <c r="CJ320" s="318"/>
      <c r="CK320" s="318"/>
      <c r="CL320" s="318"/>
      <c r="CM320" s="318"/>
      <c r="CN320" s="318"/>
      <c r="CO320" s="318"/>
      <c r="CP320" s="322">
        <f>+IF(BD_MO[[#This Row],[FECHA]]&lt;&gt;"",BD_MO[[#This Row],[PUNTAL 4"]]+BD_MO[[#This Row],[PUNTAL 5"]]+BD_MO[[#This Row],[PUNTAL 6"]]+BD_MO[[#This Row],[PUNTAL 7"]]+BD_MO[[#This Row],[PUNTAL 8"]],"")</f>
        <v>0</v>
      </c>
      <c r="CQ320" s="318"/>
      <c r="CR320" s="318"/>
      <c r="CS320" s="318"/>
      <c r="CT320" s="318"/>
      <c r="CU320" s="318"/>
      <c r="CV320" s="318"/>
      <c r="CW320" s="318"/>
      <c r="CX320" s="318"/>
      <c r="CY320" s="322"/>
      <c r="CZ320" s="32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20" s="322">
        <f>+IF(BD_MO[[#This Row],[FECHA]]&lt;&gt;"",BD_MO[[#This Row],[DURMIENTE2]]*6.561+BD_MO[[#This Row],[LISTONES]]*4.921+BD_MO[[#This Row],[TABLA 1"x8"x3m]]*6.561+BD_MO[[#This Row],[TABLA 2"x8"x3m]]*13.122,"")</f>
        <v>0</v>
      </c>
      <c r="DB320" s="322">
        <f>+IF(BD_MO[[#This Row],[FECHA]]&lt;&gt;"",BD_MO[[#This Row],[PIE2 MADERA ASERRADA]]*1.95,"")</f>
        <v>0</v>
      </c>
      <c r="DC320" s="322">
        <f>+IF(BD_MO[[#This Row],[FECHA]]&lt;&gt;"",BD_MO[[#This Row],[KG. MADERA REDONDA]]+BD_MO[[#This Row],[KG MADERA ASERRADA]],"")</f>
        <v>0</v>
      </c>
      <c r="DD320" s="32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20" s="318"/>
      <c r="DF320" s="318"/>
      <c r="DG320" s="318"/>
      <c r="DH320" s="318"/>
      <c r="DI320" s="32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20" s="326"/>
      <c r="DK320" s="326"/>
      <c r="DL320" s="32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20" s="32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20" s="32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320" s="326" t="str">
        <f>+IF(BD_MO[[#This Row],[M o D]]&lt;&gt;"",IF(BD_MO[[#This Row],[M o D]]="M",BD_MO[[#This Row],[ROTURA TMH]]/2.65,BD_MO[[#This Row],[ROTURA TMH]]/2.4),"")</f>
        <v/>
      </c>
      <c r="DQ320" s="326"/>
      <c r="DR320" s="116" t="str">
        <f>IF(BD_MO[[#This Row],[TIPO AVANCE]]="Avance",((BD_MO[[#This Row],[AVANCE (m)]]/BD_MO[[#This Row],[AVANCE TEÓRICO]]))," ")</f>
        <v xml:space="preserve"> </v>
      </c>
      <c r="DS320" s="49"/>
      <c r="DT320" s="49"/>
      <c r="DU320" s="49"/>
      <c r="DV320" s="49"/>
      <c r="DW320" s="49"/>
      <c r="DX320" s="49"/>
      <c r="DY320" s="49"/>
      <c r="DZ320" s="49"/>
    </row>
    <row r="321" spans="1:130" ht="18" customHeight="1" x14ac:dyDescent="0.25">
      <c r="A321" s="328">
        <v>44670</v>
      </c>
      <c r="B321" s="329" t="s">
        <v>10647</v>
      </c>
      <c r="C321" s="329" t="s">
        <v>10668</v>
      </c>
      <c r="D321" s="393" t="s">
        <v>11595</v>
      </c>
      <c r="E321" s="344" t="str">
        <f>LEFT(BD_MO[[#This Row],[LABOR]],2)</f>
        <v>Tj</v>
      </c>
      <c r="F321" s="345" t="s">
        <v>10950</v>
      </c>
      <c r="G321" s="345" t="s">
        <v>10648</v>
      </c>
      <c r="H321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21" s="344" t="str">
        <f>IF(BD_MO[FECHA]&lt;&gt;"",VLOOKUP(BD_MO[LABOR],TB_CECO[[LABOR]:[CECO_T]],3,FALSE),"")</f>
        <v>ESCONDIDA</v>
      </c>
      <c r="J321" s="344" t="str">
        <f>IF(BD_MO[FECHA]&lt;&gt;"",VLOOKUP(BD_MO[LABOR],D_CECO!B:H,7,FALSE),"")</f>
        <v>TAJO</v>
      </c>
      <c r="K321" s="344" t="str">
        <f>IF(BD_MO[FECHA]&lt;&gt;"",VLOOKUP(BD_MO[LABOR],D_CECO!B:H,4,FALSE),"")</f>
        <v>EXPLOTACION</v>
      </c>
      <c r="L321" s="344"/>
      <c r="M321" s="329" t="s">
        <v>10661</v>
      </c>
      <c r="N321" s="345"/>
      <c r="O321" s="333" t="s">
        <v>12091</v>
      </c>
      <c r="P321" s="333" t="s">
        <v>12159</v>
      </c>
      <c r="Q321" s="333"/>
      <c r="R321" s="346"/>
      <c r="S321" s="347" t="str">
        <f>IFERROR(VLOOKUP(BD_MO[DNI 4],#REF!,2,FALSE)," ")</f>
        <v xml:space="preserve"> </v>
      </c>
      <c r="T321" s="348">
        <f>+IF(BD_MO[[#This Row],[FECHA]]&lt;&gt;"",COUNTA(BD_MO[[#This Row],[DNI]],BD_MO[[#This Row],[DNI 2]],BD_MO[[#This Row],[DNI 3]],BD_MO[[#This Row],[DNI 4]]),"")</f>
        <v>2</v>
      </c>
      <c r="U321" s="348">
        <v>0.7</v>
      </c>
      <c r="V321" s="348">
        <v>0.65</v>
      </c>
      <c r="W321" s="348">
        <v>0.4</v>
      </c>
      <c r="X321" s="348">
        <v>0.25</v>
      </c>
      <c r="Y321" s="337">
        <f>SUM(BD_MO[[#This Row],[LIMP]:[SERV]])</f>
        <v>2</v>
      </c>
      <c r="Z321" s="345" t="s">
        <v>12319</v>
      </c>
      <c r="AA321" s="345">
        <f>+IF(BD_MO[[#This Row],[N° VALE]]&lt;&gt;"",1,"")</f>
        <v>1</v>
      </c>
      <c r="AB321" s="329" t="s">
        <v>10691</v>
      </c>
      <c r="AC321" s="345">
        <v>4</v>
      </c>
      <c r="AD321" s="345">
        <f>+IF(BD_MO[[#This Row],[N° VALE]]&lt;&gt;"",BD_MO[[#This Row],[FULMINANTE N° 08]]+BD_MO[CARMEX 7''],"")</f>
        <v>28</v>
      </c>
      <c r="AE321" s="345"/>
      <c r="AF321" s="345">
        <f>+IF(BD_MO[[#This Row],[N° VALE]]&lt;&gt;"",BD_MO[[#This Row],[N° TALADROS]]+BD_MO[[#This Row],[N° TAL. VACIOS]],"")</f>
        <v>28</v>
      </c>
      <c r="AG321" s="349">
        <v>60</v>
      </c>
      <c r="AH321" s="349">
        <v>52</v>
      </c>
      <c r="AI321" s="349"/>
      <c r="AJ321" s="349"/>
      <c r="AK321" s="349">
        <v>28</v>
      </c>
      <c r="AL321" s="349">
        <v>5</v>
      </c>
      <c r="AM321" s="344"/>
      <c r="AN321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21" s="345">
        <f>+IF(BD_MO[[#This Row],[N° VALE]]&lt;&gt;"",IF(BD_MO[[#This Row],[FULMINANTE N° 08]]&lt;&gt;"",BD_MO[[#This Row],[FULMINANTE N° 08]],IF(BD_MO[[#This Row],[CARMEX 7'']]&lt;&gt;0,0,"")),"")</f>
        <v>0</v>
      </c>
      <c r="AP321" s="348">
        <f>+IF(BD_MO[[#This Row],[N° VALE]]&lt;&gt;"",BD_MO[[#This Row],[N°  TOTAL TALADROS]]*BD_MO[[#This Row],[BARRA]]*0.95,"")</f>
        <v>106.39999999999999</v>
      </c>
      <c r="AQ321" s="348">
        <f>+IF(BD_MO[[#This Row],[N° VALE]]&lt;&gt;"",BD_MO[[#This Row],[EMULNOR 1000 (N° CART.)]]*PE_EMUL_1000[PE],"")</f>
        <v>4.9244000000000003</v>
      </c>
      <c r="AR321" s="348">
        <f>+IF(BD_MO[[#This Row],[N° VALE]]&lt;&gt;"",BD_MO[[#This Row],[EMULNOR 3000 (N° CART.)]]*PE_EMUL_3000[PE],"")</f>
        <v>5.7692307692307718</v>
      </c>
      <c r="AS321" s="348">
        <f>+IF(BD_MO[[#This Row],[N° VALE]]&lt;&gt;"",BD_MO[[#This Row],[PULVERULENTA (N° CART.)]]*PE_PULV_65[PE],"")</f>
        <v>0</v>
      </c>
      <c r="AT321" s="348">
        <f>+IF(BD_MO[[#This Row],[N° DISP]]&lt;&gt;"",BD_MO[[#This Row],[SEMIGELATINA (N° CART.)]]*PE_SEMIGEL_65[PE],"")</f>
        <v>0</v>
      </c>
      <c r="AU321" s="348">
        <f>+IF(BD_MO[N° VALE]&lt;&gt;"",BD_MO[[#This Row],[KG EXPLO SEMIGEL]]+BD_MO[[#This Row],[KG EXPLO PULVE]]+BD_MO[[#This Row],[KG EXPLO EMULN 3000]]+BD_MO[[#This Row],[KG EXPLO EMULN 1000]],"")</f>
        <v>10.693630769230772</v>
      </c>
      <c r="AV321" s="345"/>
      <c r="AW321" s="345"/>
      <c r="AX321" s="345" t="str">
        <f>+IF(BD_MO[[#This Row],[MINERAL (U-35)]]&lt;&gt;"",BD_MO[[#This Row],[MINERAL (U-35)]]*1.45,"-")</f>
        <v>-</v>
      </c>
      <c r="AY321" s="345" t="str">
        <f>+IF(BD_MO[[#This Row],[DESMONTE (U-35)]]&lt;&gt;"",BD_MO[[#This Row],[DESMONTE (U-35)]]*1.23,"-")</f>
        <v>-</v>
      </c>
      <c r="AZ321" s="345"/>
      <c r="BA321" s="345"/>
      <c r="BB321" s="345"/>
      <c r="BC321" s="345"/>
      <c r="BD321" s="345"/>
      <c r="BE321" s="345"/>
      <c r="BF321" s="345"/>
      <c r="BG321" s="345"/>
      <c r="BH321" s="345"/>
      <c r="BI321" s="345"/>
      <c r="BJ321" s="345">
        <v>3</v>
      </c>
      <c r="BK321" s="345"/>
      <c r="BL321" s="345"/>
      <c r="BM321" s="345"/>
      <c r="BN321" s="344"/>
      <c r="BO321" s="345"/>
      <c r="BP321" s="345"/>
      <c r="BQ321" s="344">
        <v>7.2</v>
      </c>
      <c r="BR321" s="345"/>
      <c r="BS321" s="344"/>
      <c r="BT321" s="348"/>
      <c r="BU321" s="345"/>
      <c r="BV321" s="345"/>
      <c r="BW321" s="345"/>
      <c r="BX321" s="345"/>
      <c r="BY321" s="345"/>
      <c r="BZ321" s="345"/>
      <c r="CA321" s="345"/>
      <c r="CB321" s="345"/>
      <c r="CC321" s="345"/>
      <c r="CD321" s="345"/>
      <c r="CE321" s="345"/>
      <c r="CF321" s="345"/>
      <c r="CG321" s="345"/>
      <c r="CH321" s="345"/>
      <c r="CI321" s="345"/>
      <c r="CJ321" s="345"/>
      <c r="CK321" s="345"/>
      <c r="CL321" s="345"/>
      <c r="CM321" s="345">
        <v>2</v>
      </c>
      <c r="CN321" s="345"/>
      <c r="CO321" s="345"/>
      <c r="CP321" s="348">
        <f>+IF(BD_MO[[#This Row],[FECHA]]&lt;&gt;"",BD_MO[[#This Row],[PUNTAL 4"]]+BD_MO[[#This Row],[PUNTAL 5"]]+BD_MO[[#This Row],[PUNTAL 6"]]+BD_MO[[#This Row],[PUNTAL 7"]]+BD_MO[[#This Row],[PUNTAL 8"]],"")</f>
        <v>2</v>
      </c>
      <c r="CQ321" s="345"/>
      <c r="CR321" s="345"/>
      <c r="CS321" s="345">
        <v>62</v>
      </c>
      <c r="CT321" s="345"/>
      <c r="CU321" s="345"/>
      <c r="CV321" s="345"/>
      <c r="CW321" s="345"/>
      <c r="CX321" s="345">
        <v>5</v>
      </c>
      <c r="CY321" s="348"/>
      <c r="CZ321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1614.9480000000001</v>
      </c>
      <c r="DA321" s="348">
        <f>+IF(BD_MO[[#This Row],[FECHA]]&lt;&gt;"",BD_MO[[#This Row],[DURMIENTE2]]*6.561+BD_MO[[#This Row],[LISTONES]]*4.921+BD_MO[[#This Row],[TABLA 1"x8"x3m]]*6.561+BD_MO[[#This Row],[TABLA 2"x8"x3m]]*13.122,"")</f>
        <v>65.61</v>
      </c>
      <c r="DB321" s="348">
        <f>+IF(BD_MO[[#This Row],[FECHA]]&lt;&gt;"",BD_MO[[#This Row],[PIE2 MADERA ASERRADA]]*1.95,"")</f>
        <v>127.9395</v>
      </c>
      <c r="DC321" s="348">
        <f>+IF(BD_MO[[#This Row],[FECHA]]&lt;&gt;"",BD_MO[[#This Row],[KG. MADERA REDONDA]]+BD_MO[[#This Row],[KG MADERA ASERRADA]],"")</f>
        <v>1742.8875</v>
      </c>
      <c r="DD321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873.68</v>
      </c>
      <c r="DE321" s="345"/>
      <c r="DF321" s="345"/>
      <c r="DG321" s="345"/>
      <c r="DH321" s="345"/>
      <c r="DI321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21" s="351"/>
      <c r="DK321" s="351"/>
      <c r="DL321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6.53</v>
      </c>
      <c r="DM321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6.7912000000000008</v>
      </c>
      <c r="DN321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21" s="17">
        <v>19.14</v>
      </c>
      <c r="DP321" s="351">
        <f>+IF(BD_MO[[#This Row],[M o D]]&lt;&gt;"",IF(BD_MO[[#This Row],[M o D]]="M",BD_MO[[#This Row],[ROTURA TMH]]/2.65,BD_MO[[#This Row],[ROTURA TMH]]/2.4),"")</f>
        <v>7.2226415094339629</v>
      </c>
      <c r="DQ321" s="351"/>
      <c r="DR321" s="116" t="str">
        <f>IF(BD_MO[[#This Row],[TIPO AVANCE]]="Avance",((BD_MO[[#This Row],[AVANCE (m)]]/BD_MO[[#This Row],[AVANCE TEÓRICO]]))," ")</f>
        <v xml:space="preserve"> </v>
      </c>
      <c r="DS321" s="49"/>
      <c r="DT321" s="49"/>
      <c r="DU321" s="49"/>
      <c r="DV321" s="49"/>
      <c r="DW321" s="49"/>
      <c r="DX321" s="49"/>
      <c r="DY321" s="49"/>
      <c r="DZ321" s="49"/>
    </row>
    <row r="322" spans="1:130" ht="18" customHeight="1" x14ac:dyDescent="0.25">
      <c r="A322" s="328">
        <v>44670</v>
      </c>
      <c r="B322" s="329" t="s">
        <v>10647</v>
      </c>
      <c r="C322" s="329" t="s">
        <v>10668</v>
      </c>
      <c r="D322" s="393" t="s">
        <v>11595</v>
      </c>
      <c r="E322" s="344" t="str">
        <f>LEFT(BD_MO[[#This Row],[LABOR]],2)</f>
        <v>Tj</v>
      </c>
      <c r="F322" s="345" t="s">
        <v>10950</v>
      </c>
      <c r="G322" s="345" t="s">
        <v>10648</v>
      </c>
      <c r="H322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22" s="344" t="str">
        <f>IF(BD_MO[FECHA]&lt;&gt;"",VLOOKUP(BD_MO[LABOR],TB_CECO[[LABOR]:[CECO_T]],3,FALSE),"")</f>
        <v>ESCONDIDA</v>
      </c>
      <c r="J322" s="344" t="str">
        <f>IF(BD_MO[FECHA]&lt;&gt;"",VLOOKUP(BD_MO[LABOR],D_CECO!B:H,7,FALSE),"")</f>
        <v>TAJO</v>
      </c>
      <c r="K322" s="344" t="str">
        <f>IF(BD_MO[FECHA]&lt;&gt;"",VLOOKUP(BD_MO[LABOR],D_CECO!B:H,4,FALSE),"")</f>
        <v>EXPLOTACION</v>
      </c>
      <c r="L322" s="344"/>
      <c r="M322" s="329" t="s">
        <v>10661</v>
      </c>
      <c r="N322" s="345"/>
      <c r="O322" s="333" t="s">
        <v>12088</v>
      </c>
      <c r="P322" s="333"/>
      <c r="Q322" s="333"/>
      <c r="R322" s="346"/>
      <c r="S322" s="347" t="str">
        <f>IFERROR(VLOOKUP(BD_MO[DNI 4],#REF!,2,FALSE)," ")</f>
        <v xml:space="preserve"> </v>
      </c>
      <c r="T322" s="348">
        <f>+IF(BD_MO[[#This Row],[FECHA]]&lt;&gt;"",COUNTA(BD_MO[[#This Row],[DNI]],BD_MO[[#This Row],[DNI 2]],BD_MO[[#This Row],[DNI 3]],BD_MO[[#This Row],[DNI 4]]),"")</f>
        <v>1</v>
      </c>
      <c r="U322" s="348">
        <v>0.52</v>
      </c>
      <c r="V322" s="348">
        <v>0.28999999999999998</v>
      </c>
      <c r="W322" s="348"/>
      <c r="X322" s="348">
        <v>0.19</v>
      </c>
      <c r="Y322" s="337">
        <f>SUM(BD_MO[[#This Row],[LIMP]:[SERV]])</f>
        <v>1</v>
      </c>
      <c r="Z322" s="345" t="s">
        <v>12320</v>
      </c>
      <c r="AA322" s="345">
        <f>+IF(BD_MO[[#This Row],[N° VALE]]&lt;&gt;"",1,"")</f>
        <v>1</v>
      </c>
      <c r="AB322" s="329" t="s">
        <v>10691</v>
      </c>
      <c r="AC322" s="345">
        <v>4</v>
      </c>
      <c r="AD322" s="345">
        <f>+IF(BD_MO[[#This Row],[N° VALE]]&lt;&gt;"",BD_MO[[#This Row],[FULMINANTE N° 08]]+BD_MO[CARMEX 7''],"")</f>
        <v>6</v>
      </c>
      <c r="AE322" s="345"/>
      <c r="AF322" s="345">
        <f>+IF(BD_MO[[#This Row],[N° VALE]]&lt;&gt;"",BD_MO[[#This Row],[N° TALADROS]]+BD_MO[[#This Row],[N° TAL. VACIOS]],"")</f>
        <v>6</v>
      </c>
      <c r="AG322" s="349">
        <v>6</v>
      </c>
      <c r="AH322" s="349">
        <v>14</v>
      </c>
      <c r="AI322" s="349"/>
      <c r="AJ322" s="349"/>
      <c r="AK322" s="349">
        <v>6</v>
      </c>
      <c r="AL322" s="349">
        <v>1</v>
      </c>
      <c r="AM322" s="344"/>
      <c r="AN322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22" s="345">
        <f>+IF(BD_MO[[#This Row],[N° VALE]]&lt;&gt;"",IF(BD_MO[[#This Row],[FULMINANTE N° 08]]&lt;&gt;"",BD_MO[[#This Row],[FULMINANTE N° 08]],IF(BD_MO[[#This Row],[CARMEX 7'']]&lt;&gt;0,0,"")),"")</f>
        <v>0</v>
      </c>
      <c r="AP322" s="348">
        <f>+IF(BD_MO[[#This Row],[N° VALE]]&lt;&gt;"",BD_MO[[#This Row],[N°  TOTAL TALADROS]]*BD_MO[[#This Row],[BARRA]]*0.95,"")</f>
        <v>22.799999999999997</v>
      </c>
      <c r="AQ322" s="348">
        <f>+IF(BD_MO[[#This Row],[N° VALE]]&lt;&gt;"",BD_MO[[#This Row],[EMULNOR 1000 (N° CART.)]]*PE_EMUL_1000[PE],"")</f>
        <v>1.3258000000000001</v>
      </c>
      <c r="AR322" s="348">
        <f>+IF(BD_MO[[#This Row],[N° VALE]]&lt;&gt;"",BD_MO[[#This Row],[EMULNOR 3000 (N° CART.)]]*PE_EMUL_3000[PE],"")</f>
        <v>0.5769230769230772</v>
      </c>
      <c r="AS322" s="348">
        <f>+IF(BD_MO[[#This Row],[N° VALE]]&lt;&gt;"",BD_MO[[#This Row],[PULVERULENTA (N° CART.)]]*PE_PULV_65[PE],"")</f>
        <v>0</v>
      </c>
      <c r="AT322" s="348">
        <f>+IF(BD_MO[[#This Row],[N° DISP]]&lt;&gt;"",BD_MO[[#This Row],[SEMIGELATINA (N° CART.)]]*PE_SEMIGEL_65[PE],"")</f>
        <v>0</v>
      </c>
      <c r="AU322" s="348">
        <f>+IF(BD_MO[N° VALE]&lt;&gt;"",BD_MO[[#This Row],[KG EXPLO SEMIGEL]]+BD_MO[[#This Row],[KG EXPLO PULVE]]+BD_MO[[#This Row],[KG EXPLO EMULN 3000]]+BD_MO[[#This Row],[KG EXPLO EMULN 1000]],"")</f>
        <v>1.9027230769230772</v>
      </c>
      <c r="AV322" s="345">
        <v>9</v>
      </c>
      <c r="AW322" s="345"/>
      <c r="AX322" s="345">
        <f>+IF(BD_MO[[#This Row],[MINERAL (U-35)]]&lt;&gt;"",BD_MO[[#This Row],[MINERAL (U-35)]]*1.45,"-")</f>
        <v>13.049999999999999</v>
      </c>
      <c r="AY322" s="345" t="str">
        <f>+IF(BD_MO[[#This Row],[DESMONTE (U-35)]]&lt;&gt;"",BD_MO[[#This Row],[DESMONTE (U-35)]]*1.23,"-")</f>
        <v>-</v>
      </c>
      <c r="AZ322" s="345"/>
      <c r="BA322" s="345"/>
      <c r="BB322" s="345"/>
      <c r="BC322" s="345"/>
      <c r="BD322" s="345"/>
      <c r="BE322" s="345"/>
      <c r="BF322" s="345"/>
      <c r="BG322" s="345"/>
      <c r="BH322" s="345"/>
      <c r="BI322" s="345"/>
      <c r="BJ322" s="345"/>
      <c r="BK322" s="345"/>
      <c r="BL322" s="345"/>
      <c r="BM322" s="345"/>
      <c r="BN322" s="344"/>
      <c r="BO322" s="345"/>
      <c r="BP322" s="345"/>
      <c r="BQ322" s="344"/>
      <c r="BR322" s="345"/>
      <c r="BS322" s="344"/>
      <c r="BT322" s="348"/>
      <c r="BU322" s="345"/>
      <c r="BV322" s="345"/>
      <c r="BW322" s="345"/>
      <c r="BX322" s="345"/>
      <c r="BY322" s="345"/>
      <c r="BZ322" s="345"/>
      <c r="CA322" s="345"/>
      <c r="CB322" s="345"/>
      <c r="CC322" s="345"/>
      <c r="CD322" s="345"/>
      <c r="CE322" s="345"/>
      <c r="CF322" s="345"/>
      <c r="CG322" s="345"/>
      <c r="CH322" s="345"/>
      <c r="CI322" s="345"/>
      <c r="CJ322" s="345"/>
      <c r="CK322" s="345"/>
      <c r="CL322" s="345"/>
      <c r="CM322" s="345"/>
      <c r="CN322" s="345"/>
      <c r="CO322" s="345"/>
      <c r="CP322" s="348">
        <f>+IF(BD_MO[[#This Row],[FECHA]]&lt;&gt;"",BD_MO[[#This Row],[PUNTAL 4"]]+BD_MO[[#This Row],[PUNTAL 5"]]+BD_MO[[#This Row],[PUNTAL 6"]]+BD_MO[[#This Row],[PUNTAL 7"]]+BD_MO[[#This Row],[PUNTAL 8"]],"")</f>
        <v>0</v>
      </c>
      <c r="CQ322" s="345"/>
      <c r="CR322" s="345"/>
      <c r="CS322" s="345"/>
      <c r="CT322" s="345"/>
      <c r="CU322" s="345"/>
      <c r="CV322" s="345"/>
      <c r="CW322" s="345"/>
      <c r="CX322" s="345"/>
      <c r="CY322" s="348"/>
      <c r="CZ322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22" s="348">
        <f>+IF(BD_MO[[#This Row],[FECHA]]&lt;&gt;"",BD_MO[[#This Row],[DURMIENTE2]]*6.561+BD_MO[[#This Row],[LISTONES]]*4.921+BD_MO[[#This Row],[TABLA 1"x8"x3m]]*6.561+BD_MO[[#This Row],[TABLA 2"x8"x3m]]*13.122,"")</f>
        <v>0</v>
      </c>
      <c r="DB322" s="348">
        <f>+IF(BD_MO[[#This Row],[FECHA]]&lt;&gt;"",BD_MO[[#This Row],[PIE2 MADERA ASERRADA]]*1.95,"")</f>
        <v>0</v>
      </c>
      <c r="DC322" s="348">
        <f>+IF(BD_MO[[#This Row],[FECHA]]&lt;&gt;"",BD_MO[[#This Row],[KG. MADERA REDONDA]]+BD_MO[[#This Row],[KG MADERA ASERRADA]],"")</f>
        <v>0</v>
      </c>
      <c r="DD322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22" s="345"/>
      <c r="DF322" s="345"/>
      <c r="DG322" s="345"/>
      <c r="DH322" s="345"/>
      <c r="DI322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22" s="351"/>
      <c r="DK322" s="351"/>
      <c r="DL322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1.4</v>
      </c>
      <c r="DM322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1.456</v>
      </c>
      <c r="DN322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22" s="17">
        <v>10.210000000000001</v>
      </c>
      <c r="DP322" s="351">
        <f>+IF(BD_MO[[#This Row],[M o D]]&lt;&gt;"",IF(BD_MO[[#This Row],[M o D]]="M",BD_MO[[#This Row],[ROTURA TMH]]/2.65,BD_MO[[#This Row],[ROTURA TMH]]/2.4),"")</f>
        <v>3.8528301886792455</v>
      </c>
      <c r="DQ322" s="351"/>
      <c r="DR322" s="116" t="str">
        <f>IF(BD_MO[[#This Row],[TIPO AVANCE]]="Avance",((BD_MO[[#This Row],[AVANCE (m)]]/BD_MO[[#This Row],[AVANCE TEÓRICO]]))," ")</f>
        <v xml:space="preserve"> </v>
      </c>
      <c r="DS322" s="49"/>
      <c r="DT322" s="49"/>
      <c r="DU322" s="49"/>
      <c r="DV322" s="49"/>
      <c r="DW322" s="49"/>
      <c r="DX322" s="49"/>
      <c r="DY322" s="49"/>
      <c r="DZ322" s="49"/>
    </row>
    <row r="323" spans="1:130" ht="18" customHeight="1" x14ac:dyDescent="0.25">
      <c r="A323" s="328">
        <v>44670</v>
      </c>
      <c r="B323" s="329" t="s">
        <v>10647</v>
      </c>
      <c r="C323" s="329" t="s">
        <v>10668</v>
      </c>
      <c r="D323" s="343" t="s">
        <v>11827</v>
      </c>
      <c r="E323" s="344" t="str">
        <f>LEFT(BD_MO[[#This Row],[LABOR]],2)</f>
        <v>Tj</v>
      </c>
      <c r="F323" s="345" t="s">
        <v>10950</v>
      </c>
      <c r="G323" s="345" t="s">
        <v>10648</v>
      </c>
      <c r="H323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23" s="344" t="str">
        <f>IF(BD_MO[FECHA]&lt;&gt;"",VLOOKUP(BD_MO[LABOR],TB_CECO[[LABOR]:[CECO_T]],3,FALSE),"")</f>
        <v>VANESSA</v>
      </c>
      <c r="J323" s="344" t="str">
        <f>IF(BD_MO[FECHA]&lt;&gt;"",VLOOKUP(BD_MO[LABOR],D_CECO!B:H,7,FALSE),"")</f>
        <v>TAJO</v>
      </c>
      <c r="K323" s="344" t="str">
        <f>IF(BD_MO[FECHA]&lt;&gt;"",VLOOKUP(BD_MO[LABOR],D_CECO!B:H,4,FALSE),"")</f>
        <v>EXPLOTACION</v>
      </c>
      <c r="L323" s="344"/>
      <c r="M323" s="329" t="s">
        <v>10654</v>
      </c>
      <c r="N323" s="345"/>
      <c r="O323" s="333" t="s">
        <v>12095</v>
      </c>
      <c r="P323" s="333" t="s">
        <v>12096</v>
      </c>
      <c r="Q323" s="333"/>
      <c r="R323" s="346"/>
      <c r="S323" s="347" t="str">
        <f>IFERROR(VLOOKUP(BD_MO[DNI 4],#REF!,2,FALSE)," ")</f>
        <v xml:space="preserve"> </v>
      </c>
      <c r="T323" s="348">
        <f>+IF(BD_MO[[#This Row],[FECHA]]&lt;&gt;"",COUNTA(BD_MO[[#This Row],[DNI]],BD_MO[[#This Row],[DNI 2]],BD_MO[[#This Row],[DNI 3]],BD_MO[[#This Row],[DNI 4]]),"")</f>
        <v>2</v>
      </c>
      <c r="U323" s="348">
        <v>0.9</v>
      </c>
      <c r="V323" s="348">
        <v>0.6</v>
      </c>
      <c r="W323" s="348"/>
      <c r="X323" s="348">
        <v>0.5</v>
      </c>
      <c r="Y323" s="337">
        <f>SUM(BD_MO[[#This Row],[LIMP]:[SERV]])</f>
        <v>2</v>
      </c>
      <c r="Z323" s="345" t="s">
        <v>12321</v>
      </c>
      <c r="AA323" s="345">
        <f>+IF(BD_MO[[#This Row],[N° VALE]]&lt;&gt;"",1,"")</f>
        <v>1</v>
      </c>
      <c r="AB323" s="329" t="s">
        <v>10670</v>
      </c>
      <c r="AC323" s="345">
        <v>4</v>
      </c>
      <c r="AD323" s="345">
        <f>+IF(BD_MO[[#This Row],[N° VALE]]&lt;&gt;"",BD_MO[[#This Row],[FULMINANTE N° 08]]+BD_MO[CARMEX 7''],"")</f>
        <v>15</v>
      </c>
      <c r="AE323" s="345"/>
      <c r="AF323" s="345">
        <f>+IF(BD_MO[[#This Row],[N° VALE]]&lt;&gt;"",BD_MO[[#This Row],[N° TALADROS]]+BD_MO[[#This Row],[N° TAL. VACIOS]],"")</f>
        <v>15</v>
      </c>
      <c r="AG323" s="349">
        <v>70</v>
      </c>
      <c r="AH323" s="349">
        <v>70</v>
      </c>
      <c r="AI323" s="349"/>
      <c r="AJ323" s="349"/>
      <c r="AK323" s="349">
        <v>15</v>
      </c>
      <c r="AL323" s="349">
        <v>7</v>
      </c>
      <c r="AM323" s="344"/>
      <c r="AN323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23" s="345">
        <f>+IF(BD_MO[[#This Row],[N° VALE]]&lt;&gt;"",IF(BD_MO[[#This Row],[FULMINANTE N° 08]]&lt;&gt;"",BD_MO[[#This Row],[FULMINANTE N° 08]],IF(BD_MO[[#This Row],[CARMEX 7'']]&lt;&gt;0,0,"")),"")</f>
        <v>0</v>
      </c>
      <c r="AP323" s="348">
        <f>+IF(BD_MO[[#This Row],[N° VALE]]&lt;&gt;"",BD_MO[[#This Row],[N°  TOTAL TALADROS]]*BD_MO[[#This Row],[BARRA]]*0.95,"")</f>
        <v>57</v>
      </c>
      <c r="AQ323" s="348">
        <f>+IF(BD_MO[[#This Row],[N° VALE]]&lt;&gt;"",BD_MO[[#This Row],[EMULNOR 1000 (N° CART.)]]*PE_EMUL_1000[PE],"")</f>
        <v>6.6290000000000004</v>
      </c>
      <c r="AR323" s="348">
        <f>+IF(BD_MO[[#This Row],[N° VALE]]&lt;&gt;"",BD_MO[[#This Row],[EMULNOR 3000 (N° CART.)]]*PE_EMUL_3000[PE],"")</f>
        <v>6.7307692307692344</v>
      </c>
      <c r="AS323" s="348">
        <f>+IF(BD_MO[[#This Row],[N° VALE]]&lt;&gt;"",BD_MO[[#This Row],[PULVERULENTA (N° CART.)]]*PE_PULV_65[PE],"")</f>
        <v>0</v>
      </c>
      <c r="AT323" s="348">
        <f>+IF(BD_MO[[#This Row],[N° DISP]]&lt;&gt;"",BD_MO[[#This Row],[SEMIGELATINA (N° CART.)]]*PE_SEMIGEL_65[PE],"")</f>
        <v>0</v>
      </c>
      <c r="AU323" s="348">
        <f>+IF(BD_MO[N° VALE]&lt;&gt;"",BD_MO[[#This Row],[KG EXPLO SEMIGEL]]+BD_MO[[#This Row],[KG EXPLO PULVE]]+BD_MO[[#This Row],[KG EXPLO EMULN 3000]]+BD_MO[[#This Row],[KG EXPLO EMULN 1000]],"")</f>
        <v>13.359769230769235</v>
      </c>
      <c r="AV323" s="345">
        <v>4</v>
      </c>
      <c r="AW323" s="345"/>
      <c r="AX323" s="345">
        <f>+IF(BD_MO[[#This Row],[MINERAL (U-35)]]&lt;&gt;"",BD_MO[[#This Row],[MINERAL (U-35)]]*1.45,"-")</f>
        <v>5.8</v>
      </c>
      <c r="AY323" s="345" t="str">
        <f>+IF(BD_MO[[#This Row],[DESMONTE (U-35)]]&lt;&gt;"",BD_MO[[#This Row],[DESMONTE (U-35)]]*1.23,"-")</f>
        <v>-</v>
      </c>
      <c r="AZ323" s="345"/>
      <c r="BA323" s="345"/>
      <c r="BB323" s="345"/>
      <c r="BC323" s="345"/>
      <c r="BD323" s="345"/>
      <c r="BE323" s="345"/>
      <c r="BF323" s="345"/>
      <c r="BG323" s="345"/>
      <c r="BH323" s="345"/>
      <c r="BI323" s="345"/>
      <c r="BJ323" s="345"/>
      <c r="BK323" s="345"/>
      <c r="BL323" s="345"/>
      <c r="BM323" s="345"/>
      <c r="BN323" s="344"/>
      <c r="BO323" s="345"/>
      <c r="BP323" s="345"/>
      <c r="BQ323" s="344"/>
      <c r="BR323" s="345"/>
      <c r="BS323" s="344"/>
      <c r="BT323" s="348"/>
      <c r="BU323" s="345"/>
      <c r="BV323" s="345"/>
      <c r="BW323" s="345"/>
      <c r="BX323" s="345"/>
      <c r="BY323" s="345"/>
      <c r="BZ323" s="345"/>
      <c r="CA323" s="345"/>
      <c r="CB323" s="345"/>
      <c r="CC323" s="345"/>
      <c r="CD323" s="345"/>
      <c r="CE323" s="345"/>
      <c r="CF323" s="345"/>
      <c r="CG323" s="345"/>
      <c r="CH323" s="345"/>
      <c r="CI323" s="345"/>
      <c r="CJ323" s="345"/>
      <c r="CK323" s="345"/>
      <c r="CL323" s="345"/>
      <c r="CM323" s="345"/>
      <c r="CN323" s="345"/>
      <c r="CO323" s="345"/>
      <c r="CP323" s="348">
        <f>+IF(BD_MO[[#This Row],[FECHA]]&lt;&gt;"",BD_MO[[#This Row],[PUNTAL 4"]]+BD_MO[[#This Row],[PUNTAL 5"]]+BD_MO[[#This Row],[PUNTAL 6"]]+BD_MO[[#This Row],[PUNTAL 7"]]+BD_MO[[#This Row],[PUNTAL 8"]],"")</f>
        <v>0</v>
      </c>
      <c r="CQ323" s="345"/>
      <c r="CR323" s="345">
        <v>20</v>
      </c>
      <c r="CS323" s="345"/>
      <c r="CT323" s="345"/>
      <c r="CU323" s="345"/>
      <c r="CV323" s="345"/>
      <c r="CW323" s="345"/>
      <c r="CX323" s="345"/>
      <c r="CY323" s="348"/>
      <c r="CZ323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2127.3599999999997</v>
      </c>
      <c r="DA323" s="348">
        <f>+IF(BD_MO[[#This Row],[FECHA]]&lt;&gt;"",BD_MO[[#This Row],[DURMIENTE2]]*6.561+BD_MO[[#This Row],[LISTONES]]*4.921+BD_MO[[#This Row],[TABLA 1"x8"x3m]]*6.561+BD_MO[[#This Row],[TABLA 2"x8"x3m]]*13.122,"")</f>
        <v>0</v>
      </c>
      <c r="DB323" s="348">
        <f>+IF(BD_MO[[#This Row],[FECHA]]&lt;&gt;"",BD_MO[[#This Row],[PIE2 MADERA ASERRADA]]*1.95,"")</f>
        <v>0</v>
      </c>
      <c r="DC323" s="348">
        <f>+IF(BD_MO[[#This Row],[FECHA]]&lt;&gt;"",BD_MO[[#This Row],[KG. MADERA REDONDA]]+BD_MO[[#This Row],[KG MADERA ASERRADA]],"")</f>
        <v>2127.3599999999997</v>
      </c>
      <c r="DD323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926</v>
      </c>
      <c r="DE323" s="345"/>
      <c r="DF323" s="345"/>
      <c r="DG323" s="345"/>
      <c r="DH323" s="345"/>
      <c r="DI323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23" s="351"/>
      <c r="DK323" s="351"/>
      <c r="DL323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3.5</v>
      </c>
      <c r="DM323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3.64</v>
      </c>
      <c r="DN323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23" s="17">
        <f>35*0.4873</f>
        <v>17.055500000000002</v>
      </c>
      <c r="DP323" s="351">
        <f>+IF(BD_MO[[#This Row],[M o D]]&lt;&gt;"",IF(BD_MO[[#This Row],[M o D]]="M",BD_MO[[#This Row],[ROTURA TMH]]/2.65,BD_MO[[#This Row],[ROTURA TMH]]/2.4),"")</f>
        <v>6.4360377358490579</v>
      </c>
      <c r="DQ323" s="351"/>
      <c r="DR323" s="116" t="str">
        <f>IF(BD_MO[[#This Row],[TIPO AVANCE]]="Avance",((BD_MO[[#This Row],[AVANCE (m)]]/BD_MO[[#This Row],[AVANCE TEÓRICO]]))," ")</f>
        <v xml:space="preserve"> </v>
      </c>
      <c r="DS323" s="49"/>
      <c r="DT323" s="49"/>
      <c r="DU323" s="49"/>
      <c r="DV323" s="49"/>
      <c r="DW323" s="49"/>
      <c r="DX323" s="49"/>
      <c r="DY323" s="49"/>
      <c r="DZ323" s="49"/>
    </row>
    <row r="324" spans="1:130" ht="18" customHeight="1" x14ac:dyDescent="0.25">
      <c r="A324" s="328">
        <v>44670</v>
      </c>
      <c r="B324" s="329" t="s">
        <v>10647</v>
      </c>
      <c r="C324" s="329" t="s">
        <v>10668</v>
      </c>
      <c r="D324" s="343" t="s">
        <v>12317</v>
      </c>
      <c r="E324" s="344" t="str">
        <f>LEFT(BD_MO[[#This Row],[LABOR]],2)</f>
        <v>Sn</v>
      </c>
      <c r="F324" s="345" t="s">
        <v>10950</v>
      </c>
      <c r="G324" s="345" t="s">
        <v>10648</v>
      </c>
      <c r="H324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24" s="344" t="s">
        <v>12254</v>
      </c>
      <c r="J324" s="383" t="s">
        <v>10525</v>
      </c>
      <c r="K324" s="344" t="s">
        <v>12247</v>
      </c>
      <c r="L324" s="344"/>
      <c r="M324" s="329" t="s">
        <v>10646</v>
      </c>
      <c r="N324" s="345"/>
      <c r="O324" s="333" t="s">
        <v>12101</v>
      </c>
      <c r="P324" s="333" t="s">
        <v>12305</v>
      </c>
      <c r="Q324" s="333"/>
      <c r="R324" s="346"/>
      <c r="S324" s="347" t="str">
        <f>IFERROR(VLOOKUP(BD_MO[DNI 4],#REF!,2,FALSE)," ")</f>
        <v xml:space="preserve"> </v>
      </c>
      <c r="T324" s="348">
        <f>+IF(BD_MO[[#This Row],[FECHA]]&lt;&gt;"",COUNTA(BD_MO[[#This Row],[DNI]],BD_MO[[#This Row],[DNI 2]],BD_MO[[#This Row],[DNI 3]],BD_MO[[#This Row],[DNI 4]]),"")</f>
        <v>2</v>
      </c>
      <c r="U324" s="348"/>
      <c r="V324" s="348">
        <v>0.8</v>
      </c>
      <c r="W324" s="348">
        <v>0.9</v>
      </c>
      <c r="X324" s="348">
        <v>0.3</v>
      </c>
      <c r="Y324" s="337">
        <f>SUM(BD_MO[[#This Row],[LIMP]:[SERV]])</f>
        <v>2</v>
      </c>
      <c r="Z324" s="345" t="s">
        <v>12322</v>
      </c>
      <c r="AA324" s="345">
        <f>+IF(BD_MO[[#This Row],[N° VALE]]&lt;&gt;"",1,"")</f>
        <v>1</v>
      </c>
      <c r="AB324" s="329" t="s">
        <v>10659</v>
      </c>
      <c r="AC324" s="345">
        <v>4</v>
      </c>
      <c r="AD324" s="345">
        <f>+IF(BD_MO[[#This Row],[N° VALE]]&lt;&gt;"",BD_MO[[#This Row],[FULMINANTE N° 08]]+BD_MO[CARMEX 7''],"")</f>
        <v>17</v>
      </c>
      <c r="AE324" s="345"/>
      <c r="AF324" s="345">
        <f>+IF(BD_MO[[#This Row],[N° VALE]]&lt;&gt;"",BD_MO[[#This Row],[N° TALADROS]]+BD_MO[[#This Row],[N° TAL. VACIOS]],"")</f>
        <v>17</v>
      </c>
      <c r="AG324" s="349">
        <v>22</v>
      </c>
      <c r="AH324" s="349">
        <v>57</v>
      </c>
      <c r="AI324" s="349"/>
      <c r="AJ324" s="349"/>
      <c r="AK324" s="349">
        <v>17</v>
      </c>
      <c r="AL324" s="349">
        <v>4</v>
      </c>
      <c r="AM324" s="344"/>
      <c r="AN324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24" s="345">
        <f>+IF(BD_MO[[#This Row],[N° VALE]]&lt;&gt;"",IF(BD_MO[[#This Row],[FULMINANTE N° 08]]&lt;&gt;"",BD_MO[[#This Row],[FULMINANTE N° 08]],IF(BD_MO[[#This Row],[CARMEX 7'']]&lt;&gt;0,0,"")),"")</f>
        <v>0</v>
      </c>
      <c r="AP324" s="348">
        <f>+IF(BD_MO[[#This Row],[N° VALE]]&lt;&gt;"",BD_MO[[#This Row],[N°  TOTAL TALADROS]]*BD_MO[[#This Row],[BARRA]]*0.95,"")</f>
        <v>64.599999999999994</v>
      </c>
      <c r="AQ324" s="348">
        <f>+IF(BD_MO[[#This Row],[N° VALE]]&lt;&gt;"",BD_MO[[#This Row],[EMULNOR 1000 (N° CART.)]]*PE_EMUL_1000[PE],"")</f>
        <v>5.3978999999999999</v>
      </c>
      <c r="AR324" s="348">
        <f>+IF(BD_MO[[#This Row],[N° VALE]]&lt;&gt;"",BD_MO[[#This Row],[EMULNOR 3000 (N° CART.)]]*PE_EMUL_3000[PE],"")</f>
        <v>2.1153846153846163</v>
      </c>
      <c r="AS324" s="348">
        <f>+IF(BD_MO[[#This Row],[N° VALE]]&lt;&gt;"",BD_MO[[#This Row],[PULVERULENTA (N° CART.)]]*PE_PULV_65[PE],"")</f>
        <v>0</v>
      </c>
      <c r="AT324" s="348">
        <f>+IF(BD_MO[[#This Row],[N° DISP]]&lt;&gt;"",BD_MO[[#This Row],[SEMIGELATINA (N° CART.)]]*PE_SEMIGEL_65[PE],"")</f>
        <v>0</v>
      </c>
      <c r="AU324" s="348">
        <f>+IF(BD_MO[N° VALE]&lt;&gt;"",BD_MO[[#This Row],[KG EXPLO SEMIGEL]]+BD_MO[[#This Row],[KG EXPLO PULVE]]+BD_MO[[#This Row],[KG EXPLO EMULN 3000]]+BD_MO[[#This Row],[KG EXPLO EMULN 1000]],"")</f>
        <v>7.5132846153846167</v>
      </c>
      <c r="AV324" s="345"/>
      <c r="AW324" s="345"/>
      <c r="AX324" s="345" t="str">
        <f>+IF(BD_MO[[#This Row],[MINERAL (U-35)]]&lt;&gt;"",BD_MO[[#This Row],[MINERAL (U-35)]]*1.45,"-")</f>
        <v>-</v>
      </c>
      <c r="AY324" s="345" t="str">
        <f>+IF(BD_MO[[#This Row],[DESMONTE (U-35)]]&lt;&gt;"",BD_MO[[#This Row],[DESMONTE (U-35)]]*1.23,"-")</f>
        <v>-</v>
      </c>
      <c r="AZ324" s="345"/>
      <c r="BA324" s="345"/>
      <c r="BB324" s="345"/>
      <c r="BC324" s="345"/>
      <c r="BD324" s="345"/>
      <c r="BE324" s="345"/>
      <c r="BF324" s="345"/>
      <c r="BG324" s="345"/>
      <c r="BH324" s="345"/>
      <c r="BI324" s="345"/>
      <c r="BJ324" s="345"/>
      <c r="BK324" s="345"/>
      <c r="BL324" s="345"/>
      <c r="BM324" s="345"/>
      <c r="BN324" s="344"/>
      <c r="BO324" s="345"/>
      <c r="BP324" s="345"/>
      <c r="BQ324" s="344"/>
      <c r="BR324" s="345"/>
      <c r="BS324" s="344"/>
      <c r="BT324" s="348"/>
      <c r="BU324" s="345"/>
      <c r="BV324" s="345"/>
      <c r="BW324" s="345"/>
      <c r="BX324" s="345"/>
      <c r="BY324" s="345"/>
      <c r="BZ324" s="345"/>
      <c r="CA324" s="345"/>
      <c r="CB324" s="345"/>
      <c r="CC324" s="345"/>
      <c r="CD324" s="345"/>
      <c r="CE324" s="345"/>
      <c r="CF324" s="345"/>
      <c r="CG324" s="345"/>
      <c r="CH324" s="345"/>
      <c r="CI324" s="345"/>
      <c r="CJ324" s="345"/>
      <c r="CK324" s="345"/>
      <c r="CL324" s="345"/>
      <c r="CM324" s="345"/>
      <c r="CN324" s="345"/>
      <c r="CO324" s="345"/>
      <c r="CP324" s="348">
        <f>+IF(BD_MO[[#This Row],[FECHA]]&lt;&gt;"",BD_MO[[#This Row],[PUNTAL 4"]]+BD_MO[[#This Row],[PUNTAL 5"]]+BD_MO[[#This Row],[PUNTAL 6"]]+BD_MO[[#This Row],[PUNTAL 7"]]+BD_MO[[#This Row],[PUNTAL 8"]],"")</f>
        <v>0</v>
      </c>
      <c r="CQ324" s="345"/>
      <c r="CR324" s="345"/>
      <c r="CS324" s="345"/>
      <c r="CT324" s="345"/>
      <c r="CU324" s="345"/>
      <c r="CV324" s="345"/>
      <c r="CW324" s="345"/>
      <c r="CX324" s="345"/>
      <c r="CY324" s="348"/>
      <c r="CZ324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24" s="348">
        <f>+IF(BD_MO[[#This Row],[FECHA]]&lt;&gt;"",BD_MO[[#This Row],[DURMIENTE2]]*6.561+BD_MO[[#This Row],[LISTONES]]*4.921+BD_MO[[#This Row],[TABLA 1"x8"x3m]]*6.561+BD_MO[[#This Row],[TABLA 2"x8"x3m]]*13.122,"")</f>
        <v>0</v>
      </c>
      <c r="DB324" s="348">
        <f>+IF(BD_MO[[#This Row],[FECHA]]&lt;&gt;"",BD_MO[[#This Row],[PIE2 MADERA ASERRADA]]*1.95,"")</f>
        <v>0</v>
      </c>
      <c r="DC324" s="348">
        <f>+IF(BD_MO[[#This Row],[FECHA]]&lt;&gt;"",BD_MO[[#This Row],[KG. MADERA REDONDA]]+BD_MO[[#This Row],[KG MADERA ASERRADA]],"")</f>
        <v>0</v>
      </c>
      <c r="DD324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24" s="345"/>
      <c r="DF324" s="345"/>
      <c r="DG324" s="345"/>
      <c r="DH324" s="345"/>
      <c r="DI324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24" s="351"/>
      <c r="DK324" s="351"/>
      <c r="DL324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24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24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24" s="17">
        <v>12</v>
      </c>
      <c r="DP324" s="351">
        <f>+IF(BD_MO[[#This Row],[M o D]]&lt;&gt;"",IF(BD_MO[[#This Row],[M o D]]="M",BD_MO[[#This Row],[ROTURA TMH]]/2.65,BD_MO[[#This Row],[ROTURA TMH]]/2.4),"")</f>
        <v>4.5283018867924527</v>
      </c>
      <c r="DQ324" s="351">
        <v>1.2</v>
      </c>
      <c r="DR324" s="116">
        <f>IF(BD_MO[[#This Row],[TIPO AVANCE]]="Avance",((BD_MO[[#This Row],[AVANCE (m)]]/BD_MO[[#This Row],[AVANCE TEÓRICO]]))," ")</f>
        <v>1.1111111111111109</v>
      </c>
      <c r="DS324" s="49"/>
      <c r="DT324" s="49"/>
      <c r="DU324" s="49"/>
      <c r="DV324" s="49"/>
      <c r="DW324" s="49"/>
      <c r="DX324" s="49"/>
      <c r="DY324" s="49"/>
      <c r="DZ324" s="49"/>
    </row>
    <row r="325" spans="1:130" ht="18" customHeight="1" x14ac:dyDescent="0.25">
      <c r="A325" s="328">
        <v>44670</v>
      </c>
      <c r="B325" s="329" t="s">
        <v>10647</v>
      </c>
      <c r="C325" s="329" t="s">
        <v>10668</v>
      </c>
      <c r="D325" s="343" t="s">
        <v>12304</v>
      </c>
      <c r="E325" s="344" t="str">
        <f>LEFT(BD_MO[[#This Row],[LABOR]],2)</f>
        <v>Ch</v>
      </c>
      <c r="F325" s="345"/>
      <c r="G325" s="345" t="s">
        <v>10656</v>
      </c>
      <c r="H325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325" s="344" t="s">
        <v>12247</v>
      </c>
      <c r="J325" s="387" t="s">
        <v>10525</v>
      </c>
      <c r="K325" s="344" t="s">
        <v>12247</v>
      </c>
      <c r="L325" s="344"/>
      <c r="M325" s="329"/>
      <c r="N325" s="345"/>
      <c r="O325" s="333" t="s">
        <v>12306</v>
      </c>
      <c r="P325" s="333" t="s">
        <v>12093</v>
      </c>
      <c r="Q325" s="333"/>
      <c r="R325" s="346"/>
      <c r="S325" s="347" t="str">
        <f>IFERROR(VLOOKUP(BD_MO[DNI 4],#REF!,2,FALSE)," ")</f>
        <v xml:space="preserve"> </v>
      </c>
      <c r="T325" s="348">
        <f>+IF(BD_MO[[#This Row],[FECHA]]&lt;&gt;"",COUNTA(BD_MO[[#This Row],[DNI]],BD_MO[[#This Row],[DNI 2]],BD_MO[[#This Row],[DNI 3]],BD_MO[[#This Row],[DNI 4]]),"")</f>
        <v>2</v>
      </c>
      <c r="U325" s="348">
        <v>0.9</v>
      </c>
      <c r="V325" s="348"/>
      <c r="W325" s="348">
        <v>0.3</v>
      </c>
      <c r="X325" s="348">
        <v>0.8</v>
      </c>
      <c r="Y325" s="337">
        <f>SUM(BD_MO[[#This Row],[LIMP]:[SERV]])</f>
        <v>2</v>
      </c>
      <c r="Z325" s="345"/>
      <c r="AA325" s="345" t="str">
        <f>+IF(BD_MO[[#This Row],[N° VALE]]&lt;&gt;"",1,"")</f>
        <v/>
      </c>
      <c r="AB325" s="329"/>
      <c r="AC325" s="345"/>
      <c r="AD325" s="345" t="str">
        <f>+IF(BD_MO[[#This Row],[N° VALE]]&lt;&gt;"",BD_MO[[#This Row],[FULMINANTE N° 08]]+BD_MO[CARMEX 7''],"")</f>
        <v/>
      </c>
      <c r="AE325" s="345"/>
      <c r="AF325" s="345" t="str">
        <f>+IF(BD_MO[[#This Row],[N° VALE]]&lt;&gt;"",BD_MO[[#This Row],[N° TALADROS]]+BD_MO[[#This Row],[N° TAL. VACIOS]],"")</f>
        <v/>
      </c>
      <c r="AG325" s="349"/>
      <c r="AH325" s="349"/>
      <c r="AI325" s="349"/>
      <c r="AJ325" s="349"/>
      <c r="AK325" s="349"/>
      <c r="AL325" s="349"/>
      <c r="AM325" s="344"/>
      <c r="AN325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25" s="345" t="str">
        <f>+IF(BD_MO[[#This Row],[N° VALE]]&lt;&gt;"",IF(BD_MO[[#This Row],[FULMINANTE N° 08]]&lt;&gt;"",BD_MO[[#This Row],[FULMINANTE N° 08]],IF(BD_MO[[#This Row],[CARMEX 7'']]&lt;&gt;0,0,"")),"")</f>
        <v/>
      </c>
      <c r="AP325" s="348" t="str">
        <f>+IF(BD_MO[[#This Row],[N° VALE]]&lt;&gt;"",BD_MO[[#This Row],[N°  TOTAL TALADROS]]*BD_MO[[#This Row],[BARRA]]*0.95,"")</f>
        <v/>
      </c>
      <c r="AQ325" s="348" t="str">
        <f>+IF(BD_MO[[#This Row],[N° VALE]]&lt;&gt;"",BD_MO[[#This Row],[EMULNOR 1000 (N° CART.)]]*PE_EMUL_1000[PE],"")</f>
        <v/>
      </c>
      <c r="AR325" s="348" t="str">
        <f>+IF(BD_MO[[#This Row],[N° VALE]]&lt;&gt;"",BD_MO[[#This Row],[EMULNOR 3000 (N° CART.)]]*PE_EMUL_3000[PE],"")</f>
        <v/>
      </c>
      <c r="AS325" s="348" t="str">
        <f>+IF(BD_MO[[#This Row],[N° VALE]]&lt;&gt;"",BD_MO[[#This Row],[PULVERULENTA (N° CART.)]]*PE_PULV_65[PE],"")</f>
        <v/>
      </c>
      <c r="AT325" s="348" t="str">
        <f>+IF(BD_MO[[#This Row],[N° DISP]]&lt;&gt;"",BD_MO[[#This Row],[SEMIGELATINA (N° CART.)]]*PE_SEMIGEL_65[PE],"")</f>
        <v/>
      </c>
      <c r="AU325" s="348" t="str">
        <f>+IF(BD_MO[N° VALE]&lt;&gt;"",BD_MO[[#This Row],[KG EXPLO SEMIGEL]]+BD_MO[[#This Row],[KG EXPLO PULVE]]+BD_MO[[#This Row],[KG EXPLO EMULN 3000]]+BD_MO[[#This Row],[KG EXPLO EMULN 1000]],"")</f>
        <v/>
      </c>
      <c r="AV325" s="345"/>
      <c r="AW325" s="345">
        <v>7</v>
      </c>
      <c r="AX325" s="345" t="str">
        <f>+IF(BD_MO[[#This Row],[MINERAL (U-35)]]&lt;&gt;"",BD_MO[[#This Row],[MINERAL (U-35)]]*1.45,"-")</f>
        <v>-</v>
      </c>
      <c r="AY325" s="345">
        <f>+IF(BD_MO[[#This Row],[DESMONTE (U-35)]]&lt;&gt;"",BD_MO[[#This Row],[DESMONTE (U-35)]]*1.23,"-")</f>
        <v>8.61</v>
      </c>
      <c r="AZ325" s="345"/>
      <c r="BA325" s="345"/>
      <c r="BB325" s="345"/>
      <c r="BC325" s="345"/>
      <c r="BD325" s="345"/>
      <c r="BE325" s="345"/>
      <c r="BF325" s="345"/>
      <c r="BG325" s="345"/>
      <c r="BH325" s="345"/>
      <c r="BI325" s="345"/>
      <c r="BJ325" s="345"/>
      <c r="BK325" s="345">
        <v>2.25</v>
      </c>
      <c r="BL325" s="345"/>
      <c r="BM325" s="345"/>
      <c r="BN325" s="344"/>
      <c r="BO325" s="345"/>
      <c r="BP325" s="345"/>
      <c r="BQ325" s="344"/>
      <c r="BR325" s="345"/>
      <c r="BS325" s="344"/>
      <c r="BT325" s="348"/>
      <c r="BU325" s="345"/>
      <c r="BV325" s="345"/>
      <c r="BW325" s="345"/>
      <c r="BX325" s="345"/>
      <c r="BY325" s="345"/>
      <c r="BZ325" s="345"/>
      <c r="CA325" s="345"/>
      <c r="CB325" s="345"/>
      <c r="CC325" s="345"/>
      <c r="CD325" s="345"/>
      <c r="CE325" s="345"/>
      <c r="CF325" s="345"/>
      <c r="CG325" s="345"/>
      <c r="CH325" s="345"/>
      <c r="CI325" s="345"/>
      <c r="CJ325" s="345"/>
      <c r="CK325" s="345"/>
      <c r="CL325" s="345"/>
      <c r="CM325" s="345"/>
      <c r="CN325" s="345"/>
      <c r="CO325" s="345"/>
      <c r="CP325" s="348">
        <f>+IF(BD_MO[[#This Row],[FECHA]]&lt;&gt;"",BD_MO[[#This Row],[PUNTAL 4"]]+BD_MO[[#This Row],[PUNTAL 5"]]+BD_MO[[#This Row],[PUNTAL 6"]]+BD_MO[[#This Row],[PUNTAL 7"]]+BD_MO[[#This Row],[PUNTAL 8"]],"")</f>
        <v>0</v>
      </c>
      <c r="CQ325" s="345"/>
      <c r="CR325" s="345"/>
      <c r="CS325" s="345"/>
      <c r="CT325" s="345"/>
      <c r="CU325" s="345"/>
      <c r="CV325" s="345"/>
      <c r="CW325" s="345"/>
      <c r="CX325" s="345"/>
      <c r="CY325" s="348"/>
      <c r="CZ325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25" s="348">
        <f>+IF(BD_MO[[#This Row],[FECHA]]&lt;&gt;"",BD_MO[[#This Row],[DURMIENTE2]]*6.561+BD_MO[[#This Row],[LISTONES]]*4.921+BD_MO[[#This Row],[TABLA 1"x8"x3m]]*6.561+BD_MO[[#This Row],[TABLA 2"x8"x3m]]*13.122,"")</f>
        <v>0</v>
      </c>
      <c r="DB325" s="348">
        <f>+IF(BD_MO[[#This Row],[FECHA]]&lt;&gt;"",BD_MO[[#This Row],[PIE2 MADERA ASERRADA]]*1.95,"")</f>
        <v>0</v>
      </c>
      <c r="DC325" s="348">
        <f>+IF(BD_MO[[#This Row],[FECHA]]&lt;&gt;"",BD_MO[[#This Row],[KG. MADERA REDONDA]]+BD_MO[[#This Row],[KG MADERA ASERRADA]],"")</f>
        <v>0</v>
      </c>
      <c r="DD325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25" s="345"/>
      <c r="DF325" s="345"/>
      <c r="DG325" s="345"/>
      <c r="DH325" s="345"/>
      <c r="DI325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25" s="351"/>
      <c r="DK325" s="351"/>
      <c r="DL325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25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25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325" s="351" t="str">
        <f>+IF(BD_MO[[#This Row],[M o D]]&lt;&gt;"",IF(BD_MO[[#This Row],[M o D]]="M",BD_MO[[#This Row],[ROTURA TMH]]/2.65,BD_MO[[#This Row],[ROTURA TMH]]/2.4),"")</f>
        <v/>
      </c>
      <c r="DQ325" s="351"/>
      <c r="DR325" s="116" t="str">
        <f>IF(BD_MO[[#This Row],[TIPO AVANCE]]="Avance",((BD_MO[[#This Row],[AVANCE (m)]]/BD_MO[[#This Row],[AVANCE TEÓRICO]]))," ")</f>
        <v xml:space="preserve"> </v>
      </c>
      <c r="DS325" s="49"/>
      <c r="DT325" s="49"/>
      <c r="DU325" s="49"/>
      <c r="DV325" s="49"/>
      <c r="DW325" s="49"/>
      <c r="DX325" s="49"/>
      <c r="DY325" s="49"/>
      <c r="DZ325" s="49"/>
    </row>
    <row r="326" spans="1:130" ht="18" customHeight="1" x14ac:dyDescent="0.25">
      <c r="A326" s="328">
        <v>44670</v>
      </c>
      <c r="B326" s="329" t="s">
        <v>10647</v>
      </c>
      <c r="C326" s="329" t="s">
        <v>10668</v>
      </c>
      <c r="D326" s="343" t="s">
        <v>10952</v>
      </c>
      <c r="E326" s="344" t="str">
        <f>LEFT(BD_MO[[#This Row],[LABOR]],2)</f>
        <v>In</v>
      </c>
      <c r="F326" s="345"/>
      <c r="G326" s="345" t="s">
        <v>10669</v>
      </c>
      <c r="H326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26" s="344" t="str">
        <f>IF(BD_MO[FECHA]&lt;&gt;"",VLOOKUP(BD_MO[LABOR],TB_CECO[[LABOR]:[CECO_T]],3,FALSE),"")</f>
        <v>VANESSA</v>
      </c>
      <c r="J326" s="344" t="str">
        <f>IF(BD_MO[FECHA]&lt;&gt;"",VLOOKUP(BD_MO[LABOR],D_CECO!B:H,7,FALSE),"")</f>
        <v>LINEAL</v>
      </c>
      <c r="K326" s="344" t="str">
        <f>IF(BD_MO[FECHA]&lt;&gt;"",VLOOKUP(BD_MO[LABOR],D_CECO!B:H,4,FALSE),"")</f>
        <v>EXPLORACION</v>
      </c>
      <c r="L326" s="344"/>
      <c r="M326" s="329"/>
      <c r="N326" s="345"/>
      <c r="O326" s="333" t="s">
        <v>12092</v>
      </c>
      <c r="P326" s="333" t="s">
        <v>12099</v>
      </c>
      <c r="Q326" s="333"/>
      <c r="R326" s="346"/>
      <c r="S326" s="347" t="str">
        <f>IFERROR(VLOOKUP(BD_MO[DNI 4],#REF!,2,FALSE)," ")</f>
        <v xml:space="preserve"> </v>
      </c>
      <c r="T326" s="348">
        <f>+IF(BD_MO[[#This Row],[FECHA]]&lt;&gt;"",COUNTA(BD_MO[[#This Row],[DNI]],BD_MO[[#This Row],[DNI 2]],BD_MO[[#This Row],[DNI 3]],BD_MO[[#This Row],[DNI 4]]),"")</f>
        <v>2</v>
      </c>
      <c r="U326" s="348"/>
      <c r="V326" s="348"/>
      <c r="W326" s="348"/>
      <c r="X326" s="348">
        <v>2</v>
      </c>
      <c r="Y326" s="337">
        <f>SUM(BD_MO[[#This Row],[LIMP]:[SERV]])</f>
        <v>2</v>
      </c>
      <c r="Z326" s="345"/>
      <c r="AA326" s="345" t="str">
        <f>+IF(BD_MO[[#This Row],[N° VALE]]&lt;&gt;"",1,"")</f>
        <v/>
      </c>
      <c r="AB326" s="329"/>
      <c r="AC326" s="345"/>
      <c r="AD326" s="345" t="str">
        <f>+IF(BD_MO[[#This Row],[N° VALE]]&lt;&gt;"",BD_MO[[#This Row],[FULMINANTE N° 08]]+BD_MO[CARMEX 7''],"")</f>
        <v/>
      </c>
      <c r="AE326" s="345"/>
      <c r="AF326" s="345" t="str">
        <f>+IF(BD_MO[[#This Row],[N° VALE]]&lt;&gt;"",BD_MO[[#This Row],[N° TALADROS]]+BD_MO[[#This Row],[N° TAL. VACIOS]],"")</f>
        <v/>
      </c>
      <c r="AG326" s="349"/>
      <c r="AH326" s="349"/>
      <c r="AI326" s="349"/>
      <c r="AJ326" s="349"/>
      <c r="AK326" s="349"/>
      <c r="AL326" s="349"/>
      <c r="AM326" s="344"/>
      <c r="AN326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26" s="345" t="str">
        <f>+IF(BD_MO[[#This Row],[N° VALE]]&lt;&gt;"",IF(BD_MO[[#This Row],[FULMINANTE N° 08]]&lt;&gt;"",BD_MO[[#This Row],[FULMINANTE N° 08]],IF(BD_MO[[#This Row],[CARMEX 7'']]&lt;&gt;0,0,"")),"")</f>
        <v/>
      </c>
      <c r="AP326" s="348" t="str">
        <f>+IF(BD_MO[[#This Row],[N° VALE]]&lt;&gt;"",BD_MO[[#This Row],[N°  TOTAL TALADROS]]*BD_MO[[#This Row],[BARRA]]*0.95,"")</f>
        <v/>
      </c>
      <c r="AQ326" s="348" t="str">
        <f>+IF(BD_MO[[#This Row],[N° VALE]]&lt;&gt;"",BD_MO[[#This Row],[EMULNOR 1000 (N° CART.)]]*PE_EMUL_1000[PE],"")</f>
        <v/>
      </c>
      <c r="AR326" s="348" t="str">
        <f>+IF(BD_MO[[#This Row],[N° VALE]]&lt;&gt;"",BD_MO[[#This Row],[EMULNOR 3000 (N° CART.)]]*PE_EMUL_3000[PE],"")</f>
        <v/>
      </c>
      <c r="AS326" s="348" t="str">
        <f>+IF(BD_MO[[#This Row],[N° VALE]]&lt;&gt;"",BD_MO[[#This Row],[PULVERULENTA (N° CART.)]]*PE_PULV_65[PE],"")</f>
        <v/>
      </c>
      <c r="AT326" s="348" t="str">
        <f>+IF(BD_MO[[#This Row],[N° DISP]]&lt;&gt;"",BD_MO[[#This Row],[SEMIGELATINA (N° CART.)]]*PE_SEMIGEL_65[PE],"")</f>
        <v/>
      </c>
      <c r="AU326" s="348" t="str">
        <f>+IF(BD_MO[N° VALE]&lt;&gt;"",BD_MO[[#This Row],[KG EXPLO SEMIGEL]]+BD_MO[[#This Row],[KG EXPLO PULVE]]+BD_MO[[#This Row],[KG EXPLO EMULN 3000]]+BD_MO[[#This Row],[KG EXPLO EMULN 1000]],"")</f>
        <v/>
      </c>
      <c r="AV326" s="345"/>
      <c r="AW326" s="345"/>
      <c r="AX326" s="345" t="str">
        <f>+IF(BD_MO[[#This Row],[MINERAL (U-35)]]&lt;&gt;"",BD_MO[[#This Row],[MINERAL (U-35)]]*1.45,"-")</f>
        <v>-</v>
      </c>
      <c r="AY326" s="345" t="str">
        <f>+IF(BD_MO[[#This Row],[DESMONTE (U-35)]]&lt;&gt;"",BD_MO[[#This Row],[DESMONTE (U-35)]]*1.23,"-")</f>
        <v>-</v>
      </c>
      <c r="AZ326" s="345"/>
      <c r="BA326" s="345"/>
      <c r="BB326" s="345"/>
      <c r="BC326" s="345"/>
      <c r="BD326" s="345"/>
      <c r="BE326" s="345"/>
      <c r="BF326" s="345"/>
      <c r="BG326" s="345"/>
      <c r="BH326" s="345"/>
      <c r="BI326" s="345"/>
      <c r="BJ326" s="345"/>
      <c r="BK326" s="345"/>
      <c r="BL326" s="345"/>
      <c r="BM326" s="345"/>
      <c r="BN326" s="344"/>
      <c r="BO326" s="345"/>
      <c r="BP326" s="345"/>
      <c r="BQ326" s="344"/>
      <c r="BR326" s="345"/>
      <c r="BS326" s="344"/>
      <c r="BT326" s="348"/>
      <c r="BU326" s="345"/>
      <c r="BV326" s="345"/>
      <c r="BW326" s="345"/>
      <c r="BX326" s="345"/>
      <c r="BY326" s="345"/>
      <c r="BZ326" s="345"/>
      <c r="CA326" s="345"/>
      <c r="CB326" s="345"/>
      <c r="CC326" s="345"/>
      <c r="CD326" s="345"/>
      <c r="CE326" s="345"/>
      <c r="CF326" s="345"/>
      <c r="CG326" s="345"/>
      <c r="CH326" s="345"/>
      <c r="CI326" s="345"/>
      <c r="CJ326" s="345"/>
      <c r="CK326" s="345"/>
      <c r="CL326" s="345"/>
      <c r="CM326" s="345"/>
      <c r="CN326" s="345"/>
      <c r="CO326" s="345"/>
      <c r="CP326" s="348">
        <f>+IF(BD_MO[[#This Row],[FECHA]]&lt;&gt;"",BD_MO[[#This Row],[PUNTAL 4"]]+BD_MO[[#This Row],[PUNTAL 5"]]+BD_MO[[#This Row],[PUNTAL 6"]]+BD_MO[[#This Row],[PUNTAL 7"]]+BD_MO[[#This Row],[PUNTAL 8"]],"")</f>
        <v>0</v>
      </c>
      <c r="CQ326" s="345"/>
      <c r="CR326" s="345"/>
      <c r="CS326" s="345"/>
      <c r="CT326" s="345"/>
      <c r="CU326" s="345"/>
      <c r="CV326" s="345"/>
      <c r="CW326" s="345"/>
      <c r="CX326" s="345"/>
      <c r="CY326" s="348"/>
      <c r="CZ326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26" s="348">
        <f>+IF(BD_MO[[#This Row],[FECHA]]&lt;&gt;"",BD_MO[[#This Row],[DURMIENTE2]]*6.561+BD_MO[[#This Row],[LISTONES]]*4.921+BD_MO[[#This Row],[TABLA 1"x8"x3m]]*6.561+BD_MO[[#This Row],[TABLA 2"x8"x3m]]*13.122,"")</f>
        <v>0</v>
      </c>
      <c r="DB326" s="348">
        <f>+IF(BD_MO[[#This Row],[FECHA]]&lt;&gt;"",BD_MO[[#This Row],[PIE2 MADERA ASERRADA]]*1.95,"")</f>
        <v>0</v>
      </c>
      <c r="DC326" s="348">
        <f>+IF(BD_MO[[#This Row],[FECHA]]&lt;&gt;"",BD_MO[[#This Row],[KG. MADERA REDONDA]]+BD_MO[[#This Row],[KG MADERA ASERRADA]],"")</f>
        <v>0</v>
      </c>
      <c r="DD326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26" s="345"/>
      <c r="DF326" s="345"/>
      <c r="DG326" s="345"/>
      <c r="DH326" s="345"/>
      <c r="DI326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26" s="351"/>
      <c r="DK326" s="351"/>
      <c r="DL326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26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26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P326" s="351" t="str">
        <f>+IF(BD_MO[[#This Row],[M o D]]&lt;&gt;"",IF(BD_MO[[#This Row],[M o D]]="M",BD_MO[[#This Row],[ROTURA TMH]]/2.65,BD_MO[[#This Row],[ROTURA TMH]]/2.4),"")</f>
        <v/>
      </c>
      <c r="DQ326" s="351"/>
      <c r="DR326" s="116" t="str">
        <f>IF(BD_MO[[#This Row],[TIPO AVANCE]]="Avance",((BD_MO[[#This Row],[AVANCE (m)]]/BD_MO[[#This Row],[AVANCE TEÓRICO]]))," ")</f>
        <v xml:space="preserve"> </v>
      </c>
      <c r="DS326" s="49"/>
      <c r="DT326" s="49"/>
      <c r="DU326" s="49"/>
      <c r="DV326" s="49"/>
      <c r="DW326" s="49"/>
      <c r="DX326" s="49"/>
      <c r="DY326" s="49"/>
      <c r="DZ326" s="49"/>
    </row>
    <row r="327" spans="1:130" ht="18" customHeight="1" x14ac:dyDescent="0.25">
      <c r="A327" s="328">
        <v>44670</v>
      </c>
      <c r="B327" s="329" t="s">
        <v>10647</v>
      </c>
      <c r="C327" s="329" t="s">
        <v>10668</v>
      </c>
      <c r="D327" s="343" t="s">
        <v>11872</v>
      </c>
      <c r="E327" s="344" t="str">
        <f>LEFT(BD_MO[[#This Row],[LABOR]],2)</f>
        <v>PQ</v>
      </c>
      <c r="F327" s="345"/>
      <c r="G327" s="345" t="s">
        <v>10669</v>
      </c>
      <c r="H327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27" s="344" t="str">
        <f>IF(BD_MO[FECHA]&lt;&gt;"",VLOOKUP(BD_MO[LABOR],TB_CECO[[LABOR]:[CECO_T]],3,FALSE),"")</f>
        <v>ANDREA</v>
      </c>
      <c r="J327" s="344" t="str">
        <f>IF(BD_MO[FECHA]&lt;&gt;"",VLOOKUP(BD_MO[LABOR],D_CECO!B:H,7,FALSE),"")</f>
        <v>LINEAL</v>
      </c>
      <c r="K327" s="344" t="str">
        <f>IF(BD_MO[FECHA]&lt;&gt;"",VLOOKUP(BD_MO[LABOR],D_CECO!B:H,4,FALSE),"")</f>
        <v>EXPLOTACION</v>
      </c>
      <c r="L327" s="344"/>
      <c r="M327" s="329"/>
      <c r="N327" s="345"/>
      <c r="O327" s="333" t="s">
        <v>12097</v>
      </c>
      <c r="P327" s="333" t="s">
        <v>12090</v>
      </c>
      <c r="Q327" s="333" t="s">
        <v>12089</v>
      </c>
      <c r="R327" s="346"/>
      <c r="S327" s="347" t="str">
        <f>IFERROR(VLOOKUP(BD_MO[DNI 4],#REF!,2,FALSE)," ")</f>
        <v xml:space="preserve"> </v>
      </c>
      <c r="T327" s="348">
        <f>+IF(BD_MO[[#This Row],[FECHA]]&lt;&gt;"",COUNTA(BD_MO[[#This Row],[DNI]],BD_MO[[#This Row],[DNI 2]],BD_MO[[#This Row],[DNI 3]],BD_MO[[#This Row],[DNI 4]]),"")</f>
        <v>3</v>
      </c>
      <c r="U327" s="348"/>
      <c r="V327" s="348"/>
      <c r="W327" s="348"/>
      <c r="X327" s="348">
        <v>3</v>
      </c>
      <c r="Y327" s="337">
        <f>SUM(BD_MO[[#This Row],[LIMP]:[SERV]])</f>
        <v>3</v>
      </c>
      <c r="Z327" s="345"/>
      <c r="AA327" s="345" t="str">
        <f>+IF(BD_MO[[#This Row],[N° VALE]]&lt;&gt;"",1,"")</f>
        <v/>
      </c>
      <c r="AB327" s="329"/>
      <c r="AC327" s="345"/>
      <c r="AD327" s="345" t="str">
        <f>+IF(BD_MO[[#This Row],[N° VALE]]&lt;&gt;"",BD_MO[[#This Row],[FULMINANTE N° 08]]+BD_MO[CARMEX 7''],"")</f>
        <v/>
      </c>
      <c r="AE327" s="345"/>
      <c r="AF327" s="345" t="str">
        <f>+IF(BD_MO[[#This Row],[N° VALE]]&lt;&gt;"",BD_MO[[#This Row],[N° TALADROS]]+BD_MO[[#This Row],[N° TAL. VACIOS]],"")</f>
        <v/>
      </c>
      <c r="AG327" s="349"/>
      <c r="AH327" s="349"/>
      <c r="AI327" s="349"/>
      <c r="AJ327" s="349"/>
      <c r="AK327" s="349"/>
      <c r="AL327" s="349"/>
      <c r="AM327" s="344"/>
      <c r="AN327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27" s="345" t="str">
        <f>+IF(BD_MO[[#This Row],[N° VALE]]&lt;&gt;"",IF(BD_MO[[#This Row],[FULMINANTE N° 08]]&lt;&gt;"",BD_MO[[#This Row],[FULMINANTE N° 08]],IF(BD_MO[[#This Row],[CARMEX 7'']]&lt;&gt;0,0,"")),"")</f>
        <v/>
      </c>
      <c r="AP327" s="348" t="str">
        <f>+IF(BD_MO[[#This Row],[N° VALE]]&lt;&gt;"",BD_MO[[#This Row],[N°  TOTAL TALADROS]]*BD_MO[[#This Row],[BARRA]]*0.95,"")</f>
        <v/>
      </c>
      <c r="AQ327" s="348" t="str">
        <f>+IF(BD_MO[[#This Row],[N° VALE]]&lt;&gt;"",BD_MO[[#This Row],[EMULNOR 1000 (N° CART.)]]*PE_EMUL_1000[PE],"")</f>
        <v/>
      </c>
      <c r="AR327" s="348" t="str">
        <f>+IF(BD_MO[[#This Row],[N° VALE]]&lt;&gt;"",BD_MO[[#This Row],[EMULNOR 3000 (N° CART.)]]*PE_EMUL_3000[PE],"")</f>
        <v/>
      </c>
      <c r="AS327" s="348" t="str">
        <f>+IF(BD_MO[[#This Row],[N° VALE]]&lt;&gt;"",BD_MO[[#This Row],[PULVERULENTA (N° CART.)]]*PE_PULV_65[PE],"")</f>
        <v/>
      </c>
      <c r="AT327" s="348" t="str">
        <f>+IF(BD_MO[[#This Row],[N° DISP]]&lt;&gt;"",BD_MO[[#This Row],[SEMIGELATINA (N° CART.)]]*PE_SEMIGEL_65[PE],"")</f>
        <v/>
      </c>
      <c r="AU327" s="348" t="str">
        <f>+IF(BD_MO[N° VALE]&lt;&gt;"",BD_MO[[#This Row],[KG EXPLO SEMIGEL]]+BD_MO[[#This Row],[KG EXPLO PULVE]]+BD_MO[[#This Row],[KG EXPLO EMULN 3000]]+BD_MO[[#This Row],[KG EXPLO EMULN 1000]],"")</f>
        <v/>
      </c>
      <c r="AV327" s="345"/>
      <c r="AW327" s="345"/>
      <c r="AX327" s="345" t="str">
        <f>+IF(BD_MO[[#This Row],[MINERAL (U-35)]]&lt;&gt;"",BD_MO[[#This Row],[MINERAL (U-35)]]*1.45,"-")</f>
        <v>-</v>
      </c>
      <c r="AY327" s="345" t="str">
        <f>+IF(BD_MO[[#This Row],[DESMONTE (U-35)]]&lt;&gt;"",BD_MO[[#This Row],[DESMONTE (U-35)]]*1.23,"-")</f>
        <v>-</v>
      </c>
      <c r="AZ327" s="345"/>
      <c r="BA327" s="345"/>
      <c r="BB327" s="345"/>
      <c r="BC327" s="345"/>
      <c r="BD327" s="345"/>
      <c r="BE327" s="345"/>
      <c r="BF327" s="345"/>
      <c r="BG327" s="345"/>
      <c r="BH327" s="345"/>
      <c r="BI327" s="345"/>
      <c r="BJ327" s="345"/>
      <c r="BK327" s="345"/>
      <c r="BL327" s="345"/>
      <c r="BM327" s="345"/>
      <c r="BN327" s="344"/>
      <c r="BO327" s="345"/>
      <c r="BP327" s="345"/>
      <c r="BQ327" s="344"/>
      <c r="BR327" s="345"/>
      <c r="BS327" s="344"/>
      <c r="BT327" s="348"/>
      <c r="BU327" s="345"/>
      <c r="BV327" s="345"/>
      <c r="BW327" s="345"/>
      <c r="BX327" s="345"/>
      <c r="BY327" s="345"/>
      <c r="BZ327" s="345"/>
      <c r="CA327" s="345"/>
      <c r="CB327" s="345"/>
      <c r="CC327" s="345"/>
      <c r="CD327" s="345"/>
      <c r="CE327" s="345"/>
      <c r="CF327" s="345"/>
      <c r="CG327" s="345"/>
      <c r="CH327" s="345"/>
      <c r="CI327" s="345"/>
      <c r="CJ327" s="345"/>
      <c r="CK327" s="345"/>
      <c r="CL327" s="345"/>
      <c r="CM327" s="345"/>
      <c r="CN327" s="345"/>
      <c r="CO327" s="345"/>
      <c r="CP327" s="348">
        <f>+IF(BD_MO[[#This Row],[FECHA]]&lt;&gt;"",BD_MO[[#This Row],[PUNTAL 4"]]+BD_MO[[#This Row],[PUNTAL 5"]]+BD_MO[[#This Row],[PUNTAL 6"]]+BD_MO[[#This Row],[PUNTAL 7"]]+BD_MO[[#This Row],[PUNTAL 8"]],"")</f>
        <v>0</v>
      </c>
      <c r="CQ327" s="345"/>
      <c r="CR327" s="345"/>
      <c r="CS327" s="345"/>
      <c r="CT327" s="345"/>
      <c r="CU327" s="345"/>
      <c r="CV327" s="345"/>
      <c r="CW327" s="345"/>
      <c r="CX327" s="345"/>
      <c r="CY327" s="348"/>
      <c r="CZ327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27" s="348">
        <f>+IF(BD_MO[[#This Row],[FECHA]]&lt;&gt;"",BD_MO[[#This Row],[DURMIENTE2]]*6.561+BD_MO[[#This Row],[LISTONES]]*4.921+BD_MO[[#This Row],[TABLA 1"x8"x3m]]*6.561+BD_MO[[#This Row],[TABLA 2"x8"x3m]]*13.122,"")</f>
        <v>0</v>
      </c>
      <c r="DB327" s="348">
        <f>+IF(BD_MO[[#This Row],[FECHA]]&lt;&gt;"",BD_MO[[#This Row],[PIE2 MADERA ASERRADA]]*1.95,"")</f>
        <v>0</v>
      </c>
      <c r="DC327" s="348">
        <f>+IF(BD_MO[[#This Row],[FECHA]]&lt;&gt;"",BD_MO[[#This Row],[KG. MADERA REDONDA]]+BD_MO[[#This Row],[KG MADERA ASERRADA]],"")</f>
        <v>0</v>
      </c>
      <c r="DD327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27" s="345"/>
      <c r="DF327" s="345"/>
      <c r="DG327" s="345"/>
      <c r="DH327" s="345"/>
      <c r="DI327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27" s="351"/>
      <c r="DK327" s="351"/>
      <c r="DL327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27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27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27" s="66"/>
      <c r="DP327" s="351" t="str">
        <f>+IF(BD_MO[[#This Row],[M o D]]&lt;&gt;"",IF(BD_MO[[#This Row],[M o D]]="M",BD_MO[[#This Row],[ROTURA TMH]]/2.65,BD_MO[[#This Row],[ROTURA TMH]]/2.4),"")</f>
        <v/>
      </c>
      <c r="DQ327" s="351"/>
      <c r="DR327" s="116" t="str">
        <f>IF(BD_MO[[#This Row],[TIPO AVANCE]]="Avance",((BD_MO[[#This Row],[AVANCE (m)]]/BD_MO[[#This Row],[AVANCE TEÓRICO]]))," ")</f>
        <v xml:space="preserve"> </v>
      </c>
      <c r="DS327" s="49"/>
      <c r="DT327" s="49"/>
      <c r="DU327" s="49"/>
      <c r="DV327" s="49"/>
      <c r="DW327" s="49"/>
      <c r="DX327" s="49"/>
      <c r="DY327" s="49"/>
      <c r="DZ327" s="49"/>
    </row>
    <row r="328" spans="1:130" ht="18" customHeight="1" x14ac:dyDescent="0.25">
      <c r="A328" s="328">
        <v>44670</v>
      </c>
      <c r="B328" s="329" t="s">
        <v>10647</v>
      </c>
      <c r="C328" s="329" t="s">
        <v>10668</v>
      </c>
      <c r="D328" s="343" t="s">
        <v>10954</v>
      </c>
      <c r="E328" s="344" t="str">
        <f>LEFT(BD_MO[[#This Row],[LABOR]],2)</f>
        <v>MO</v>
      </c>
      <c r="F328" s="345"/>
      <c r="G328" s="345" t="s">
        <v>10669</v>
      </c>
      <c r="H328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28" s="344" t="str">
        <f>IF(BD_MO[FECHA]&lt;&gt;"",VLOOKUP(BD_MO[LABOR],TB_CECO[[LABOR]:[CECO_T]],3,FALSE),"")</f>
        <v>INCA</v>
      </c>
      <c r="J328" s="344" t="str">
        <f>IF(BD_MO[FECHA]&lt;&gt;"",VLOOKUP(BD_MO[LABOR],D_CECO!B:H,7,FALSE),"")</f>
        <v>SERVICIOS</v>
      </c>
      <c r="K328" s="344" t="str">
        <f>IF(BD_MO[FECHA]&lt;&gt;"",VLOOKUP(BD_MO[LABOR],D_CECO!B:H,4,FALSE),"")</f>
        <v>SERVICIOS</v>
      </c>
      <c r="L328" s="344"/>
      <c r="M328" s="329"/>
      <c r="N328" s="345"/>
      <c r="O328" s="333" t="s">
        <v>12098</v>
      </c>
      <c r="P328" s="333" t="s">
        <v>12162</v>
      </c>
      <c r="Q328" s="333"/>
      <c r="R328" s="346"/>
      <c r="S328" s="347" t="str">
        <f>IFERROR(VLOOKUP(BD_MO[DNI 4],#REF!,2,FALSE)," ")</f>
        <v xml:space="preserve"> </v>
      </c>
      <c r="T328" s="348">
        <f>+IF(BD_MO[[#This Row],[FECHA]]&lt;&gt;"",COUNTA(BD_MO[[#This Row],[DNI]],BD_MO[[#This Row],[DNI 2]],BD_MO[[#This Row],[DNI 3]],BD_MO[[#This Row],[DNI 4]]),"")</f>
        <v>2</v>
      </c>
      <c r="U328" s="348"/>
      <c r="V328" s="348"/>
      <c r="W328" s="348"/>
      <c r="X328" s="348">
        <v>2</v>
      </c>
      <c r="Y328" s="337">
        <f>SUM(BD_MO[[#This Row],[LIMP]:[SERV]])</f>
        <v>2</v>
      </c>
      <c r="Z328" s="345"/>
      <c r="AA328" s="345" t="str">
        <f>+IF(BD_MO[[#This Row],[N° VALE]]&lt;&gt;"",1,"")</f>
        <v/>
      </c>
      <c r="AB328" s="329"/>
      <c r="AC328" s="345"/>
      <c r="AD328" s="345" t="str">
        <f>+IF(BD_MO[[#This Row],[N° VALE]]&lt;&gt;"",BD_MO[[#This Row],[FULMINANTE N° 08]]+BD_MO[CARMEX 7''],"")</f>
        <v/>
      </c>
      <c r="AE328" s="345"/>
      <c r="AF328" s="345" t="str">
        <f>+IF(BD_MO[[#This Row],[N° VALE]]&lt;&gt;"",BD_MO[[#This Row],[N° TALADROS]]+BD_MO[[#This Row],[N° TAL. VACIOS]],"")</f>
        <v/>
      </c>
      <c r="AG328" s="349"/>
      <c r="AH328" s="349"/>
      <c r="AI328" s="349"/>
      <c r="AJ328" s="349"/>
      <c r="AK328" s="349"/>
      <c r="AL328" s="349"/>
      <c r="AM328" s="344"/>
      <c r="AN328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28" s="345" t="str">
        <f>+IF(BD_MO[[#This Row],[N° VALE]]&lt;&gt;"",IF(BD_MO[[#This Row],[FULMINANTE N° 08]]&lt;&gt;"",BD_MO[[#This Row],[FULMINANTE N° 08]],IF(BD_MO[[#This Row],[CARMEX 7'']]&lt;&gt;0,0,"")),"")</f>
        <v/>
      </c>
      <c r="AP328" s="348" t="str">
        <f>+IF(BD_MO[[#This Row],[N° VALE]]&lt;&gt;"",BD_MO[[#This Row],[N°  TOTAL TALADROS]]*BD_MO[[#This Row],[BARRA]]*0.95,"")</f>
        <v/>
      </c>
      <c r="AQ328" s="348" t="str">
        <f>+IF(BD_MO[[#This Row],[N° VALE]]&lt;&gt;"",BD_MO[[#This Row],[EMULNOR 1000 (N° CART.)]]*PE_EMUL_1000[PE],"")</f>
        <v/>
      </c>
      <c r="AR328" s="348" t="str">
        <f>+IF(BD_MO[[#This Row],[N° VALE]]&lt;&gt;"",BD_MO[[#This Row],[EMULNOR 3000 (N° CART.)]]*PE_EMUL_3000[PE],"")</f>
        <v/>
      </c>
      <c r="AS328" s="348" t="str">
        <f>+IF(BD_MO[[#This Row],[N° VALE]]&lt;&gt;"",BD_MO[[#This Row],[PULVERULENTA (N° CART.)]]*PE_PULV_65[PE],"")</f>
        <v/>
      </c>
      <c r="AT328" s="348" t="str">
        <f>+IF(BD_MO[[#This Row],[N° DISP]]&lt;&gt;"",BD_MO[[#This Row],[SEMIGELATINA (N° CART.)]]*PE_SEMIGEL_65[PE],"")</f>
        <v/>
      </c>
      <c r="AU328" s="348" t="str">
        <f>+IF(BD_MO[N° VALE]&lt;&gt;"",BD_MO[[#This Row],[KG EXPLO SEMIGEL]]+BD_MO[[#This Row],[KG EXPLO PULVE]]+BD_MO[[#This Row],[KG EXPLO EMULN 3000]]+BD_MO[[#This Row],[KG EXPLO EMULN 1000]],"")</f>
        <v/>
      </c>
      <c r="AV328" s="345"/>
      <c r="AW328" s="345"/>
      <c r="AX328" s="345" t="str">
        <f>+IF(BD_MO[[#This Row],[MINERAL (U-35)]]&lt;&gt;"",BD_MO[[#This Row],[MINERAL (U-35)]]*1.45,"-")</f>
        <v>-</v>
      </c>
      <c r="AY328" s="345" t="str">
        <f>+IF(BD_MO[[#This Row],[DESMONTE (U-35)]]&lt;&gt;"",BD_MO[[#This Row],[DESMONTE (U-35)]]*1.23,"-")</f>
        <v>-</v>
      </c>
      <c r="AZ328" s="345"/>
      <c r="BA328" s="345"/>
      <c r="BB328" s="345"/>
      <c r="BC328" s="345"/>
      <c r="BD328" s="345"/>
      <c r="BE328" s="345"/>
      <c r="BF328" s="345"/>
      <c r="BG328" s="345"/>
      <c r="BH328" s="345"/>
      <c r="BI328" s="345"/>
      <c r="BJ328" s="345"/>
      <c r="BK328" s="345"/>
      <c r="BL328" s="345"/>
      <c r="BM328" s="345"/>
      <c r="BN328" s="344"/>
      <c r="BO328" s="345"/>
      <c r="BP328" s="345"/>
      <c r="BQ328" s="344"/>
      <c r="BR328" s="345"/>
      <c r="BS328" s="344"/>
      <c r="BT328" s="348"/>
      <c r="BU328" s="345"/>
      <c r="BV328" s="345"/>
      <c r="BW328" s="345"/>
      <c r="BX328" s="345"/>
      <c r="BY328" s="345"/>
      <c r="BZ328" s="345"/>
      <c r="CA328" s="345"/>
      <c r="CB328" s="345"/>
      <c r="CC328" s="345"/>
      <c r="CD328" s="345"/>
      <c r="CE328" s="345"/>
      <c r="CF328" s="345"/>
      <c r="CG328" s="345"/>
      <c r="CH328" s="345"/>
      <c r="CI328" s="345"/>
      <c r="CJ328" s="345"/>
      <c r="CK328" s="345"/>
      <c r="CL328" s="345"/>
      <c r="CM328" s="345"/>
      <c r="CN328" s="345"/>
      <c r="CO328" s="345"/>
      <c r="CP328" s="348">
        <f>+IF(BD_MO[[#This Row],[FECHA]]&lt;&gt;"",BD_MO[[#This Row],[PUNTAL 4"]]+BD_MO[[#This Row],[PUNTAL 5"]]+BD_MO[[#This Row],[PUNTAL 6"]]+BD_MO[[#This Row],[PUNTAL 7"]]+BD_MO[[#This Row],[PUNTAL 8"]],"")</f>
        <v>0</v>
      </c>
      <c r="CQ328" s="345"/>
      <c r="CR328" s="345"/>
      <c r="CS328" s="345"/>
      <c r="CT328" s="345"/>
      <c r="CU328" s="345"/>
      <c r="CV328" s="345"/>
      <c r="CW328" s="345"/>
      <c r="CX328" s="345"/>
      <c r="CY328" s="348"/>
      <c r="CZ328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28" s="348">
        <f>+IF(BD_MO[[#This Row],[FECHA]]&lt;&gt;"",BD_MO[[#This Row],[DURMIENTE2]]*6.561+BD_MO[[#This Row],[LISTONES]]*4.921+BD_MO[[#This Row],[TABLA 1"x8"x3m]]*6.561+BD_MO[[#This Row],[TABLA 2"x8"x3m]]*13.122,"")</f>
        <v>0</v>
      </c>
      <c r="DB328" s="348">
        <f>+IF(BD_MO[[#This Row],[FECHA]]&lt;&gt;"",BD_MO[[#This Row],[PIE2 MADERA ASERRADA]]*1.95,"")</f>
        <v>0</v>
      </c>
      <c r="DC328" s="348">
        <f>+IF(BD_MO[[#This Row],[FECHA]]&lt;&gt;"",BD_MO[[#This Row],[KG. MADERA REDONDA]]+BD_MO[[#This Row],[KG MADERA ASERRADA]],"")</f>
        <v>0</v>
      </c>
      <c r="DD328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28" s="345"/>
      <c r="DF328" s="345"/>
      <c r="DG328" s="345"/>
      <c r="DH328" s="345"/>
      <c r="DI328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28" s="351"/>
      <c r="DK328" s="351"/>
      <c r="DL328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28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28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28" s="66"/>
      <c r="DP328" s="351" t="str">
        <f>+IF(BD_MO[[#This Row],[M o D]]&lt;&gt;"",IF(BD_MO[[#This Row],[M o D]]="M",BD_MO[[#This Row],[ROTURA TMH]]/2.65,BD_MO[[#This Row],[ROTURA TMH]]/2.4),"")</f>
        <v/>
      </c>
      <c r="DQ328" s="351"/>
      <c r="DR328" s="116" t="str">
        <f>IF(BD_MO[[#This Row],[TIPO AVANCE]]="Avance",((BD_MO[[#This Row],[AVANCE (m)]]/BD_MO[[#This Row],[AVANCE TEÓRICO]]))," ")</f>
        <v xml:space="preserve"> </v>
      </c>
      <c r="DS328" s="49"/>
      <c r="DT328" s="49"/>
      <c r="DU328" s="49"/>
      <c r="DV328" s="49"/>
      <c r="DW328" s="49"/>
      <c r="DX328" s="49"/>
      <c r="DY328" s="49"/>
      <c r="DZ328" s="49"/>
    </row>
    <row r="329" spans="1:130" s="115" customFormat="1" ht="18" customHeight="1" thickBot="1" x14ac:dyDescent="0.3">
      <c r="A329" s="352">
        <v>44670</v>
      </c>
      <c r="B329" s="353" t="s">
        <v>10647</v>
      </c>
      <c r="C329" s="329" t="s">
        <v>10668</v>
      </c>
      <c r="D329" s="354" t="s">
        <v>10717</v>
      </c>
      <c r="E329" s="355" t="str">
        <f>LEFT(BD_MO[[#This Row],[LABOR]],2)</f>
        <v>BO</v>
      </c>
      <c r="F329" s="356"/>
      <c r="G329" s="356" t="s">
        <v>10669</v>
      </c>
      <c r="H329" s="35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29" s="355" t="str">
        <f>IF(BD_MO[FECHA]&lt;&gt;"",VLOOKUP(BD_MO[LABOR],TB_CECO[[LABOR]:[CECO_T]],3,FALSE),"")</f>
        <v>CACHORRO</v>
      </c>
      <c r="J329" s="355" t="str">
        <f>IF(BD_MO[FECHA]&lt;&gt;"",VLOOKUP(BD_MO[LABOR],D_CECO!B:H,7,FALSE),"")</f>
        <v>SERVICIOS</v>
      </c>
      <c r="K329" s="355" t="str">
        <f>IF(BD_MO[FECHA]&lt;&gt;"",VLOOKUP(BD_MO[LABOR],D_CECO!B:H,4,FALSE),"")</f>
        <v>SERVICIOS</v>
      </c>
      <c r="L329" s="355"/>
      <c r="M329" s="353"/>
      <c r="N329" s="356"/>
      <c r="O329" s="357" t="s">
        <v>12318</v>
      </c>
      <c r="P329" s="357"/>
      <c r="Q329" s="357"/>
      <c r="R329" s="358"/>
      <c r="S329" s="359" t="str">
        <f>IFERROR(VLOOKUP(BD_MO[DNI 4],#REF!,2,FALSE)," ")</f>
        <v xml:space="preserve"> </v>
      </c>
      <c r="T329" s="360">
        <f>+IF(BD_MO[[#This Row],[FECHA]]&lt;&gt;"",COUNTA(BD_MO[[#This Row],[DNI]],BD_MO[[#This Row],[DNI 2]],BD_MO[[#This Row],[DNI 3]],BD_MO[[#This Row],[DNI 4]]),"")</f>
        <v>1</v>
      </c>
      <c r="U329" s="360"/>
      <c r="V329" s="360"/>
      <c r="W329" s="360"/>
      <c r="X329" s="360">
        <v>1</v>
      </c>
      <c r="Y329" s="361">
        <f>SUM(BD_MO[[#This Row],[LIMP]:[SERV]])</f>
        <v>1</v>
      </c>
      <c r="Z329" s="356"/>
      <c r="AA329" s="356" t="str">
        <f>+IF(BD_MO[[#This Row],[N° VALE]]&lt;&gt;"",1,"")</f>
        <v/>
      </c>
      <c r="AB329" s="353"/>
      <c r="AC329" s="356"/>
      <c r="AD329" s="356" t="str">
        <f>+IF(BD_MO[[#This Row],[N° VALE]]&lt;&gt;"",BD_MO[[#This Row],[FULMINANTE N° 08]]+BD_MO[CARMEX 7''],"")</f>
        <v/>
      </c>
      <c r="AE329" s="356"/>
      <c r="AF329" s="356" t="str">
        <f>+IF(BD_MO[[#This Row],[N° VALE]]&lt;&gt;"",BD_MO[[#This Row],[N° TALADROS]]+BD_MO[[#This Row],[N° TAL. VACIOS]],"")</f>
        <v/>
      </c>
      <c r="AG329" s="362"/>
      <c r="AH329" s="362"/>
      <c r="AI329" s="362"/>
      <c r="AJ329" s="362"/>
      <c r="AK329" s="362"/>
      <c r="AL329" s="362"/>
      <c r="AM329" s="355"/>
      <c r="AN329" s="35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29" s="356" t="str">
        <f>+IF(BD_MO[[#This Row],[N° VALE]]&lt;&gt;"",IF(BD_MO[[#This Row],[FULMINANTE N° 08]]&lt;&gt;"",BD_MO[[#This Row],[FULMINANTE N° 08]],IF(BD_MO[[#This Row],[CARMEX 7'']]&lt;&gt;0,0,"")),"")</f>
        <v/>
      </c>
      <c r="AP329" s="360" t="str">
        <f>+IF(BD_MO[[#This Row],[N° VALE]]&lt;&gt;"",BD_MO[[#This Row],[N°  TOTAL TALADROS]]*BD_MO[[#This Row],[BARRA]]*0.95,"")</f>
        <v/>
      </c>
      <c r="AQ329" s="360" t="str">
        <f>+IF(BD_MO[[#This Row],[N° VALE]]&lt;&gt;"",BD_MO[[#This Row],[EMULNOR 1000 (N° CART.)]]*PE_EMUL_1000[PE],"")</f>
        <v/>
      </c>
      <c r="AR329" s="360" t="str">
        <f>+IF(BD_MO[[#This Row],[N° VALE]]&lt;&gt;"",BD_MO[[#This Row],[EMULNOR 3000 (N° CART.)]]*PE_EMUL_3000[PE],"")</f>
        <v/>
      </c>
      <c r="AS329" s="360" t="str">
        <f>+IF(BD_MO[[#This Row],[N° VALE]]&lt;&gt;"",BD_MO[[#This Row],[PULVERULENTA (N° CART.)]]*PE_PULV_65[PE],"")</f>
        <v/>
      </c>
      <c r="AT329" s="360" t="str">
        <f>+IF(BD_MO[[#This Row],[N° DISP]]&lt;&gt;"",BD_MO[[#This Row],[SEMIGELATINA (N° CART.)]]*PE_SEMIGEL_65[PE],"")</f>
        <v/>
      </c>
      <c r="AU329" s="360" t="str">
        <f>+IF(BD_MO[N° VALE]&lt;&gt;"",BD_MO[[#This Row],[KG EXPLO SEMIGEL]]+BD_MO[[#This Row],[KG EXPLO PULVE]]+BD_MO[[#This Row],[KG EXPLO EMULN 3000]]+BD_MO[[#This Row],[KG EXPLO EMULN 1000]],"")</f>
        <v/>
      </c>
      <c r="AV329" s="356"/>
      <c r="AW329" s="356"/>
      <c r="AX329" s="356" t="str">
        <f>+IF(BD_MO[[#This Row],[MINERAL (U-35)]]&lt;&gt;"",BD_MO[[#This Row],[MINERAL (U-35)]]*1.45,"-")</f>
        <v>-</v>
      </c>
      <c r="AY329" s="356" t="str">
        <f>+IF(BD_MO[[#This Row],[DESMONTE (U-35)]]&lt;&gt;"",BD_MO[[#This Row],[DESMONTE (U-35)]]*1.23,"-")</f>
        <v>-</v>
      </c>
      <c r="AZ329" s="356"/>
      <c r="BA329" s="356"/>
      <c r="BB329" s="356"/>
      <c r="BC329" s="356"/>
      <c r="BD329" s="356"/>
      <c r="BE329" s="356"/>
      <c r="BF329" s="356"/>
      <c r="BG329" s="356"/>
      <c r="BH329" s="356"/>
      <c r="BI329" s="356"/>
      <c r="BJ329" s="356"/>
      <c r="BK329" s="356"/>
      <c r="BL329" s="356"/>
      <c r="BM329" s="356"/>
      <c r="BN329" s="355"/>
      <c r="BO329" s="356"/>
      <c r="BP329" s="356"/>
      <c r="BQ329" s="355"/>
      <c r="BR329" s="356"/>
      <c r="BS329" s="355"/>
      <c r="BT329" s="360"/>
      <c r="BU329" s="356"/>
      <c r="BV329" s="356"/>
      <c r="BW329" s="356"/>
      <c r="BX329" s="356"/>
      <c r="BY329" s="356"/>
      <c r="BZ329" s="356"/>
      <c r="CA329" s="356"/>
      <c r="CB329" s="356"/>
      <c r="CC329" s="356"/>
      <c r="CD329" s="356"/>
      <c r="CE329" s="356"/>
      <c r="CF329" s="356"/>
      <c r="CG329" s="356"/>
      <c r="CH329" s="356"/>
      <c r="CI329" s="356"/>
      <c r="CJ329" s="356"/>
      <c r="CK329" s="356"/>
      <c r="CL329" s="356"/>
      <c r="CM329" s="356"/>
      <c r="CN329" s="356"/>
      <c r="CO329" s="356"/>
      <c r="CP329" s="360">
        <f>+IF(BD_MO[[#This Row],[FECHA]]&lt;&gt;"",BD_MO[[#This Row],[PUNTAL 4"]]+BD_MO[[#This Row],[PUNTAL 5"]]+BD_MO[[#This Row],[PUNTAL 6"]]+BD_MO[[#This Row],[PUNTAL 7"]]+BD_MO[[#This Row],[PUNTAL 8"]],"")</f>
        <v>0</v>
      </c>
      <c r="CQ329" s="356"/>
      <c r="CR329" s="356"/>
      <c r="CS329" s="356"/>
      <c r="CT329" s="356"/>
      <c r="CU329" s="356"/>
      <c r="CV329" s="356"/>
      <c r="CW329" s="356"/>
      <c r="CX329" s="356"/>
      <c r="CY329" s="360"/>
      <c r="CZ329" s="360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29" s="360">
        <f>+IF(BD_MO[[#This Row],[FECHA]]&lt;&gt;"",BD_MO[[#This Row],[DURMIENTE2]]*6.561+BD_MO[[#This Row],[LISTONES]]*4.921+BD_MO[[#This Row],[TABLA 1"x8"x3m]]*6.561+BD_MO[[#This Row],[TABLA 2"x8"x3m]]*13.122,"")</f>
        <v>0</v>
      </c>
      <c r="DB329" s="360">
        <f>+IF(BD_MO[[#This Row],[FECHA]]&lt;&gt;"",BD_MO[[#This Row],[PIE2 MADERA ASERRADA]]*1.95,"")</f>
        <v>0</v>
      </c>
      <c r="DC329" s="360">
        <f>+IF(BD_MO[[#This Row],[FECHA]]&lt;&gt;"",BD_MO[[#This Row],[KG. MADERA REDONDA]]+BD_MO[[#This Row],[KG MADERA ASERRADA]],"")</f>
        <v>0</v>
      </c>
      <c r="DD329" s="363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29" s="356"/>
      <c r="DF329" s="356"/>
      <c r="DG329" s="356"/>
      <c r="DH329" s="356"/>
      <c r="DI329" s="364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29" s="364"/>
      <c r="DK329" s="364"/>
      <c r="DL329" s="364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29" s="364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29" s="364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29" s="129"/>
      <c r="DP329" s="364" t="str">
        <f>+IF(BD_MO[[#This Row],[M o D]]&lt;&gt;"",IF(BD_MO[[#This Row],[M o D]]="M",BD_MO[[#This Row],[ROTURA TMH]]/2.65,BD_MO[[#This Row],[ROTURA TMH]]/2.4),"")</f>
        <v/>
      </c>
      <c r="DQ329" s="364"/>
      <c r="DR329" s="116" t="str">
        <f>IF(BD_MO[[#This Row],[TIPO AVANCE]]="Avance",((BD_MO[[#This Row],[AVANCE (m)]]/BD_MO[[#This Row],[AVANCE TEÓRICO]]))," ")</f>
        <v xml:space="preserve"> </v>
      </c>
    </row>
    <row r="330" spans="1:130" ht="18" customHeight="1" x14ac:dyDescent="0.25">
      <c r="A330" s="328">
        <v>44670</v>
      </c>
      <c r="B330" s="329" t="s">
        <v>10655</v>
      </c>
      <c r="C330" s="329" t="s">
        <v>10672</v>
      </c>
      <c r="D330" s="343" t="s">
        <v>11595</v>
      </c>
      <c r="E330" s="344" t="str">
        <f>LEFT(BD_MO[[#This Row],[LABOR]],2)</f>
        <v>Tj</v>
      </c>
      <c r="F330" s="345" t="s">
        <v>10950</v>
      </c>
      <c r="G330" s="345" t="s">
        <v>10648</v>
      </c>
      <c r="H330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30" s="344" t="str">
        <f>IF(BD_MO[FECHA]&lt;&gt;"",VLOOKUP(BD_MO[LABOR],TB_CECO[[LABOR]:[CECO_T]],3,FALSE),"")</f>
        <v>ESCONDIDA</v>
      </c>
      <c r="J330" s="344" t="str">
        <f>IF(BD_MO[FECHA]&lt;&gt;"",VLOOKUP(BD_MO[LABOR],D_CECO!B:H,7,FALSE),"")</f>
        <v>TAJO</v>
      </c>
      <c r="K330" s="344" t="str">
        <f>IF(BD_MO[FECHA]&lt;&gt;"",VLOOKUP(BD_MO[LABOR],D_CECO!B:H,4,FALSE),"")</f>
        <v>EXPLOTACION</v>
      </c>
      <c r="L330" s="344"/>
      <c r="M330" s="329" t="s">
        <v>10654</v>
      </c>
      <c r="N330" s="345"/>
      <c r="O330" s="333" t="s">
        <v>12205</v>
      </c>
      <c r="P330" s="333" t="s">
        <v>12323</v>
      </c>
      <c r="Q330" s="333"/>
      <c r="R330" s="346"/>
      <c r="S330" s="347" t="str">
        <f>IFERROR(VLOOKUP(BD_MO[DNI 4],#REF!,2,FALSE)," ")</f>
        <v xml:space="preserve"> </v>
      </c>
      <c r="T330" s="348">
        <f>+IF(BD_MO[[#This Row],[FECHA]]&lt;&gt;"",COUNTA(BD_MO[[#This Row],[DNI]],BD_MO[[#This Row],[DNI 2]],BD_MO[[#This Row],[DNI 3]],BD_MO[[#This Row],[DNI 4]]),"")</f>
        <v>2</v>
      </c>
      <c r="U330" s="348">
        <v>1.04</v>
      </c>
      <c r="V330" s="348"/>
      <c r="W330" s="348">
        <v>0.48</v>
      </c>
      <c r="X330" s="348">
        <v>0.48</v>
      </c>
      <c r="Y330" s="337">
        <f>SUM(BD_MO[[#This Row],[LIMP]:[SERV]])</f>
        <v>2</v>
      </c>
      <c r="Z330" s="345" t="s">
        <v>12324</v>
      </c>
      <c r="AA330" s="345">
        <f>+IF(BD_MO[[#This Row],[N° VALE]]&lt;&gt;"",1,"")</f>
        <v>1</v>
      </c>
      <c r="AB330" s="329" t="s">
        <v>10691</v>
      </c>
      <c r="AC330" s="345">
        <v>4</v>
      </c>
      <c r="AD330" s="345">
        <f>+IF(BD_MO[[#This Row],[N° VALE]]&lt;&gt;"",BD_MO[[#This Row],[FULMINANTE N° 08]]+BD_MO[CARMEX 7''],"")</f>
        <v>20</v>
      </c>
      <c r="AE330" s="345"/>
      <c r="AF330" s="345">
        <f>+IF(BD_MO[[#This Row],[N° VALE]]&lt;&gt;"",BD_MO[[#This Row],[N° TALADROS]]+BD_MO[[#This Row],[N° TAL. VACIOS]],"")</f>
        <v>20</v>
      </c>
      <c r="AG330" s="349">
        <v>55</v>
      </c>
      <c r="AH330" s="349">
        <v>35</v>
      </c>
      <c r="AI330" s="349"/>
      <c r="AJ330" s="349"/>
      <c r="AK330" s="349">
        <v>20</v>
      </c>
      <c r="AL330" s="349">
        <v>1</v>
      </c>
      <c r="AM330" s="344"/>
      <c r="AN330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30" s="345">
        <f>+IF(BD_MO[[#This Row],[N° VALE]]&lt;&gt;"",IF(BD_MO[[#This Row],[FULMINANTE N° 08]]&lt;&gt;"",BD_MO[[#This Row],[FULMINANTE N° 08]],IF(BD_MO[[#This Row],[CARMEX 7'']]&lt;&gt;0,0,"")),"")</f>
        <v>0</v>
      </c>
      <c r="AP330" s="348">
        <f>+IF(BD_MO[[#This Row],[N° VALE]]&lt;&gt;"",BD_MO[[#This Row],[N°  TOTAL TALADROS]]*BD_MO[[#This Row],[BARRA]]*0.95,"")</f>
        <v>76</v>
      </c>
      <c r="AQ330" s="348">
        <f>+IF(BD_MO[[#This Row],[N° VALE]]&lt;&gt;"",BD_MO[[#This Row],[EMULNOR 1000 (N° CART.)]]*PE_EMUL_1000[PE],"")</f>
        <v>3.3145000000000002</v>
      </c>
      <c r="AR330" s="348">
        <f>+IF(BD_MO[[#This Row],[N° VALE]]&lt;&gt;"",BD_MO[[#This Row],[EMULNOR 3000 (N° CART.)]]*PE_EMUL_3000[PE],"")</f>
        <v>5.288461538461541</v>
      </c>
      <c r="AS330" s="348">
        <f>+IF(BD_MO[[#This Row],[N° VALE]]&lt;&gt;"",BD_MO[[#This Row],[PULVERULENTA (N° CART.)]]*PE_PULV_65[PE],"")</f>
        <v>0</v>
      </c>
      <c r="AT330" s="348">
        <f>+IF(BD_MO[[#This Row],[N° DISP]]&lt;&gt;"",BD_MO[[#This Row],[SEMIGELATINA (N° CART.)]]*PE_SEMIGEL_65[PE],"")</f>
        <v>0</v>
      </c>
      <c r="AU330" s="348">
        <f>+IF(BD_MO[N° VALE]&lt;&gt;"",BD_MO[[#This Row],[KG EXPLO SEMIGEL]]+BD_MO[[#This Row],[KG EXPLO PULVE]]+BD_MO[[#This Row],[KG EXPLO EMULN 3000]]+BD_MO[[#This Row],[KG EXPLO EMULN 1000]],"")</f>
        <v>8.6029615384615408</v>
      </c>
      <c r="AV330" s="345">
        <v>16</v>
      </c>
      <c r="AW330" s="345"/>
      <c r="AX330" s="345">
        <f>+IF(BD_MO[[#This Row],[MINERAL (U-35)]]&lt;&gt;"",BD_MO[[#This Row],[MINERAL (U-35)]]*1.45,"-")</f>
        <v>23.2</v>
      </c>
      <c r="AY330" s="345" t="str">
        <f>+IF(BD_MO[[#This Row],[DESMONTE (U-35)]]&lt;&gt;"",BD_MO[[#This Row],[DESMONTE (U-35)]]*1.23,"-")</f>
        <v>-</v>
      </c>
      <c r="AZ330" s="345"/>
      <c r="BA330" s="345"/>
      <c r="BB330" s="345"/>
      <c r="BC330" s="345"/>
      <c r="BD330" s="345"/>
      <c r="BE330" s="345"/>
      <c r="BF330" s="345"/>
      <c r="BG330" s="345"/>
      <c r="BH330" s="345"/>
      <c r="BI330" s="345"/>
      <c r="BJ330" s="345">
        <v>2</v>
      </c>
      <c r="BK330" s="345"/>
      <c r="BL330" s="345"/>
      <c r="BM330" s="345"/>
      <c r="BN330" s="344"/>
      <c r="BO330" s="345"/>
      <c r="BP330" s="345"/>
      <c r="BQ330" s="344"/>
      <c r="BR330" s="345"/>
      <c r="BS330" s="344"/>
      <c r="BT330" s="348"/>
      <c r="BU330" s="345"/>
      <c r="BV330" s="345"/>
      <c r="BW330" s="345"/>
      <c r="BX330" s="345"/>
      <c r="BY330" s="345"/>
      <c r="BZ330" s="345"/>
      <c r="CA330" s="345"/>
      <c r="CB330" s="345"/>
      <c r="CC330" s="345"/>
      <c r="CD330" s="345"/>
      <c r="CE330" s="345"/>
      <c r="CF330" s="345"/>
      <c r="CG330" s="345"/>
      <c r="CH330" s="345"/>
      <c r="CI330" s="345"/>
      <c r="CJ330" s="345"/>
      <c r="CK330" s="345"/>
      <c r="CL330" s="345"/>
      <c r="CM330" s="345"/>
      <c r="CN330" s="345">
        <v>1</v>
      </c>
      <c r="CO330" s="345"/>
      <c r="CP330" s="348">
        <f>+IF(BD_MO[[#This Row],[FECHA]]&lt;&gt;"",BD_MO[[#This Row],[PUNTAL 4"]]+BD_MO[[#This Row],[PUNTAL 5"]]+BD_MO[[#This Row],[PUNTAL 6"]]+BD_MO[[#This Row],[PUNTAL 7"]]+BD_MO[[#This Row],[PUNTAL 8"]],"")</f>
        <v>1</v>
      </c>
      <c r="CQ330" s="345"/>
      <c r="CR330" s="345"/>
      <c r="CS330" s="345"/>
      <c r="CT330" s="345"/>
      <c r="CU330" s="345"/>
      <c r="CV330" s="345"/>
      <c r="CW330" s="345"/>
      <c r="CX330" s="345"/>
      <c r="CY330" s="348"/>
      <c r="CZ330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61.079000000000001</v>
      </c>
      <c r="DA330" s="348">
        <f>+IF(BD_MO[[#This Row],[FECHA]]&lt;&gt;"",BD_MO[[#This Row],[DURMIENTE2]]*6.561+BD_MO[[#This Row],[LISTONES]]*4.921+BD_MO[[#This Row],[TABLA 1"x8"x3m]]*6.561+BD_MO[[#This Row],[TABLA 2"x8"x3m]]*13.122,"")</f>
        <v>0</v>
      </c>
      <c r="DB330" s="348">
        <f>+IF(BD_MO[[#This Row],[FECHA]]&lt;&gt;"",BD_MO[[#This Row],[PIE2 MADERA ASERRADA]]*1.95,"")</f>
        <v>0</v>
      </c>
      <c r="DC330" s="348">
        <f>+IF(BD_MO[[#This Row],[FECHA]]&lt;&gt;"",BD_MO[[#This Row],[KG. MADERA REDONDA]]+BD_MO[[#This Row],[KG MADERA ASERRADA]],"")</f>
        <v>61.079000000000001</v>
      </c>
      <c r="DD330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330" s="345"/>
      <c r="DF330" s="345"/>
      <c r="DG330" s="345"/>
      <c r="DH330" s="345"/>
      <c r="DI330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30" s="351"/>
      <c r="DK330" s="351"/>
      <c r="DL330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4.67</v>
      </c>
      <c r="DM330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4.8567999999999998</v>
      </c>
      <c r="DN330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30" s="66">
        <v>8.1</v>
      </c>
      <c r="DP330" s="351">
        <f>+IF(BD_MO[[#This Row],[M o D]]&lt;&gt;"",IF(BD_MO[[#This Row],[M o D]]="M",BD_MO[[#This Row],[ROTURA TMH]]/2.65,BD_MO[[#This Row],[ROTURA TMH]]/2.4),"")</f>
        <v>3.0566037735849054</v>
      </c>
      <c r="DQ330" s="351"/>
      <c r="DR330" s="116" t="str">
        <f>IF(BD_MO[[#This Row],[TIPO AVANCE]]="Avance",((BD_MO[[#This Row],[AVANCE (m)]]/BD_MO[[#This Row],[AVANCE TEÓRICO]]))," ")</f>
        <v xml:space="preserve"> </v>
      </c>
      <c r="DS330" s="49"/>
      <c r="DT330" s="49"/>
      <c r="DU330" s="49"/>
      <c r="DV330" s="49"/>
      <c r="DW330" s="49"/>
      <c r="DX330" s="49"/>
      <c r="DY330" s="49"/>
      <c r="DZ330" s="49"/>
    </row>
    <row r="331" spans="1:130" ht="18" customHeight="1" x14ac:dyDescent="0.25">
      <c r="A331" s="328">
        <v>44670</v>
      </c>
      <c r="B331" s="329" t="s">
        <v>10655</v>
      </c>
      <c r="C331" s="329" t="s">
        <v>10672</v>
      </c>
      <c r="D331" s="343" t="s">
        <v>11827</v>
      </c>
      <c r="E331" s="344" t="str">
        <f>LEFT(BD_MO[[#This Row],[LABOR]],2)</f>
        <v>Tj</v>
      </c>
      <c r="F331" s="345"/>
      <c r="G331" s="345" t="s">
        <v>10656</v>
      </c>
      <c r="H331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331" s="344" t="str">
        <f>IF(BD_MO[FECHA]&lt;&gt;"",VLOOKUP(BD_MO[LABOR],TB_CECO[[LABOR]:[CECO_T]],3,FALSE),"")</f>
        <v>VANESSA</v>
      </c>
      <c r="J331" s="344" t="str">
        <f>IF(BD_MO[FECHA]&lt;&gt;"",VLOOKUP(BD_MO[LABOR],D_CECO!B:H,7,FALSE),"")</f>
        <v>TAJO</v>
      </c>
      <c r="K331" s="344" t="str">
        <f>IF(BD_MO[FECHA]&lt;&gt;"",VLOOKUP(BD_MO[LABOR],D_CECO!B:H,4,FALSE),"")</f>
        <v>EXPLOTACION</v>
      </c>
      <c r="L331" s="344"/>
      <c r="M331" s="329"/>
      <c r="N331" s="345"/>
      <c r="O331" s="333" t="s">
        <v>12194</v>
      </c>
      <c r="P331" s="333" t="s">
        <v>12195</v>
      </c>
      <c r="Q331" s="333"/>
      <c r="R331" s="346"/>
      <c r="S331" s="347" t="str">
        <f>IFERROR(VLOOKUP(BD_MO[DNI 4],#REF!,2,FALSE)," ")</f>
        <v xml:space="preserve"> </v>
      </c>
      <c r="T331" s="348">
        <f>+IF(BD_MO[[#This Row],[FECHA]]&lt;&gt;"",COUNTA(BD_MO[[#This Row],[DNI]],BD_MO[[#This Row],[DNI 2]],BD_MO[[#This Row],[DNI 3]],BD_MO[[#This Row],[DNI 4]]),"")</f>
        <v>2</v>
      </c>
      <c r="U331" s="348"/>
      <c r="V331" s="348">
        <v>0.57999999999999996</v>
      </c>
      <c r="W331" s="348"/>
      <c r="X331" s="348">
        <v>1.42</v>
      </c>
      <c r="Y331" s="337">
        <f>SUM(BD_MO[[#This Row],[LIMP]:[SERV]])</f>
        <v>2</v>
      </c>
      <c r="Z331" s="345"/>
      <c r="AA331" s="345" t="str">
        <f>+IF(BD_MO[[#This Row],[N° VALE]]&lt;&gt;"",1,"")</f>
        <v/>
      </c>
      <c r="AB331" s="329"/>
      <c r="AC331" s="345"/>
      <c r="AD331" s="345" t="str">
        <f>+IF(BD_MO[[#This Row],[N° VALE]]&lt;&gt;"",BD_MO[[#This Row],[FULMINANTE N° 08]]+BD_MO[CARMEX 7''],"")</f>
        <v/>
      </c>
      <c r="AE331" s="345"/>
      <c r="AF331" s="345" t="str">
        <f>+IF(BD_MO[[#This Row],[N° VALE]]&lt;&gt;"",BD_MO[[#This Row],[N° TALADROS]]+BD_MO[[#This Row],[N° TAL. VACIOS]],"")</f>
        <v/>
      </c>
      <c r="AG331" s="349"/>
      <c r="AH331" s="349"/>
      <c r="AI331" s="349"/>
      <c r="AJ331" s="349"/>
      <c r="AK331" s="349"/>
      <c r="AL331" s="349"/>
      <c r="AM331" s="344"/>
      <c r="AN331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31" s="345" t="str">
        <f>+IF(BD_MO[[#This Row],[N° VALE]]&lt;&gt;"",IF(BD_MO[[#This Row],[FULMINANTE N° 08]]&lt;&gt;"",BD_MO[[#This Row],[FULMINANTE N° 08]],IF(BD_MO[[#This Row],[CARMEX 7'']]&lt;&gt;0,0,"")),"")</f>
        <v/>
      </c>
      <c r="AP331" s="348" t="str">
        <f>+IF(BD_MO[[#This Row],[N° VALE]]&lt;&gt;"",BD_MO[[#This Row],[N°  TOTAL TALADROS]]*BD_MO[[#This Row],[BARRA]]*0.95,"")</f>
        <v/>
      </c>
      <c r="AQ331" s="348" t="str">
        <f>+IF(BD_MO[[#This Row],[N° VALE]]&lt;&gt;"",BD_MO[[#This Row],[EMULNOR 1000 (N° CART.)]]*PE_EMUL_1000[PE],"")</f>
        <v/>
      </c>
      <c r="AR331" s="348" t="str">
        <f>+IF(BD_MO[[#This Row],[N° VALE]]&lt;&gt;"",BD_MO[[#This Row],[EMULNOR 3000 (N° CART.)]]*PE_EMUL_3000[PE],"")</f>
        <v/>
      </c>
      <c r="AS331" s="348" t="str">
        <f>+IF(BD_MO[[#This Row],[N° VALE]]&lt;&gt;"",BD_MO[[#This Row],[PULVERULENTA (N° CART.)]]*PE_PULV_65[PE],"")</f>
        <v/>
      </c>
      <c r="AT331" s="348" t="str">
        <f>+IF(BD_MO[[#This Row],[N° DISP]]&lt;&gt;"",BD_MO[[#This Row],[SEMIGELATINA (N° CART.)]]*PE_SEMIGEL_65[PE],"")</f>
        <v/>
      </c>
      <c r="AU331" s="348" t="str">
        <f>+IF(BD_MO[N° VALE]&lt;&gt;"",BD_MO[[#This Row],[KG EXPLO SEMIGEL]]+BD_MO[[#This Row],[KG EXPLO PULVE]]+BD_MO[[#This Row],[KG EXPLO EMULN 3000]]+BD_MO[[#This Row],[KG EXPLO EMULN 1000]],"")</f>
        <v/>
      </c>
      <c r="AV331" s="345"/>
      <c r="AW331" s="345"/>
      <c r="AX331" s="345" t="str">
        <f>+IF(BD_MO[[#This Row],[MINERAL (U-35)]]&lt;&gt;"",BD_MO[[#This Row],[MINERAL (U-35)]]*1.45,"-")</f>
        <v>-</v>
      </c>
      <c r="AY331" s="345" t="str">
        <f>+IF(BD_MO[[#This Row],[DESMONTE (U-35)]]&lt;&gt;"",BD_MO[[#This Row],[DESMONTE (U-35)]]*1.23,"-")</f>
        <v>-</v>
      </c>
      <c r="AZ331" s="345"/>
      <c r="BA331" s="345"/>
      <c r="BB331" s="345"/>
      <c r="BC331" s="345"/>
      <c r="BD331" s="345"/>
      <c r="BE331" s="345"/>
      <c r="BF331" s="345"/>
      <c r="BG331" s="345"/>
      <c r="BH331" s="345"/>
      <c r="BI331" s="345"/>
      <c r="BJ331" s="345"/>
      <c r="BK331" s="345"/>
      <c r="BL331" s="345"/>
      <c r="BM331" s="345"/>
      <c r="BN331" s="344"/>
      <c r="BO331" s="345"/>
      <c r="BP331" s="345"/>
      <c r="BQ331" s="344"/>
      <c r="BR331" s="345"/>
      <c r="BS331" s="344"/>
      <c r="BT331" s="348"/>
      <c r="BU331" s="345"/>
      <c r="BV331" s="345"/>
      <c r="BW331" s="345"/>
      <c r="BX331" s="345"/>
      <c r="BY331" s="345"/>
      <c r="BZ331" s="345"/>
      <c r="CA331" s="345"/>
      <c r="CB331" s="345"/>
      <c r="CC331" s="345"/>
      <c r="CD331" s="345"/>
      <c r="CE331" s="345"/>
      <c r="CF331" s="345"/>
      <c r="CG331" s="345"/>
      <c r="CH331" s="345"/>
      <c r="CI331" s="345"/>
      <c r="CJ331" s="345"/>
      <c r="CK331" s="345"/>
      <c r="CL331" s="345"/>
      <c r="CM331" s="345"/>
      <c r="CN331" s="345"/>
      <c r="CO331" s="345"/>
      <c r="CP331" s="348">
        <f>+IF(BD_MO[[#This Row],[FECHA]]&lt;&gt;"",BD_MO[[#This Row],[PUNTAL 4"]]+BD_MO[[#This Row],[PUNTAL 5"]]+BD_MO[[#This Row],[PUNTAL 6"]]+BD_MO[[#This Row],[PUNTAL 7"]]+BD_MO[[#This Row],[PUNTAL 8"]],"")</f>
        <v>0</v>
      </c>
      <c r="CQ331" s="345"/>
      <c r="CR331" s="345"/>
      <c r="CS331" s="345"/>
      <c r="CT331" s="345"/>
      <c r="CU331" s="345"/>
      <c r="CV331" s="345"/>
      <c r="CW331" s="345"/>
      <c r="CX331" s="345"/>
      <c r="CY331" s="348"/>
      <c r="CZ331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31" s="348">
        <f>+IF(BD_MO[[#This Row],[FECHA]]&lt;&gt;"",BD_MO[[#This Row],[DURMIENTE2]]*6.561+BD_MO[[#This Row],[LISTONES]]*4.921+BD_MO[[#This Row],[TABLA 1"x8"x3m]]*6.561+BD_MO[[#This Row],[TABLA 2"x8"x3m]]*13.122,"")</f>
        <v>0</v>
      </c>
      <c r="DB331" s="348">
        <f>+IF(BD_MO[[#This Row],[FECHA]]&lt;&gt;"",BD_MO[[#This Row],[PIE2 MADERA ASERRADA]]*1.95,"")</f>
        <v>0</v>
      </c>
      <c r="DC331" s="348">
        <f>+IF(BD_MO[[#This Row],[FECHA]]&lt;&gt;"",BD_MO[[#This Row],[KG. MADERA REDONDA]]+BD_MO[[#This Row],[KG MADERA ASERRADA]],"")</f>
        <v>0</v>
      </c>
      <c r="DD331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31" s="345"/>
      <c r="DF331" s="345"/>
      <c r="DG331" s="345"/>
      <c r="DH331" s="345"/>
      <c r="DI331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31" s="351"/>
      <c r="DK331" s="351"/>
      <c r="DL331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31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31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31" s="66"/>
      <c r="DP331" s="351" t="str">
        <f>+IF(BD_MO[[#This Row],[M o D]]&lt;&gt;"",IF(BD_MO[[#This Row],[M o D]]="M",BD_MO[[#This Row],[ROTURA TMH]]/2.65,BD_MO[[#This Row],[ROTURA TMH]]/2.4),"")</f>
        <v/>
      </c>
      <c r="DQ331" s="351"/>
      <c r="DR331" s="116" t="str">
        <f>IF(BD_MO[[#This Row],[TIPO AVANCE]]="Avance",((BD_MO[[#This Row],[AVANCE (m)]]/BD_MO[[#This Row],[AVANCE TEÓRICO]]))," ")</f>
        <v xml:space="preserve"> </v>
      </c>
      <c r="DS331" s="49"/>
      <c r="DT331" s="49"/>
      <c r="DU331" s="49"/>
      <c r="DV331" s="49"/>
      <c r="DW331" s="49"/>
      <c r="DX331" s="49"/>
      <c r="DY331" s="49"/>
      <c r="DZ331" s="49"/>
    </row>
    <row r="332" spans="1:130" ht="18" customHeight="1" x14ac:dyDescent="0.25">
      <c r="A332" s="328">
        <v>44670</v>
      </c>
      <c r="B332" s="329" t="s">
        <v>10655</v>
      </c>
      <c r="C332" s="329" t="s">
        <v>10672</v>
      </c>
      <c r="D332" s="343" t="s">
        <v>12317</v>
      </c>
      <c r="E332" s="344" t="str">
        <f>LEFT(BD_MO[[#This Row],[LABOR]],2)</f>
        <v>Sn</v>
      </c>
      <c r="F332" s="345" t="s">
        <v>10950</v>
      </c>
      <c r="G332" s="345" t="s">
        <v>10648</v>
      </c>
      <c r="H332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32" s="344" t="s">
        <v>12254</v>
      </c>
      <c r="J332" s="387" t="s">
        <v>10525</v>
      </c>
      <c r="K332" s="344" t="s">
        <v>12247</v>
      </c>
      <c r="L332" s="344"/>
      <c r="M332" s="329" t="s">
        <v>10646</v>
      </c>
      <c r="N332" s="345"/>
      <c r="O332" s="333" t="s">
        <v>12192</v>
      </c>
      <c r="P332" s="333"/>
      <c r="Q332" s="333"/>
      <c r="R332" s="346"/>
      <c r="S332" s="347" t="str">
        <f>IFERROR(VLOOKUP(BD_MO[DNI 4],#REF!,2,FALSE)," ")</f>
        <v xml:space="preserve"> </v>
      </c>
      <c r="T332" s="348">
        <f>+IF(BD_MO[[#This Row],[FECHA]]&lt;&gt;"",COUNTA(BD_MO[[#This Row],[DNI]],BD_MO[[#This Row],[DNI 2]],BD_MO[[#This Row],[DNI 3]],BD_MO[[#This Row],[DNI 4]]),"")</f>
        <v>1</v>
      </c>
      <c r="U332" s="348">
        <v>0.38</v>
      </c>
      <c r="V332" s="348">
        <v>0.28999999999999998</v>
      </c>
      <c r="W332" s="348">
        <v>0.14000000000000001</v>
      </c>
      <c r="X332" s="348">
        <v>0.19</v>
      </c>
      <c r="Y332" s="337">
        <f>SUM(BD_MO[[#This Row],[LIMP]:[SERV]])</f>
        <v>1</v>
      </c>
      <c r="Z332" s="345" t="s">
        <v>12325</v>
      </c>
      <c r="AA332" s="345">
        <f>+IF(BD_MO[[#This Row],[N° VALE]]&lt;&gt;"",1,"")</f>
        <v>1</v>
      </c>
      <c r="AB332" s="329" t="s">
        <v>10659</v>
      </c>
      <c r="AC332" s="345">
        <v>4</v>
      </c>
      <c r="AD332" s="345">
        <f>+IF(BD_MO[[#This Row],[N° VALE]]&lt;&gt;"",BD_MO[[#This Row],[FULMINANTE N° 08]]+BD_MO[CARMEX 7''],"")</f>
        <v>20</v>
      </c>
      <c r="AE332" s="345"/>
      <c r="AF332" s="345">
        <f>+IF(BD_MO[[#This Row],[N° VALE]]&lt;&gt;"",BD_MO[[#This Row],[N° TALADROS]]+BD_MO[[#This Row],[N° TAL. VACIOS]],"")</f>
        <v>20</v>
      </c>
      <c r="AG332" s="349">
        <v>50</v>
      </c>
      <c r="AH332" s="349">
        <v>40</v>
      </c>
      <c r="AI332" s="349"/>
      <c r="AJ332" s="349"/>
      <c r="AK332" s="349">
        <v>20</v>
      </c>
      <c r="AL332" s="349">
        <v>4</v>
      </c>
      <c r="AM332" s="344"/>
      <c r="AN332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32" s="345">
        <f>+IF(BD_MO[[#This Row],[N° VALE]]&lt;&gt;"",IF(BD_MO[[#This Row],[FULMINANTE N° 08]]&lt;&gt;"",BD_MO[[#This Row],[FULMINANTE N° 08]],IF(BD_MO[[#This Row],[CARMEX 7'']]&lt;&gt;0,0,"")),"")</f>
        <v>0</v>
      </c>
      <c r="AP332" s="348">
        <f>+IF(BD_MO[[#This Row],[N° VALE]]&lt;&gt;"",BD_MO[[#This Row],[N°  TOTAL TALADROS]]*BD_MO[[#This Row],[BARRA]]*0.95,"")</f>
        <v>76</v>
      </c>
      <c r="AQ332" s="348">
        <f>+IF(BD_MO[[#This Row],[N° VALE]]&lt;&gt;"",BD_MO[[#This Row],[EMULNOR 1000 (N° CART.)]]*PE_EMUL_1000[PE],"")</f>
        <v>3.7880000000000003</v>
      </c>
      <c r="AR332" s="348">
        <f>+IF(BD_MO[[#This Row],[N° VALE]]&lt;&gt;"",BD_MO[[#This Row],[EMULNOR 3000 (N° CART.)]]*PE_EMUL_3000[PE],"")</f>
        <v>4.8076923076923102</v>
      </c>
      <c r="AS332" s="348">
        <f>+IF(BD_MO[[#This Row],[N° VALE]]&lt;&gt;"",BD_MO[[#This Row],[PULVERULENTA (N° CART.)]]*PE_PULV_65[PE],"")</f>
        <v>0</v>
      </c>
      <c r="AT332" s="348">
        <f>+IF(BD_MO[[#This Row],[N° DISP]]&lt;&gt;"",BD_MO[[#This Row],[SEMIGELATINA (N° CART.)]]*PE_SEMIGEL_65[PE],"")</f>
        <v>0</v>
      </c>
      <c r="AU332" s="348">
        <f>+IF(BD_MO[N° VALE]&lt;&gt;"",BD_MO[[#This Row],[KG EXPLO SEMIGEL]]+BD_MO[[#This Row],[KG EXPLO PULVE]]+BD_MO[[#This Row],[KG EXPLO EMULN 3000]]+BD_MO[[#This Row],[KG EXPLO EMULN 1000]],"")</f>
        <v>8.5956923076923104</v>
      </c>
      <c r="AV332" s="345"/>
      <c r="AW332" s="345"/>
      <c r="AX332" s="345" t="str">
        <f>+IF(BD_MO[[#This Row],[MINERAL (U-35)]]&lt;&gt;"",BD_MO[[#This Row],[MINERAL (U-35)]]*1.45,"-")</f>
        <v>-</v>
      </c>
      <c r="AY332" s="345" t="str">
        <f>+IF(BD_MO[[#This Row],[DESMONTE (U-35)]]&lt;&gt;"",BD_MO[[#This Row],[DESMONTE (U-35)]]*1.23,"-")</f>
        <v>-</v>
      </c>
      <c r="AZ332" s="345"/>
      <c r="BA332" s="345"/>
      <c r="BB332" s="345"/>
      <c r="BC332" s="345"/>
      <c r="BD332" s="345"/>
      <c r="BE332" s="345"/>
      <c r="BF332" s="345"/>
      <c r="BG332" s="345"/>
      <c r="BH332" s="345"/>
      <c r="BI332" s="345"/>
      <c r="BJ332" s="345"/>
      <c r="BK332" s="345"/>
      <c r="BL332" s="345"/>
      <c r="BM332" s="345"/>
      <c r="BN332" s="344"/>
      <c r="BO332" s="345"/>
      <c r="BP332" s="345"/>
      <c r="BQ332" s="344">
        <v>3.6</v>
      </c>
      <c r="BR332" s="345"/>
      <c r="BS332" s="344"/>
      <c r="BT332" s="348"/>
      <c r="BU332" s="345"/>
      <c r="BV332" s="345"/>
      <c r="BW332" s="345"/>
      <c r="BX332" s="345"/>
      <c r="BY332" s="345"/>
      <c r="BZ332" s="345"/>
      <c r="CA332" s="345"/>
      <c r="CB332" s="345"/>
      <c r="CC332" s="345"/>
      <c r="CD332" s="345"/>
      <c r="CE332" s="345"/>
      <c r="CF332" s="345"/>
      <c r="CG332" s="345"/>
      <c r="CH332" s="345"/>
      <c r="CI332" s="345"/>
      <c r="CJ332" s="345"/>
      <c r="CK332" s="345"/>
      <c r="CL332" s="345"/>
      <c r="CM332" s="345">
        <v>2</v>
      </c>
      <c r="CN332" s="345"/>
      <c r="CO332" s="345"/>
      <c r="CP332" s="348">
        <f>+IF(BD_MO[[#This Row],[FECHA]]&lt;&gt;"",BD_MO[[#This Row],[PUNTAL 4"]]+BD_MO[[#This Row],[PUNTAL 5"]]+BD_MO[[#This Row],[PUNTAL 6"]]+BD_MO[[#This Row],[PUNTAL 7"]]+BD_MO[[#This Row],[PUNTAL 8"]],"")</f>
        <v>2</v>
      </c>
      <c r="CQ332" s="345"/>
      <c r="CR332" s="345"/>
      <c r="CS332" s="345">
        <v>4</v>
      </c>
      <c r="CT332" s="345"/>
      <c r="CU332" s="345"/>
      <c r="CV332" s="345"/>
      <c r="CW332" s="345"/>
      <c r="CX332" s="345"/>
      <c r="CY332" s="348"/>
      <c r="CZ332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188.14800000000002</v>
      </c>
      <c r="DA332" s="348">
        <f>+IF(BD_MO[[#This Row],[FECHA]]&lt;&gt;"",BD_MO[[#This Row],[DURMIENTE2]]*6.561+BD_MO[[#This Row],[LISTONES]]*4.921+BD_MO[[#This Row],[TABLA 1"x8"x3m]]*6.561+BD_MO[[#This Row],[TABLA 2"x8"x3m]]*13.122,"")</f>
        <v>0</v>
      </c>
      <c r="DB332" s="348">
        <f>+IF(BD_MO[[#This Row],[FECHA]]&lt;&gt;"",BD_MO[[#This Row],[PIE2 MADERA ASERRADA]]*1.95,"")</f>
        <v>0</v>
      </c>
      <c r="DC332" s="348">
        <f>+IF(BD_MO[[#This Row],[FECHA]]&lt;&gt;"",BD_MO[[#This Row],[KG. MADERA REDONDA]]+BD_MO[[#This Row],[KG MADERA ASERRADA]],"")</f>
        <v>188.14800000000002</v>
      </c>
      <c r="DD332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84.759999999999991</v>
      </c>
      <c r="DE332" s="345"/>
      <c r="DF332" s="345"/>
      <c r="DG332" s="345"/>
      <c r="DH332" s="345"/>
      <c r="DI332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32" s="351"/>
      <c r="DK332" s="351"/>
      <c r="DL332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32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32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32" s="66">
        <f>0.74842*20</f>
        <v>14.968399999999999</v>
      </c>
      <c r="DP332" s="351">
        <f>+IF(BD_MO[[#This Row],[M o D]]&lt;&gt;"",IF(BD_MO[[#This Row],[M o D]]="M",BD_MO[[#This Row],[ROTURA TMH]]/2.65,BD_MO[[#This Row],[ROTURA TMH]]/2.4),"")</f>
        <v>5.6484528301886794</v>
      </c>
      <c r="DQ332" s="351">
        <v>0.91</v>
      </c>
      <c r="DR332" s="116">
        <f>IF(BD_MO[[#This Row],[TIPO AVANCE]]="Avance",((BD_MO[[#This Row],[AVANCE (m)]]/BD_MO[[#This Row],[AVANCE TEÓRICO]]))," ")</f>
        <v>0.84259259259259256</v>
      </c>
      <c r="DS332" s="49"/>
      <c r="DT332" s="49"/>
      <c r="DU332" s="49"/>
      <c r="DV332" s="49"/>
      <c r="DW332" s="49"/>
      <c r="DX332" s="49"/>
      <c r="DY332" s="49"/>
      <c r="DZ332" s="49"/>
    </row>
    <row r="333" spans="1:130" ht="18" customHeight="1" x14ac:dyDescent="0.25">
      <c r="A333" s="328">
        <v>44670</v>
      </c>
      <c r="B333" s="329" t="s">
        <v>10655</v>
      </c>
      <c r="C333" s="329" t="s">
        <v>10672</v>
      </c>
      <c r="D333" s="343" t="s">
        <v>12317</v>
      </c>
      <c r="E333" s="344" t="str">
        <f>LEFT(BD_MO[[#This Row],[LABOR]],2)</f>
        <v>Sn</v>
      </c>
      <c r="F333" s="345" t="s">
        <v>10687</v>
      </c>
      <c r="G333" s="345" t="s">
        <v>10648</v>
      </c>
      <c r="H333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33" s="344" t="s">
        <v>12254</v>
      </c>
      <c r="J333" s="387" t="s">
        <v>10525</v>
      </c>
      <c r="K333" s="344" t="s">
        <v>12247</v>
      </c>
      <c r="L333" s="344"/>
      <c r="M333" s="329" t="s">
        <v>10679</v>
      </c>
      <c r="N333" s="345"/>
      <c r="O333" s="333" t="s">
        <v>12207</v>
      </c>
      <c r="P333" s="333"/>
      <c r="Q333" s="333"/>
      <c r="R333" s="346"/>
      <c r="S333" s="347" t="str">
        <f>IFERROR(VLOOKUP(BD_MO[DNI 4],#REF!,2,FALSE)," ")</f>
        <v xml:space="preserve"> </v>
      </c>
      <c r="T333" s="348">
        <f>+IF(BD_MO[[#This Row],[FECHA]]&lt;&gt;"",COUNTA(BD_MO[[#This Row],[DNI]],BD_MO[[#This Row],[DNI 2]],BD_MO[[#This Row],[DNI 3]],BD_MO[[#This Row],[DNI 4]]),"")</f>
        <v>1</v>
      </c>
      <c r="U333" s="348">
        <v>0.38</v>
      </c>
      <c r="V333" s="348">
        <v>0.28999999999999998</v>
      </c>
      <c r="W333" s="348">
        <v>0.14000000000000001</v>
      </c>
      <c r="X333" s="348">
        <v>0.19</v>
      </c>
      <c r="Y333" s="337">
        <f>SUM(BD_MO[[#This Row],[LIMP]:[SERV]])</f>
        <v>1</v>
      </c>
      <c r="Z333" s="345" t="s">
        <v>12326</v>
      </c>
      <c r="AA333" s="345">
        <f>+IF(BD_MO[[#This Row],[N° VALE]]&lt;&gt;"",1,"")</f>
        <v>1</v>
      </c>
      <c r="AB333" s="329" t="s">
        <v>10659</v>
      </c>
      <c r="AC333" s="345">
        <v>4</v>
      </c>
      <c r="AD333" s="345">
        <f>+IF(BD_MO[[#This Row],[N° VALE]]&lt;&gt;"",BD_MO[[#This Row],[FULMINANTE N° 08]]+BD_MO[CARMEX 7''],"")</f>
        <v>2</v>
      </c>
      <c r="AE333" s="345"/>
      <c r="AF333" s="345">
        <f>+IF(BD_MO[[#This Row],[N° VALE]]&lt;&gt;"",BD_MO[[#This Row],[N° TALADROS]]+BD_MO[[#This Row],[N° TAL. VACIOS]],"")</f>
        <v>2</v>
      </c>
      <c r="AG333" s="349">
        <v>2</v>
      </c>
      <c r="AH333" s="349">
        <v>4</v>
      </c>
      <c r="AI333" s="349"/>
      <c r="AJ333" s="349"/>
      <c r="AK333" s="349">
        <v>2</v>
      </c>
      <c r="AL333" s="349">
        <v>2</v>
      </c>
      <c r="AM333" s="344"/>
      <c r="AN333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33" s="345">
        <f>+IF(BD_MO[[#This Row],[N° VALE]]&lt;&gt;"",IF(BD_MO[[#This Row],[FULMINANTE N° 08]]&lt;&gt;"",BD_MO[[#This Row],[FULMINANTE N° 08]],IF(BD_MO[[#This Row],[CARMEX 7'']]&lt;&gt;0,0,"")),"")</f>
        <v>0</v>
      </c>
      <c r="AP333" s="348">
        <f>+IF(BD_MO[[#This Row],[N° VALE]]&lt;&gt;"",BD_MO[[#This Row],[N°  TOTAL TALADROS]]*BD_MO[[#This Row],[BARRA]]*0.95,"")</f>
        <v>7.6</v>
      </c>
      <c r="AQ333" s="348">
        <f>+IF(BD_MO[[#This Row],[N° VALE]]&lt;&gt;"",BD_MO[[#This Row],[EMULNOR 1000 (N° CART.)]]*PE_EMUL_1000[PE],"")</f>
        <v>0.37880000000000003</v>
      </c>
      <c r="AR333" s="348">
        <f>+IF(BD_MO[[#This Row],[N° VALE]]&lt;&gt;"",BD_MO[[#This Row],[EMULNOR 3000 (N° CART.)]]*PE_EMUL_3000[PE],"")</f>
        <v>0.1923076923076924</v>
      </c>
      <c r="AS333" s="348">
        <f>+IF(BD_MO[[#This Row],[N° VALE]]&lt;&gt;"",BD_MO[[#This Row],[PULVERULENTA (N° CART.)]]*PE_PULV_65[PE],"")</f>
        <v>0</v>
      </c>
      <c r="AT333" s="348">
        <f>+IF(BD_MO[[#This Row],[N° DISP]]&lt;&gt;"",BD_MO[[#This Row],[SEMIGELATINA (N° CART.)]]*PE_SEMIGEL_65[PE],"")</f>
        <v>0</v>
      </c>
      <c r="AU333" s="348">
        <f>+IF(BD_MO[N° VALE]&lt;&gt;"",BD_MO[[#This Row],[KG EXPLO SEMIGEL]]+BD_MO[[#This Row],[KG EXPLO PULVE]]+BD_MO[[#This Row],[KG EXPLO EMULN 3000]]+BD_MO[[#This Row],[KG EXPLO EMULN 1000]],"")</f>
        <v>0.57110769230769243</v>
      </c>
      <c r="AV333" s="345"/>
      <c r="AW333" s="345"/>
      <c r="AX333" s="345" t="str">
        <f>+IF(BD_MO[[#This Row],[MINERAL (U-35)]]&lt;&gt;"",BD_MO[[#This Row],[MINERAL (U-35)]]*1.45,"-")</f>
        <v>-</v>
      </c>
      <c r="AY333" s="345" t="str">
        <f>+IF(BD_MO[[#This Row],[DESMONTE (U-35)]]&lt;&gt;"",BD_MO[[#This Row],[DESMONTE (U-35)]]*1.23,"-")</f>
        <v>-</v>
      </c>
      <c r="AZ333" s="345"/>
      <c r="BA333" s="345"/>
      <c r="BB333" s="345"/>
      <c r="BC333" s="345"/>
      <c r="BD333" s="345"/>
      <c r="BE333" s="345"/>
      <c r="BF333" s="345"/>
      <c r="BG333" s="345"/>
      <c r="BH333" s="345"/>
      <c r="BI333" s="345"/>
      <c r="BJ333" s="345"/>
      <c r="BK333" s="345"/>
      <c r="BL333" s="345"/>
      <c r="BM333" s="345"/>
      <c r="BN333" s="344"/>
      <c r="BO333" s="345"/>
      <c r="BP333" s="345"/>
      <c r="BQ333" s="344"/>
      <c r="BR333" s="345"/>
      <c r="BS333" s="344"/>
      <c r="BT333" s="348"/>
      <c r="BU333" s="345"/>
      <c r="BV333" s="345"/>
      <c r="BW333" s="345"/>
      <c r="BX333" s="345"/>
      <c r="BY333" s="345"/>
      <c r="BZ333" s="345"/>
      <c r="CA333" s="345"/>
      <c r="CB333" s="345"/>
      <c r="CC333" s="345"/>
      <c r="CD333" s="345"/>
      <c r="CE333" s="345"/>
      <c r="CF333" s="345"/>
      <c r="CG333" s="345"/>
      <c r="CH333" s="345"/>
      <c r="CI333" s="345"/>
      <c r="CJ333" s="345"/>
      <c r="CK333" s="345"/>
      <c r="CL333" s="345"/>
      <c r="CM333" s="345"/>
      <c r="CN333" s="345"/>
      <c r="CO333" s="345"/>
      <c r="CP333" s="348">
        <f>+IF(BD_MO[[#This Row],[FECHA]]&lt;&gt;"",BD_MO[[#This Row],[PUNTAL 4"]]+BD_MO[[#This Row],[PUNTAL 5"]]+BD_MO[[#This Row],[PUNTAL 6"]]+BD_MO[[#This Row],[PUNTAL 7"]]+BD_MO[[#This Row],[PUNTAL 8"]],"")</f>
        <v>0</v>
      </c>
      <c r="CQ333" s="345"/>
      <c r="CR333" s="345"/>
      <c r="CS333" s="345"/>
      <c r="CT333" s="345"/>
      <c r="CU333" s="345"/>
      <c r="CV333" s="345"/>
      <c r="CW333" s="345"/>
      <c r="CX333" s="345"/>
      <c r="CY333" s="348"/>
      <c r="CZ333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33" s="348">
        <f>+IF(BD_MO[[#This Row],[FECHA]]&lt;&gt;"",BD_MO[[#This Row],[DURMIENTE2]]*6.561+BD_MO[[#This Row],[LISTONES]]*4.921+BD_MO[[#This Row],[TABLA 1"x8"x3m]]*6.561+BD_MO[[#This Row],[TABLA 2"x8"x3m]]*13.122,"")</f>
        <v>0</v>
      </c>
      <c r="DB333" s="348">
        <f>+IF(BD_MO[[#This Row],[FECHA]]&lt;&gt;"",BD_MO[[#This Row],[PIE2 MADERA ASERRADA]]*1.95,"")</f>
        <v>0</v>
      </c>
      <c r="DC333" s="348">
        <f>+IF(BD_MO[[#This Row],[FECHA]]&lt;&gt;"",BD_MO[[#This Row],[KG. MADERA REDONDA]]+BD_MO[[#This Row],[KG MADERA ASERRADA]],"")</f>
        <v>0</v>
      </c>
      <c r="DD333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33" s="345"/>
      <c r="DF333" s="345"/>
      <c r="DG333" s="345"/>
      <c r="DH333" s="345"/>
      <c r="DI333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33" s="351"/>
      <c r="DK333" s="351"/>
      <c r="DL333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33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33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33" s="66">
        <f>0.84333*2</f>
        <v>1.68666</v>
      </c>
      <c r="DP333" s="351">
        <f>+IF(BD_MO[[#This Row],[M o D]]&lt;&gt;"",IF(BD_MO[[#This Row],[M o D]]="M",BD_MO[[#This Row],[ROTURA TMH]]/2.65,BD_MO[[#This Row],[ROTURA TMH]]/2.4),"")</f>
        <v>0.70277500000000004</v>
      </c>
      <c r="DQ333" s="351">
        <v>0.75</v>
      </c>
      <c r="DR333" s="116" t="str">
        <f>IF(BD_MO[[#This Row],[TIPO AVANCE]]="Avance",((BD_MO[[#This Row],[AVANCE (m)]]/BD_MO[[#This Row],[AVANCE TEÓRICO]]))," ")</f>
        <v xml:space="preserve"> </v>
      </c>
      <c r="DS333" s="49"/>
      <c r="DT333" s="49"/>
      <c r="DU333" s="49"/>
      <c r="DV333" s="49"/>
      <c r="DW333" s="49"/>
      <c r="DX333" s="49"/>
      <c r="DY333" s="49"/>
      <c r="DZ333" s="49"/>
    </row>
    <row r="334" spans="1:130" ht="18" customHeight="1" x14ac:dyDescent="0.25">
      <c r="A334" s="328">
        <v>44670</v>
      </c>
      <c r="B334" s="329" t="s">
        <v>10655</v>
      </c>
      <c r="C334" s="329" t="s">
        <v>10672</v>
      </c>
      <c r="D334" s="343" t="s">
        <v>12304</v>
      </c>
      <c r="E334" s="344" t="str">
        <f>LEFT(BD_MO[[#This Row],[LABOR]],2)</f>
        <v>Ch</v>
      </c>
      <c r="F334" s="345"/>
      <c r="G334" s="345" t="s">
        <v>10662</v>
      </c>
      <c r="H334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334" s="344" t="s">
        <v>12254</v>
      </c>
      <c r="J334" s="387" t="s">
        <v>10525</v>
      </c>
      <c r="K334" s="344" t="s">
        <v>12247</v>
      </c>
      <c r="L334" s="344"/>
      <c r="M334" s="329"/>
      <c r="N334" s="345"/>
      <c r="O334" s="333" t="s">
        <v>12233</v>
      </c>
      <c r="P334" s="333" t="s">
        <v>12197</v>
      </c>
      <c r="Q334" s="333"/>
      <c r="R334" s="346"/>
      <c r="S334" s="347" t="str">
        <f>IFERROR(VLOOKUP(BD_MO[DNI 4],#REF!,2,FALSE)," ")</f>
        <v xml:space="preserve"> </v>
      </c>
      <c r="T334" s="348">
        <f>+IF(BD_MO[[#This Row],[FECHA]]&lt;&gt;"",COUNTA(BD_MO[[#This Row],[DNI]],BD_MO[[#This Row],[DNI 2]],BD_MO[[#This Row],[DNI 3]],BD_MO[[#This Row],[DNI 4]]),"")</f>
        <v>2</v>
      </c>
      <c r="U334" s="348">
        <v>0.86</v>
      </c>
      <c r="V334" s="348"/>
      <c r="W334" s="348">
        <v>0.76</v>
      </c>
      <c r="X334" s="348">
        <v>0.38</v>
      </c>
      <c r="Y334" s="337">
        <f>SUM(BD_MO[[#This Row],[LIMP]:[SERV]])</f>
        <v>2</v>
      </c>
      <c r="Z334" s="345"/>
      <c r="AA334" s="345" t="str">
        <f>+IF(BD_MO[[#This Row],[N° VALE]]&lt;&gt;"",1,"")</f>
        <v/>
      </c>
      <c r="AB334" s="329"/>
      <c r="AC334" s="345"/>
      <c r="AD334" s="345" t="str">
        <f>+IF(BD_MO[[#This Row],[N° VALE]]&lt;&gt;"",BD_MO[[#This Row],[FULMINANTE N° 08]]+BD_MO[CARMEX 7''],"")</f>
        <v/>
      </c>
      <c r="AE334" s="345"/>
      <c r="AF334" s="345" t="str">
        <f>+IF(BD_MO[[#This Row],[N° VALE]]&lt;&gt;"",BD_MO[[#This Row],[N° TALADROS]]+BD_MO[[#This Row],[N° TAL. VACIOS]],"")</f>
        <v/>
      </c>
      <c r="AG334" s="349"/>
      <c r="AH334" s="349"/>
      <c r="AI334" s="349"/>
      <c r="AJ334" s="349"/>
      <c r="AK334" s="349"/>
      <c r="AL334" s="349"/>
      <c r="AM334" s="344"/>
      <c r="AN334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34" s="345" t="str">
        <f>+IF(BD_MO[[#This Row],[N° VALE]]&lt;&gt;"",IF(BD_MO[[#This Row],[FULMINANTE N° 08]]&lt;&gt;"",BD_MO[[#This Row],[FULMINANTE N° 08]],IF(BD_MO[[#This Row],[CARMEX 7'']]&lt;&gt;0,0,"")),"")</f>
        <v/>
      </c>
      <c r="AP334" s="348" t="str">
        <f>+IF(BD_MO[[#This Row],[N° VALE]]&lt;&gt;"",BD_MO[[#This Row],[N°  TOTAL TALADROS]]*BD_MO[[#This Row],[BARRA]]*0.95,"")</f>
        <v/>
      </c>
      <c r="AQ334" s="348" t="str">
        <f>+IF(BD_MO[[#This Row],[N° VALE]]&lt;&gt;"",BD_MO[[#This Row],[EMULNOR 1000 (N° CART.)]]*PE_EMUL_1000[PE],"")</f>
        <v/>
      </c>
      <c r="AR334" s="348" t="str">
        <f>+IF(BD_MO[[#This Row],[N° VALE]]&lt;&gt;"",BD_MO[[#This Row],[EMULNOR 3000 (N° CART.)]]*PE_EMUL_3000[PE],"")</f>
        <v/>
      </c>
      <c r="AS334" s="348" t="str">
        <f>+IF(BD_MO[[#This Row],[N° VALE]]&lt;&gt;"",BD_MO[[#This Row],[PULVERULENTA (N° CART.)]]*PE_PULV_65[PE],"")</f>
        <v/>
      </c>
      <c r="AT334" s="348" t="str">
        <f>+IF(BD_MO[[#This Row],[N° DISP]]&lt;&gt;"",BD_MO[[#This Row],[SEMIGELATINA (N° CART.)]]*PE_SEMIGEL_65[PE],"")</f>
        <v/>
      </c>
      <c r="AU334" s="348" t="str">
        <f>+IF(BD_MO[N° VALE]&lt;&gt;"",BD_MO[[#This Row],[KG EXPLO SEMIGEL]]+BD_MO[[#This Row],[KG EXPLO PULVE]]+BD_MO[[#This Row],[KG EXPLO EMULN 3000]]+BD_MO[[#This Row],[KG EXPLO EMULN 1000]],"")</f>
        <v/>
      </c>
      <c r="AV334" s="345"/>
      <c r="AW334" s="345">
        <v>6</v>
      </c>
      <c r="AX334" s="345" t="str">
        <f>+IF(BD_MO[[#This Row],[MINERAL (U-35)]]&lt;&gt;"",BD_MO[[#This Row],[MINERAL (U-35)]]*1.45,"-")</f>
        <v>-</v>
      </c>
      <c r="AY334" s="345">
        <f>+IF(BD_MO[[#This Row],[DESMONTE (U-35)]]&lt;&gt;"",BD_MO[[#This Row],[DESMONTE (U-35)]]*1.23,"-")</f>
        <v>7.38</v>
      </c>
      <c r="AZ334" s="345"/>
      <c r="BA334" s="345"/>
      <c r="BB334" s="366">
        <v>2</v>
      </c>
      <c r="BC334" s="345"/>
      <c r="BD334" s="345"/>
      <c r="BE334" s="345"/>
      <c r="BF334" s="345"/>
      <c r="BG334" s="345"/>
      <c r="BH334" s="345"/>
      <c r="BI334" s="345"/>
      <c r="BJ334" s="345"/>
      <c r="BK334" s="345"/>
      <c r="BL334" s="345"/>
      <c r="BM334" s="345"/>
      <c r="BN334" s="344"/>
      <c r="BO334" s="345"/>
      <c r="BP334" s="345"/>
      <c r="BQ334" s="344"/>
      <c r="BR334" s="345"/>
      <c r="BS334" s="344"/>
      <c r="BT334" s="348">
        <v>1.6</v>
      </c>
      <c r="BU334" s="345"/>
      <c r="BV334" s="345"/>
      <c r="BW334" s="345"/>
      <c r="BX334" s="345"/>
      <c r="BY334" s="345"/>
      <c r="BZ334" s="345"/>
      <c r="CA334" s="345"/>
      <c r="CB334" s="345"/>
      <c r="CC334" s="345"/>
      <c r="CD334" s="345"/>
      <c r="CE334" s="345"/>
      <c r="CF334" s="345"/>
      <c r="CG334" s="345"/>
      <c r="CH334" s="345"/>
      <c r="CI334" s="345"/>
      <c r="CJ334" s="345"/>
      <c r="CK334" s="345"/>
      <c r="CL334" s="345"/>
      <c r="CM334" s="345"/>
      <c r="CN334" s="345">
        <v>6</v>
      </c>
      <c r="CO334" s="345"/>
      <c r="CP334" s="348">
        <f>+IF(BD_MO[[#This Row],[FECHA]]&lt;&gt;"",BD_MO[[#This Row],[PUNTAL 4"]]+BD_MO[[#This Row],[PUNTAL 5"]]+BD_MO[[#This Row],[PUNTAL 6"]]+BD_MO[[#This Row],[PUNTAL 7"]]+BD_MO[[#This Row],[PUNTAL 8"]],"")</f>
        <v>6</v>
      </c>
      <c r="CQ334" s="345"/>
      <c r="CR334" s="345"/>
      <c r="CS334" s="345">
        <v>5</v>
      </c>
      <c r="CT334" s="345"/>
      <c r="CU334" s="345"/>
      <c r="CV334" s="345"/>
      <c r="CW334" s="345"/>
      <c r="CX334" s="345"/>
      <c r="CY334" s="348"/>
      <c r="CZ334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489.47399999999999</v>
      </c>
      <c r="DA334" s="348">
        <f>+IF(BD_MO[[#This Row],[FECHA]]&lt;&gt;"",BD_MO[[#This Row],[DURMIENTE2]]*6.561+BD_MO[[#This Row],[LISTONES]]*4.921+BD_MO[[#This Row],[TABLA 1"x8"x3m]]*6.561+BD_MO[[#This Row],[TABLA 2"x8"x3m]]*13.122,"")</f>
        <v>0</v>
      </c>
      <c r="DB334" s="348">
        <f>+IF(BD_MO[[#This Row],[FECHA]]&lt;&gt;"",BD_MO[[#This Row],[PIE2 MADERA ASERRADA]]*1.95,"")</f>
        <v>0</v>
      </c>
      <c r="DC334" s="348">
        <f>+IF(BD_MO[[#This Row],[FECHA]]&lt;&gt;"",BD_MO[[#This Row],[KG. MADERA REDONDA]]+BD_MO[[#This Row],[KG MADERA ASERRADA]],"")</f>
        <v>489.47399999999999</v>
      </c>
      <c r="DD334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168.25</v>
      </c>
      <c r="DE334" s="345"/>
      <c r="DF334" s="345"/>
      <c r="DG334" s="345"/>
      <c r="DH334" s="345"/>
      <c r="DI334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34" s="351"/>
      <c r="DK334" s="351"/>
      <c r="DL334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34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34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34" s="66"/>
      <c r="DP334" s="351" t="str">
        <f>+IF(BD_MO[[#This Row],[M o D]]&lt;&gt;"",IF(BD_MO[[#This Row],[M o D]]="M",BD_MO[[#This Row],[ROTURA TMH]]/2.65,BD_MO[[#This Row],[ROTURA TMH]]/2.4),"")</f>
        <v/>
      </c>
      <c r="DQ334" s="351"/>
      <c r="DR334" s="116" t="str">
        <f>IF(BD_MO[[#This Row],[TIPO AVANCE]]="Avance",((BD_MO[[#This Row],[AVANCE (m)]]/BD_MO[[#This Row],[AVANCE TEÓRICO]]))," ")</f>
        <v xml:space="preserve"> </v>
      </c>
      <c r="DS334" s="49"/>
      <c r="DT334" s="49"/>
      <c r="DU334" s="49"/>
      <c r="DV334" s="49"/>
      <c r="DW334" s="49"/>
      <c r="DX334" s="49"/>
      <c r="DY334" s="49"/>
      <c r="DZ334" s="49"/>
    </row>
    <row r="335" spans="1:130" ht="18" customHeight="1" x14ac:dyDescent="0.25">
      <c r="A335" s="328">
        <v>44670</v>
      </c>
      <c r="B335" s="329" t="s">
        <v>10655</v>
      </c>
      <c r="C335" s="329" t="s">
        <v>10672</v>
      </c>
      <c r="D335" s="343" t="s">
        <v>11872</v>
      </c>
      <c r="E335" s="344" t="str">
        <f>LEFT(BD_MO[[#This Row],[LABOR]],2)</f>
        <v>PQ</v>
      </c>
      <c r="F335" s="345"/>
      <c r="G335" s="345" t="s">
        <v>10669</v>
      </c>
      <c r="H335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35" s="344" t="str">
        <f>IF(BD_MO[FECHA]&lt;&gt;"",VLOOKUP(BD_MO[LABOR],TB_CECO[[LABOR]:[CECO_T]],3,FALSE),"")</f>
        <v>ANDREA</v>
      </c>
      <c r="J335" s="344" t="str">
        <f>IF(BD_MO[FECHA]&lt;&gt;"",VLOOKUP(BD_MO[LABOR],D_CECO!B:H,7,FALSE),"")</f>
        <v>LINEAL</v>
      </c>
      <c r="K335" s="344" t="str">
        <f>IF(BD_MO[FECHA]&lt;&gt;"",VLOOKUP(BD_MO[LABOR],D_CECO!B:H,4,FALSE),"")</f>
        <v>EXPLOTACION</v>
      </c>
      <c r="L335" s="344"/>
      <c r="M335" s="329"/>
      <c r="N335" s="345"/>
      <c r="O335" s="333" t="s">
        <v>12199</v>
      </c>
      <c r="P335" s="333" t="s">
        <v>12220</v>
      </c>
      <c r="Q335" s="333" t="s">
        <v>12196</v>
      </c>
      <c r="R335" s="346"/>
      <c r="S335" s="347" t="str">
        <f>IFERROR(VLOOKUP(BD_MO[DNI 4],#REF!,2,FALSE)," ")</f>
        <v xml:space="preserve"> </v>
      </c>
      <c r="T335" s="348">
        <f>+IF(BD_MO[[#This Row],[FECHA]]&lt;&gt;"",COUNTA(BD_MO[[#This Row],[DNI]],BD_MO[[#This Row],[DNI 2]],BD_MO[[#This Row],[DNI 3]],BD_MO[[#This Row],[DNI 4]]),"")</f>
        <v>3</v>
      </c>
      <c r="U335" s="348"/>
      <c r="V335" s="348"/>
      <c r="W335" s="348"/>
      <c r="X335" s="348">
        <v>3</v>
      </c>
      <c r="Y335" s="337">
        <f>SUM(BD_MO[[#This Row],[LIMP]:[SERV]])</f>
        <v>3</v>
      </c>
      <c r="Z335" s="345"/>
      <c r="AA335" s="345" t="str">
        <f>+IF(BD_MO[[#This Row],[N° VALE]]&lt;&gt;"",1,"")</f>
        <v/>
      </c>
      <c r="AB335" s="329"/>
      <c r="AC335" s="345"/>
      <c r="AD335" s="345" t="str">
        <f>+IF(BD_MO[[#This Row],[N° VALE]]&lt;&gt;"",BD_MO[[#This Row],[FULMINANTE N° 08]]+BD_MO[CARMEX 7''],"")</f>
        <v/>
      </c>
      <c r="AE335" s="345"/>
      <c r="AF335" s="345" t="str">
        <f>+IF(BD_MO[[#This Row],[N° VALE]]&lt;&gt;"",BD_MO[[#This Row],[N° TALADROS]]+BD_MO[[#This Row],[N° TAL. VACIOS]],"")</f>
        <v/>
      </c>
      <c r="AG335" s="349"/>
      <c r="AH335" s="349"/>
      <c r="AI335" s="349"/>
      <c r="AJ335" s="349"/>
      <c r="AK335" s="349"/>
      <c r="AL335" s="349"/>
      <c r="AM335" s="344"/>
      <c r="AN335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35" s="345" t="str">
        <f>+IF(BD_MO[[#This Row],[N° VALE]]&lt;&gt;"",IF(BD_MO[[#This Row],[FULMINANTE N° 08]]&lt;&gt;"",BD_MO[[#This Row],[FULMINANTE N° 08]],IF(BD_MO[[#This Row],[CARMEX 7'']]&lt;&gt;0,0,"")),"")</f>
        <v/>
      </c>
      <c r="AP335" s="348" t="str">
        <f>+IF(BD_MO[[#This Row],[N° VALE]]&lt;&gt;"",BD_MO[[#This Row],[N°  TOTAL TALADROS]]*BD_MO[[#This Row],[BARRA]]*0.95,"")</f>
        <v/>
      </c>
      <c r="AQ335" s="348" t="str">
        <f>+IF(BD_MO[[#This Row],[N° VALE]]&lt;&gt;"",BD_MO[[#This Row],[EMULNOR 1000 (N° CART.)]]*PE_EMUL_1000[PE],"")</f>
        <v/>
      </c>
      <c r="AR335" s="348" t="str">
        <f>+IF(BD_MO[[#This Row],[N° VALE]]&lt;&gt;"",BD_MO[[#This Row],[EMULNOR 3000 (N° CART.)]]*PE_EMUL_3000[PE],"")</f>
        <v/>
      </c>
      <c r="AS335" s="348" t="str">
        <f>+IF(BD_MO[[#This Row],[N° VALE]]&lt;&gt;"",BD_MO[[#This Row],[PULVERULENTA (N° CART.)]]*PE_PULV_65[PE],"")</f>
        <v/>
      </c>
      <c r="AT335" s="348" t="str">
        <f>+IF(BD_MO[[#This Row],[N° DISP]]&lt;&gt;"",BD_MO[[#This Row],[SEMIGELATINA (N° CART.)]]*PE_SEMIGEL_65[PE],"")</f>
        <v/>
      </c>
      <c r="AU335" s="348" t="str">
        <f>+IF(BD_MO[N° VALE]&lt;&gt;"",BD_MO[[#This Row],[KG EXPLO SEMIGEL]]+BD_MO[[#This Row],[KG EXPLO PULVE]]+BD_MO[[#This Row],[KG EXPLO EMULN 3000]]+BD_MO[[#This Row],[KG EXPLO EMULN 1000]],"")</f>
        <v/>
      </c>
      <c r="AV335" s="345"/>
      <c r="AW335" s="345"/>
      <c r="AX335" s="345" t="str">
        <f>+IF(BD_MO[[#This Row],[MINERAL (U-35)]]&lt;&gt;"",BD_MO[[#This Row],[MINERAL (U-35)]]*1.45,"-")</f>
        <v>-</v>
      </c>
      <c r="AY335" s="345" t="str">
        <f>+IF(BD_MO[[#This Row],[DESMONTE (U-35)]]&lt;&gt;"",BD_MO[[#This Row],[DESMONTE (U-35)]]*1.23,"-")</f>
        <v>-</v>
      </c>
      <c r="AZ335" s="345"/>
      <c r="BA335" s="345"/>
      <c r="BB335" s="345"/>
      <c r="BC335" s="345"/>
      <c r="BD335" s="345"/>
      <c r="BE335" s="345"/>
      <c r="BF335" s="345"/>
      <c r="BG335" s="345"/>
      <c r="BH335" s="345"/>
      <c r="BI335" s="345"/>
      <c r="BJ335" s="345"/>
      <c r="BK335" s="345"/>
      <c r="BL335" s="345"/>
      <c r="BM335" s="345"/>
      <c r="BN335" s="344"/>
      <c r="BO335" s="345"/>
      <c r="BP335" s="345"/>
      <c r="BQ335" s="344"/>
      <c r="BR335" s="345"/>
      <c r="BS335" s="344"/>
      <c r="BT335" s="348"/>
      <c r="BU335" s="345"/>
      <c r="BV335" s="345"/>
      <c r="BW335" s="345"/>
      <c r="BX335" s="345"/>
      <c r="BY335" s="345"/>
      <c r="BZ335" s="345"/>
      <c r="CA335" s="345"/>
      <c r="CB335" s="345"/>
      <c r="CC335" s="345"/>
      <c r="CD335" s="345"/>
      <c r="CE335" s="345"/>
      <c r="CF335" s="345"/>
      <c r="CG335" s="345"/>
      <c r="CH335" s="345"/>
      <c r="CI335" s="345"/>
      <c r="CJ335" s="345"/>
      <c r="CK335" s="345"/>
      <c r="CL335" s="345"/>
      <c r="CM335" s="345"/>
      <c r="CN335" s="345"/>
      <c r="CO335" s="345"/>
      <c r="CP335" s="348">
        <f>+IF(BD_MO[[#This Row],[FECHA]]&lt;&gt;"",BD_MO[[#This Row],[PUNTAL 4"]]+BD_MO[[#This Row],[PUNTAL 5"]]+BD_MO[[#This Row],[PUNTAL 6"]]+BD_MO[[#This Row],[PUNTAL 7"]]+BD_MO[[#This Row],[PUNTAL 8"]],"")</f>
        <v>0</v>
      </c>
      <c r="CQ335" s="345"/>
      <c r="CR335" s="345"/>
      <c r="CS335" s="345"/>
      <c r="CT335" s="345"/>
      <c r="CU335" s="345"/>
      <c r="CV335" s="345"/>
      <c r="CW335" s="345"/>
      <c r="CX335" s="345"/>
      <c r="CY335" s="348"/>
      <c r="CZ335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35" s="348">
        <f>+IF(BD_MO[[#This Row],[FECHA]]&lt;&gt;"",BD_MO[[#This Row],[DURMIENTE2]]*6.561+BD_MO[[#This Row],[LISTONES]]*4.921+BD_MO[[#This Row],[TABLA 1"x8"x3m]]*6.561+BD_MO[[#This Row],[TABLA 2"x8"x3m]]*13.122,"")</f>
        <v>0</v>
      </c>
      <c r="DB335" s="348">
        <f>+IF(BD_MO[[#This Row],[FECHA]]&lt;&gt;"",BD_MO[[#This Row],[PIE2 MADERA ASERRADA]]*1.95,"")</f>
        <v>0</v>
      </c>
      <c r="DC335" s="348">
        <f>+IF(BD_MO[[#This Row],[FECHA]]&lt;&gt;"",BD_MO[[#This Row],[KG. MADERA REDONDA]]+BD_MO[[#This Row],[KG MADERA ASERRADA]],"")</f>
        <v>0</v>
      </c>
      <c r="DD335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35" s="345"/>
      <c r="DF335" s="345"/>
      <c r="DG335" s="345" t="s">
        <v>12238</v>
      </c>
      <c r="DH335" s="345">
        <v>8</v>
      </c>
      <c r="DI335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35" s="351"/>
      <c r="DK335" s="351"/>
      <c r="DL335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35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35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35" s="341"/>
      <c r="DP335" s="351" t="str">
        <f>+IF(BD_MO[[#This Row],[M o D]]&lt;&gt;"",IF(BD_MO[[#This Row],[M o D]]="M",BD_MO[[#This Row],[ROTURA TMH]]/2.65,BD_MO[[#This Row],[ROTURA TMH]]/2.4),"")</f>
        <v/>
      </c>
      <c r="DQ335" s="351"/>
      <c r="DR335" s="116" t="str">
        <f>IF(BD_MO[[#This Row],[TIPO AVANCE]]="Avance",((BD_MO[[#This Row],[AVANCE (m)]]/BD_MO[[#This Row],[AVANCE TEÓRICO]]))," ")</f>
        <v xml:space="preserve"> </v>
      </c>
      <c r="DS335" s="49"/>
      <c r="DT335" s="49"/>
      <c r="DU335" s="49"/>
      <c r="DV335" s="49"/>
      <c r="DW335" s="49"/>
      <c r="DX335" s="49"/>
      <c r="DY335" s="49"/>
      <c r="DZ335" s="49"/>
    </row>
    <row r="336" spans="1:130" ht="18" customHeight="1" x14ac:dyDescent="0.25">
      <c r="A336" s="328">
        <v>44670</v>
      </c>
      <c r="B336" s="329" t="s">
        <v>10655</v>
      </c>
      <c r="C336" s="329" t="s">
        <v>10672</v>
      </c>
      <c r="D336" s="343" t="s">
        <v>10952</v>
      </c>
      <c r="E336" s="344" t="str">
        <f>LEFT(BD_MO[[#This Row],[LABOR]],2)</f>
        <v>In</v>
      </c>
      <c r="F336" s="345"/>
      <c r="G336" s="345" t="s">
        <v>10669</v>
      </c>
      <c r="H336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36" s="344" t="str">
        <f>IF(BD_MO[FECHA]&lt;&gt;"",VLOOKUP(BD_MO[LABOR],TB_CECO[[LABOR]:[CECO_T]],3,FALSE),"")</f>
        <v>VANESSA</v>
      </c>
      <c r="J336" s="344" t="str">
        <f>IF(BD_MO[FECHA]&lt;&gt;"",VLOOKUP(BD_MO[LABOR],D_CECO!B:H,7,FALSE),"")</f>
        <v>LINEAL</v>
      </c>
      <c r="K336" s="344" t="str">
        <f>IF(BD_MO[FECHA]&lt;&gt;"",VLOOKUP(BD_MO[LABOR],D_CECO!B:H,4,FALSE),"")</f>
        <v>EXPLORACION</v>
      </c>
      <c r="L336" s="344"/>
      <c r="M336" s="329"/>
      <c r="N336" s="345"/>
      <c r="O336" s="333" t="s">
        <v>12198</v>
      </c>
      <c r="P336" s="333" t="s">
        <v>12234</v>
      </c>
      <c r="Q336" s="333" t="s">
        <v>12201</v>
      </c>
      <c r="R336" s="346"/>
      <c r="S336" s="347" t="str">
        <f>IFERROR(VLOOKUP(BD_MO[DNI 4],#REF!,2,FALSE)," ")</f>
        <v xml:space="preserve"> </v>
      </c>
      <c r="T336" s="348">
        <f>+IF(BD_MO[[#This Row],[FECHA]]&lt;&gt;"",COUNTA(BD_MO[[#This Row],[DNI]],BD_MO[[#This Row],[DNI 2]],BD_MO[[#This Row],[DNI 3]],BD_MO[[#This Row],[DNI 4]]),"")</f>
        <v>3</v>
      </c>
      <c r="U336" s="348"/>
      <c r="V336" s="348"/>
      <c r="W336" s="348"/>
      <c r="X336" s="348">
        <v>3</v>
      </c>
      <c r="Y336" s="337">
        <f>SUM(BD_MO[[#This Row],[LIMP]:[SERV]])</f>
        <v>3</v>
      </c>
      <c r="Z336" s="345"/>
      <c r="AA336" s="345" t="str">
        <f>+IF(BD_MO[[#This Row],[N° VALE]]&lt;&gt;"",1,"")</f>
        <v/>
      </c>
      <c r="AB336" s="329"/>
      <c r="AC336" s="345"/>
      <c r="AD336" s="345" t="str">
        <f>+IF(BD_MO[[#This Row],[N° VALE]]&lt;&gt;"",BD_MO[[#This Row],[FULMINANTE N° 08]]+BD_MO[CARMEX 7''],"")</f>
        <v/>
      </c>
      <c r="AE336" s="345"/>
      <c r="AF336" s="345" t="str">
        <f>+IF(BD_MO[[#This Row],[N° VALE]]&lt;&gt;"",BD_MO[[#This Row],[N° TALADROS]]+BD_MO[[#This Row],[N° TAL. VACIOS]],"")</f>
        <v/>
      </c>
      <c r="AG336" s="349"/>
      <c r="AH336" s="349"/>
      <c r="AI336" s="349"/>
      <c r="AJ336" s="349"/>
      <c r="AK336" s="349"/>
      <c r="AL336" s="349"/>
      <c r="AM336" s="344"/>
      <c r="AN336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36" s="345" t="str">
        <f>+IF(BD_MO[[#This Row],[N° VALE]]&lt;&gt;"",IF(BD_MO[[#This Row],[FULMINANTE N° 08]]&lt;&gt;"",BD_MO[[#This Row],[FULMINANTE N° 08]],IF(BD_MO[[#This Row],[CARMEX 7'']]&lt;&gt;0,0,"")),"")</f>
        <v/>
      </c>
      <c r="AP336" s="348" t="str">
        <f>+IF(BD_MO[[#This Row],[N° VALE]]&lt;&gt;"",BD_MO[[#This Row],[N°  TOTAL TALADROS]]*BD_MO[[#This Row],[BARRA]]*0.95,"")</f>
        <v/>
      </c>
      <c r="AQ336" s="348" t="str">
        <f>+IF(BD_MO[[#This Row],[N° VALE]]&lt;&gt;"",BD_MO[[#This Row],[EMULNOR 1000 (N° CART.)]]*PE_EMUL_1000[PE],"")</f>
        <v/>
      </c>
      <c r="AR336" s="348" t="str">
        <f>+IF(BD_MO[[#This Row],[N° VALE]]&lt;&gt;"",BD_MO[[#This Row],[EMULNOR 3000 (N° CART.)]]*PE_EMUL_3000[PE],"")</f>
        <v/>
      </c>
      <c r="AS336" s="348" t="str">
        <f>+IF(BD_MO[[#This Row],[N° VALE]]&lt;&gt;"",BD_MO[[#This Row],[PULVERULENTA (N° CART.)]]*PE_PULV_65[PE],"")</f>
        <v/>
      </c>
      <c r="AT336" s="348" t="str">
        <f>+IF(BD_MO[[#This Row],[N° DISP]]&lt;&gt;"",BD_MO[[#This Row],[SEMIGELATINA (N° CART.)]]*PE_SEMIGEL_65[PE],"")</f>
        <v/>
      </c>
      <c r="AU336" s="348" t="str">
        <f>+IF(BD_MO[N° VALE]&lt;&gt;"",BD_MO[[#This Row],[KG EXPLO SEMIGEL]]+BD_MO[[#This Row],[KG EXPLO PULVE]]+BD_MO[[#This Row],[KG EXPLO EMULN 3000]]+BD_MO[[#This Row],[KG EXPLO EMULN 1000]],"")</f>
        <v/>
      </c>
      <c r="AV336" s="345"/>
      <c r="AW336" s="345"/>
      <c r="AX336" s="345" t="str">
        <f>+IF(BD_MO[[#This Row],[MINERAL (U-35)]]&lt;&gt;"",BD_MO[[#This Row],[MINERAL (U-35)]]*1.45,"-")</f>
        <v>-</v>
      </c>
      <c r="AY336" s="345" t="str">
        <f>+IF(BD_MO[[#This Row],[DESMONTE (U-35)]]&lt;&gt;"",BD_MO[[#This Row],[DESMONTE (U-35)]]*1.23,"-")</f>
        <v>-</v>
      </c>
      <c r="AZ336" s="345"/>
      <c r="BA336" s="345"/>
      <c r="BB336" s="345"/>
      <c r="BC336" s="345"/>
      <c r="BD336" s="345"/>
      <c r="BE336" s="345"/>
      <c r="BF336" s="345"/>
      <c r="BG336" s="345"/>
      <c r="BH336" s="345"/>
      <c r="BI336" s="345"/>
      <c r="BJ336" s="345"/>
      <c r="BK336" s="345"/>
      <c r="BL336" s="345"/>
      <c r="BM336" s="345"/>
      <c r="BN336" s="344"/>
      <c r="BO336" s="345"/>
      <c r="BP336" s="345"/>
      <c r="BQ336" s="344"/>
      <c r="BR336" s="345"/>
      <c r="BS336" s="344"/>
      <c r="BT336" s="348"/>
      <c r="BU336" s="345"/>
      <c r="BV336" s="345"/>
      <c r="BW336" s="345"/>
      <c r="BX336" s="345"/>
      <c r="BY336" s="345"/>
      <c r="BZ336" s="345"/>
      <c r="CA336" s="345"/>
      <c r="CB336" s="345"/>
      <c r="CC336" s="345"/>
      <c r="CD336" s="345"/>
      <c r="CE336" s="345"/>
      <c r="CF336" s="345"/>
      <c r="CG336" s="345"/>
      <c r="CH336" s="345"/>
      <c r="CI336" s="345"/>
      <c r="CJ336" s="345"/>
      <c r="CK336" s="345"/>
      <c r="CL336" s="345"/>
      <c r="CM336" s="345"/>
      <c r="CN336" s="345"/>
      <c r="CO336" s="345"/>
      <c r="CP336" s="348">
        <f>+IF(BD_MO[[#This Row],[FECHA]]&lt;&gt;"",BD_MO[[#This Row],[PUNTAL 4"]]+BD_MO[[#This Row],[PUNTAL 5"]]+BD_MO[[#This Row],[PUNTAL 6"]]+BD_MO[[#This Row],[PUNTAL 7"]]+BD_MO[[#This Row],[PUNTAL 8"]],"")</f>
        <v>0</v>
      </c>
      <c r="CQ336" s="345"/>
      <c r="CR336" s="345"/>
      <c r="CS336" s="345"/>
      <c r="CT336" s="345"/>
      <c r="CU336" s="345"/>
      <c r="CV336" s="345"/>
      <c r="CW336" s="345"/>
      <c r="CX336" s="345"/>
      <c r="CY336" s="348"/>
      <c r="CZ336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36" s="348">
        <f>+IF(BD_MO[[#This Row],[FECHA]]&lt;&gt;"",BD_MO[[#This Row],[DURMIENTE2]]*6.561+BD_MO[[#This Row],[LISTONES]]*4.921+BD_MO[[#This Row],[TABLA 1"x8"x3m]]*6.561+BD_MO[[#This Row],[TABLA 2"x8"x3m]]*13.122,"")</f>
        <v>0</v>
      </c>
      <c r="DB336" s="348">
        <f>+IF(BD_MO[[#This Row],[FECHA]]&lt;&gt;"",BD_MO[[#This Row],[PIE2 MADERA ASERRADA]]*1.95,"")</f>
        <v>0</v>
      </c>
      <c r="DC336" s="348">
        <f>+IF(BD_MO[[#This Row],[FECHA]]&lt;&gt;"",BD_MO[[#This Row],[KG. MADERA REDONDA]]+BD_MO[[#This Row],[KG MADERA ASERRADA]],"")</f>
        <v>0</v>
      </c>
      <c r="DD336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36" s="345"/>
      <c r="DF336" s="345"/>
      <c r="DG336" s="345" t="s">
        <v>12239</v>
      </c>
      <c r="DH336" s="345">
        <v>8</v>
      </c>
      <c r="DI336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36" s="351"/>
      <c r="DK336" s="351"/>
      <c r="DL336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36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36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36" s="341"/>
      <c r="DP336" s="351" t="str">
        <f>+IF(BD_MO[[#This Row],[M o D]]&lt;&gt;"",IF(BD_MO[[#This Row],[M o D]]="M",BD_MO[[#This Row],[ROTURA TMH]]/2.65,BD_MO[[#This Row],[ROTURA TMH]]/2.4),"")</f>
        <v/>
      </c>
      <c r="DQ336" s="351"/>
      <c r="DR336" s="116" t="str">
        <f>IF(BD_MO[[#This Row],[TIPO AVANCE]]="Avance",((BD_MO[[#This Row],[AVANCE (m)]]/BD_MO[[#This Row],[AVANCE TEÓRICO]]))," ")</f>
        <v xml:space="preserve"> </v>
      </c>
      <c r="DS336" s="49"/>
      <c r="DT336" s="49"/>
      <c r="DU336" s="49"/>
      <c r="DV336" s="49"/>
      <c r="DW336" s="49"/>
      <c r="DX336" s="49"/>
      <c r="DY336" s="49"/>
      <c r="DZ336" s="49"/>
    </row>
    <row r="337" spans="1:130" ht="18" customHeight="1" x14ac:dyDescent="0.25">
      <c r="A337" s="328">
        <v>44670</v>
      </c>
      <c r="B337" s="329" t="s">
        <v>10655</v>
      </c>
      <c r="C337" s="329" t="s">
        <v>10672</v>
      </c>
      <c r="D337" s="342" t="s">
        <v>10954</v>
      </c>
      <c r="E337" s="330" t="str">
        <f>LEFT(BD_MO[[#This Row],[LABOR]],2)</f>
        <v>MO</v>
      </c>
      <c r="F337" s="331"/>
      <c r="G337" s="331" t="s">
        <v>10669</v>
      </c>
      <c r="H337" s="330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37" s="330" t="str">
        <f>IF(BD_MO[FECHA]&lt;&gt;"",VLOOKUP(BD_MO[LABOR],TB_CECO[[LABOR]:[CECO_T]],3,FALSE),"")</f>
        <v>INCA</v>
      </c>
      <c r="J337" s="330" t="str">
        <f>IF(BD_MO[FECHA]&lt;&gt;"",VLOOKUP(BD_MO[LABOR],D_CECO!B:H,7,FALSE),"")</f>
        <v>SERVICIOS</v>
      </c>
      <c r="K337" s="330" t="str">
        <f>IF(BD_MO[FECHA]&lt;&gt;"",VLOOKUP(BD_MO[LABOR],D_CECO!B:H,4,FALSE),"")</f>
        <v>SERVICIOS</v>
      </c>
      <c r="L337" s="330"/>
      <c r="M337" s="332"/>
      <c r="N337" s="331"/>
      <c r="O337" s="333" t="s">
        <v>12221</v>
      </c>
      <c r="P337" s="333" t="s">
        <v>12209</v>
      </c>
      <c r="Q337" s="333"/>
      <c r="R337" s="334"/>
      <c r="S337" s="335" t="str">
        <f>IFERROR(VLOOKUP(BD_MO[DNI 4],#REF!,2,FALSE)," ")</f>
        <v xml:space="preserve"> </v>
      </c>
      <c r="T337" s="336">
        <f>+IF(BD_MO[[#This Row],[FECHA]]&lt;&gt;"",COUNTA(BD_MO[[#This Row],[DNI]],BD_MO[[#This Row],[DNI 2]],BD_MO[[#This Row],[DNI 3]],BD_MO[[#This Row],[DNI 4]]),"")</f>
        <v>2</v>
      </c>
      <c r="U337" s="336"/>
      <c r="V337" s="336"/>
      <c r="W337" s="336"/>
      <c r="X337" s="336">
        <v>2</v>
      </c>
      <c r="Y337" s="337">
        <f>SUM(BD_MO[[#This Row],[LIMP]:[SERV]])</f>
        <v>2</v>
      </c>
      <c r="Z337" s="331"/>
      <c r="AA337" s="331" t="str">
        <f>+IF(BD_MO[[#This Row],[N° VALE]]&lt;&gt;"",1,"")</f>
        <v/>
      </c>
      <c r="AB337" s="329"/>
      <c r="AC337" s="331"/>
      <c r="AD337" s="331" t="str">
        <f>+IF(BD_MO[[#This Row],[N° VALE]]&lt;&gt;"",BD_MO[[#This Row],[FULMINANTE N° 08]]+BD_MO[CARMEX 7''],"")</f>
        <v/>
      </c>
      <c r="AE337" s="331"/>
      <c r="AF337" s="331" t="str">
        <f>+IF(BD_MO[[#This Row],[N° VALE]]&lt;&gt;"",BD_MO[[#This Row],[N° TALADROS]]+BD_MO[[#This Row],[N° TAL. VACIOS]],"")</f>
        <v/>
      </c>
      <c r="AG337" s="338"/>
      <c r="AH337" s="338"/>
      <c r="AI337" s="338"/>
      <c r="AJ337" s="338"/>
      <c r="AK337" s="338"/>
      <c r="AL337" s="338"/>
      <c r="AM337" s="330"/>
      <c r="AN337" s="331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37" s="331" t="str">
        <f>+IF(BD_MO[[#This Row],[N° VALE]]&lt;&gt;"",IF(BD_MO[[#This Row],[FULMINANTE N° 08]]&lt;&gt;"",BD_MO[[#This Row],[FULMINANTE N° 08]],IF(BD_MO[[#This Row],[CARMEX 7'']]&lt;&gt;0,0,"")),"")</f>
        <v/>
      </c>
      <c r="AP337" s="336" t="str">
        <f>+IF(BD_MO[[#This Row],[N° VALE]]&lt;&gt;"",BD_MO[[#This Row],[N°  TOTAL TALADROS]]*BD_MO[[#This Row],[BARRA]]*0.95,"")</f>
        <v/>
      </c>
      <c r="AQ337" s="336" t="str">
        <f>+IF(BD_MO[[#This Row],[N° VALE]]&lt;&gt;"",BD_MO[[#This Row],[EMULNOR 1000 (N° CART.)]]*PE_EMUL_1000[PE],"")</f>
        <v/>
      </c>
      <c r="AR337" s="336" t="str">
        <f>+IF(BD_MO[[#This Row],[N° VALE]]&lt;&gt;"",BD_MO[[#This Row],[EMULNOR 3000 (N° CART.)]]*PE_EMUL_3000[PE],"")</f>
        <v/>
      </c>
      <c r="AS337" s="336" t="str">
        <f>+IF(BD_MO[[#This Row],[N° VALE]]&lt;&gt;"",BD_MO[[#This Row],[PULVERULENTA (N° CART.)]]*PE_PULV_65[PE],"")</f>
        <v/>
      </c>
      <c r="AT337" s="336" t="str">
        <f>+IF(BD_MO[[#This Row],[N° DISP]]&lt;&gt;"",BD_MO[[#This Row],[SEMIGELATINA (N° CART.)]]*PE_SEMIGEL_65[PE],"")</f>
        <v/>
      </c>
      <c r="AU337" s="336" t="str">
        <f>+IF(BD_MO[N° VALE]&lt;&gt;"",BD_MO[[#This Row],[KG EXPLO SEMIGEL]]+BD_MO[[#This Row],[KG EXPLO PULVE]]+BD_MO[[#This Row],[KG EXPLO EMULN 3000]]+BD_MO[[#This Row],[KG EXPLO EMULN 1000]],"")</f>
        <v/>
      </c>
      <c r="AV337" s="331"/>
      <c r="AW337" s="331"/>
      <c r="AX337" s="331" t="str">
        <f>+IF(BD_MO[[#This Row],[MINERAL (U-35)]]&lt;&gt;"",BD_MO[[#This Row],[MINERAL (U-35)]]*1.45,"-")</f>
        <v>-</v>
      </c>
      <c r="AY337" s="331" t="str">
        <f>+IF(BD_MO[[#This Row],[DESMONTE (U-35)]]&lt;&gt;"",BD_MO[[#This Row],[DESMONTE (U-35)]]*1.23,"-")</f>
        <v>-</v>
      </c>
      <c r="AZ337" s="331"/>
      <c r="BA337" s="331"/>
      <c r="BB337" s="331"/>
      <c r="BC337" s="331"/>
      <c r="BD337" s="331"/>
      <c r="BE337" s="331"/>
      <c r="BF337" s="331"/>
      <c r="BG337" s="331"/>
      <c r="BH337" s="331"/>
      <c r="BI337" s="331"/>
      <c r="BJ337" s="331"/>
      <c r="BK337" s="331"/>
      <c r="BL337" s="331"/>
      <c r="BM337" s="331"/>
      <c r="BN337" s="330"/>
      <c r="BO337" s="331"/>
      <c r="BP337" s="331"/>
      <c r="BQ337" s="330"/>
      <c r="BR337" s="331"/>
      <c r="BS337" s="330"/>
      <c r="BT337" s="336"/>
      <c r="BU337" s="331"/>
      <c r="BV337" s="331"/>
      <c r="BW337" s="331"/>
      <c r="BX337" s="331"/>
      <c r="BY337" s="331"/>
      <c r="BZ337" s="331"/>
      <c r="CA337" s="331"/>
      <c r="CB337" s="331"/>
      <c r="CC337" s="331"/>
      <c r="CD337" s="331"/>
      <c r="CE337" s="331"/>
      <c r="CF337" s="331"/>
      <c r="CG337" s="331"/>
      <c r="CH337" s="331"/>
      <c r="CI337" s="331"/>
      <c r="CJ337" s="331"/>
      <c r="CK337" s="331"/>
      <c r="CL337" s="331"/>
      <c r="CM337" s="331"/>
      <c r="CN337" s="331"/>
      <c r="CO337" s="331"/>
      <c r="CP337" s="336">
        <f>+IF(BD_MO[[#This Row],[FECHA]]&lt;&gt;"",BD_MO[[#This Row],[PUNTAL 4"]]+BD_MO[[#This Row],[PUNTAL 5"]]+BD_MO[[#This Row],[PUNTAL 6"]]+BD_MO[[#This Row],[PUNTAL 7"]]+BD_MO[[#This Row],[PUNTAL 8"]],"")</f>
        <v>0</v>
      </c>
      <c r="CQ337" s="331"/>
      <c r="CR337" s="331"/>
      <c r="CS337" s="331"/>
      <c r="CT337" s="331"/>
      <c r="CU337" s="331"/>
      <c r="CV337" s="331"/>
      <c r="CW337" s="331"/>
      <c r="CX337" s="331"/>
      <c r="CY337" s="336"/>
      <c r="CZ337" s="33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37" s="336">
        <f>+IF(BD_MO[[#This Row],[FECHA]]&lt;&gt;"",BD_MO[[#This Row],[DURMIENTE2]]*6.561+BD_MO[[#This Row],[LISTONES]]*4.921+BD_MO[[#This Row],[TABLA 1"x8"x3m]]*6.561+BD_MO[[#This Row],[TABLA 2"x8"x3m]]*13.122,"")</f>
        <v>0</v>
      </c>
      <c r="DB337" s="336">
        <f>+IF(BD_MO[[#This Row],[FECHA]]&lt;&gt;"",BD_MO[[#This Row],[PIE2 MADERA ASERRADA]]*1.95,"")</f>
        <v>0</v>
      </c>
      <c r="DC337" s="336">
        <f>+IF(BD_MO[[#This Row],[FECHA]]&lt;&gt;"",BD_MO[[#This Row],[KG. MADERA REDONDA]]+BD_MO[[#This Row],[KG MADERA ASERRADA]],"")</f>
        <v>0</v>
      </c>
      <c r="DD337" s="339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37" s="331"/>
      <c r="DF337" s="331"/>
      <c r="DG337" s="331"/>
      <c r="DH337" s="331"/>
      <c r="DI337" s="34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37" s="340"/>
      <c r="DK337" s="340"/>
      <c r="DL337" s="34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37" s="34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37" s="34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37" s="66"/>
      <c r="DP337" s="340" t="str">
        <f>+IF(BD_MO[[#This Row],[M o D]]&lt;&gt;"",IF(BD_MO[[#This Row],[M o D]]="M",BD_MO[[#This Row],[ROTURA TMH]]/2.65,BD_MO[[#This Row],[ROTURA TMH]]/2.4),"")</f>
        <v/>
      </c>
      <c r="DQ337" s="340"/>
      <c r="DR337" s="116" t="str">
        <f>IF(BD_MO[[#This Row],[TIPO AVANCE]]="Avance",((BD_MO[[#This Row],[AVANCE (m)]]/BD_MO[[#This Row],[AVANCE TEÓRICO]]))," ")</f>
        <v xml:space="preserve"> </v>
      </c>
    </row>
    <row r="338" spans="1:130" s="115" customFormat="1" ht="18" customHeight="1" thickBot="1" x14ac:dyDescent="0.3">
      <c r="A338" s="352">
        <v>44670</v>
      </c>
      <c r="B338" s="353" t="s">
        <v>10655</v>
      </c>
      <c r="C338" s="353" t="s">
        <v>10672</v>
      </c>
      <c r="D338" s="354" t="s">
        <v>10717</v>
      </c>
      <c r="E338" s="355" t="str">
        <f>LEFT(BD_MO[[#This Row],[LABOR]],2)</f>
        <v>BO</v>
      </c>
      <c r="F338" s="356"/>
      <c r="G338" s="356" t="s">
        <v>10669</v>
      </c>
      <c r="H338" s="35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38" s="355" t="str">
        <f>IF(BD_MO[FECHA]&lt;&gt;"",VLOOKUP(BD_MO[LABOR],TB_CECO[[LABOR]:[CECO_T]],3,FALSE),"")</f>
        <v>CACHORRO</v>
      </c>
      <c r="J338" s="355" t="str">
        <f>IF(BD_MO[FECHA]&lt;&gt;"",VLOOKUP(BD_MO[LABOR],D_CECO!B:H,7,FALSE),"")</f>
        <v>SERVICIOS</v>
      </c>
      <c r="K338" s="355" t="str">
        <f>IF(BD_MO[FECHA]&lt;&gt;"",VLOOKUP(BD_MO[LABOR],D_CECO!B:H,4,FALSE),"")</f>
        <v>SERVICIOS</v>
      </c>
      <c r="L338" s="355"/>
      <c r="M338" s="353"/>
      <c r="N338" s="356"/>
      <c r="O338" s="357" t="s">
        <v>12202</v>
      </c>
      <c r="P338" s="357"/>
      <c r="Q338" s="357"/>
      <c r="R338" s="358"/>
      <c r="S338" s="359" t="str">
        <f>IFERROR(VLOOKUP(BD_MO[DNI 4],#REF!,2,FALSE)," ")</f>
        <v xml:space="preserve"> </v>
      </c>
      <c r="T338" s="360">
        <f>+IF(BD_MO[[#This Row],[FECHA]]&lt;&gt;"",COUNTA(BD_MO[[#This Row],[DNI]],BD_MO[[#This Row],[DNI 2]],BD_MO[[#This Row],[DNI 3]],BD_MO[[#This Row],[DNI 4]]),"")</f>
        <v>1</v>
      </c>
      <c r="U338" s="360"/>
      <c r="V338" s="360"/>
      <c r="W338" s="360"/>
      <c r="X338" s="360">
        <v>1</v>
      </c>
      <c r="Y338" s="361">
        <f>SUM(BD_MO[[#This Row],[LIMP]:[SERV]])</f>
        <v>1</v>
      </c>
      <c r="Z338" s="356"/>
      <c r="AA338" s="356" t="str">
        <f>+IF(BD_MO[[#This Row],[N° VALE]]&lt;&gt;"",1,"")</f>
        <v/>
      </c>
      <c r="AB338" s="353"/>
      <c r="AC338" s="356"/>
      <c r="AD338" s="356" t="str">
        <f>+IF(BD_MO[[#This Row],[N° VALE]]&lt;&gt;"",BD_MO[[#This Row],[FULMINANTE N° 08]]+BD_MO[CARMEX 7''],"")</f>
        <v/>
      </c>
      <c r="AE338" s="356"/>
      <c r="AF338" s="356" t="str">
        <f>+IF(BD_MO[[#This Row],[N° VALE]]&lt;&gt;"",BD_MO[[#This Row],[N° TALADROS]]+BD_MO[[#This Row],[N° TAL. VACIOS]],"")</f>
        <v/>
      </c>
      <c r="AG338" s="362"/>
      <c r="AH338" s="362"/>
      <c r="AI338" s="362"/>
      <c r="AJ338" s="362"/>
      <c r="AK338" s="362"/>
      <c r="AL338" s="362"/>
      <c r="AM338" s="355"/>
      <c r="AN338" s="35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38" s="356" t="str">
        <f>+IF(BD_MO[[#This Row],[N° VALE]]&lt;&gt;"",IF(BD_MO[[#This Row],[FULMINANTE N° 08]]&lt;&gt;"",BD_MO[[#This Row],[FULMINANTE N° 08]],IF(BD_MO[[#This Row],[CARMEX 7'']]&lt;&gt;0,0,"")),"")</f>
        <v/>
      </c>
      <c r="AP338" s="360" t="str">
        <f>+IF(BD_MO[[#This Row],[N° VALE]]&lt;&gt;"",BD_MO[[#This Row],[N°  TOTAL TALADROS]]*BD_MO[[#This Row],[BARRA]]*0.95,"")</f>
        <v/>
      </c>
      <c r="AQ338" s="360" t="str">
        <f>+IF(BD_MO[[#This Row],[N° VALE]]&lt;&gt;"",BD_MO[[#This Row],[EMULNOR 1000 (N° CART.)]]*PE_EMUL_1000[PE],"")</f>
        <v/>
      </c>
      <c r="AR338" s="360" t="str">
        <f>+IF(BD_MO[[#This Row],[N° VALE]]&lt;&gt;"",BD_MO[[#This Row],[EMULNOR 3000 (N° CART.)]]*PE_EMUL_3000[PE],"")</f>
        <v/>
      </c>
      <c r="AS338" s="360" t="str">
        <f>+IF(BD_MO[[#This Row],[N° VALE]]&lt;&gt;"",BD_MO[[#This Row],[PULVERULENTA (N° CART.)]]*PE_PULV_65[PE],"")</f>
        <v/>
      </c>
      <c r="AT338" s="360" t="str">
        <f>+IF(BD_MO[[#This Row],[N° DISP]]&lt;&gt;"",BD_MO[[#This Row],[SEMIGELATINA (N° CART.)]]*PE_SEMIGEL_65[PE],"")</f>
        <v/>
      </c>
      <c r="AU338" s="360" t="str">
        <f>+IF(BD_MO[N° VALE]&lt;&gt;"",BD_MO[[#This Row],[KG EXPLO SEMIGEL]]+BD_MO[[#This Row],[KG EXPLO PULVE]]+BD_MO[[#This Row],[KG EXPLO EMULN 3000]]+BD_MO[[#This Row],[KG EXPLO EMULN 1000]],"")</f>
        <v/>
      </c>
      <c r="AV338" s="356"/>
      <c r="AW338" s="356"/>
      <c r="AX338" s="356" t="str">
        <f>+IF(BD_MO[[#This Row],[MINERAL (U-35)]]&lt;&gt;"",BD_MO[[#This Row],[MINERAL (U-35)]]*1.45,"-")</f>
        <v>-</v>
      </c>
      <c r="AY338" s="356" t="str">
        <f>+IF(BD_MO[[#This Row],[DESMONTE (U-35)]]&lt;&gt;"",BD_MO[[#This Row],[DESMONTE (U-35)]]*1.23,"-")</f>
        <v>-</v>
      </c>
      <c r="AZ338" s="356"/>
      <c r="BA338" s="356"/>
      <c r="BB338" s="356"/>
      <c r="BC338" s="356"/>
      <c r="BD338" s="356"/>
      <c r="BE338" s="356"/>
      <c r="BF338" s="356"/>
      <c r="BG338" s="356"/>
      <c r="BH338" s="356"/>
      <c r="BI338" s="356"/>
      <c r="BJ338" s="356"/>
      <c r="BK338" s="356"/>
      <c r="BL338" s="356"/>
      <c r="BM338" s="356"/>
      <c r="BN338" s="355"/>
      <c r="BO338" s="356"/>
      <c r="BP338" s="356"/>
      <c r="BQ338" s="355"/>
      <c r="BR338" s="356"/>
      <c r="BS338" s="355"/>
      <c r="BT338" s="360"/>
      <c r="BU338" s="356"/>
      <c r="BV338" s="356"/>
      <c r="BW338" s="356"/>
      <c r="BX338" s="356"/>
      <c r="BY338" s="356"/>
      <c r="BZ338" s="356"/>
      <c r="CA338" s="356"/>
      <c r="CB338" s="356"/>
      <c r="CC338" s="356"/>
      <c r="CD338" s="356"/>
      <c r="CE338" s="356"/>
      <c r="CF338" s="356"/>
      <c r="CG338" s="356"/>
      <c r="CH338" s="356"/>
      <c r="CI338" s="356"/>
      <c r="CJ338" s="356"/>
      <c r="CK338" s="356"/>
      <c r="CL338" s="356"/>
      <c r="CM338" s="356"/>
      <c r="CN338" s="356"/>
      <c r="CO338" s="356"/>
      <c r="CP338" s="360">
        <f>+IF(BD_MO[[#This Row],[FECHA]]&lt;&gt;"",BD_MO[[#This Row],[PUNTAL 4"]]+BD_MO[[#This Row],[PUNTAL 5"]]+BD_MO[[#This Row],[PUNTAL 6"]]+BD_MO[[#This Row],[PUNTAL 7"]]+BD_MO[[#This Row],[PUNTAL 8"]],"")</f>
        <v>0</v>
      </c>
      <c r="CQ338" s="356"/>
      <c r="CR338" s="356"/>
      <c r="CS338" s="356"/>
      <c r="CT338" s="356"/>
      <c r="CU338" s="356"/>
      <c r="CV338" s="356"/>
      <c r="CW338" s="356"/>
      <c r="CX338" s="356"/>
      <c r="CY338" s="360"/>
      <c r="CZ338" s="360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38" s="360">
        <f>+IF(BD_MO[[#This Row],[FECHA]]&lt;&gt;"",BD_MO[[#This Row],[DURMIENTE2]]*6.561+BD_MO[[#This Row],[LISTONES]]*4.921+BD_MO[[#This Row],[TABLA 1"x8"x3m]]*6.561+BD_MO[[#This Row],[TABLA 2"x8"x3m]]*13.122,"")</f>
        <v>0</v>
      </c>
      <c r="DB338" s="360">
        <f>+IF(BD_MO[[#This Row],[FECHA]]&lt;&gt;"",BD_MO[[#This Row],[PIE2 MADERA ASERRADA]]*1.95,"")</f>
        <v>0</v>
      </c>
      <c r="DC338" s="360">
        <f>+IF(BD_MO[[#This Row],[FECHA]]&lt;&gt;"",BD_MO[[#This Row],[KG. MADERA REDONDA]]+BD_MO[[#This Row],[KG MADERA ASERRADA]],"")</f>
        <v>0</v>
      </c>
      <c r="DD338" s="363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38" s="356"/>
      <c r="DF338" s="356"/>
      <c r="DG338" s="356"/>
      <c r="DH338" s="356"/>
      <c r="DI338" s="364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38" s="364"/>
      <c r="DK338" s="364"/>
      <c r="DL338" s="364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38" s="364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38" s="364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38" s="365"/>
      <c r="DP338" s="364" t="str">
        <f>+IF(BD_MO[[#This Row],[M o D]]&lt;&gt;"",IF(BD_MO[[#This Row],[M o D]]="M",BD_MO[[#This Row],[ROTURA TMH]]/2.65,BD_MO[[#This Row],[ROTURA TMH]]/2.4),"")</f>
        <v/>
      </c>
      <c r="DQ338" s="364"/>
      <c r="DR338" s="116" t="str">
        <f>IF(BD_MO[[#This Row],[TIPO AVANCE]]="Avance",((BD_MO[[#This Row],[AVANCE (m)]]/BD_MO[[#This Row],[AVANCE TEÓRICO]]))," ")</f>
        <v xml:space="preserve"> </v>
      </c>
      <c r="DS338" s="113"/>
      <c r="DT338" s="113"/>
      <c r="DU338" s="113"/>
      <c r="DV338" s="113"/>
      <c r="DW338" s="113"/>
      <c r="DX338" s="114"/>
      <c r="DY338" s="114"/>
      <c r="DZ338" s="114"/>
    </row>
    <row r="339" spans="1:130" s="136" customFormat="1" ht="18" customHeight="1" x14ac:dyDescent="0.25">
      <c r="A339" s="328">
        <v>44671</v>
      </c>
      <c r="B339" s="329" t="s">
        <v>10647</v>
      </c>
      <c r="C339" s="329" t="s">
        <v>10668</v>
      </c>
      <c r="D339" s="343" t="s">
        <v>11827</v>
      </c>
      <c r="E339" s="344" t="str">
        <f>LEFT(BD_MO[[#This Row],[LABOR]],2)</f>
        <v>Tj</v>
      </c>
      <c r="F339" s="345" t="s">
        <v>10950</v>
      </c>
      <c r="G339" s="345" t="s">
        <v>10648</v>
      </c>
      <c r="H339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39" s="344" t="str">
        <f>IF(BD_MO[FECHA]&lt;&gt;"",VLOOKUP(BD_MO[LABOR],TB_CECO[[LABOR]:[CECO_T]],3,FALSE),"")</f>
        <v>VANESSA</v>
      </c>
      <c r="J339" s="344" t="str">
        <f>IF(BD_MO[FECHA]&lt;&gt;"",VLOOKUP(BD_MO[LABOR],D_CECO!B:H,7,FALSE),"")</f>
        <v>TAJO</v>
      </c>
      <c r="K339" s="344" t="str">
        <f>IF(BD_MO[FECHA]&lt;&gt;"",VLOOKUP(BD_MO[LABOR],D_CECO!B:H,4,FALSE),"")</f>
        <v>EXPLOTACION</v>
      </c>
      <c r="L339" s="344"/>
      <c r="M339" s="329" t="s">
        <v>10654</v>
      </c>
      <c r="N339" s="345"/>
      <c r="O339" s="333" t="s">
        <v>12095</v>
      </c>
      <c r="P339" s="333" t="s">
        <v>12096</v>
      </c>
      <c r="Q339" s="333"/>
      <c r="R339" s="346"/>
      <c r="S339" s="347" t="str">
        <f>IFERROR(VLOOKUP(BD_MO[DNI 4],#REF!,2,FALSE)," ")</f>
        <v xml:space="preserve"> </v>
      </c>
      <c r="T339" s="348">
        <f>+IF(BD_MO[[#This Row],[FECHA]]&lt;&gt;"",COUNTA(BD_MO[[#This Row],[DNI]],BD_MO[[#This Row],[DNI 2]],BD_MO[[#This Row],[DNI 3]],BD_MO[[#This Row],[DNI 4]]),"")</f>
        <v>2</v>
      </c>
      <c r="U339" s="348">
        <v>0.4</v>
      </c>
      <c r="V339" s="348">
        <v>0.4</v>
      </c>
      <c r="W339" s="348">
        <v>0.9</v>
      </c>
      <c r="X339" s="348">
        <v>0.3</v>
      </c>
      <c r="Y339" s="337">
        <f>SUM(BD_MO[[#This Row],[LIMP]:[SERV]])</f>
        <v>2</v>
      </c>
      <c r="Z339" s="345" t="s">
        <v>12328</v>
      </c>
      <c r="AA339" s="345">
        <f>+IF(BD_MO[[#This Row],[N° VALE]]&lt;&gt;"",1,"")</f>
        <v>1</v>
      </c>
      <c r="AB339" s="329" t="s">
        <v>10691</v>
      </c>
      <c r="AC339" s="345">
        <v>4</v>
      </c>
      <c r="AD339" s="345">
        <f>+IF(BD_MO[[#This Row],[N° VALE]]&lt;&gt;"",BD_MO[[#This Row],[FULMINANTE N° 08]]+BD_MO[CARMEX 7''],"")</f>
        <v>18</v>
      </c>
      <c r="AE339" s="345">
        <v>3</v>
      </c>
      <c r="AF339" s="345">
        <f>+IF(BD_MO[[#This Row],[N° VALE]]&lt;&gt;"",BD_MO[[#This Row],[N° TALADROS]]+BD_MO[[#This Row],[N° TAL. VACIOS]],"")</f>
        <v>21</v>
      </c>
      <c r="AG339" s="349">
        <v>42</v>
      </c>
      <c r="AH339" s="349">
        <v>52</v>
      </c>
      <c r="AI339" s="349"/>
      <c r="AJ339" s="349"/>
      <c r="AK339" s="349">
        <v>18</v>
      </c>
      <c r="AL339" s="349">
        <v>4</v>
      </c>
      <c r="AM339" s="344"/>
      <c r="AN339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39" s="345">
        <f>+IF(BD_MO[[#This Row],[N° VALE]]&lt;&gt;"",IF(BD_MO[[#This Row],[FULMINANTE N° 08]]&lt;&gt;"",BD_MO[[#This Row],[FULMINANTE N° 08]],IF(BD_MO[[#This Row],[CARMEX 7'']]&lt;&gt;0,0,"")),"")</f>
        <v>0</v>
      </c>
      <c r="AP339" s="348">
        <f>+IF(BD_MO[[#This Row],[N° VALE]]&lt;&gt;"",BD_MO[[#This Row],[N°  TOTAL TALADROS]]*BD_MO[[#This Row],[BARRA]]*0.95,"")</f>
        <v>79.8</v>
      </c>
      <c r="AQ339" s="348">
        <f>+IF(BD_MO[[#This Row],[N° VALE]]&lt;&gt;"",BD_MO[[#This Row],[EMULNOR 1000 (N° CART.)]]*PE_EMUL_1000[PE],"")</f>
        <v>4.9244000000000003</v>
      </c>
      <c r="AR339" s="348">
        <f>+IF(BD_MO[[#This Row],[N° VALE]]&lt;&gt;"",BD_MO[[#This Row],[EMULNOR 3000 (N° CART.)]]*PE_EMUL_3000[PE],"")</f>
        <v>4.0384615384615401</v>
      </c>
      <c r="AS339" s="348">
        <f>+IF(BD_MO[[#This Row],[N° VALE]]&lt;&gt;"",BD_MO[[#This Row],[PULVERULENTA (N° CART.)]]*PE_PULV_65[PE],"")</f>
        <v>0</v>
      </c>
      <c r="AT339" s="348">
        <f>+IF(BD_MO[[#This Row],[N° DISP]]&lt;&gt;"",BD_MO[[#This Row],[SEMIGELATINA (N° CART.)]]*PE_SEMIGEL_65[PE],"")</f>
        <v>0</v>
      </c>
      <c r="AU339" s="348">
        <f>+IF(BD_MO[N° VALE]&lt;&gt;"",BD_MO[[#This Row],[KG EXPLO SEMIGEL]]+BD_MO[[#This Row],[KG EXPLO PULVE]]+BD_MO[[#This Row],[KG EXPLO EMULN 3000]]+BD_MO[[#This Row],[KG EXPLO EMULN 1000]],"")</f>
        <v>8.9628615384615404</v>
      </c>
      <c r="AV339" s="345">
        <v>2</v>
      </c>
      <c r="AW339" s="345"/>
      <c r="AX339" s="345">
        <f>+IF(BD_MO[[#This Row],[MINERAL (U-35)]]&lt;&gt;"",BD_MO[[#This Row],[MINERAL (U-35)]]*1.45,"-")</f>
        <v>2.9</v>
      </c>
      <c r="AY339" s="345" t="str">
        <f>+IF(BD_MO[[#This Row],[DESMONTE (U-35)]]&lt;&gt;"",BD_MO[[#This Row],[DESMONTE (U-35)]]*1.23,"-")</f>
        <v>-</v>
      </c>
      <c r="AZ339" s="345"/>
      <c r="BA339" s="345"/>
      <c r="BB339" s="345"/>
      <c r="BC339" s="345"/>
      <c r="BD339" s="345"/>
      <c r="BE339" s="345"/>
      <c r="BF339" s="345"/>
      <c r="BG339" s="345"/>
      <c r="BH339" s="345"/>
      <c r="BI339" s="345"/>
      <c r="BJ339" s="345"/>
      <c r="BK339" s="345"/>
      <c r="BL339" s="345">
        <v>2</v>
      </c>
      <c r="BM339" s="345"/>
      <c r="BN339" s="344"/>
      <c r="BO339" s="345"/>
      <c r="BP339" s="345"/>
      <c r="BQ339" s="344"/>
      <c r="BR339" s="345"/>
      <c r="BS339" s="344"/>
      <c r="BT339" s="348"/>
      <c r="BU339" s="345"/>
      <c r="BV339" s="345"/>
      <c r="BW339" s="345"/>
      <c r="BX339" s="345">
        <v>3</v>
      </c>
      <c r="BY339" s="345"/>
      <c r="BZ339" s="345"/>
      <c r="CA339" s="345"/>
      <c r="CB339" s="345"/>
      <c r="CC339" s="345"/>
      <c r="CD339" s="345"/>
      <c r="CE339" s="345"/>
      <c r="CF339" s="345"/>
      <c r="CG339" s="345"/>
      <c r="CH339" s="345"/>
      <c r="CI339" s="345"/>
      <c r="CJ339" s="345"/>
      <c r="CK339" s="345"/>
      <c r="CL339" s="345"/>
      <c r="CM339" s="345"/>
      <c r="CN339" s="345"/>
      <c r="CO339" s="345"/>
      <c r="CP339" s="348">
        <f>+IF(BD_MO[[#This Row],[FECHA]]&lt;&gt;"",BD_MO[[#This Row],[PUNTAL 4"]]+BD_MO[[#This Row],[PUNTAL 5"]]+BD_MO[[#This Row],[PUNTAL 6"]]+BD_MO[[#This Row],[PUNTAL 7"]]+BD_MO[[#This Row],[PUNTAL 8"]],"")</f>
        <v>0</v>
      </c>
      <c r="CQ339" s="345"/>
      <c r="CR339" s="345"/>
      <c r="CS339" s="345"/>
      <c r="CT339" s="345"/>
      <c r="CU339" s="345"/>
      <c r="CV339" s="345"/>
      <c r="CW339" s="345"/>
      <c r="CX339" s="345"/>
      <c r="CY339" s="348"/>
      <c r="CZ339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39" s="348">
        <f>+IF(BD_MO[[#This Row],[FECHA]]&lt;&gt;"",BD_MO[[#This Row],[DURMIENTE2]]*6.561+BD_MO[[#This Row],[LISTONES]]*4.921+BD_MO[[#This Row],[TABLA 1"x8"x3m]]*6.561+BD_MO[[#This Row],[TABLA 2"x8"x3m]]*13.122,"")</f>
        <v>0</v>
      </c>
      <c r="DB339" s="348">
        <f>+IF(BD_MO[[#This Row],[FECHA]]&lt;&gt;"",BD_MO[[#This Row],[PIE2 MADERA ASERRADA]]*1.95,"")</f>
        <v>0</v>
      </c>
      <c r="DC339" s="348">
        <f>+IF(BD_MO[[#This Row],[FECHA]]&lt;&gt;"",BD_MO[[#This Row],[KG. MADERA REDONDA]]+BD_MO[[#This Row],[KG MADERA ASERRADA]],"")</f>
        <v>0</v>
      </c>
      <c r="DD339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39" s="345"/>
      <c r="DF339" s="345"/>
      <c r="DG339" s="345"/>
      <c r="DH339" s="345"/>
      <c r="DI339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39" s="351"/>
      <c r="DK339" s="351"/>
      <c r="DL339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4.9000000000000004</v>
      </c>
      <c r="DM339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5.096000000000001</v>
      </c>
      <c r="DN339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39" s="50">
        <f>21*0.4873</f>
        <v>10.2333</v>
      </c>
      <c r="DP339" s="351">
        <f>+IF(BD_MO[[#This Row],[M o D]]&lt;&gt;"",IF(BD_MO[[#This Row],[M o D]]="M",BD_MO[[#This Row],[ROTURA TMH]]/2.65,BD_MO[[#This Row],[ROTURA TMH]]/2.4),"")</f>
        <v>3.8616226415094341</v>
      </c>
      <c r="DQ339" s="351"/>
      <c r="DR339" s="116" t="str">
        <f>IF(BD_MO[[#This Row],[TIPO AVANCE]]="Avance",((BD_MO[[#This Row],[AVANCE (m)]]/BD_MO[[#This Row],[AVANCE TEÓRICO]]))," ")</f>
        <v xml:space="preserve"> </v>
      </c>
      <c r="DS339" s="134"/>
      <c r="DT339" s="134"/>
      <c r="DU339" s="134"/>
      <c r="DV339" s="134"/>
      <c r="DW339" s="134"/>
      <c r="DX339" s="135"/>
      <c r="DY339" s="135"/>
      <c r="DZ339" s="135"/>
    </row>
    <row r="340" spans="1:130" s="136" customFormat="1" ht="18" customHeight="1" x14ac:dyDescent="0.25">
      <c r="A340" s="328">
        <v>44671</v>
      </c>
      <c r="B340" s="329" t="s">
        <v>10647</v>
      </c>
      <c r="C340" s="329" t="s">
        <v>10668</v>
      </c>
      <c r="D340" s="343" t="s">
        <v>12317</v>
      </c>
      <c r="E340" s="344" t="str">
        <f>LEFT(BD_MO[[#This Row],[LABOR]],2)</f>
        <v>Sn</v>
      </c>
      <c r="F340" s="345" t="s">
        <v>10950</v>
      </c>
      <c r="G340" s="345" t="s">
        <v>10648</v>
      </c>
      <c r="H340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40" s="344" t="s">
        <v>12254</v>
      </c>
      <c r="J340" s="387" t="s">
        <v>10525</v>
      </c>
      <c r="K340" s="344" t="s">
        <v>12247</v>
      </c>
      <c r="L340" s="344"/>
      <c r="M340" s="329" t="s">
        <v>10646</v>
      </c>
      <c r="N340" s="345"/>
      <c r="O340" s="333" t="s">
        <v>12101</v>
      </c>
      <c r="P340" s="333" t="s">
        <v>12305</v>
      </c>
      <c r="Q340" s="333"/>
      <c r="R340" s="346"/>
      <c r="S340" s="347" t="str">
        <f>IFERROR(VLOOKUP(BD_MO[DNI 4],#REF!,2,FALSE)," ")</f>
        <v xml:space="preserve"> </v>
      </c>
      <c r="T340" s="348">
        <f>+IF(BD_MO[[#This Row],[FECHA]]&lt;&gt;"",COUNTA(BD_MO[[#This Row],[DNI]],BD_MO[[#This Row],[DNI 2]],BD_MO[[#This Row],[DNI 3]],BD_MO[[#This Row],[DNI 4]]),"")</f>
        <v>2</v>
      </c>
      <c r="U340" s="348">
        <v>0.9</v>
      </c>
      <c r="V340" s="348">
        <v>0.3</v>
      </c>
      <c r="W340" s="348">
        <v>0.4</v>
      </c>
      <c r="X340" s="348">
        <v>0.4</v>
      </c>
      <c r="Y340" s="337">
        <f>SUM(BD_MO[[#This Row],[LIMP]:[SERV]])</f>
        <v>2</v>
      </c>
      <c r="Z340" s="345" t="s">
        <v>12329</v>
      </c>
      <c r="AA340" s="345">
        <f>+IF(BD_MO[[#This Row],[N° VALE]]&lt;&gt;"",1,"")</f>
        <v>1</v>
      </c>
      <c r="AB340" s="329" t="s">
        <v>10659</v>
      </c>
      <c r="AC340" s="345">
        <v>5</v>
      </c>
      <c r="AD340" s="345">
        <f>+IF(BD_MO[[#This Row],[N° VALE]]&lt;&gt;"",BD_MO[[#This Row],[FULMINANTE N° 08]]+BD_MO[CARMEX 7''],"")</f>
        <v>6</v>
      </c>
      <c r="AE340" s="345">
        <v>3</v>
      </c>
      <c r="AF340" s="345">
        <f>+IF(BD_MO[[#This Row],[N° VALE]]&lt;&gt;"",BD_MO[[#This Row],[N° TALADROS]]+BD_MO[[#This Row],[N° TAL. VACIOS]],"")</f>
        <v>9</v>
      </c>
      <c r="AG340" s="349"/>
      <c r="AH340" s="349">
        <v>14</v>
      </c>
      <c r="AI340" s="349"/>
      <c r="AJ340" s="349"/>
      <c r="AK340" s="349">
        <v>6</v>
      </c>
      <c r="AL340" s="349">
        <v>4</v>
      </c>
      <c r="AM340" s="344"/>
      <c r="AN340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40" s="345">
        <f>+IF(BD_MO[[#This Row],[N° VALE]]&lt;&gt;"",IF(BD_MO[[#This Row],[FULMINANTE N° 08]]&lt;&gt;"",BD_MO[[#This Row],[FULMINANTE N° 08]],IF(BD_MO[[#This Row],[CARMEX 7'']]&lt;&gt;0,0,"")),"")</f>
        <v>0</v>
      </c>
      <c r="AP340" s="348">
        <f>+IF(BD_MO[[#This Row],[N° VALE]]&lt;&gt;"",BD_MO[[#This Row],[N°  TOTAL TALADROS]]*BD_MO[[#This Row],[BARRA]]*0.95,"")</f>
        <v>42.75</v>
      </c>
      <c r="AQ340" s="348">
        <f>+IF(BD_MO[[#This Row],[N° VALE]]&lt;&gt;"",BD_MO[[#This Row],[EMULNOR 1000 (N° CART.)]]*PE_EMUL_1000[PE],"")</f>
        <v>1.3258000000000001</v>
      </c>
      <c r="AR340" s="348">
        <f>+IF(BD_MO[[#This Row],[N° VALE]]&lt;&gt;"",BD_MO[[#This Row],[EMULNOR 3000 (N° CART.)]]*PE_EMUL_3000[PE],"")</f>
        <v>0</v>
      </c>
      <c r="AS340" s="348">
        <f>+IF(BD_MO[[#This Row],[N° VALE]]&lt;&gt;"",BD_MO[[#This Row],[PULVERULENTA (N° CART.)]]*PE_PULV_65[PE],"")</f>
        <v>0</v>
      </c>
      <c r="AT340" s="348">
        <f>+IF(BD_MO[[#This Row],[N° DISP]]&lt;&gt;"",BD_MO[[#This Row],[SEMIGELATINA (N° CART.)]]*PE_SEMIGEL_65[PE],"")</f>
        <v>0</v>
      </c>
      <c r="AU340" s="348">
        <f>+IF(BD_MO[N° VALE]&lt;&gt;"",BD_MO[[#This Row],[KG EXPLO SEMIGEL]]+BD_MO[[#This Row],[KG EXPLO PULVE]]+BD_MO[[#This Row],[KG EXPLO EMULN 3000]]+BD_MO[[#This Row],[KG EXPLO EMULN 1000]],"")</f>
        <v>1.3258000000000001</v>
      </c>
      <c r="AV340" s="345">
        <v>7</v>
      </c>
      <c r="AW340" s="345"/>
      <c r="AX340" s="345">
        <f>+IF(BD_MO[[#This Row],[MINERAL (U-35)]]&lt;&gt;"",BD_MO[[#This Row],[MINERAL (U-35)]]*1.45,"-")</f>
        <v>10.15</v>
      </c>
      <c r="AY340" s="345" t="str">
        <f>+IF(BD_MO[[#This Row],[DESMONTE (U-35)]]&lt;&gt;"",BD_MO[[#This Row],[DESMONTE (U-35)]]*1.23,"-")</f>
        <v>-</v>
      </c>
      <c r="AZ340" s="345"/>
      <c r="BA340" s="345"/>
      <c r="BB340" s="345"/>
      <c r="BC340" s="345"/>
      <c r="BD340" s="345"/>
      <c r="BE340" s="345"/>
      <c r="BF340" s="345"/>
      <c r="BG340" s="345"/>
      <c r="BH340" s="345"/>
      <c r="BI340" s="345">
        <v>1</v>
      </c>
      <c r="BJ340" s="345"/>
      <c r="BK340" s="345">
        <v>2.4</v>
      </c>
      <c r="BL340" s="345"/>
      <c r="BM340" s="345"/>
      <c r="BN340" s="344"/>
      <c r="BO340" s="345"/>
      <c r="BP340" s="345"/>
      <c r="BQ340" s="344"/>
      <c r="BR340" s="345"/>
      <c r="BS340" s="344"/>
      <c r="BT340" s="348"/>
      <c r="BU340" s="345"/>
      <c r="BV340" s="345"/>
      <c r="BW340" s="345"/>
      <c r="BX340" s="345"/>
      <c r="BY340" s="345"/>
      <c r="BZ340" s="345"/>
      <c r="CA340" s="345"/>
      <c r="CB340" s="345"/>
      <c r="CC340" s="345"/>
      <c r="CD340" s="345"/>
      <c r="CE340" s="345"/>
      <c r="CF340" s="345"/>
      <c r="CG340" s="345"/>
      <c r="CH340" s="345"/>
      <c r="CI340" s="345"/>
      <c r="CJ340" s="345"/>
      <c r="CK340" s="345"/>
      <c r="CL340" s="345"/>
      <c r="CM340" s="345"/>
      <c r="CN340" s="345"/>
      <c r="CO340" s="345"/>
      <c r="CP340" s="348">
        <f>+IF(BD_MO[[#This Row],[FECHA]]&lt;&gt;"",BD_MO[[#This Row],[PUNTAL 4"]]+BD_MO[[#This Row],[PUNTAL 5"]]+BD_MO[[#This Row],[PUNTAL 6"]]+BD_MO[[#This Row],[PUNTAL 7"]]+BD_MO[[#This Row],[PUNTAL 8"]],"")</f>
        <v>0</v>
      </c>
      <c r="CQ340" s="345"/>
      <c r="CR340" s="345"/>
      <c r="CS340" s="345"/>
      <c r="CT340" s="345"/>
      <c r="CU340" s="345"/>
      <c r="CV340" s="345"/>
      <c r="CW340" s="345"/>
      <c r="CX340" s="345"/>
      <c r="CY340" s="348"/>
      <c r="CZ340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40" s="348">
        <f>+IF(BD_MO[[#This Row],[FECHA]]&lt;&gt;"",BD_MO[[#This Row],[DURMIENTE2]]*6.561+BD_MO[[#This Row],[LISTONES]]*4.921+BD_MO[[#This Row],[TABLA 1"x8"x3m]]*6.561+BD_MO[[#This Row],[TABLA 2"x8"x3m]]*13.122,"")</f>
        <v>0</v>
      </c>
      <c r="DB340" s="348">
        <f>+IF(BD_MO[[#This Row],[FECHA]]&lt;&gt;"",BD_MO[[#This Row],[PIE2 MADERA ASERRADA]]*1.95,"")</f>
        <v>0</v>
      </c>
      <c r="DC340" s="348">
        <f>+IF(BD_MO[[#This Row],[FECHA]]&lt;&gt;"",BD_MO[[#This Row],[KG. MADERA REDONDA]]+BD_MO[[#This Row],[KG MADERA ASERRADA]],"")</f>
        <v>0</v>
      </c>
      <c r="DD340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40" s="345"/>
      <c r="DF340" s="345"/>
      <c r="DG340" s="345"/>
      <c r="DH340" s="345"/>
      <c r="DI340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340" s="351"/>
      <c r="DK340" s="351"/>
      <c r="DL340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40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40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40" s="367"/>
      <c r="DP340" s="351">
        <f>+IF(BD_MO[[#This Row],[M o D]]&lt;&gt;"",IF(BD_MO[[#This Row],[M o D]]="M",BD_MO[[#This Row],[ROTURA TMH]]/2.65,BD_MO[[#This Row],[ROTURA TMH]]/2.4),"")</f>
        <v>0</v>
      </c>
      <c r="DQ340" s="351">
        <v>1.1100000000000001</v>
      </c>
      <c r="DR340" s="116">
        <f>IF(BD_MO[[#This Row],[TIPO AVANCE]]="Avance",((BD_MO[[#This Row],[AVANCE (m)]]/BD_MO[[#This Row],[AVANCE TEÓRICO]]))," ")</f>
        <v>0.82222222222222219</v>
      </c>
      <c r="DS340" s="134"/>
      <c r="DT340" s="134"/>
      <c r="DU340" s="134"/>
      <c r="DV340" s="134"/>
      <c r="DW340" s="134"/>
      <c r="DX340" s="135"/>
      <c r="DY340" s="135"/>
      <c r="DZ340" s="135"/>
    </row>
    <row r="341" spans="1:130" s="136" customFormat="1" ht="18" customHeight="1" x14ac:dyDescent="0.25">
      <c r="A341" s="328">
        <v>44671</v>
      </c>
      <c r="B341" s="329" t="s">
        <v>10647</v>
      </c>
      <c r="C341" s="329" t="s">
        <v>10668</v>
      </c>
      <c r="D341" s="343" t="s">
        <v>11851</v>
      </c>
      <c r="E341" s="344" t="str">
        <f>LEFT(BD_MO[[#This Row],[LABOR]],2)</f>
        <v>Es</v>
      </c>
      <c r="F341" s="345" t="s">
        <v>10687</v>
      </c>
      <c r="G341" s="345" t="s">
        <v>10648</v>
      </c>
      <c r="H341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41" s="344" t="str">
        <f>IF(BD_MO[FECHA]&lt;&gt;"",VLOOKUP(BD_MO[LABOR],TB_CECO[[LABOR]:[CECO_T]],3,FALSE),"")</f>
        <v>VANESSA</v>
      </c>
      <c r="J341" s="344" t="str">
        <f>IF(BD_MO[FECHA]&lt;&gt;"",VLOOKUP(BD_MO[LABOR],D_CECO!B:H,7,FALSE),"")</f>
        <v>LINEAL</v>
      </c>
      <c r="K341" s="344" t="str">
        <f>IF(BD_MO[FECHA]&lt;&gt;"",VLOOKUP(BD_MO[LABOR],D_CECO!B:H,4,FALSE),"")</f>
        <v>DESARROLLO</v>
      </c>
      <c r="L341" s="344"/>
      <c r="M341" s="329" t="s">
        <v>10646</v>
      </c>
      <c r="N341" s="345"/>
      <c r="O341" s="333" t="s">
        <v>12091</v>
      </c>
      <c r="P341" s="333" t="s">
        <v>12159</v>
      </c>
      <c r="Q341" s="333"/>
      <c r="R341" s="346"/>
      <c r="S341" s="347" t="str">
        <f>IFERROR(VLOOKUP(BD_MO[DNI 4],#REF!,2,FALSE)," ")</f>
        <v xml:space="preserve"> </v>
      </c>
      <c r="T341" s="348">
        <f>+IF(BD_MO[[#This Row],[FECHA]]&lt;&gt;"",COUNTA(BD_MO[[#This Row],[DNI]],BD_MO[[#This Row],[DNI 2]],BD_MO[[#This Row],[DNI 3]],BD_MO[[#This Row],[DNI 4]]),"")</f>
        <v>2</v>
      </c>
      <c r="U341" s="348">
        <v>1.04</v>
      </c>
      <c r="V341" s="348">
        <v>0.48</v>
      </c>
      <c r="W341" s="348"/>
      <c r="X341" s="348">
        <v>0.48</v>
      </c>
      <c r="Y341" s="337">
        <f>SUM(BD_MO[[#This Row],[LIMP]:[SERV]])</f>
        <v>2</v>
      </c>
      <c r="Z341" s="345" t="s">
        <v>12330</v>
      </c>
      <c r="AA341" s="345">
        <f>+IF(BD_MO[[#This Row],[N° VALE]]&lt;&gt;"",1,"")</f>
        <v>1</v>
      </c>
      <c r="AB341" s="329" t="s">
        <v>10705</v>
      </c>
      <c r="AC341" s="345">
        <v>5</v>
      </c>
      <c r="AD341" s="345">
        <v>10</v>
      </c>
      <c r="AE341" s="345">
        <v>3</v>
      </c>
      <c r="AF341" s="345">
        <f>+IF(BD_MO[[#This Row],[N° VALE]]&lt;&gt;"",BD_MO[[#This Row],[N° TALADROS]]+BD_MO[[#This Row],[N° TAL. VACIOS]],"")</f>
        <v>13</v>
      </c>
      <c r="AG341" s="349">
        <v>44</v>
      </c>
      <c r="AH341" s="349">
        <v>76</v>
      </c>
      <c r="AI341" s="349"/>
      <c r="AJ341" s="349"/>
      <c r="AK341" s="349">
        <v>22</v>
      </c>
      <c r="AL341" s="349">
        <v>4</v>
      </c>
      <c r="AM341" s="344"/>
      <c r="AN341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41" s="345">
        <f>+IF(BD_MO[[#This Row],[N° VALE]]&lt;&gt;"",IF(BD_MO[[#This Row],[FULMINANTE N° 08]]&lt;&gt;"",BD_MO[[#This Row],[FULMINANTE N° 08]],IF(BD_MO[[#This Row],[CARMEX 7'']]&lt;&gt;0,0,"")),"")</f>
        <v>0</v>
      </c>
      <c r="AP341" s="348">
        <f>+IF(BD_MO[[#This Row],[N° VALE]]&lt;&gt;"",BD_MO[[#This Row],[N°  TOTAL TALADROS]]*BD_MO[[#This Row],[BARRA]]*0.95,"")</f>
        <v>61.75</v>
      </c>
      <c r="AQ341" s="348">
        <f>+IF(BD_MO[[#This Row],[N° VALE]]&lt;&gt;"",BD_MO[[#This Row],[EMULNOR 1000 (N° CART.)]]*PE_EMUL_1000[PE],"")</f>
        <v>7.1972000000000005</v>
      </c>
      <c r="AR341" s="348">
        <f>+IF(BD_MO[[#This Row],[N° VALE]]&lt;&gt;"",BD_MO[[#This Row],[EMULNOR 3000 (N° CART.)]]*PE_EMUL_3000[PE],"")</f>
        <v>4.2307692307692326</v>
      </c>
      <c r="AS341" s="348">
        <f>+IF(BD_MO[[#This Row],[N° VALE]]&lt;&gt;"",BD_MO[[#This Row],[PULVERULENTA (N° CART.)]]*PE_PULV_65[PE],"")</f>
        <v>0</v>
      </c>
      <c r="AT341" s="348">
        <f>+IF(BD_MO[[#This Row],[N° DISP]]&lt;&gt;"",BD_MO[[#This Row],[SEMIGELATINA (N° CART.)]]*PE_SEMIGEL_65[PE],"")</f>
        <v>0</v>
      </c>
      <c r="AU341" s="348">
        <f>+IF(BD_MO[N° VALE]&lt;&gt;"",BD_MO[[#This Row],[KG EXPLO SEMIGEL]]+BD_MO[[#This Row],[KG EXPLO PULVE]]+BD_MO[[#This Row],[KG EXPLO EMULN 3000]]+BD_MO[[#This Row],[KG EXPLO EMULN 1000]],"")</f>
        <v>11.427969230769232</v>
      </c>
      <c r="AV341" s="345"/>
      <c r="AW341" s="345"/>
      <c r="AX341" s="345" t="str">
        <f>+IF(BD_MO[[#This Row],[MINERAL (U-35)]]&lt;&gt;"",BD_MO[[#This Row],[MINERAL (U-35)]]*1.45,"-")</f>
        <v>-</v>
      </c>
      <c r="AY341" s="345" t="str">
        <f>+IF(BD_MO[[#This Row],[DESMONTE (U-35)]]&lt;&gt;"",BD_MO[[#This Row],[DESMONTE (U-35)]]*1.23,"-")</f>
        <v>-</v>
      </c>
      <c r="AZ341" s="345"/>
      <c r="BA341" s="345"/>
      <c r="BB341" s="345"/>
      <c r="BC341" s="345"/>
      <c r="BD341" s="345"/>
      <c r="BE341" s="345"/>
      <c r="BF341" s="345"/>
      <c r="BG341" s="345"/>
      <c r="BH341" s="345"/>
      <c r="BI341" s="345"/>
      <c r="BJ341" s="345"/>
      <c r="BK341" s="345"/>
      <c r="BL341" s="345"/>
      <c r="BM341" s="345"/>
      <c r="BN341" s="344"/>
      <c r="BO341" s="345"/>
      <c r="BP341" s="345"/>
      <c r="BQ341" s="344"/>
      <c r="BR341" s="345"/>
      <c r="BS341" s="344"/>
      <c r="BT341" s="348"/>
      <c r="BU341" s="345"/>
      <c r="BV341" s="345"/>
      <c r="BW341" s="345"/>
      <c r="BX341" s="345"/>
      <c r="BY341" s="345"/>
      <c r="BZ341" s="345"/>
      <c r="CA341" s="345"/>
      <c r="CB341" s="345"/>
      <c r="CC341" s="345"/>
      <c r="CD341" s="345"/>
      <c r="CE341" s="345"/>
      <c r="CF341" s="345"/>
      <c r="CG341" s="345"/>
      <c r="CH341" s="345"/>
      <c r="CI341" s="345"/>
      <c r="CJ341" s="345"/>
      <c r="CK341" s="345"/>
      <c r="CL341" s="345"/>
      <c r="CM341" s="345"/>
      <c r="CN341" s="345"/>
      <c r="CO341" s="345"/>
      <c r="CP341" s="348">
        <f>+IF(BD_MO[[#This Row],[FECHA]]&lt;&gt;"",BD_MO[[#This Row],[PUNTAL 4"]]+BD_MO[[#This Row],[PUNTAL 5"]]+BD_MO[[#This Row],[PUNTAL 6"]]+BD_MO[[#This Row],[PUNTAL 7"]]+BD_MO[[#This Row],[PUNTAL 8"]],"")</f>
        <v>0</v>
      </c>
      <c r="CQ341" s="345"/>
      <c r="CR341" s="345"/>
      <c r="CS341" s="345"/>
      <c r="CT341" s="345"/>
      <c r="CU341" s="345"/>
      <c r="CV341" s="345"/>
      <c r="CW341" s="345"/>
      <c r="CX341" s="345"/>
      <c r="CY341" s="348"/>
      <c r="CZ341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41" s="348">
        <f>+IF(BD_MO[[#This Row],[FECHA]]&lt;&gt;"",BD_MO[[#This Row],[DURMIENTE2]]*6.561+BD_MO[[#This Row],[LISTONES]]*4.921+BD_MO[[#This Row],[TABLA 1"x8"x3m]]*6.561+BD_MO[[#This Row],[TABLA 2"x8"x3m]]*13.122,"")</f>
        <v>0</v>
      </c>
      <c r="DB341" s="348">
        <f>+IF(BD_MO[[#This Row],[FECHA]]&lt;&gt;"",BD_MO[[#This Row],[PIE2 MADERA ASERRADA]]*1.95,"")</f>
        <v>0</v>
      </c>
      <c r="DC341" s="348">
        <f>+IF(BD_MO[[#This Row],[FECHA]]&lt;&gt;"",BD_MO[[#This Row],[KG. MADERA REDONDA]]+BD_MO[[#This Row],[KG MADERA ASERRADA]],"")</f>
        <v>0</v>
      </c>
      <c r="DD341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41" s="345"/>
      <c r="DF341" s="345"/>
      <c r="DG341" s="345"/>
      <c r="DH341" s="345"/>
      <c r="DI341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341" s="351"/>
      <c r="DK341" s="351"/>
      <c r="DL341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41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41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41" s="367">
        <f>0.8131*10</f>
        <v>8.1310000000000002</v>
      </c>
      <c r="DP341" s="351">
        <f>+IF(BD_MO[[#This Row],[M o D]]&lt;&gt;"",IF(BD_MO[[#This Row],[M o D]]="M",BD_MO[[#This Row],[ROTURA TMH]]/2.65,BD_MO[[#This Row],[ROTURA TMH]]/2.4),"")</f>
        <v>3.3879166666666669</v>
      </c>
      <c r="DQ341" s="351">
        <v>1.1000000000000001</v>
      </c>
      <c r="DR341" s="116">
        <f>IF(BD_MO[[#This Row],[TIPO AVANCE]]="Avance",((BD_MO[[#This Row],[AVANCE (m)]]/BD_MO[[#This Row],[AVANCE TEÓRICO]]))," ")</f>
        <v>0.81481481481481488</v>
      </c>
      <c r="DS341" s="134"/>
      <c r="DT341" s="134"/>
      <c r="DU341" s="134"/>
      <c r="DV341" s="134"/>
      <c r="DW341" s="134"/>
      <c r="DX341" s="135"/>
      <c r="DY341" s="135"/>
      <c r="DZ341" s="135"/>
    </row>
    <row r="342" spans="1:130" s="136" customFormat="1" ht="18" customHeight="1" x14ac:dyDescent="0.25">
      <c r="A342" s="328">
        <v>44671</v>
      </c>
      <c r="B342" s="329" t="s">
        <v>10647</v>
      </c>
      <c r="C342" s="329" t="s">
        <v>10668</v>
      </c>
      <c r="D342" s="343" t="s">
        <v>11851</v>
      </c>
      <c r="E342" s="344" t="str">
        <f>LEFT(BD_MO[[#This Row],[LABOR]],2)</f>
        <v>Es</v>
      </c>
      <c r="F342" s="345" t="s">
        <v>10687</v>
      </c>
      <c r="G342" s="345" t="s">
        <v>10648</v>
      </c>
      <c r="H342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42" s="344" t="str">
        <f>IF(BD_MO[FECHA]&lt;&gt;"",VLOOKUP(BD_MO[LABOR],TB_CECO[[LABOR]:[CECO_T]],3,FALSE),"")</f>
        <v>VANESSA</v>
      </c>
      <c r="J342" s="344" t="str">
        <f>IF(BD_MO[FECHA]&lt;&gt;"",VLOOKUP(BD_MO[LABOR],D_CECO!B:H,7,FALSE),"")</f>
        <v>LINEAL</v>
      </c>
      <c r="K342" s="344" t="str">
        <f>IF(BD_MO[FECHA]&lt;&gt;"",VLOOKUP(BD_MO[LABOR],D_CECO!B:H,4,FALSE),"")</f>
        <v>DESARROLLO</v>
      </c>
      <c r="L342" s="344"/>
      <c r="M342" s="329" t="s">
        <v>10679</v>
      </c>
      <c r="N342" s="345"/>
      <c r="O342" s="333" t="s">
        <v>12088</v>
      </c>
      <c r="P342" s="333"/>
      <c r="Q342" s="333"/>
      <c r="R342" s="346"/>
      <c r="S342" s="347" t="str">
        <f>IFERROR(VLOOKUP(BD_MO[DNI 4],#REF!,2,FALSE)," ")</f>
        <v xml:space="preserve"> </v>
      </c>
      <c r="T342" s="348">
        <f>+IF(BD_MO[[#This Row],[FECHA]]&lt;&gt;"",COUNTA(BD_MO[[#This Row],[DNI]],BD_MO[[#This Row],[DNI 2]],BD_MO[[#This Row],[DNI 3]],BD_MO[[#This Row],[DNI 4]]),"")</f>
        <v>1</v>
      </c>
      <c r="U342" s="348">
        <v>0.38</v>
      </c>
      <c r="V342" s="348">
        <v>0.28999999999999998</v>
      </c>
      <c r="W342" s="348">
        <v>0.14000000000000001</v>
      </c>
      <c r="X342" s="348">
        <v>0.19</v>
      </c>
      <c r="Y342" s="337">
        <f>SUM(BD_MO[[#This Row],[LIMP]:[SERV]])</f>
        <v>1</v>
      </c>
      <c r="Z342" s="345" t="s">
        <v>12331</v>
      </c>
      <c r="AA342" s="345">
        <f>+IF(BD_MO[[#This Row],[N° VALE]]&lt;&gt;"",1,"")</f>
        <v>1</v>
      </c>
      <c r="AB342" s="329" t="s">
        <v>10705</v>
      </c>
      <c r="AC342" s="345">
        <v>4</v>
      </c>
      <c r="AD342" s="345">
        <f>+IF(BD_MO[[#This Row],[N° VALE]]&lt;&gt;"",BD_MO[[#This Row],[FULMINANTE N° 08]]+BD_MO[CARMEX 7''],"")</f>
        <v>3</v>
      </c>
      <c r="AE342" s="345"/>
      <c r="AF342" s="345">
        <f>+IF(BD_MO[[#This Row],[N° VALE]]&lt;&gt;"",BD_MO[[#This Row],[N° TALADROS]]+BD_MO[[#This Row],[N° TAL. VACIOS]],"")</f>
        <v>3</v>
      </c>
      <c r="AG342" s="349">
        <v>12</v>
      </c>
      <c r="AH342" s="349"/>
      <c r="AI342" s="349"/>
      <c r="AJ342" s="349"/>
      <c r="AK342" s="349">
        <v>3</v>
      </c>
      <c r="AL342" s="349">
        <v>1</v>
      </c>
      <c r="AM342" s="344"/>
      <c r="AN342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42" s="345">
        <f>+IF(BD_MO[[#This Row],[N° VALE]]&lt;&gt;"",IF(BD_MO[[#This Row],[FULMINANTE N° 08]]&lt;&gt;"",BD_MO[[#This Row],[FULMINANTE N° 08]],IF(BD_MO[[#This Row],[CARMEX 7'']]&lt;&gt;0,0,"")),"")</f>
        <v>0</v>
      </c>
      <c r="AP342" s="348">
        <f>+IF(BD_MO[[#This Row],[N° VALE]]&lt;&gt;"",BD_MO[[#This Row],[N°  TOTAL TALADROS]]*BD_MO[[#This Row],[BARRA]]*0.95,"")</f>
        <v>11.399999999999999</v>
      </c>
      <c r="AQ342" s="348">
        <f>+IF(BD_MO[[#This Row],[N° VALE]]&lt;&gt;"",BD_MO[[#This Row],[EMULNOR 1000 (N° CART.)]]*PE_EMUL_1000[PE],"")</f>
        <v>0</v>
      </c>
      <c r="AR342" s="348">
        <f>+IF(BD_MO[[#This Row],[N° VALE]]&lt;&gt;"",BD_MO[[#This Row],[EMULNOR 3000 (N° CART.)]]*PE_EMUL_3000[PE],"")</f>
        <v>1.1538461538461544</v>
      </c>
      <c r="AS342" s="348">
        <f>+IF(BD_MO[[#This Row],[N° VALE]]&lt;&gt;"",BD_MO[[#This Row],[PULVERULENTA (N° CART.)]]*PE_PULV_65[PE],"")</f>
        <v>0</v>
      </c>
      <c r="AT342" s="348">
        <f>+IF(BD_MO[[#This Row],[N° DISP]]&lt;&gt;"",BD_MO[[#This Row],[SEMIGELATINA (N° CART.)]]*PE_SEMIGEL_65[PE],"")</f>
        <v>0</v>
      </c>
      <c r="AU342" s="348">
        <f>+IF(BD_MO[N° VALE]&lt;&gt;"",BD_MO[[#This Row],[KG EXPLO SEMIGEL]]+BD_MO[[#This Row],[KG EXPLO PULVE]]+BD_MO[[#This Row],[KG EXPLO EMULN 3000]]+BD_MO[[#This Row],[KG EXPLO EMULN 1000]],"")</f>
        <v>1.1538461538461544</v>
      </c>
      <c r="AV342" s="345"/>
      <c r="AW342" s="345"/>
      <c r="AX342" s="345" t="str">
        <f>+IF(BD_MO[[#This Row],[MINERAL (U-35)]]&lt;&gt;"",BD_MO[[#This Row],[MINERAL (U-35)]]*1.45,"-")</f>
        <v>-</v>
      </c>
      <c r="AY342" s="345" t="str">
        <f>+IF(BD_MO[[#This Row],[DESMONTE (U-35)]]&lt;&gt;"",BD_MO[[#This Row],[DESMONTE (U-35)]]*1.23,"-")</f>
        <v>-</v>
      </c>
      <c r="AZ342" s="345"/>
      <c r="BA342" s="345"/>
      <c r="BB342" s="345"/>
      <c r="BC342" s="345"/>
      <c r="BD342" s="345"/>
      <c r="BE342" s="345"/>
      <c r="BF342" s="345"/>
      <c r="BG342" s="345"/>
      <c r="BH342" s="345"/>
      <c r="BI342" s="345"/>
      <c r="BJ342" s="345"/>
      <c r="BK342" s="345"/>
      <c r="BL342" s="345"/>
      <c r="BM342" s="345"/>
      <c r="BN342" s="344"/>
      <c r="BO342" s="345"/>
      <c r="BP342" s="345"/>
      <c r="BQ342" s="344"/>
      <c r="BR342" s="345"/>
      <c r="BS342" s="344"/>
      <c r="BT342" s="348"/>
      <c r="BU342" s="345"/>
      <c r="BV342" s="345"/>
      <c r="BW342" s="345"/>
      <c r="BX342" s="345"/>
      <c r="BY342" s="345"/>
      <c r="BZ342" s="345"/>
      <c r="CA342" s="345"/>
      <c r="CB342" s="345"/>
      <c r="CC342" s="345"/>
      <c r="CD342" s="345"/>
      <c r="CE342" s="345"/>
      <c r="CF342" s="345"/>
      <c r="CG342" s="345"/>
      <c r="CH342" s="345"/>
      <c r="CI342" s="345"/>
      <c r="CJ342" s="345"/>
      <c r="CK342" s="345"/>
      <c r="CL342" s="345"/>
      <c r="CM342" s="345"/>
      <c r="CN342" s="345"/>
      <c r="CO342" s="345"/>
      <c r="CP342" s="348">
        <f>+IF(BD_MO[[#This Row],[FECHA]]&lt;&gt;"",BD_MO[[#This Row],[PUNTAL 4"]]+BD_MO[[#This Row],[PUNTAL 5"]]+BD_MO[[#This Row],[PUNTAL 6"]]+BD_MO[[#This Row],[PUNTAL 7"]]+BD_MO[[#This Row],[PUNTAL 8"]],"")</f>
        <v>0</v>
      </c>
      <c r="CQ342" s="345"/>
      <c r="CR342" s="345"/>
      <c r="CS342" s="345"/>
      <c r="CT342" s="345"/>
      <c r="CU342" s="345"/>
      <c r="CV342" s="345"/>
      <c r="CW342" s="345"/>
      <c r="CX342" s="345"/>
      <c r="CY342" s="348"/>
      <c r="CZ342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42" s="348">
        <f>+IF(BD_MO[[#This Row],[FECHA]]&lt;&gt;"",BD_MO[[#This Row],[DURMIENTE2]]*6.561+BD_MO[[#This Row],[LISTONES]]*4.921+BD_MO[[#This Row],[TABLA 1"x8"x3m]]*6.561+BD_MO[[#This Row],[TABLA 2"x8"x3m]]*13.122,"")</f>
        <v>0</v>
      </c>
      <c r="DB342" s="348">
        <f>+IF(BD_MO[[#This Row],[FECHA]]&lt;&gt;"",BD_MO[[#This Row],[PIE2 MADERA ASERRADA]]*1.95,"")</f>
        <v>0</v>
      </c>
      <c r="DC342" s="348">
        <f>+IF(BD_MO[[#This Row],[FECHA]]&lt;&gt;"",BD_MO[[#This Row],[KG. MADERA REDONDA]]+BD_MO[[#This Row],[KG MADERA ASERRADA]],"")</f>
        <v>0</v>
      </c>
      <c r="DD342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42" s="345"/>
      <c r="DF342" s="345"/>
      <c r="DG342" s="345"/>
      <c r="DH342" s="345"/>
      <c r="DI342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42" s="351"/>
      <c r="DK342" s="351"/>
      <c r="DL342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42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42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42" s="367">
        <v>3.48</v>
      </c>
      <c r="DP342" s="351">
        <f>+IF(BD_MO[[#This Row],[M o D]]&lt;&gt;"",IF(BD_MO[[#This Row],[M o D]]="M",BD_MO[[#This Row],[ROTURA TMH]]/2.65,BD_MO[[#This Row],[ROTURA TMH]]/2.4),"")</f>
        <v>1.45</v>
      </c>
      <c r="DQ342" s="351">
        <v>0.95</v>
      </c>
      <c r="DR342" s="116" t="str">
        <f>IF(BD_MO[[#This Row],[TIPO AVANCE]]="Avance",((BD_MO[[#This Row],[AVANCE (m)]]/BD_MO[[#This Row],[AVANCE TEÓRICO]]))," ")</f>
        <v xml:space="preserve"> </v>
      </c>
      <c r="DS342" s="134"/>
      <c r="DT342" s="134"/>
      <c r="DU342" s="134"/>
      <c r="DV342" s="134"/>
      <c r="DW342" s="134"/>
      <c r="DX342" s="135"/>
      <c r="DY342" s="135"/>
      <c r="DZ342" s="135"/>
    </row>
    <row r="343" spans="1:130" s="136" customFormat="1" ht="18" customHeight="1" x14ac:dyDescent="0.25">
      <c r="A343" s="328">
        <v>44671</v>
      </c>
      <c r="B343" s="329" t="s">
        <v>10647</v>
      </c>
      <c r="C343" s="329" t="s">
        <v>10668</v>
      </c>
      <c r="D343" s="343" t="s">
        <v>12304</v>
      </c>
      <c r="E343" s="344" t="str">
        <f>LEFT(BD_MO[[#This Row],[LABOR]],2)</f>
        <v>Ch</v>
      </c>
      <c r="F343" s="345"/>
      <c r="G343" s="345" t="s">
        <v>10662</v>
      </c>
      <c r="H343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343" s="344" t="s">
        <v>12254</v>
      </c>
      <c r="J343" s="387" t="s">
        <v>10525</v>
      </c>
      <c r="K343" s="344" t="s">
        <v>12247</v>
      </c>
      <c r="L343" s="344"/>
      <c r="M343" s="329"/>
      <c r="N343" s="345"/>
      <c r="O343" s="333" t="s">
        <v>12306</v>
      </c>
      <c r="P343" s="333" t="s">
        <v>12093</v>
      </c>
      <c r="Q343" s="333"/>
      <c r="R343" s="346"/>
      <c r="S343" s="347" t="str">
        <f>IFERROR(VLOOKUP(BD_MO[DNI 4],#REF!,2,FALSE)," ")</f>
        <v xml:space="preserve"> </v>
      </c>
      <c r="T343" s="348">
        <f>+IF(BD_MO[[#This Row],[FECHA]]&lt;&gt;"",COUNTA(BD_MO[[#This Row],[DNI]],BD_MO[[#This Row],[DNI 2]],BD_MO[[#This Row],[DNI 3]],BD_MO[[#This Row],[DNI 4]]),"")</f>
        <v>2</v>
      </c>
      <c r="U343" s="348"/>
      <c r="V343" s="348"/>
      <c r="W343" s="348">
        <v>1.4</v>
      </c>
      <c r="X343" s="348">
        <v>0.6</v>
      </c>
      <c r="Y343" s="337">
        <f>SUM(BD_MO[[#This Row],[LIMP]:[SERV]])</f>
        <v>2</v>
      </c>
      <c r="Z343" s="345"/>
      <c r="AA343" s="345" t="str">
        <f>+IF(BD_MO[[#This Row],[N° VALE]]&lt;&gt;"",1,"")</f>
        <v/>
      </c>
      <c r="AB343" s="329"/>
      <c r="AC343" s="345"/>
      <c r="AD343" s="345" t="str">
        <f>+IF(BD_MO[[#This Row],[N° VALE]]&lt;&gt;"",BD_MO[[#This Row],[FULMINANTE N° 08]]+BD_MO[CARMEX 7''],"")</f>
        <v/>
      </c>
      <c r="AE343" s="345"/>
      <c r="AF343" s="345" t="str">
        <f>+IF(BD_MO[[#This Row],[N° VALE]]&lt;&gt;"",BD_MO[[#This Row],[N° TALADROS]]+BD_MO[[#This Row],[N° TAL. VACIOS]],"")</f>
        <v/>
      </c>
      <c r="AG343" s="349"/>
      <c r="AH343" s="349"/>
      <c r="AI343" s="349"/>
      <c r="AJ343" s="349"/>
      <c r="AK343" s="349"/>
      <c r="AL343" s="349"/>
      <c r="AM343" s="344"/>
      <c r="AN343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43" s="345" t="str">
        <f>+IF(BD_MO[[#This Row],[N° VALE]]&lt;&gt;"",IF(BD_MO[[#This Row],[FULMINANTE N° 08]]&lt;&gt;"",BD_MO[[#This Row],[FULMINANTE N° 08]],IF(BD_MO[[#This Row],[CARMEX 7'']]&lt;&gt;0,0,"")),"")</f>
        <v/>
      </c>
      <c r="AP343" s="348" t="str">
        <f>+IF(BD_MO[[#This Row],[N° VALE]]&lt;&gt;"",BD_MO[[#This Row],[N°  TOTAL TALADROS]]*BD_MO[[#This Row],[BARRA]]*0.95,"")</f>
        <v/>
      </c>
      <c r="AQ343" s="348" t="str">
        <f>+IF(BD_MO[[#This Row],[N° VALE]]&lt;&gt;"",BD_MO[[#This Row],[EMULNOR 1000 (N° CART.)]]*PE_EMUL_1000[PE],"")</f>
        <v/>
      </c>
      <c r="AR343" s="348" t="str">
        <f>+IF(BD_MO[[#This Row],[N° VALE]]&lt;&gt;"",BD_MO[[#This Row],[EMULNOR 3000 (N° CART.)]]*PE_EMUL_3000[PE],"")</f>
        <v/>
      </c>
      <c r="AS343" s="348" t="str">
        <f>+IF(BD_MO[[#This Row],[N° VALE]]&lt;&gt;"",BD_MO[[#This Row],[PULVERULENTA (N° CART.)]]*PE_PULV_65[PE],"")</f>
        <v/>
      </c>
      <c r="AT343" s="348" t="str">
        <f>+IF(BD_MO[[#This Row],[N° DISP]]&lt;&gt;"",BD_MO[[#This Row],[SEMIGELATINA (N° CART.)]]*PE_SEMIGEL_65[PE],"")</f>
        <v/>
      </c>
      <c r="AU343" s="348" t="str">
        <f>+IF(BD_MO[N° VALE]&lt;&gt;"",BD_MO[[#This Row],[KG EXPLO SEMIGEL]]+BD_MO[[#This Row],[KG EXPLO PULVE]]+BD_MO[[#This Row],[KG EXPLO EMULN 3000]]+BD_MO[[#This Row],[KG EXPLO EMULN 1000]],"")</f>
        <v/>
      </c>
      <c r="AV343" s="345"/>
      <c r="AW343" s="345"/>
      <c r="AX343" s="345" t="str">
        <f>+IF(BD_MO[[#This Row],[MINERAL (U-35)]]&lt;&gt;"",BD_MO[[#This Row],[MINERAL (U-35)]]*1.45,"-")</f>
        <v>-</v>
      </c>
      <c r="AY343" s="345" t="str">
        <f>+IF(BD_MO[[#This Row],[DESMONTE (U-35)]]&lt;&gt;"",BD_MO[[#This Row],[DESMONTE (U-35)]]*1.23,"-")</f>
        <v>-</v>
      </c>
      <c r="AZ343" s="345"/>
      <c r="BA343" s="345"/>
      <c r="BB343" s="345">
        <v>1</v>
      </c>
      <c r="BC343" s="345"/>
      <c r="BD343" s="345"/>
      <c r="BE343" s="345"/>
      <c r="BF343" s="345"/>
      <c r="BG343" s="345"/>
      <c r="BH343" s="345"/>
      <c r="BI343" s="345"/>
      <c r="BJ343" s="345"/>
      <c r="BK343" s="345"/>
      <c r="BL343" s="345"/>
      <c r="BM343" s="345"/>
      <c r="BN343" s="344"/>
      <c r="BO343" s="345"/>
      <c r="BP343" s="345"/>
      <c r="BQ343" s="344"/>
      <c r="BR343" s="345"/>
      <c r="BS343" s="344"/>
      <c r="BT343" s="348"/>
      <c r="BU343" s="345"/>
      <c r="BV343" s="345"/>
      <c r="BW343" s="345"/>
      <c r="BX343" s="345"/>
      <c r="BY343" s="345"/>
      <c r="BZ343" s="345"/>
      <c r="CA343" s="345"/>
      <c r="CB343" s="345"/>
      <c r="CC343" s="345"/>
      <c r="CD343" s="345"/>
      <c r="CE343" s="345"/>
      <c r="CF343" s="345"/>
      <c r="CG343" s="345"/>
      <c r="CH343" s="345"/>
      <c r="CI343" s="345"/>
      <c r="CJ343" s="345"/>
      <c r="CK343" s="345"/>
      <c r="CL343" s="345"/>
      <c r="CM343" s="345"/>
      <c r="CN343" s="345"/>
      <c r="CO343" s="345">
        <v>1</v>
      </c>
      <c r="CP343" s="348">
        <f>+IF(BD_MO[[#This Row],[FECHA]]&lt;&gt;"",BD_MO[[#This Row],[PUNTAL 4"]]+BD_MO[[#This Row],[PUNTAL 5"]]+BD_MO[[#This Row],[PUNTAL 6"]]+BD_MO[[#This Row],[PUNTAL 7"]]+BD_MO[[#This Row],[PUNTAL 8"]],"")</f>
        <v>1</v>
      </c>
      <c r="CQ343" s="345"/>
      <c r="CR343" s="345"/>
      <c r="CS343" s="345"/>
      <c r="CT343" s="345"/>
      <c r="CU343" s="345"/>
      <c r="CV343" s="345"/>
      <c r="CW343" s="345"/>
      <c r="CX343" s="345"/>
      <c r="CY343" s="348"/>
      <c r="CZ343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79.775999999999996</v>
      </c>
      <c r="DA343" s="348">
        <f>+IF(BD_MO[[#This Row],[FECHA]]&lt;&gt;"",BD_MO[[#This Row],[DURMIENTE2]]*6.561+BD_MO[[#This Row],[LISTONES]]*4.921+BD_MO[[#This Row],[TABLA 1"x8"x3m]]*6.561+BD_MO[[#This Row],[TABLA 2"x8"x3m]]*13.122,"")</f>
        <v>0</v>
      </c>
      <c r="DB343" s="348">
        <f>+IF(BD_MO[[#This Row],[FECHA]]&lt;&gt;"",BD_MO[[#This Row],[PIE2 MADERA ASERRADA]]*1.95,"")</f>
        <v>0</v>
      </c>
      <c r="DC343" s="348">
        <f>+IF(BD_MO[[#This Row],[FECHA]]&lt;&gt;"",BD_MO[[#This Row],[KG. MADERA REDONDA]]+BD_MO[[#This Row],[KG MADERA ASERRADA]],"")</f>
        <v>79.775999999999996</v>
      </c>
      <c r="DD343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343" s="345"/>
      <c r="DF343" s="345"/>
      <c r="DG343" s="345"/>
      <c r="DH343" s="345"/>
      <c r="DI343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43" s="351"/>
      <c r="DK343" s="351"/>
      <c r="DL343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43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43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43" s="367"/>
      <c r="DP343" s="351" t="str">
        <f>+IF(BD_MO[[#This Row],[M o D]]&lt;&gt;"",IF(BD_MO[[#This Row],[M o D]]="M",BD_MO[[#This Row],[ROTURA TMH]]/2.65,BD_MO[[#This Row],[ROTURA TMH]]/2.4),"")</f>
        <v/>
      </c>
      <c r="DQ343" s="351"/>
      <c r="DR343" s="116" t="str">
        <f>IF(BD_MO[[#This Row],[TIPO AVANCE]]="Avance",((BD_MO[[#This Row],[AVANCE (m)]]/BD_MO[[#This Row],[AVANCE TEÓRICO]]))," ")</f>
        <v xml:space="preserve"> </v>
      </c>
      <c r="DS343" s="134"/>
      <c r="DT343" s="134"/>
      <c r="DU343" s="134"/>
      <c r="DV343" s="134"/>
      <c r="DW343" s="134"/>
      <c r="DX343" s="135"/>
      <c r="DY343" s="135"/>
      <c r="DZ343" s="135"/>
    </row>
    <row r="344" spans="1:130" s="136" customFormat="1" ht="18" customHeight="1" x14ac:dyDescent="0.25">
      <c r="A344" s="328">
        <v>44671</v>
      </c>
      <c r="B344" s="329" t="s">
        <v>10647</v>
      </c>
      <c r="C344" s="329" t="s">
        <v>10668</v>
      </c>
      <c r="D344" s="343" t="s">
        <v>10952</v>
      </c>
      <c r="E344" s="344" t="str">
        <f>LEFT(BD_MO[[#This Row],[LABOR]],2)</f>
        <v>In</v>
      </c>
      <c r="F344" s="345"/>
      <c r="G344" s="345" t="s">
        <v>10669</v>
      </c>
      <c r="H344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44" s="344" t="str">
        <f>IF(BD_MO[FECHA]&lt;&gt;"",VLOOKUP(BD_MO[LABOR],TB_CECO[[LABOR]:[CECO_T]],3,FALSE),"")</f>
        <v>VANESSA</v>
      </c>
      <c r="J344" s="344" t="str">
        <f>IF(BD_MO[FECHA]&lt;&gt;"",VLOOKUP(BD_MO[LABOR],D_CECO!B:H,7,FALSE),"")</f>
        <v>LINEAL</v>
      </c>
      <c r="K344" s="344" t="str">
        <f>IF(BD_MO[FECHA]&lt;&gt;"",VLOOKUP(BD_MO[LABOR],D_CECO!B:H,4,FALSE),"")</f>
        <v>EXPLORACION</v>
      </c>
      <c r="L344" s="344"/>
      <c r="M344" s="329"/>
      <c r="N344" s="345"/>
      <c r="O344" s="333" t="s">
        <v>12092</v>
      </c>
      <c r="P344" s="333" t="s">
        <v>12099</v>
      </c>
      <c r="Q344" s="333"/>
      <c r="R344" s="346"/>
      <c r="S344" s="347" t="str">
        <f>IFERROR(VLOOKUP(BD_MO[DNI 4],#REF!,2,FALSE)," ")</f>
        <v xml:space="preserve"> </v>
      </c>
      <c r="T344" s="348">
        <f>+IF(BD_MO[[#This Row],[FECHA]]&lt;&gt;"",COUNTA(BD_MO[[#This Row],[DNI]],BD_MO[[#This Row],[DNI 2]],BD_MO[[#This Row],[DNI 3]],BD_MO[[#This Row],[DNI 4]]),"")</f>
        <v>2</v>
      </c>
      <c r="U344" s="348"/>
      <c r="V344" s="348"/>
      <c r="W344" s="348"/>
      <c r="X344" s="348">
        <v>2</v>
      </c>
      <c r="Y344" s="337">
        <f>SUM(BD_MO[[#This Row],[LIMP]:[SERV]])</f>
        <v>2</v>
      </c>
      <c r="Z344" s="345"/>
      <c r="AA344" s="345" t="str">
        <f>+IF(BD_MO[[#This Row],[N° VALE]]&lt;&gt;"",1,"")</f>
        <v/>
      </c>
      <c r="AB344" s="329"/>
      <c r="AC344" s="345"/>
      <c r="AD344" s="345" t="str">
        <f>+IF(BD_MO[[#This Row],[N° VALE]]&lt;&gt;"",BD_MO[[#This Row],[FULMINANTE N° 08]]+BD_MO[CARMEX 7''],"")</f>
        <v/>
      </c>
      <c r="AE344" s="345"/>
      <c r="AF344" s="345" t="str">
        <f>+IF(BD_MO[[#This Row],[N° VALE]]&lt;&gt;"",BD_MO[[#This Row],[N° TALADROS]]+BD_MO[[#This Row],[N° TAL. VACIOS]],"")</f>
        <v/>
      </c>
      <c r="AG344" s="349"/>
      <c r="AH344" s="349"/>
      <c r="AI344" s="349"/>
      <c r="AJ344" s="349"/>
      <c r="AK344" s="349"/>
      <c r="AL344" s="349"/>
      <c r="AM344" s="344"/>
      <c r="AN344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44" s="345" t="str">
        <f>+IF(BD_MO[[#This Row],[N° VALE]]&lt;&gt;"",IF(BD_MO[[#This Row],[FULMINANTE N° 08]]&lt;&gt;"",BD_MO[[#This Row],[FULMINANTE N° 08]],IF(BD_MO[[#This Row],[CARMEX 7'']]&lt;&gt;0,0,"")),"")</f>
        <v/>
      </c>
      <c r="AP344" s="348" t="str">
        <f>+IF(BD_MO[[#This Row],[N° VALE]]&lt;&gt;"",BD_MO[[#This Row],[N°  TOTAL TALADROS]]*BD_MO[[#This Row],[BARRA]]*0.95,"")</f>
        <v/>
      </c>
      <c r="AQ344" s="348" t="str">
        <f>+IF(BD_MO[[#This Row],[N° VALE]]&lt;&gt;"",BD_MO[[#This Row],[EMULNOR 1000 (N° CART.)]]*PE_EMUL_1000[PE],"")</f>
        <v/>
      </c>
      <c r="AR344" s="348" t="str">
        <f>+IF(BD_MO[[#This Row],[N° VALE]]&lt;&gt;"",BD_MO[[#This Row],[EMULNOR 3000 (N° CART.)]]*PE_EMUL_3000[PE],"")</f>
        <v/>
      </c>
      <c r="AS344" s="348" t="str">
        <f>+IF(BD_MO[[#This Row],[N° VALE]]&lt;&gt;"",BD_MO[[#This Row],[PULVERULENTA (N° CART.)]]*PE_PULV_65[PE],"")</f>
        <v/>
      </c>
      <c r="AT344" s="348" t="str">
        <f>+IF(BD_MO[[#This Row],[N° DISP]]&lt;&gt;"",BD_MO[[#This Row],[SEMIGELATINA (N° CART.)]]*PE_SEMIGEL_65[PE],"")</f>
        <v/>
      </c>
      <c r="AU344" s="348" t="str">
        <f>+IF(BD_MO[N° VALE]&lt;&gt;"",BD_MO[[#This Row],[KG EXPLO SEMIGEL]]+BD_MO[[#This Row],[KG EXPLO PULVE]]+BD_MO[[#This Row],[KG EXPLO EMULN 3000]]+BD_MO[[#This Row],[KG EXPLO EMULN 1000]],"")</f>
        <v/>
      </c>
      <c r="AV344" s="345"/>
      <c r="AW344" s="345"/>
      <c r="AX344" s="345" t="str">
        <f>+IF(BD_MO[[#This Row],[MINERAL (U-35)]]&lt;&gt;"",BD_MO[[#This Row],[MINERAL (U-35)]]*1.45,"-")</f>
        <v>-</v>
      </c>
      <c r="AY344" s="345" t="str">
        <f>+IF(BD_MO[[#This Row],[DESMONTE (U-35)]]&lt;&gt;"",BD_MO[[#This Row],[DESMONTE (U-35)]]*1.23,"-")</f>
        <v>-</v>
      </c>
      <c r="AZ344" s="345"/>
      <c r="BA344" s="345"/>
      <c r="BB344" s="345"/>
      <c r="BC344" s="345"/>
      <c r="BD344" s="345"/>
      <c r="BE344" s="345"/>
      <c r="BF344" s="345"/>
      <c r="BG344" s="345"/>
      <c r="BH344" s="345"/>
      <c r="BI344" s="345"/>
      <c r="BJ344" s="345"/>
      <c r="BK344" s="345">
        <v>2.4</v>
      </c>
      <c r="BL344" s="345"/>
      <c r="BM344" s="345"/>
      <c r="BN344" s="344"/>
      <c r="BO344" s="345"/>
      <c r="BP344" s="345"/>
      <c r="BQ344" s="344"/>
      <c r="BR344" s="345"/>
      <c r="BS344" s="344"/>
      <c r="BT344" s="348">
        <v>7.2</v>
      </c>
      <c r="BU344" s="345"/>
      <c r="BV344" s="345"/>
      <c r="BW344" s="345"/>
      <c r="BX344" s="345"/>
      <c r="BY344" s="345"/>
      <c r="BZ344" s="345"/>
      <c r="CA344" s="345"/>
      <c r="CB344" s="345"/>
      <c r="CC344" s="345"/>
      <c r="CD344" s="345"/>
      <c r="CE344" s="345"/>
      <c r="CF344" s="345"/>
      <c r="CG344" s="345"/>
      <c r="CH344" s="345"/>
      <c r="CI344" s="345"/>
      <c r="CJ344" s="345"/>
      <c r="CK344" s="345"/>
      <c r="CL344" s="345"/>
      <c r="CM344" s="345"/>
      <c r="CN344" s="345"/>
      <c r="CO344" s="345"/>
      <c r="CP344" s="348">
        <f>+IF(BD_MO[[#This Row],[FECHA]]&lt;&gt;"",BD_MO[[#This Row],[PUNTAL 4"]]+BD_MO[[#This Row],[PUNTAL 5"]]+BD_MO[[#This Row],[PUNTAL 6"]]+BD_MO[[#This Row],[PUNTAL 7"]]+BD_MO[[#This Row],[PUNTAL 8"]],"")</f>
        <v>0</v>
      </c>
      <c r="CQ344" s="345"/>
      <c r="CR344" s="345"/>
      <c r="CS344" s="345"/>
      <c r="CT344" s="345"/>
      <c r="CU344" s="345"/>
      <c r="CV344" s="345"/>
      <c r="CW344" s="345"/>
      <c r="CX344" s="345"/>
      <c r="CY344" s="348"/>
      <c r="CZ344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44" s="348">
        <f>+IF(BD_MO[[#This Row],[FECHA]]&lt;&gt;"",BD_MO[[#This Row],[DURMIENTE2]]*6.561+BD_MO[[#This Row],[LISTONES]]*4.921+BD_MO[[#This Row],[TABLA 1"x8"x3m]]*6.561+BD_MO[[#This Row],[TABLA 2"x8"x3m]]*13.122,"")</f>
        <v>0</v>
      </c>
      <c r="DB344" s="348">
        <f>+IF(BD_MO[[#This Row],[FECHA]]&lt;&gt;"",BD_MO[[#This Row],[PIE2 MADERA ASERRADA]]*1.95,"")</f>
        <v>0</v>
      </c>
      <c r="DC344" s="348">
        <f>+IF(BD_MO[[#This Row],[FECHA]]&lt;&gt;"",BD_MO[[#This Row],[KG. MADERA REDONDA]]+BD_MO[[#This Row],[KG MADERA ASERRADA]],"")</f>
        <v>0</v>
      </c>
      <c r="DD344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44" s="345"/>
      <c r="DF344" s="345"/>
      <c r="DG344" s="345"/>
      <c r="DH344" s="345"/>
      <c r="DI344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44" s="351"/>
      <c r="DK344" s="351"/>
      <c r="DL344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44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44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44" s="367"/>
      <c r="DP344" s="351" t="str">
        <f>+IF(BD_MO[[#This Row],[M o D]]&lt;&gt;"",IF(BD_MO[[#This Row],[M o D]]="M",BD_MO[[#This Row],[ROTURA TMH]]/2.65,BD_MO[[#This Row],[ROTURA TMH]]/2.4),"")</f>
        <v/>
      </c>
      <c r="DQ344" s="351"/>
      <c r="DR344" s="116" t="str">
        <f>IF(BD_MO[[#This Row],[TIPO AVANCE]]="Avance",((BD_MO[[#This Row],[AVANCE (m)]]/BD_MO[[#This Row],[AVANCE TEÓRICO]]))," ")</f>
        <v xml:space="preserve"> </v>
      </c>
      <c r="DS344" s="134"/>
      <c r="DT344" s="134"/>
      <c r="DU344" s="134"/>
      <c r="DV344" s="134"/>
      <c r="DW344" s="134"/>
      <c r="DX344" s="135"/>
      <c r="DY344" s="135"/>
      <c r="DZ344" s="135"/>
    </row>
    <row r="345" spans="1:130" s="136" customFormat="1" ht="18" customHeight="1" x14ac:dyDescent="0.25">
      <c r="A345" s="328">
        <v>44671</v>
      </c>
      <c r="B345" s="329" t="s">
        <v>10647</v>
      </c>
      <c r="C345" s="329" t="s">
        <v>10668</v>
      </c>
      <c r="D345" s="343" t="s">
        <v>11872</v>
      </c>
      <c r="E345" s="344" t="str">
        <f>LEFT(BD_MO[[#This Row],[LABOR]],2)</f>
        <v>PQ</v>
      </c>
      <c r="F345" s="345"/>
      <c r="G345" s="345" t="s">
        <v>10669</v>
      </c>
      <c r="H345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45" s="344" t="str">
        <f>IF(BD_MO[FECHA]&lt;&gt;"",VLOOKUP(BD_MO[LABOR],TB_CECO[[LABOR]:[CECO_T]],3,FALSE),"")</f>
        <v>ANDREA</v>
      </c>
      <c r="J345" s="344" t="str">
        <f>IF(BD_MO[FECHA]&lt;&gt;"",VLOOKUP(BD_MO[LABOR],D_CECO!B:H,7,FALSE),"")</f>
        <v>LINEAL</v>
      </c>
      <c r="K345" s="344" t="str">
        <f>IF(BD_MO[FECHA]&lt;&gt;"",VLOOKUP(BD_MO[LABOR],D_CECO!B:H,4,FALSE),"")</f>
        <v>EXPLOTACION</v>
      </c>
      <c r="L345" s="344"/>
      <c r="M345" s="329"/>
      <c r="N345" s="345"/>
      <c r="O345" s="333" t="s">
        <v>12097</v>
      </c>
      <c r="P345" s="333" t="s">
        <v>12090</v>
      </c>
      <c r="Q345" s="333" t="s">
        <v>12089</v>
      </c>
      <c r="R345" s="346"/>
      <c r="S345" s="347" t="str">
        <f>IFERROR(VLOOKUP(BD_MO[DNI 4],#REF!,2,FALSE)," ")</f>
        <v xml:space="preserve"> </v>
      </c>
      <c r="T345" s="348">
        <f>+IF(BD_MO[[#This Row],[FECHA]]&lt;&gt;"",COUNTA(BD_MO[[#This Row],[DNI]],BD_MO[[#This Row],[DNI 2]],BD_MO[[#This Row],[DNI 3]],BD_MO[[#This Row],[DNI 4]]),"")</f>
        <v>3</v>
      </c>
      <c r="U345" s="348"/>
      <c r="V345" s="348"/>
      <c r="W345" s="348"/>
      <c r="X345" s="348">
        <v>3</v>
      </c>
      <c r="Y345" s="337">
        <f>SUM(BD_MO[[#This Row],[LIMP]:[SERV]])</f>
        <v>3</v>
      </c>
      <c r="Z345" s="345"/>
      <c r="AA345" s="345" t="str">
        <f>+IF(BD_MO[[#This Row],[N° VALE]]&lt;&gt;"",1,"")</f>
        <v/>
      </c>
      <c r="AB345" s="329"/>
      <c r="AC345" s="345"/>
      <c r="AD345" s="345" t="str">
        <f>+IF(BD_MO[[#This Row],[N° VALE]]&lt;&gt;"",BD_MO[[#This Row],[FULMINANTE N° 08]]+BD_MO[CARMEX 7''],"")</f>
        <v/>
      </c>
      <c r="AE345" s="345"/>
      <c r="AF345" s="345" t="str">
        <f>+IF(BD_MO[[#This Row],[N° VALE]]&lt;&gt;"",BD_MO[[#This Row],[N° TALADROS]]+BD_MO[[#This Row],[N° TAL. VACIOS]],"")</f>
        <v/>
      </c>
      <c r="AG345" s="349"/>
      <c r="AH345" s="349"/>
      <c r="AI345" s="349"/>
      <c r="AJ345" s="349"/>
      <c r="AK345" s="349"/>
      <c r="AL345" s="349"/>
      <c r="AM345" s="344"/>
      <c r="AN345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45" s="345" t="str">
        <f>+IF(BD_MO[[#This Row],[N° VALE]]&lt;&gt;"",IF(BD_MO[[#This Row],[FULMINANTE N° 08]]&lt;&gt;"",BD_MO[[#This Row],[FULMINANTE N° 08]],IF(BD_MO[[#This Row],[CARMEX 7'']]&lt;&gt;0,0,"")),"")</f>
        <v/>
      </c>
      <c r="AP345" s="348" t="str">
        <f>+IF(BD_MO[[#This Row],[N° VALE]]&lt;&gt;"",BD_MO[[#This Row],[N°  TOTAL TALADROS]]*BD_MO[[#This Row],[BARRA]]*0.95,"")</f>
        <v/>
      </c>
      <c r="AQ345" s="348" t="str">
        <f>+IF(BD_MO[[#This Row],[N° VALE]]&lt;&gt;"",BD_MO[[#This Row],[EMULNOR 1000 (N° CART.)]]*PE_EMUL_1000[PE],"")</f>
        <v/>
      </c>
      <c r="AR345" s="348" t="str">
        <f>+IF(BD_MO[[#This Row],[N° VALE]]&lt;&gt;"",BD_MO[[#This Row],[EMULNOR 3000 (N° CART.)]]*PE_EMUL_3000[PE],"")</f>
        <v/>
      </c>
      <c r="AS345" s="348" t="str">
        <f>+IF(BD_MO[[#This Row],[N° VALE]]&lt;&gt;"",BD_MO[[#This Row],[PULVERULENTA (N° CART.)]]*PE_PULV_65[PE],"")</f>
        <v/>
      </c>
      <c r="AT345" s="348" t="str">
        <f>+IF(BD_MO[[#This Row],[N° DISP]]&lt;&gt;"",BD_MO[[#This Row],[SEMIGELATINA (N° CART.)]]*PE_SEMIGEL_65[PE],"")</f>
        <v/>
      </c>
      <c r="AU345" s="348" t="str">
        <f>+IF(BD_MO[N° VALE]&lt;&gt;"",BD_MO[[#This Row],[KG EXPLO SEMIGEL]]+BD_MO[[#This Row],[KG EXPLO PULVE]]+BD_MO[[#This Row],[KG EXPLO EMULN 3000]]+BD_MO[[#This Row],[KG EXPLO EMULN 1000]],"")</f>
        <v/>
      </c>
      <c r="AV345" s="345"/>
      <c r="AW345" s="345"/>
      <c r="AX345" s="345" t="str">
        <f>+IF(BD_MO[[#This Row],[MINERAL (U-35)]]&lt;&gt;"",BD_MO[[#This Row],[MINERAL (U-35)]]*1.45,"-")</f>
        <v>-</v>
      </c>
      <c r="AY345" s="345" t="str">
        <f>+IF(BD_MO[[#This Row],[DESMONTE (U-35)]]&lt;&gt;"",BD_MO[[#This Row],[DESMONTE (U-35)]]*1.23,"-")</f>
        <v>-</v>
      </c>
      <c r="AZ345" s="345"/>
      <c r="BA345" s="345"/>
      <c r="BB345" s="345"/>
      <c r="BC345" s="345"/>
      <c r="BD345" s="345"/>
      <c r="BE345" s="345"/>
      <c r="BF345" s="345"/>
      <c r="BG345" s="345"/>
      <c r="BH345" s="345"/>
      <c r="BI345" s="345"/>
      <c r="BJ345" s="345"/>
      <c r="BK345" s="345"/>
      <c r="BL345" s="345"/>
      <c r="BM345" s="345"/>
      <c r="BN345" s="344"/>
      <c r="BO345" s="345"/>
      <c r="BP345" s="345"/>
      <c r="BQ345" s="344"/>
      <c r="BR345" s="345"/>
      <c r="BS345" s="344"/>
      <c r="BT345" s="348"/>
      <c r="BU345" s="345"/>
      <c r="BV345" s="345"/>
      <c r="BW345" s="345"/>
      <c r="BX345" s="345"/>
      <c r="BY345" s="345"/>
      <c r="BZ345" s="345"/>
      <c r="CA345" s="345"/>
      <c r="CB345" s="345"/>
      <c r="CC345" s="345"/>
      <c r="CD345" s="345"/>
      <c r="CE345" s="345"/>
      <c r="CF345" s="345"/>
      <c r="CG345" s="345"/>
      <c r="CH345" s="345"/>
      <c r="CI345" s="345"/>
      <c r="CJ345" s="345"/>
      <c r="CK345" s="345"/>
      <c r="CL345" s="345"/>
      <c r="CM345" s="345"/>
      <c r="CN345" s="345"/>
      <c r="CO345" s="345"/>
      <c r="CP345" s="348">
        <f>+IF(BD_MO[[#This Row],[FECHA]]&lt;&gt;"",BD_MO[[#This Row],[PUNTAL 4"]]+BD_MO[[#This Row],[PUNTAL 5"]]+BD_MO[[#This Row],[PUNTAL 6"]]+BD_MO[[#This Row],[PUNTAL 7"]]+BD_MO[[#This Row],[PUNTAL 8"]],"")</f>
        <v>0</v>
      </c>
      <c r="CQ345" s="345"/>
      <c r="CR345" s="345"/>
      <c r="CS345" s="345"/>
      <c r="CT345" s="345"/>
      <c r="CU345" s="345"/>
      <c r="CV345" s="345"/>
      <c r="CW345" s="345"/>
      <c r="CX345" s="345"/>
      <c r="CY345" s="348"/>
      <c r="CZ345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45" s="348">
        <f>+IF(BD_MO[[#This Row],[FECHA]]&lt;&gt;"",BD_MO[[#This Row],[DURMIENTE2]]*6.561+BD_MO[[#This Row],[LISTONES]]*4.921+BD_MO[[#This Row],[TABLA 1"x8"x3m]]*6.561+BD_MO[[#This Row],[TABLA 2"x8"x3m]]*13.122,"")</f>
        <v>0</v>
      </c>
      <c r="DB345" s="348">
        <f>+IF(BD_MO[[#This Row],[FECHA]]&lt;&gt;"",BD_MO[[#This Row],[PIE2 MADERA ASERRADA]]*1.95,"")</f>
        <v>0</v>
      </c>
      <c r="DC345" s="348">
        <f>+IF(BD_MO[[#This Row],[FECHA]]&lt;&gt;"",BD_MO[[#This Row],[KG. MADERA REDONDA]]+BD_MO[[#This Row],[KG MADERA ASERRADA]],"")</f>
        <v>0</v>
      </c>
      <c r="DD345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45" s="345"/>
      <c r="DF345" s="345"/>
      <c r="DG345" s="345"/>
      <c r="DH345" s="345"/>
      <c r="DI345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45" s="351"/>
      <c r="DK345" s="351"/>
      <c r="DL345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45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45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45" s="367"/>
      <c r="DP345" s="351" t="str">
        <f>+IF(BD_MO[[#This Row],[M o D]]&lt;&gt;"",IF(BD_MO[[#This Row],[M o D]]="M",BD_MO[[#This Row],[ROTURA TMH]]/2.65,BD_MO[[#This Row],[ROTURA TMH]]/2.4),"")</f>
        <v/>
      </c>
      <c r="DQ345" s="351"/>
      <c r="DR345" s="116" t="str">
        <f>IF(BD_MO[[#This Row],[TIPO AVANCE]]="Avance",((BD_MO[[#This Row],[AVANCE (m)]]/BD_MO[[#This Row],[AVANCE TEÓRICO]]))," ")</f>
        <v xml:space="preserve"> </v>
      </c>
      <c r="DS345" s="134"/>
      <c r="DT345" s="134"/>
      <c r="DU345" s="134"/>
      <c r="DV345" s="134"/>
      <c r="DW345" s="134"/>
      <c r="DX345" s="135"/>
      <c r="DY345" s="135"/>
      <c r="DZ345" s="135"/>
    </row>
    <row r="346" spans="1:130" s="136" customFormat="1" ht="18" customHeight="1" x14ac:dyDescent="0.25">
      <c r="A346" s="328">
        <v>44671</v>
      </c>
      <c r="B346" s="329" t="s">
        <v>10647</v>
      </c>
      <c r="C346" s="329" t="s">
        <v>10668</v>
      </c>
      <c r="D346" s="343" t="s">
        <v>10954</v>
      </c>
      <c r="E346" s="344" t="str">
        <f>LEFT(BD_MO[[#This Row],[LABOR]],2)</f>
        <v>MO</v>
      </c>
      <c r="F346" s="345"/>
      <c r="G346" s="345" t="s">
        <v>10669</v>
      </c>
      <c r="H346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46" s="344" t="str">
        <f>IF(BD_MO[FECHA]&lt;&gt;"",VLOOKUP(BD_MO[LABOR],TB_CECO[[LABOR]:[CECO_T]],3,FALSE),"")</f>
        <v>INCA</v>
      </c>
      <c r="J346" s="344" t="str">
        <f>IF(BD_MO[FECHA]&lt;&gt;"",VLOOKUP(BD_MO[LABOR],D_CECO!B:H,7,FALSE),"")</f>
        <v>SERVICIOS</v>
      </c>
      <c r="K346" s="344" t="str">
        <f>IF(BD_MO[FECHA]&lt;&gt;"",VLOOKUP(BD_MO[LABOR],D_CECO!B:H,4,FALSE),"")</f>
        <v>SERVICIOS</v>
      </c>
      <c r="L346" s="344"/>
      <c r="M346" s="329"/>
      <c r="N346" s="345"/>
      <c r="O346" s="333" t="s">
        <v>12098</v>
      </c>
      <c r="P346" s="333" t="s">
        <v>12162</v>
      </c>
      <c r="Q346" s="333"/>
      <c r="R346" s="346"/>
      <c r="S346" s="347" t="str">
        <f>IFERROR(VLOOKUP(BD_MO[DNI 4],#REF!,2,FALSE)," ")</f>
        <v xml:space="preserve"> </v>
      </c>
      <c r="T346" s="348">
        <f>+IF(BD_MO[[#This Row],[FECHA]]&lt;&gt;"",COUNTA(BD_MO[[#This Row],[DNI]],BD_MO[[#This Row],[DNI 2]],BD_MO[[#This Row],[DNI 3]],BD_MO[[#This Row],[DNI 4]]),"")</f>
        <v>2</v>
      </c>
      <c r="U346" s="348"/>
      <c r="V346" s="348"/>
      <c r="W346" s="348"/>
      <c r="X346" s="348">
        <v>2</v>
      </c>
      <c r="Y346" s="337">
        <f>SUM(BD_MO[[#This Row],[LIMP]:[SERV]])</f>
        <v>2</v>
      </c>
      <c r="Z346" s="345"/>
      <c r="AA346" s="345" t="str">
        <f>+IF(BD_MO[[#This Row],[N° VALE]]&lt;&gt;"",1,"")</f>
        <v/>
      </c>
      <c r="AB346" s="329"/>
      <c r="AC346" s="345"/>
      <c r="AD346" s="345" t="str">
        <f>+IF(BD_MO[[#This Row],[N° VALE]]&lt;&gt;"",BD_MO[[#This Row],[FULMINANTE N° 08]]+BD_MO[CARMEX 7''],"")</f>
        <v/>
      </c>
      <c r="AE346" s="345"/>
      <c r="AF346" s="345" t="str">
        <f>+IF(BD_MO[[#This Row],[N° VALE]]&lt;&gt;"",BD_MO[[#This Row],[N° TALADROS]]+BD_MO[[#This Row],[N° TAL. VACIOS]],"")</f>
        <v/>
      </c>
      <c r="AG346" s="349"/>
      <c r="AH346" s="349"/>
      <c r="AI346" s="349"/>
      <c r="AJ346" s="349"/>
      <c r="AK346" s="349"/>
      <c r="AL346" s="349"/>
      <c r="AM346" s="344"/>
      <c r="AN346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46" s="345" t="str">
        <f>+IF(BD_MO[[#This Row],[N° VALE]]&lt;&gt;"",IF(BD_MO[[#This Row],[FULMINANTE N° 08]]&lt;&gt;"",BD_MO[[#This Row],[FULMINANTE N° 08]],IF(BD_MO[[#This Row],[CARMEX 7'']]&lt;&gt;0,0,"")),"")</f>
        <v/>
      </c>
      <c r="AP346" s="348" t="str">
        <f>+IF(BD_MO[[#This Row],[N° VALE]]&lt;&gt;"",BD_MO[[#This Row],[N°  TOTAL TALADROS]]*BD_MO[[#This Row],[BARRA]]*0.95,"")</f>
        <v/>
      </c>
      <c r="AQ346" s="348" t="str">
        <f>+IF(BD_MO[[#This Row],[N° VALE]]&lt;&gt;"",BD_MO[[#This Row],[EMULNOR 1000 (N° CART.)]]*PE_EMUL_1000[PE],"")</f>
        <v/>
      </c>
      <c r="AR346" s="348" t="str">
        <f>+IF(BD_MO[[#This Row],[N° VALE]]&lt;&gt;"",BD_MO[[#This Row],[EMULNOR 3000 (N° CART.)]]*PE_EMUL_3000[PE],"")</f>
        <v/>
      </c>
      <c r="AS346" s="348" t="str">
        <f>+IF(BD_MO[[#This Row],[N° VALE]]&lt;&gt;"",BD_MO[[#This Row],[PULVERULENTA (N° CART.)]]*PE_PULV_65[PE],"")</f>
        <v/>
      </c>
      <c r="AT346" s="348" t="str">
        <f>+IF(BD_MO[[#This Row],[N° DISP]]&lt;&gt;"",BD_MO[[#This Row],[SEMIGELATINA (N° CART.)]]*PE_SEMIGEL_65[PE],"")</f>
        <v/>
      </c>
      <c r="AU346" s="348" t="str">
        <f>+IF(BD_MO[N° VALE]&lt;&gt;"",BD_MO[[#This Row],[KG EXPLO SEMIGEL]]+BD_MO[[#This Row],[KG EXPLO PULVE]]+BD_MO[[#This Row],[KG EXPLO EMULN 3000]]+BD_MO[[#This Row],[KG EXPLO EMULN 1000]],"")</f>
        <v/>
      </c>
      <c r="AV346" s="345"/>
      <c r="AW346" s="345"/>
      <c r="AX346" s="345" t="str">
        <f>+IF(BD_MO[[#This Row],[MINERAL (U-35)]]&lt;&gt;"",BD_MO[[#This Row],[MINERAL (U-35)]]*1.45,"-")</f>
        <v>-</v>
      </c>
      <c r="AY346" s="345" t="str">
        <f>+IF(BD_MO[[#This Row],[DESMONTE (U-35)]]&lt;&gt;"",BD_MO[[#This Row],[DESMONTE (U-35)]]*1.23,"-")</f>
        <v>-</v>
      </c>
      <c r="AZ346" s="345"/>
      <c r="BA346" s="345"/>
      <c r="BB346" s="345"/>
      <c r="BC346" s="345"/>
      <c r="BD346" s="345"/>
      <c r="BE346" s="345"/>
      <c r="BF346" s="345"/>
      <c r="BG346" s="345"/>
      <c r="BH346" s="345"/>
      <c r="BI346" s="345"/>
      <c r="BJ346" s="345"/>
      <c r="BK346" s="345"/>
      <c r="BL346" s="345"/>
      <c r="BM346" s="345"/>
      <c r="BN346" s="344"/>
      <c r="BO346" s="345"/>
      <c r="BP346" s="345"/>
      <c r="BQ346" s="344"/>
      <c r="BR346" s="345"/>
      <c r="BS346" s="344"/>
      <c r="BT346" s="348"/>
      <c r="BU346" s="345"/>
      <c r="BV346" s="345"/>
      <c r="BW346" s="345"/>
      <c r="BX346" s="345"/>
      <c r="BY346" s="345"/>
      <c r="BZ346" s="345"/>
      <c r="CA346" s="345"/>
      <c r="CB346" s="345"/>
      <c r="CC346" s="345"/>
      <c r="CD346" s="345"/>
      <c r="CE346" s="345"/>
      <c r="CF346" s="345"/>
      <c r="CG346" s="345"/>
      <c r="CH346" s="345"/>
      <c r="CI346" s="345"/>
      <c r="CJ346" s="345"/>
      <c r="CK346" s="345"/>
      <c r="CL346" s="345"/>
      <c r="CM346" s="345"/>
      <c r="CN346" s="345"/>
      <c r="CO346" s="345"/>
      <c r="CP346" s="348">
        <f>+IF(BD_MO[[#This Row],[FECHA]]&lt;&gt;"",BD_MO[[#This Row],[PUNTAL 4"]]+BD_MO[[#This Row],[PUNTAL 5"]]+BD_MO[[#This Row],[PUNTAL 6"]]+BD_MO[[#This Row],[PUNTAL 7"]]+BD_MO[[#This Row],[PUNTAL 8"]],"")</f>
        <v>0</v>
      </c>
      <c r="CQ346" s="345"/>
      <c r="CR346" s="345"/>
      <c r="CS346" s="345"/>
      <c r="CT346" s="345"/>
      <c r="CU346" s="345"/>
      <c r="CV346" s="345"/>
      <c r="CW346" s="345"/>
      <c r="CX346" s="345"/>
      <c r="CY346" s="348"/>
      <c r="CZ346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46" s="348">
        <f>+IF(BD_MO[[#This Row],[FECHA]]&lt;&gt;"",BD_MO[[#This Row],[DURMIENTE2]]*6.561+BD_MO[[#This Row],[LISTONES]]*4.921+BD_MO[[#This Row],[TABLA 1"x8"x3m]]*6.561+BD_MO[[#This Row],[TABLA 2"x8"x3m]]*13.122,"")</f>
        <v>0</v>
      </c>
      <c r="DB346" s="348">
        <f>+IF(BD_MO[[#This Row],[FECHA]]&lt;&gt;"",BD_MO[[#This Row],[PIE2 MADERA ASERRADA]]*1.95,"")</f>
        <v>0</v>
      </c>
      <c r="DC346" s="348">
        <f>+IF(BD_MO[[#This Row],[FECHA]]&lt;&gt;"",BD_MO[[#This Row],[KG. MADERA REDONDA]]+BD_MO[[#This Row],[KG MADERA ASERRADA]],"")</f>
        <v>0</v>
      </c>
      <c r="DD346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46" s="345"/>
      <c r="DF346" s="345"/>
      <c r="DG346" s="345"/>
      <c r="DH346" s="345"/>
      <c r="DI346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46" s="351"/>
      <c r="DK346" s="351"/>
      <c r="DL346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46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46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46" s="367"/>
      <c r="DP346" s="351" t="str">
        <f>+IF(BD_MO[[#This Row],[M o D]]&lt;&gt;"",IF(BD_MO[[#This Row],[M o D]]="M",BD_MO[[#This Row],[ROTURA TMH]]/2.65,BD_MO[[#This Row],[ROTURA TMH]]/2.4),"")</f>
        <v/>
      </c>
      <c r="DQ346" s="351"/>
      <c r="DR346" s="116" t="str">
        <f>IF(BD_MO[[#This Row],[TIPO AVANCE]]="Avance",((BD_MO[[#This Row],[AVANCE (m)]]/BD_MO[[#This Row],[AVANCE TEÓRICO]]))," ")</f>
        <v xml:space="preserve"> </v>
      </c>
      <c r="DS346" s="134"/>
      <c r="DT346" s="134"/>
      <c r="DU346" s="134"/>
      <c r="DV346" s="134"/>
      <c r="DW346" s="134"/>
      <c r="DX346" s="135"/>
      <c r="DY346" s="135"/>
      <c r="DZ346" s="135"/>
    </row>
    <row r="347" spans="1:130" s="115" customFormat="1" ht="18" customHeight="1" thickBot="1" x14ac:dyDescent="0.3">
      <c r="A347" s="352">
        <v>44671</v>
      </c>
      <c r="B347" s="353" t="s">
        <v>10647</v>
      </c>
      <c r="C347" s="353" t="s">
        <v>10668</v>
      </c>
      <c r="D347" s="354" t="s">
        <v>10717</v>
      </c>
      <c r="E347" s="355" t="str">
        <f>LEFT(BD_MO[[#This Row],[LABOR]],2)</f>
        <v>BO</v>
      </c>
      <c r="F347" s="356"/>
      <c r="G347" s="356" t="s">
        <v>10669</v>
      </c>
      <c r="H347" s="35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47" s="355" t="str">
        <f>IF(BD_MO[FECHA]&lt;&gt;"",VLOOKUP(BD_MO[LABOR],TB_CECO[[LABOR]:[CECO_T]],3,FALSE),"")</f>
        <v>CACHORRO</v>
      </c>
      <c r="J347" s="355" t="str">
        <f>IF(BD_MO[FECHA]&lt;&gt;"",VLOOKUP(BD_MO[LABOR],D_CECO!B:H,7,FALSE),"")</f>
        <v>SERVICIOS</v>
      </c>
      <c r="K347" s="355" t="str">
        <f>IF(BD_MO[FECHA]&lt;&gt;"",VLOOKUP(BD_MO[LABOR],D_CECO!B:H,4,FALSE),"")</f>
        <v>SERVICIOS</v>
      </c>
      <c r="L347" s="355"/>
      <c r="M347" s="353"/>
      <c r="N347" s="356"/>
      <c r="O347" s="357" t="s">
        <v>12327</v>
      </c>
      <c r="P347" s="357"/>
      <c r="Q347" s="357"/>
      <c r="R347" s="358"/>
      <c r="S347" s="359" t="str">
        <f>IFERROR(VLOOKUP(BD_MO[DNI 4],#REF!,2,FALSE)," ")</f>
        <v xml:space="preserve"> </v>
      </c>
      <c r="T347" s="360">
        <f>+IF(BD_MO[[#This Row],[FECHA]]&lt;&gt;"",COUNTA(BD_MO[[#This Row],[DNI]],BD_MO[[#This Row],[DNI 2]],BD_MO[[#This Row],[DNI 3]],BD_MO[[#This Row],[DNI 4]]),"")</f>
        <v>1</v>
      </c>
      <c r="U347" s="360"/>
      <c r="V347" s="360"/>
      <c r="W347" s="360"/>
      <c r="X347" s="360">
        <v>1</v>
      </c>
      <c r="Y347" s="361">
        <f>SUM(BD_MO[[#This Row],[LIMP]:[SERV]])</f>
        <v>1</v>
      </c>
      <c r="Z347" s="356"/>
      <c r="AA347" s="356" t="str">
        <f>+IF(BD_MO[[#This Row],[N° VALE]]&lt;&gt;"",1,"")</f>
        <v/>
      </c>
      <c r="AB347" s="353"/>
      <c r="AC347" s="356"/>
      <c r="AD347" s="356" t="str">
        <f>+IF(BD_MO[[#This Row],[N° VALE]]&lt;&gt;"",BD_MO[[#This Row],[FULMINANTE N° 08]]+BD_MO[CARMEX 7''],"")</f>
        <v/>
      </c>
      <c r="AE347" s="356"/>
      <c r="AF347" s="356" t="str">
        <f>+IF(BD_MO[[#This Row],[N° VALE]]&lt;&gt;"",BD_MO[[#This Row],[N° TALADROS]]+BD_MO[[#This Row],[N° TAL. VACIOS]],"")</f>
        <v/>
      </c>
      <c r="AG347" s="362"/>
      <c r="AH347" s="362"/>
      <c r="AI347" s="362"/>
      <c r="AJ347" s="362"/>
      <c r="AK347" s="362"/>
      <c r="AL347" s="362"/>
      <c r="AM347" s="355"/>
      <c r="AN347" s="35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47" s="356" t="str">
        <f>+IF(BD_MO[[#This Row],[N° VALE]]&lt;&gt;"",IF(BD_MO[[#This Row],[FULMINANTE N° 08]]&lt;&gt;"",BD_MO[[#This Row],[FULMINANTE N° 08]],IF(BD_MO[[#This Row],[CARMEX 7'']]&lt;&gt;0,0,"")),"")</f>
        <v/>
      </c>
      <c r="AP347" s="360" t="str">
        <f>+IF(BD_MO[[#This Row],[N° VALE]]&lt;&gt;"",BD_MO[[#This Row],[N°  TOTAL TALADROS]]*BD_MO[[#This Row],[BARRA]]*0.95,"")</f>
        <v/>
      </c>
      <c r="AQ347" s="360" t="str">
        <f>+IF(BD_MO[[#This Row],[N° VALE]]&lt;&gt;"",BD_MO[[#This Row],[EMULNOR 1000 (N° CART.)]]*PE_EMUL_1000[PE],"")</f>
        <v/>
      </c>
      <c r="AR347" s="360" t="str">
        <f>+IF(BD_MO[[#This Row],[N° VALE]]&lt;&gt;"",BD_MO[[#This Row],[EMULNOR 3000 (N° CART.)]]*PE_EMUL_3000[PE],"")</f>
        <v/>
      </c>
      <c r="AS347" s="360" t="str">
        <f>+IF(BD_MO[[#This Row],[N° VALE]]&lt;&gt;"",BD_MO[[#This Row],[PULVERULENTA (N° CART.)]]*PE_PULV_65[PE],"")</f>
        <v/>
      </c>
      <c r="AT347" s="360" t="str">
        <f>+IF(BD_MO[[#This Row],[N° DISP]]&lt;&gt;"",BD_MO[[#This Row],[SEMIGELATINA (N° CART.)]]*PE_SEMIGEL_65[PE],"")</f>
        <v/>
      </c>
      <c r="AU347" s="360" t="str">
        <f>+IF(BD_MO[N° VALE]&lt;&gt;"",BD_MO[[#This Row],[KG EXPLO SEMIGEL]]+BD_MO[[#This Row],[KG EXPLO PULVE]]+BD_MO[[#This Row],[KG EXPLO EMULN 3000]]+BD_MO[[#This Row],[KG EXPLO EMULN 1000]],"")</f>
        <v/>
      </c>
      <c r="AV347" s="356"/>
      <c r="AW347" s="356"/>
      <c r="AX347" s="356" t="str">
        <f>+IF(BD_MO[[#This Row],[MINERAL (U-35)]]&lt;&gt;"",BD_MO[[#This Row],[MINERAL (U-35)]]*1.45,"-")</f>
        <v>-</v>
      </c>
      <c r="AY347" s="356" t="str">
        <f>+IF(BD_MO[[#This Row],[DESMONTE (U-35)]]&lt;&gt;"",BD_MO[[#This Row],[DESMONTE (U-35)]]*1.23,"-")</f>
        <v>-</v>
      </c>
      <c r="AZ347" s="356"/>
      <c r="BA347" s="356"/>
      <c r="BB347" s="356"/>
      <c r="BC347" s="356"/>
      <c r="BD347" s="356"/>
      <c r="BE347" s="356"/>
      <c r="BF347" s="356"/>
      <c r="BG347" s="356"/>
      <c r="BH347" s="356"/>
      <c r="BI347" s="356"/>
      <c r="BJ347" s="356"/>
      <c r="BK347" s="356"/>
      <c r="BL347" s="356"/>
      <c r="BM347" s="356"/>
      <c r="BN347" s="355"/>
      <c r="BO347" s="356"/>
      <c r="BP347" s="356"/>
      <c r="BQ347" s="355"/>
      <c r="BR347" s="356"/>
      <c r="BS347" s="355"/>
      <c r="BT347" s="360"/>
      <c r="BU347" s="356"/>
      <c r="BV347" s="356"/>
      <c r="BW347" s="356"/>
      <c r="BX347" s="356"/>
      <c r="BY347" s="356"/>
      <c r="BZ347" s="356"/>
      <c r="CA347" s="356"/>
      <c r="CB347" s="356"/>
      <c r="CC347" s="356"/>
      <c r="CD347" s="356"/>
      <c r="CE347" s="356"/>
      <c r="CF347" s="356"/>
      <c r="CG347" s="356"/>
      <c r="CH347" s="356"/>
      <c r="CI347" s="356"/>
      <c r="CJ347" s="356"/>
      <c r="CK347" s="356"/>
      <c r="CL347" s="356"/>
      <c r="CM347" s="356"/>
      <c r="CN347" s="356"/>
      <c r="CO347" s="356"/>
      <c r="CP347" s="360">
        <f>+IF(BD_MO[[#This Row],[FECHA]]&lt;&gt;"",BD_MO[[#This Row],[PUNTAL 4"]]+BD_MO[[#This Row],[PUNTAL 5"]]+BD_MO[[#This Row],[PUNTAL 6"]]+BD_MO[[#This Row],[PUNTAL 7"]]+BD_MO[[#This Row],[PUNTAL 8"]],"")</f>
        <v>0</v>
      </c>
      <c r="CQ347" s="356"/>
      <c r="CR347" s="356"/>
      <c r="CS347" s="356"/>
      <c r="CT347" s="356"/>
      <c r="CU347" s="356"/>
      <c r="CV347" s="356"/>
      <c r="CW347" s="356"/>
      <c r="CX347" s="356"/>
      <c r="CY347" s="360"/>
      <c r="CZ347" s="360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47" s="360">
        <f>+IF(BD_MO[[#This Row],[FECHA]]&lt;&gt;"",BD_MO[[#This Row],[DURMIENTE2]]*6.561+BD_MO[[#This Row],[LISTONES]]*4.921+BD_MO[[#This Row],[TABLA 1"x8"x3m]]*6.561+BD_MO[[#This Row],[TABLA 2"x8"x3m]]*13.122,"")</f>
        <v>0</v>
      </c>
      <c r="DB347" s="360">
        <f>+IF(BD_MO[[#This Row],[FECHA]]&lt;&gt;"",BD_MO[[#This Row],[PIE2 MADERA ASERRADA]]*1.95,"")</f>
        <v>0</v>
      </c>
      <c r="DC347" s="360">
        <f>+IF(BD_MO[[#This Row],[FECHA]]&lt;&gt;"",BD_MO[[#This Row],[KG. MADERA REDONDA]]+BD_MO[[#This Row],[KG MADERA ASERRADA]],"")</f>
        <v>0</v>
      </c>
      <c r="DD347" s="363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47" s="356"/>
      <c r="DF347" s="356"/>
      <c r="DG347" s="356"/>
      <c r="DH347" s="356"/>
      <c r="DI347" s="364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47" s="364"/>
      <c r="DK347" s="364"/>
      <c r="DL347" s="364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47" s="364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47" s="364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47" s="365"/>
      <c r="DP347" s="364" t="str">
        <f>+IF(BD_MO[[#This Row],[M o D]]&lt;&gt;"",IF(BD_MO[[#This Row],[M o D]]="M",BD_MO[[#This Row],[ROTURA TMH]]/2.65,BD_MO[[#This Row],[ROTURA TMH]]/2.4),"")</f>
        <v/>
      </c>
      <c r="DQ347" s="364"/>
      <c r="DR347" s="116" t="str">
        <f>IF(BD_MO[[#This Row],[TIPO AVANCE]]="Avance",((BD_MO[[#This Row],[AVANCE (m)]]/BD_MO[[#This Row],[AVANCE TEÓRICO]]))," ")</f>
        <v xml:space="preserve"> </v>
      </c>
      <c r="DS347" s="113"/>
      <c r="DT347" s="113"/>
      <c r="DU347" s="113"/>
      <c r="DV347" s="113"/>
      <c r="DW347" s="113"/>
      <c r="DX347" s="114"/>
      <c r="DY347" s="114"/>
      <c r="DZ347" s="114"/>
    </row>
    <row r="348" spans="1:130" s="136" customFormat="1" ht="18" customHeight="1" x14ac:dyDescent="0.25">
      <c r="A348" s="328">
        <v>44671</v>
      </c>
      <c r="B348" s="329" t="s">
        <v>10655</v>
      </c>
      <c r="C348" s="329" t="s">
        <v>10672</v>
      </c>
      <c r="D348" s="343" t="s">
        <v>11827</v>
      </c>
      <c r="E348" s="344" t="str">
        <f>LEFT(BD_MO[[#This Row],[LABOR]],2)</f>
        <v>Tj</v>
      </c>
      <c r="F348" s="345" t="s">
        <v>10950</v>
      </c>
      <c r="G348" s="345" t="s">
        <v>10648</v>
      </c>
      <c r="H348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48" s="344" t="str">
        <f>IF(BD_MO[FECHA]&lt;&gt;"",VLOOKUP(BD_MO[LABOR],TB_CECO[[LABOR]:[CECO_T]],3,FALSE),"")</f>
        <v>VANESSA</v>
      </c>
      <c r="J348" s="344" t="str">
        <f>IF(BD_MO[FECHA]&lt;&gt;"",VLOOKUP(BD_MO[LABOR],D_CECO!B:H,7,FALSE),"")</f>
        <v>TAJO</v>
      </c>
      <c r="K348" s="344" t="str">
        <f>IF(BD_MO[FECHA]&lt;&gt;"",VLOOKUP(BD_MO[LABOR],D_CECO!B:H,4,FALSE),"")</f>
        <v>EXPLOTACION</v>
      </c>
      <c r="L348" s="344"/>
      <c r="M348" s="329" t="s">
        <v>10679</v>
      </c>
      <c r="N348" s="345"/>
      <c r="O348" s="333" t="s">
        <v>12194</v>
      </c>
      <c r="P348" s="333" t="s">
        <v>12332</v>
      </c>
      <c r="Q348" s="333"/>
      <c r="R348" s="346"/>
      <c r="S348" s="347" t="str">
        <f>IFERROR(VLOOKUP(BD_MO[DNI 4],#REF!,2,FALSE)," ")</f>
        <v xml:space="preserve"> </v>
      </c>
      <c r="T348" s="348">
        <f>+IF(BD_MO[[#This Row],[FECHA]]&lt;&gt;"",COUNTA(BD_MO[[#This Row],[DNI]],BD_MO[[#This Row],[DNI 2]],BD_MO[[#This Row],[DNI 3]],BD_MO[[#This Row],[DNI 4]]),"")</f>
        <v>2</v>
      </c>
      <c r="U348" s="348">
        <v>0.38</v>
      </c>
      <c r="V348" s="348">
        <v>0.28000000000000003</v>
      </c>
      <c r="W348" s="348">
        <v>0.76</v>
      </c>
      <c r="X348" s="348">
        <v>0.57999999999999996</v>
      </c>
      <c r="Y348" s="337">
        <f>SUM(BD_MO[[#This Row],[LIMP]:[SERV]])</f>
        <v>2</v>
      </c>
      <c r="Z348" s="345" t="s">
        <v>12334</v>
      </c>
      <c r="AA348" s="345">
        <f>+IF(BD_MO[[#This Row],[N° VALE]]&lt;&gt;"",1,"")</f>
        <v>1</v>
      </c>
      <c r="AB348" s="329" t="s">
        <v>10691</v>
      </c>
      <c r="AC348" s="345">
        <v>4</v>
      </c>
      <c r="AD348" s="345">
        <f>+IF(BD_MO[[#This Row],[N° VALE]]&lt;&gt;"",BD_MO[[#This Row],[FULMINANTE N° 08]]+BD_MO[CARMEX 7''],"")</f>
        <v>18</v>
      </c>
      <c r="AE348" s="345"/>
      <c r="AF348" s="345">
        <f>+IF(BD_MO[[#This Row],[N° VALE]]&lt;&gt;"",BD_MO[[#This Row],[N° TALADROS]]+BD_MO[[#This Row],[N° TAL. VACIOS]],"")</f>
        <v>18</v>
      </c>
      <c r="AG348" s="349">
        <v>50</v>
      </c>
      <c r="AH348" s="349">
        <v>40</v>
      </c>
      <c r="AI348" s="349"/>
      <c r="AJ348" s="349"/>
      <c r="AK348" s="349">
        <v>18</v>
      </c>
      <c r="AL348" s="349">
        <v>4</v>
      </c>
      <c r="AM348" s="344"/>
      <c r="AN348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48" s="345">
        <f>+IF(BD_MO[[#This Row],[N° VALE]]&lt;&gt;"",IF(BD_MO[[#This Row],[FULMINANTE N° 08]]&lt;&gt;"",BD_MO[[#This Row],[FULMINANTE N° 08]],IF(BD_MO[[#This Row],[CARMEX 7'']]&lt;&gt;0,0,"")),"")</f>
        <v>0</v>
      </c>
      <c r="AP348" s="348">
        <f>+IF(BD_MO[[#This Row],[N° VALE]]&lt;&gt;"",BD_MO[[#This Row],[N°  TOTAL TALADROS]]*BD_MO[[#This Row],[BARRA]]*0.95,"")</f>
        <v>68.399999999999991</v>
      </c>
      <c r="AQ348" s="348">
        <f>+IF(BD_MO[[#This Row],[N° VALE]]&lt;&gt;"",BD_MO[[#This Row],[EMULNOR 1000 (N° CART.)]]*PE_EMUL_1000[PE],"")</f>
        <v>3.7880000000000003</v>
      </c>
      <c r="AR348" s="348">
        <f>+IF(BD_MO[[#This Row],[N° VALE]]&lt;&gt;"",BD_MO[[#This Row],[EMULNOR 3000 (N° CART.)]]*PE_EMUL_3000[PE],"")</f>
        <v>4.8076923076923102</v>
      </c>
      <c r="AS348" s="348">
        <f>+IF(BD_MO[[#This Row],[N° VALE]]&lt;&gt;"",BD_MO[[#This Row],[PULVERULENTA (N° CART.)]]*PE_PULV_65[PE],"")</f>
        <v>0</v>
      </c>
      <c r="AT348" s="348">
        <f>+IF(BD_MO[[#This Row],[N° DISP]]&lt;&gt;"",BD_MO[[#This Row],[SEMIGELATINA (N° CART.)]]*PE_SEMIGEL_65[PE],"")</f>
        <v>0</v>
      </c>
      <c r="AU348" s="348">
        <f>+IF(BD_MO[N° VALE]&lt;&gt;"",BD_MO[[#This Row],[KG EXPLO SEMIGEL]]+BD_MO[[#This Row],[KG EXPLO PULVE]]+BD_MO[[#This Row],[KG EXPLO EMULN 3000]]+BD_MO[[#This Row],[KG EXPLO EMULN 1000]],"")</f>
        <v>8.5956923076923104</v>
      </c>
      <c r="AV348" s="345">
        <v>13</v>
      </c>
      <c r="AW348" s="345"/>
      <c r="AX348" s="345">
        <f>+IF(BD_MO[[#This Row],[MINERAL (U-35)]]&lt;&gt;"",BD_MO[[#This Row],[MINERAL (U-35)]]*1.45,"-")</f>
        <v>18.849999999999998</v>
      </c>
      <c r="AY348" s="345" t="str">
        <f>+IF(BD_MO[[#This Row],[DESMONTE (U-35)]]&lt;&gt;"",BD_MO[[#This Row],[DESMONTE (U-35)]]*1.23,"-")</f>
        <v>-</v>
      </c>
      <c r="AZ348" s="345"/>
      <c r="BA348" s="345"/>
      <c r="BB348" s="345"/>
      <c r="BC348" s="345"/>
      <c r="BD348" s="345"/>
      <c r="BE348" s="345"/>
      <c r="BF348" s="345"/>
      <c r="BG348" s="345"/>
      <c r="BH348" s="345"/>
      <c r="BI348" s="345">
        <v>2</v>
      </c>
      <c r="BJ348" s="345"/>
      <c r="BK348" s="345"/>
      <c r="BL348" s="345"/>
      <c r="BM348" s="345"/>
      <c r="BN348" s="344">
        <v>3</v>
      </c>
      <c r="BO348" s="345"/>
      <c r="BP348" s="345"/>
      <c r="BQ348" s="344"/>
      <c r="BR348" s="345"/>
      <c r="BS348" s="344"/>
      <c r="BT348" s="348"/>
      <c r="BU348" s="345"/>
      <c r="BV348" s="345"/>
      <c r="BW348" s="345">
        <v>1</v>
      </c>
      <c r="BX348" s="345"/>
      <c r="BY348" s="345"/>
      <c r="BZ348" s="345"/>
      <c r="CA348" s="345"/>
      <c r="CB348" s="345"/>
      <c r="CC348" s="345"/>
      <c r="CD348" s="345"/>
      <c r="CE348" s="345"/>
      <c r="CF348" s="345"/>
      <c r="CG348" s="345"/>
      <c r="CH348" s="345"/>
      <c r="CI348" s="345"/>
      <c r="CJ348" s="345"/>
      <c r="CK348" s="345"/>
      <c r="CL348" s="345"/>
      <c r="CM348" s="345">
        <v>1</v>
      </c>
      <c r="CN348" s="345"/>
      <c r="CO348" s="345"/>
      <c r="CP348" s="348">
        <f>+IF(BD_MO[[#This Row],[FECHA]]&lt;&gt;"",BD_MO[[#This Row],[PUNTAL 4"]]+BD_MO[[#This Row],[PUNTAL 5"]]+BD_MO[[#This Row],[PUNTAL 6"]]+BD_MO[[#This Row],[PUNTAL 7"]]+BD_MO[[#This Row],[PUNTAL 8"]],"")</f>
        <v>1</v>
      </c>
      <c r="CQ348" s="345"/>
      <c r="CR348" s="345"/>
      <c r="CS348" s="345">
        <v>5</v>
      </c>
      <c r="CT348" s="345"/>
      <c r="CU348" s="345"/>
      <c r="CV348" s="345"/>
      <c r="CW348" s="345"/>
      <c r="CX348" s="345"/>
      <c r="CY348" s="348"/>
      <c r="CZ348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167.874</v>
      </c>
      <c r="DA348" s="348">
        <f>+IF(BD_MO[[#This Row],[FECHA]]&lt;&gt;"",BD_MO[[#This Row],[DURMIENTE2]]*6.561+BD_MO[[#This Row],[LISTONES]]*4.921+BD_MO[[#This Row],[TABLA 1"x8"x3m]]*6.561+BD_MO[[#This Row],[TABLA 2"x8"x3m]]*13.122,"")</f>
        <v>0</v>
      </c>
      <c r="DB348" s="348">
        <f>+IF(BD_MO[[#This Row],[FECHA]]&lt;&gt;"",BD_MO[[#This Row],[PIE2 MADERA ASERRADA]]*1.95,"")</f>
        <v>0</v>
      </c>
      <c r="DC348" s="348">
        <f>+IF(BD_MO[[#This Row],[FECHA]]&lt;&gt;"",BD_MO[[#This Row],[KG. MADERA REDONDA]]+BD_MO[[#This Row],[KG MADERA ASERRADA]],"")</f>
        <v>167.874</v>
      </c>
      <c r="DD348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79.25</v>
      </c>
      <c r="DE348" s="345"/>
      <c r="DF348" s="345"/>
      <c r="DG348" s="345"/>
      <c r="DH348" s="345"/>
      <c r="DI348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48" s="351"/>
      <c r="DK348" s="351"/>
      <c r="DL348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4.2</v>
      </c>
      <c r="DM348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4.3680000000000003</v>
      </c>
      <c r="DN348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48" s="50">
        <f>20*0.4773</f>
        <v>9.5459999999999994</v>
      </c>
      <c r="DP348" s="351">
        <f>+IF(BD_MO[[#This Row],[M o D]]&lt;&gt;"",IF(BD_MO[[#This Row],[M o D]]="M",BD_MO[[#This Row],[ROTURA TMH]]/2.65,BD_MO[[#This Row],[ROTURA TMH]]/2.4),"")</f>
        <v>3.6022641509433959</v>
      </c>
      <c r="DQ348" s="351"/>
      <c r="DR348" s="116" t="str">
        <f>IF(BD_MO[[#This Row],[TIPO AVANCE]]="Avance",((BD_MO[[#This Row],[AVANCE (m)]]/BD_MO[[#This Row],[AVANCE TEÓRICO]]))," ")</f>
        <v xml:space="preserve"> </v>
      </c>
      <c r="DS348" s="134"/>
      <c r="DT348" s="134"/>
      <c r="DU348" s="134"/>
      <c r="DV348" s="134"/>
      <c r="DW348" s="134"/>
      <c r="DX348" s="135"/>
      <c r="DY348" s="135"/>
      <c r="DZ348" s="135"/>
    </row>
    <row r="349" spans="1:130" s="136" customFormat="1" ht="18" customHeight="1" x14ac:dyDescent="0.25">
      <c r="A349" s="328">
        <v>44671</v>
      </c>
      <c r="B349" s="329" t="s">
        <v>10655</v>
      </c>
      <c r="C349" s="329" t="s">
        <v>10672</v>
      </c>
      <c r="D349" s="343" t="s">
        <v>11851</v>
      </c>
      <c r="E349" s="344" t="str">
        <f>LEFT(BD_MO[[#This Row],[LABOR]],2)</f>
        <v>Es</v>
      </c>
      <c r="F349" s="345" t="s">
        <v>10687</v>
      </c>
      <c r="G349" s="345" t="s">
        <v>10648</v>
      </c>
      <c r="H349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49" s="344" t="str">
        <f>IF(BD_MO[FECHA]&lt;&gt;"",VLOOKUP(BD_MO[LABOR],TB_CECO[[LABOR]:[CECO_T]],3,FALSE),"")</f>
        <v>VANESSA</v>
      </c>
      <c r="J349" s="344" t="str">
        <f>IF(BD_MO[FECHA]&lt;&gt;"",VLOOKUP(BD_MO[LABOR],D_CECO!B:H,7,FALSE),"")</f>
        <v>LINEAL</v>
      </c>
      <c r="K349" s="344" t="str">
        <f>IF(BD_MO[FECHA]&lt;&gt;"",VLOOKUP(BD_MO[LABOR],D_CECO!B:H,4,FALSE),"")</f>
        <v>DESARROLLO</v>
      </c>
      <c r="L349" s="344"/>
      <c r="M349" s="329" t="s">
        <v>10646</v>
      </c>
      <c r="N349" s="345"/>
      <c r="O349" s="333" t="s">
        <v>12205</v>
      </c>
      <c r="P349" s="333" t="s">
        <v>12195</v>
      </c>
      <c r="Q349" s="333" t="s">
        <v>12323</v>
      </c>
      <c r="R349" s="346"/>
      <c r="S349" s="347" t="str">
        <f>IFERROR(VLOOKUP(BD_MO[DNI 4],#REF!,2,FALSE)," ")</f>
        <v xml:space="preserve"> </v>
      </c>
      <c r="T349" s="348">
        <f>+IF(BD_MO[[#This Row],[FECHA]]&lt;&gt;"",COUNTA(BD_MO[[#This Row],[DNI]],BD_MO[[#This Row],[DNI 2]],BD_MO[[#This Row],[DNI 3]],BD_MO[[#This Row],[DNI 4]]),"")</f>
        <v>3</v>
      </c>
      <c r="U349" s="348">
        <v>1.04</v>
      </c>
      <c r="V349" s="348">
        <v>0.56999999999999995</v>
      </c>
      <c r="W349" s="348">
        <v>0.42</v>
      </c>
      <c r="X349" s="348">
        <v>0.97</v>
      </c>
      <c r="Y349" s="337">
        <f>SUM(BD_MO[[#This Row],[LIMP]:[SERV]])</f>
        <v>3</v>
      </c>
      <c r="Z349" s="345" t="s">
        <v>12335</v>
      </c>
      <c r="AA349" s="345">
        <f>+IF(BD_MO[[#This Row],[N° VALE]]&lt;&gt;"",1,"")</f>
        <v>1</v>
      </c>
      <c r="AB349" s="329" t="s">
        <v>10705</v>
      </c>
      <c r="AC349" s="345">
        <v>4</v>
      </c>
      <c r="AD349" s="345">
        <f>+IF(BD_MO[[#This Row],[N° VALE]]&lt;&gt;"",BD_MO[[#This Row],[FULMINANTE N° 08]]+BD_MO[CARMEX 7''],"")</f>
        <v>22</v>
      </c>
      <c r="AE349" s="345"/>
      <c r="AF349" s="345">
        <f>+IF(BD_MO[[#This Row],[N° VALE]]&lt;&gt;"",BD_MO[[#This Row],[N° TALADROS]]+BD_MO[[#This Row],[N° TAL. VACIOS]],"")</f>
        <v>22</v>
      </c>
      <c r="AG349" s="349">
        <v>54</v>
      </c>
      <c r="AH349" s="349">
        <v>44</v>
      </c>
      <c r="AI349" s="349"/>
      <c r="AJ349" s="349"/>
      <c r="AK349" s="349">
        <v>22</v>
      </c>
      <c r="AL349" s="349">
        <v>3</v>
      </c>
      <c r="AM349" s="344"/>
      <c r="AN349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49" s="345">
        <f>+IF(BD_MO[[#This Row],[N° VALE]]&lt;&gt;"",IF(BD_MO[[#This Row],[FULMINANTE N° 08]]&lt;&gt;"",BD_MO[[#This Row],[FULMINANTE N° 08]],IF(BD_MO[[#This Row],[CARMEX 7'']]&lt;&gt;0,0,"")),"")</f>
        <v>0</v>
      </c>
      <c r="AP349" s="348">
        <f>+IF(BD_MO[[#This Row],[N° VALE]]&lt;&gt;"",BD_MO[[#This Row],[N°  TOTAL TALADROS]]*BD_MO[[#This Row],[BARRA]]*0.95,"")</f>
        <v>83.6</v>
      </c>
      <c r="AQ349" s="348">
        <f>+IF(BD_MO[[#This Row],[N° VALE]]&lt;&gt;"",BD_MO[[#This Row],[EMULNOR 1000 (N° CART.)]]*PE_EMUL_1000[PE],"")</f>
        <v>4.1668000000000003</v>
      </c>
      <c r="AR349" s="348">
        <f>+IF(BD_MO[[#This Row],[N° VALE]]&lt;&gt;"",BD_MO[[#This Row],[EMULNOR 3000 (N° CART.)]]*PE_EMUL_3000[PE],"")</f>
        <v>5.1923076923076952</v>
      </c>
      <c r="AS349" s="348">
        <f>+IF(BD_MO[[#This Row],[N° VALE]]&lt;&gt;"",BD_MO[[#This Row],[PULVERULENTA (N° CART.)]]*PE_PULV_65[PE],"")</f>
        <v>0</v>
      </c>
      <c r="AT349" s="348">
        <f>+IF(BD_MO[[#This Row],[N° DISP]]&lt;&gt;"",BD_MO[[#This Row],[SEMIGELATINA (N° CART.)]]*PE_SEMIGEL_65[PE],"")</f>
        <v>0</v>
      </c>
      <c r="AU349" s="348">
        <f>+IF(BD_MO[N° VALE]&lt;&gt;"",BD_MO[[#This Row],[KG EXPLO SEMIGEL]]+BD_MO[[#This Row],[KG EXPLO PULVE]]+BD_MO[[#This Row],[KG EXPLO EMULN 3000]]+BD_MO[[#This Row],[KG EXPLO EMULN 1000]],"")</f>
        <v>9.3591076923076955</v>
      </c>
      <c r="AV349" s="345"/>
      <c r="AW349" s="345">
        <v>15</v>
      </c>
      <c r="AX349" s="345" t="str">
        <f>+IF(BD_MO[[#This Row],[MINERAL (U-35)]]&lt;&gt;"",BD_MO[[#This Row],[MINERAL (U-35)]]*1.45,"-")</f>
        <v>-</v>
      </c>
      <c r="AY349" s="345">
        <f>+IF(BD_MO[[#This Row],[DESMONTE (U-35)]]&lt;&gt;"",BD_MO[[#This Row],[DESMONTE (U-35)]]*1.23,"-")</f>
        <v>18.45</v>
      </c>
      <c r="AZ349" s="345"/>
      <c r="BA349" s="345"/>
      <c r="BB349" s="345"/>
      <c r="BC349" s="345"/>
      <c r="BD349" s="345"/>
      <c r="BE349" s="345"/>
      <c r="BF349" s="345"/>
      <c r="BG349" s="345"/>
      <c r="BH349" s="345"/>
      <c r="BI349" s="345"/>
      <c r="BJ349" s="345"/>
      <c r="BK349" s="345"/>
      <c r="BL349" s="345"/>
      <c r="BM349" s="345"/>
      <c r="BN349" s="344"/>
      <c r="BO349" s="345"/>
      <c r="BP349" s="345"/>
      <c r="BQ349" s="344">
        <v>3</v>
      </c>
      <c r="BR349" s="345"/>
      <c r="BS349" s="344"/>
      <c r="BT349" s="348"/>
      <c r="BU349" s="345"/>
      <c r="BV349" s="345"/>
      <c r="BW349" s="345">
        <v>2</v>
      </c>
      <c r="BX349" s="345"/>
      <c r="BY349" s="345"/>
      <c r="BZ349" s="345"/>
      <c r="CA349" s="345"/>
      <c r="CB349" s="345"/>
      <c r="CC349" s="345"/>
      <c r="CD349" s="345"/>
      <c r="CE349" s="345"/>
      <c r="CF349" s="345"/>
      <c r="CG349" s="345"/>
      <c r="CH349" s="345"/>
      <c r="CI349" s="345"/>
      <c r="CJ349" s="345"/>
      <c r="CK349" s="345"/>
      <c r="CL349" s="345"/>
      <c r="CM349" s="345"/>
      <c r="CN349" s="345"/>
      <c r="CO349" s="345"/>
      <c r="CP349" s="348">
        <f>+IF(BD_MO[[#This Row],[FECHA]]&lt;&gt;"",BD_MO[[#This Row],[PUNTAL 4"]]+BD_MO[[#This Row],[PUNTAL 5"]]+BD_MO[[#This Row],[PUNTAL 6"]]+BD_MO[[#This Row],[PUNTAL 7"]]+BD_MO[[#This Row],[PUNTAL 8"]],"")</f>
        <v>0</v>
      </c>
      <c r="CQ349" s="345"/>
      <c r="CR349" s="345"/>
      <c r="CS349" s="345"/>
      <c r="CT349" s="345"/>
      <c r="CU349" s="345"/>
      <c r="CV349" s="345"/>
      <c r="CW349" s="345"/>
      <c r="CX349" s="345"/>
      <c r="CY349" s="348"/>
      <c r="CZ349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49" s="348">
        <f>+IF(BD_MO[[#This Row],[FECHA]]&lt;&gt;"",BD_MO[[#This Row],[DURMIENTE2]]*6.561+BD_MO[[#This Row],[LISTONES]]*4.921+BD_MO[[#This Row],[TABLA 1"x8"x3m]]*6.561+BD_MO[[#This Row],[TABLA 2"x8"x3m]]*13.122,"")</f>
        <v>0</v>
      </c>
      <c r="DB349" s="348">
        <f>+IF(BD_MO[[#This Row],[FECHA]]&lt;&gt;"",BD_MO[[#This Row],[PIE2 MADERA ASERRADA]]*1.95,"")</f>
        <v>0</v>
      </c>
      <c r="DC349" s="348">
        <f>+IF(BD_MO[[#This Row],[FECHA]]&lt;&gt;"",BD_MO[[#This Row],[KG. MADERA REDONDA]]+BD_MO[[#This Row],[KG MADERA ASERRADA]],"")</f>
        <v>0</v>
      </c>
      <c r="DD349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49" s="345"/>
      <c r="DF349" s="345"/>
      <c r="DG349" s="345"/>
      <c r="DH349" s="345"/>
      <c r="DI349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49" s="351"/>
      <c r="DK349" s="351"/>
      <c r="DL349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49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49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49" s="389">
        <f>22*0.8</f>
        <v>17.600000000000001</v>
      </c>
      <c r="DP349" s="351">
        <f>+IF(BD_MO[[#This Row],[M o D]]&lt;&gt;"",IF(BD_MO[[#This Row],[M o D]]="M",BD_MO[[#This Row],[ROTURA TMH]]/2.65,BD_MO[[#This Row],[ROTURA TMH]]/2.4),"")</f>
        <v>7.3333333333333339</v>
      </c>
      <c r="DQ349" s="351">
        <v>0.95</v>
      </c>
      <c r="DR349" s="116">
        <f>IF(BD_MO[[#This Row],[TIPO AVANCE]]="Avance",((BD_MO[[#This Row],[AVANCE (m)]]/BD_MO[[#This Row],[AVANCE TEÓRICO]]))," ")</f>
        <v>0.87962962962962954</v>
      </c>
      <c r="DS349" s="134"/>
      <c r="DT349" s="134"/>
      <c r="DU349" s="134"/>
      <c r="DV349" s="134"/>
      <c r="DW349" s="134"/>
      <c r="DX349" s="135"/>
      <c r="DY349" s="135"/>
      <c r="DZ349" s="135"/>
    </row>
    <row r="350" spans="1:130" s="136" customFormat="1" ht="18" customHeight="1" x14ac:dyDescent="0.25">
      <c r="A350" s="328">
        <v>44671</v>
      </c>
      <c r="B350" s="329" t="s">
        <v>10655</v>
      </c>
      <c r="C350" s="329" t="s">
        <v>10672</v>
      </c>
      <c r="D350" s="343" t="s">
        <v>12317</v>
      </c>
      <c r="E350" s="344" t="str">
        <f>LEFT(BD_MO[[#This Row],[LABOR]],2)</f>
        <v>Sn</v>
      </c>
      <c r="F350" s="345" t="s">
        <v>10950</v>
      </c>
      <c r="G350" s="345" t="s">
        <v>10648</v>
      </c>
      <c r="H350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50" s="344" t="s">
        <v>12254</v>
      </c>
      <c r="J350" s="383" t="s">
        <v>10525</v>
      </c>
      <c r="K350" s="344" t="s">
        <v>12247</v>
      </c>
      <c r="L350" s="344"/>
      <c r="M350" s="329" t="s">
        <v>10646</v>
      </c>
      <c r="N350" s="345"/>
      <c r="O350" s="333" t="s">
        <v>12192</v>
      </c>
      <c r="P350" s="333" t="s">
        <v>12207</v>
      </c>
      <c r="Q350" s="333"/>
      <c r="R350" s="346"/>
      <c r="S350" s="347" t="str">
        <f>IFERROR(VLOOKUP(BD_MO[DNI 4],#REF!,2,FALSE)," ")</f>
        <v xml:space="preserve"> </v>
      </c>
      <c r="T350" s="348">
        <f>+IF(BD_MO[[#This Row],[FECHA]]&lt;&gt;"",COUNTA(BD_MO[[#This Row],[DNI]],BD_MO[[#This Row],[DNI 2]],BD_MO[[#This Row],[DNI 3]],BD_MO[[#This Row],[DNI 4]]),"")</f>
        <v>2</v>
      </c>
      <c r="U350" s="348">
        <v>0.28000000000000003</v>
      </c>
      <c r="V350" s="348">
        <v>0.38</v>
      </c>
      <c r="W350" s="348">
        <v>0.76</v>
      </c>
      <c r="X350" s="348">
        <v>0.57999999999999996</v>
      </c>
      <c r="Y350" s="337">
        <f>SUM(BD_MO[[#This Row],[LIMP]:[SERV]])</f>
        <v>2</v>
      </c>
      <c r="Z350" s="345" t="s">
        <v>12336</v>
      </c>
      <c r="AA350" s="345">
        <f>+IF(BD_MO[[#This Row],[N° VALE]]&lt;&gt;"",1,"")</f>
        <v>1</v>
      </c>
      <c r="AB350" s="329" t="s">
        <v>10659</v>
      </c>
      <c r="AC350" s="345">
        <v>4</v>
      </c>
      <c r="AD350" s="345">
        <f>+IF(BD_MO[[#This Row],[N° VALE]]&lt;&gt;"",BD_MO[[#This Row],[FULMINANTE N° 08]]+BD_MO[CARMEX 7''],"")</f>
        <v>18</v>
      </c>
      <c r="AE350" s="345"/>
      <c r="AF350" s="345">
        <f>+IF(BD_MO[[#This Row],[N° VALE]]&lt;&gt;"",BD_MO[[#This Row],[N° TALADROS]]+BD_MO[[#This Row],[N° TAL. VACIOS]],"")</f>
        <v>18</v>
      </c>
      <c r="AG350" s="349">
        <v>42</v>
      </c>
      <c r="AH350" s="349">
        <v>40</v>
      </c>
      <c r="AI350" s="349"/>
      <c r="AJ350" s="349"/>
      <c r="AK350" s="349">
        <v>18</v>
      </c>
      <c r="AL350" s="349">
        <v>4</v>
      </c>
      <c r="AM350" s="344"/>
      <c r="AN350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50" s="345">
        <f>+IF(BD_MO[[#This Row],[N° VALE]]&lt;&gt;"",IF(BD_MO[[#This Row],[FULMINANTE N° 08]]&lt;&gt;"",BD_MO[[#This Row],[FULMINANTE N° 08]],IF(BD_MO[[#This Row],[CARMEX 7'']]&lt;&gt;0,0,"")),"")</f>
        <v>0</v>
      </c>
      <c r="AP350" s="348">
        <f>+IF(BD_MO[[#This Row],[N° VALE]]&lt;&gt;"",BD_MO[[#This Row],[N°  TOTAL TALADROS]]*BD_MO[[#This Row],[BARRA]]*0.95,"")</f>
        <v>68.399999999999991</v>
      </c>
      <c r="AQ350" s="348">
        <f>+IF(BD_MO[[#This Row],[N° VALE]]&lt;&gt;"",BD_MO[[#This Row],[EMULNOR 1000 (N° CART.)]]*PE_EMUL_1000[PE],"")</f>
        <v>3.7880000000000003</v>
      </c>
      <c r="AR350" s="348">
        <f>+IF(BD_MO[[#This Row],[N° VALE]]&lt;&gt;"",BD_MO[[#This Row],[EMULNOR 3000 (N° CART.)]]*PE_EMUL_3000[PE],"")</f>
        <v>4.0384615384615401</v>
      </c>
      <c r="AS350" s="348">
        <f>+IF(BD_MO[[#This Row],[N° VALE]]&lt;&gt;"",BD_MO[[#This Row],[PULVERULENTA (N° CART.)]]*PE_PULV_65[PE],"")</f>
        <v>0</v>
      </c>
      <c r="AT350" s="348">
        <f>+IF(BD_MO[[#This Row],[N° DISP]]&lt;&gt;"",BD_MO[[#This Row],[SEMIGELATINA (N° CART.)]]*PE_SEMIGEL_65[PE],"")</f>
        <v>0</v>
      </c>
      <c r="AU350" s="348">
        <f>+IF(BD_MO[N° VALE]&lt;&gt;"",BD_MO[[#This Row],[KG EXPLO SEMIGEL]]+BD_MO[[#This Row],[KG EXPLO PULVE]]+BD_MO[[#This Row],[KG EXPLO EMULN 3000]]+BD_MO[[#This Row],[KG EXPLO EMULN 1000]],"")</f>
        <v>7.8264615384615404</v>
      </c>
      <c r="AV350" s="345"/>
      <c r="AW350" s="345"/>
      <c r="AX350" s="345" t="str">
        <f>+IF(BD_MO[[#This Row],[MINERAL (U-35)]]&lt;&gt;"",BD_MO[[#This Row],[MINERAL (U-35)]]*1.45,"-")</f>
        <v>-</v>
      </c>
      <c r="AY350" s="345" t="str">
        <f>+IF(BD_MO[[#This Row],[DESMONTE (U-35)]]&lt;&gt;"",BD_MO[[#This Row],[DESMONTE (U-35)]]*1.23,"-")</f>
        <v>-</v>
      </c>
      <c r="AZ350" s="345"/>
      <c r="BA350" s="345">
        <v>1</v>
      </c>
      <c r="BB350" s="345"/>
      <c r="BC350" s="345"/>
      <c r="BD350" s="345"/>
      <c r="BE350" s="345"/>
      <c r="BF350" s="345"/>
      <c r="BG350" s="345"/>
      <c r="BH350" s="345"/>
      <c r="BI350" s="345">
        <v>1</v>
      </c>
      <c r="BJ350" s="345"/>
      <c r="BK350" s="345"/>
      <c r="BL350" s="345"/>
      <c r="BM350" s="345"/>
      <c r="BN350" s="344"/>
      <c r="BO350" s="345">
        <v>2</v>
      </c>
      <c r="BP350" s="345"/>
      <c r="BQ350" s="344"/>
      <c r="BR350" s="345"/>
      <c r="BS350" s="344"/>
      <c r="BT350" s="348">
        <v>4.87</v>
      </c>
      <c r="BU350" s="345"/>
      <c r="BV350" s="345"/>
      <c r="BW350" s="345"/>
      <c r="BX350" s="345"/>
      <c r="BY350" s="345"/>
      <c r="BZ350" s="345"/>
      <c r="CA350" s="345"/>
      <c r="CB350" s="345"/>
      <c r="CC350" s="345"/>
      <c r="CD350" s="345"/>
      <c r="CE350" s="345"/>
      <c r="CF350" s="345"/>
      <c r="CG350" s="345"/>
      <c r="CH350" s="345"/>
      <c r="CI350" s="345"/>
      <c r="CJ350" s="345"/>
      <c r="CK350" s="345"/>
      <c r="CL350" s="345">
        <v>3</v>
      </c>
      <c r="CM350" s="345">
        <v>4</v>
      </c>
      <c r="CN350" s="345">
        <v>4</v>
      </c>
      <c r="CO350" s="345"/>
      <c r="CP350" s="348">
        <f>+IF(BD_MO[[#This Row],[FECHA]]&lt;&gt;"",BD_MO[[#This Row],[PUNTAL 4"]]+BD_MO[[#This Row],[PUNTAL 5"]]+BD_MO[[#This Row],[PUNTAL 6"]]+BD_MO[[#This Row],[PUNTAL 7"]]+BD_MO[[#This Row],[PUNTAL 8"]],"")</f>
        <v>11</v>
      </c>
      <c r="CQ350" s="345"/>
      <c r="CR350" s="345"/>
      <c r="CS350" s="345">
        <v>12</v>
      </c>
      <c r="CT350" s="345"/>
      <c r="CU350" s="345"/>
      <c r="CV350" s="345"/>
      <c r="CW350" s="345"/>
      <c r="CX350" s="345"/>
      <c r="CY350" s="348"/>
      <c r="CZ350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812.50100000000009</v>
      </c>
      <c r="DA350" s="348">
        <f>+IF(BD_MO[[#This Row],[FECHA]]&lt;&gt;"",BD_MO[[#This Row],[DURMIENTE2]]*6.561+BD_MO[[#This Row],[LISTONES]]*4.921+BD_MO[[#This Row],[TABLA 1"x8"x3m]]*6.561+BD_MO[[#This Row],[TABLA 2"x8"x3m]]*13.122,"")</f>
        <v>0</v>
      </c>
      <c r="DB350" s="348">
        <f>+IF(BD_MO[[#This Row],[FECHA]]&lt;&gt;"",BD_MO[[#This Row],[PIE2 MADERA ASERRADA]]*1.95,"")</f>
        <v>0</v>
      </c>
      <c r="DC350" s="348">
        <f>+IF(BD_MO[[#This Row],[FECHA]]&lt;&gt;"",BD_MO[[#This Row],[KG. MADERA REDONDA]]+BD_MO[[#This Row],[KG MADERA ASERRADA]],"")</f>
        <v>812.50100000000009</v>
      </c>
      <c r="DD350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343.28</v>
      </c>
      <c r="DE350" s="345"/>
      <c r="DF350" s="345"/>
      <c r="DG350" s="329"/>
      <c r="DH350" s="345"/>
      <c r="DI350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50" s="351"/>
      <c r="DK350" s="351"/>
      <c r="DL350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50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50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50" s="367">
        <f>18*0.74842</f>
        <v>13.47156</v>
      </c>
      <c r="DP350" s="351">
        <f>+IF(BD_MO[[#This Row],[M o D]]&lt;&gt;"",IF(BD_MO[[#This Row],[M o D]]="M",BD_MO[[#This Row],[ROTURA TMH]]/2.65,BD_MO[[#This Row],[ROTURA TMH]]/2.4),"")</f>
        <v>5.0836075471698114</v>
      </c>
      <c r="DQ350" s="351">
        <v>0.86</v>
      </c>
      <c r="DR350" s="116">
        <f>IF(BD_MO[[#This Row],[TIPO AVANCE]]="Avance",((BD_MO[[#This Row],[AVANCE (m)]]/BD_MO[[#This Row],[AVANCE TEÓRICO]]))," ")</f>
        <v>0.79629629629629628</v>
      </c>
      <c r="DS350" s="134"/>
      <c r="DT350" s="134"/>
      <c r="DU350" s="134"/>
      <c r="DV350" s="134"/>
      <c r="DW350" s="134"/>
      <c r="DX350" s="135"/>
      <c r="DY350" s="135"/>
      <c r="DZ350" s="135"/>
    </row>
    <row r="351" spans="1:130" s="136" customFormat="1" ht="18" customHeight="1" x14ac:dyDescent="0.25">
      <c r="A351" s="328">
        <v>44671</v>
      </c>
      <c r="B351" s="329" t="s">
        <v>10655</v>
      </c>
      <c r="C351" s="329" t="s">
        <v>10672</v>
      </c>
      <c r="D351" s="343" t="s">
        <v>12304</v>
      </c>
      <c r="E351" s="344" t="str">
        <f>LEFT(BD_MO[[#This Row],[LABOR]],2)</f>
        <v>Ch</v>
      </c>
      <c r="F351" s="345" t="s">
        <v>10950</v>
      </c>
      <c r="G351" s="345" t="s">
        <v>10648</v>
      </c>
      <c r="H351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51" s="344" t="s">
        <v>12254</v>
      </c>
      <c r="J351" s="387" t="s">
        <v>10525</v>
      </c>
      <c r="K351" s="344" t="s">
        <v>12247</v>
      </c>
      <c r="L351" s="344"/>
      <c r="M351" s="329" t="s">
        <v>10646</v>
      </c>
      <c r="N351" s="345"/>
      <c r="O351" s="333" t="s">
        <v>12233</v>
      </c>
      <c r="P351" s="333"/>
      <c r="Q351" s="333"/>
      <c r="R351" s="346"/>
      <c r="S351" s="347" t="str">
        <f>IFERROR(VLOOKUP(BD_MO[DNI 4],#REF!,2,FALSE)," ")</f>
        <v xml:space="preserve"> </v>
      </c>
      <c r="T351" s="348">
        <f>+IF(BD_MO[[#This Row],[FECHA]]&lt;&gt;"",COUNTA(BD_MO[[#This Row],[DNI]],BD_MO[[#This Row],[DNI 2]],BD_MO[[#This Row],[DNI 3]],BD_MO[[#This Row],[DNI 4]]),"")</f>
        <v>1</v>
      </c>
      <c r="U351" s="348"/>
      <c r="V351" s="348">
        <v>1.04</v>
      </c>
      <c r="W351" s="348"/>
      <c r="X351" s="348">
        <v>0.96</v>
      </c>
      <c r="Y351" s="337">
        <f>SUM(BD_MO[[#This Row],[LIMP]:[SERV]])</f>
        <v>2</v>
      </c>
      <c r="Z351" s="345" t="s">
        <v>12337</v>
      </c>
      <c r="AA351" s="345">
        <f>+IF(BD_MO[[#This Row],[N° VALE]]&lt;&gt;"",1,"")</f>
        <v>1</v>
      </c>
      <c r="AB351" s="329" t="s">
        <v>10710</v>
      </c>
      <c r="AC351" s="345">
        <v>5</v>
      </c>
      <c r="AD351" s="345">
        <f>+IF(BD_MO[[#This Row],[N° VALE]]&lt;&gt;"",BD_MO[[#This Row],[FULMINANTE N° 08]]+BD_MO[CARMEX 7''],"")</f>
        <v>25</v>
      </c>
      <c r="AE351" s="345"/>
      <c r="AF351" s="345">
        <f>+IF(BD_MO[[#This Row],[N° VALE]]&lt;&gt;"",BD_MO[[#This Row],[N° TALADROS]]+BD_MO[[#This Row],[N° TAL. VACIOS]],"")</f>
        <v>25</v>
      </c>
      <c r="AG351" s="349">
        <v>83</v>
      </c>
      <c r="AH351" s="349">
        <v>57</v>
      </c>
      <c r="AI351" s="349"/>
      <c r="AJ351" s="349"/>
      <c r="AK351" s="349">
        <v>25</v>
      </c>
      <c r="AL351" s="349">
        <v>5</v>
      </c>
      <c r="AM351" s="344"/>
      <c r="AN351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51" s="345">
        <f>+IF(BD_MO[[#This Row],[N° VALE]]&lt;&gt;"",IF(BD_MO[[#This Row],[FULMINANTE N° 08]]&lt;&gt;"",BD_MO[[#This Row],[FULMINANTE N° 08]],IF(BD_MO[[#This Row],[CARMEX 7'']]&lt;&gt;0,0,"")),"")</f>
        <v>0</v>
      </c>
      <c r="AP351" s="348">
        <f>+IF(BD_MO[[#This Row],[N° VALE]]&lt;&gt;"",BD_MO[[#This Row],[N°  TOTAL TALADROS]]*BD_MO[[#This Row],[BARRA]]*0.95,"")</f>
        <v>118.75</v>
      </c>
      <c r="AQ351" s="348">
        <f>+IF(BD_MO[[#This Row],[N° VALE]]&lt;&gt;"",BD_MO[[#This Row],[EMULNOR 1000 (N° CART.)]]*PE_EMUL_1000[PE],"")</f>
        <v>5.3978999999999999</v>
      </c>
      <c r="AR351" s="348">
        <f>+IF(BD_MO[[#This Row],[N° VALE]]&lt;&gt;"",BD_MO[[#This Row],[EMULNOR 3000 (N° CART.)]]*PE_EMUL_3000[PE],"")</f>
        <v>7.9807692307692344</v>
      </c>
      <c r="AS351" s="348">
        <f>+IF(BD_MO[[#This Row],[N° VALE]]&lt;&gt;"",BD_MO[[#This Row],[PULVERULENTA (N° CART.)]]*PE_PULV_65[PE],"")</f>
        <v>0</v>
      </c>
      <c r="AT351" s="348">
        <f>+IF(BD_MO[[#This Row],[N° DISP]]&lt;&gt;"",BD_MO[[#This Row],[SEMIGELATINA (N° CART.)]]*PE_SEMIGEL_65[PE],"")</f>
        <v>0</v>
      </c>
      <c r="AU351" s="348">
        <f>+IF(BD_MO[N° VALE]&lt;&gt;"",BD_MO[[#This Row],[KG EXPLO SEMIGEL]]+BD_MO[[#This Row],[KG EXPLO PULVE]]+BD_MO[[#This Row],[KG EXPLO EMULN 3000]]+BD_MO[[#This Row],[KG EXPLO EMULN 1000]],"")</f>
        <v>13.378669230769233</v>
      </c>
      <c r="AV351" s="345"/>
      <c r="AW351" s="345"/>
      <c r="AX351" s="345" t="str">
        <f>+IF(BD_MO[[#This Row],[MINERAL (U-35)]]&lt;&gt;"",BD_MO[[#This Row],[MINERAL (U-35)]]*1.45,"-")</f>
        <v>-</v>
      </c>
      <c r="AY351" s="345" t="str">
        <f>+IF(BD_MO[[#This Row],[DESMONTE (U-35)]]&lt;&gt;"",BD_MO[[#This Row],[DESMONTE (U-35)]]*1.23,"-")</f>
        <v>-</v>
      </c>
      <c r="AZ351" s="345"/>
      <c r="BA351" s="345"/>
      <c r="BB351" s="345"/>
      <c r="BC351" s="345"/>
      <c r="BD351" s="345"/>
      <c r="BE351" s="345"/>
      <c r="BF351" s="345"/>
      <c r="BG351" s="345"/>
      <c r="BH351" s="345"/>
      <c r="BI351" s="345"/>
      <c r="BJ351" s="345"/>
      <c r="BK351" s="345"/>
      <c r="BL351" s="345"/>
      <c r="BM351" s="345"/>
      <c r="BN351" s="344"/>
      <c r="BO351" s="345"/>
      <c r="BP351" s="345"/>
      <c r="BQ351" s="344"/>
      <c r="BR351" s="345"/>
      <c r="BS351" s="344"/>
      <c r="BT351" s="348"/>
      <c r="BU351" s="345"/>
      <c r="BV351" s="345"/>
      <c r="BW351" s="345"/>
      <c r="BX351" s="345"/>
      <c r="BY351" s="345"/>
      <c r="BZ351" s="345"/>
      <c r="CA351" s="345"/>
      <c r="CB351" s="345"/>
      <c r="CC351" s="345"/>
      <c r="CD351" s="345"/>
      <c r="CE351" s="345"/>
      <c r="CF351" s="345"/>
      <c r="CG351" s="345"/>
      <c r="CH351" s="345"/>
      <c r="CI351" s="345"/>
      <c r="CJ351" s="345"/>
      <c r="CK351" s="345"/>
      <c r="CL351" s="345"/>
      <c r="CM351" s="345"/>
      <c r="CN351" s="345"/>
      <c r="CO351" s="345"/>
      <c r="CP351" s="348">
        <f>+IF(BD_MO[[#This Row],[FECHA]]&lt;&gt;"",BD_MO[[#This Row],[PUNTAL 4"]]+BD_MO[[#This Row],[PUNTAL 5"]]+BD_MO[[#This Row],[PUNTAL 6"]]+BD_MO[[#This Row],[PUNTAL 7"]]+BD_MO[[#This Row],[PUNTAL 8"]],"")</f>
        <v>0</v>
      </c>
      <c r="CQ351" s="345"/>
      <c r="CR351" s="345"/>
      <c r="CS351" s="345"/>
      <c r="CT351" s="345"/>
      <c r="CU351" s="345"/>
      <c r="CV351" s="345"/>
      <c r="CW351" s="345"/>
      <c r="CX351" s="345"/>
      <c r="CY351" s="348"/>
      <c r="CZ351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51" s="348">
        <f>+IF(BD_MO[[#This Row],[FECHA]]&lt;&gt;"",BD_MO[[#This Row],[DURMIENTE2]]*6.561+BD_MO[[#This Row],[LISTONES]]*4.921+BD_MO[[#This Row],[TABLA 1"x8"x3m]]*6.561+BD_MO[[#This Row],[TABLA 2"x8"x3m]]*13.122,"")</f>
        <v>0</v>
      </c>
      <c r="DB351" s="348">
        <f>+IF(BD_MO[[#This Row],[FECHA]]&lt;&gt;"",BD_MO[[#This Row],[PIE2 MADERA ASERRADA]]*1.95,"")</f>
        <v>0</v>
      </c>
      <c r="DC351" s="348">
        <f>+IF(BD_MO[[#This Row],[FECHA]]&lt;&gt;"",BD_MO[[#This Row],[KG. MADERA REDONDA]]+BD_MO[[#This Row],[KG MADERA ASERRADA]],"")</f>
        <v>0</v>
      </c>
      <c r="DD351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51" s="345"/>
      <c r="DF351" s="345"/>
      <c r="DG351" s="345"/>
      <c r="DH351" s="345"/>
      <c r="DI351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351" s="351"/>
      <c r="DK351" s="351"/>
      <c r="DL351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51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51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51" s="367">
        <f>25*0.75017241</f>
        <v>18.75431025</v>
      </c>
      <c r="DP351" s="351">
        <f>+IF(BD_MO[[#This Row],[M o D]]&lt;&gt;"",IF(BD_MO[[#This Row],[M o D]]="M",BD_MO[[#This Row],[ROTURA TMH]]/2.65,BD_MO[[#This Row],[ROTURA TMH]]/2.4),"")</f>
        <v>7.07709820754717</v>
      </c>
      <c r="DQ351" s="351">
        <f>0.05*25</f>
        <v>1.25</v>
      </c>
      <c r="DR351" s="116">
        <f>IF(BD_MO[[#This Row],[TIPO AVANCE]]="Avance",((BD_MO[[#This Row],[AVANCE (m)]]/BD_MO[[#This Row],[AVANCE TEÓRICO]]))," ")</f>
        <v>0.92592592592592582</v>
      </c>
      <c r="DS351" s="134"/>
      <c r="DT351" s="134"/>
      <c r="DU351" s="134"/>
      <c r="DV351" s="134"/>
      <c r="DW351" s="134"/>
      <c r="DX351" s="135"/>
      <c r="DY351" s="135"/>
      <c r="DZ351" s="135"/>
    </row>
    <row r="352" spans="1:130" s="136" customFormat="1" ht="18" customHeight="1" x14ac:dyDescent="0.25">
      <c r="A352" s="328">
        <v>44671</v>
      </c>
      <c r="B352" s="329" t="s">
        <v>10655</v>
      </c>
      <c r="C352" s="329" t="s">
        <v>10672</v>
      </c>
      <c r="D352" s="343" t="s">
        <v>12304</v>
      </c>
      <c r="E352" s="344" t="str">
        <f>LEFT(BD_MO[[#This Row],[LABOR]],2)</f>
        <v>Ch</v>
      </c>
      <c r="F352" s="345" t="s">
        <v>10687</v>
      </c>
      <c r="G352" s="345" t="s">
        <v>10648</v>
      </c>
      <c r="H352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52" s="344" t="s">
        <v>12254</v>
      </c>
      <c r="J352" s="387" t="s">
        <v>10525</v>
      </c>
      <c r="K352" s="344" t="s">
        <v>12247</v>
      </c>
      <c r="L352" s="344"/>
      <c r="M352" s="329" t="s">
        <v>10679</v>
      </c>
      <c r="N352" s="345"/>
      <c r="O352" s="333" t="s">
        <v>12197</v>
      </c>
      <c r="P352" s="333"/>
      <c r="Q352" s="333"/>
      <c r="R352" s="346"/>
      <c r="S352" s="347" t="str">
        <f>IFERROR(VLOOKUP(BD_MO[DNI 4],#REF!,2,FALSE)," ")</f>
        <v xml:space="preserve"> </v>
      </c>
      <c r="T352" s="348">
        <f>+IF(BD_MO[[#This Row],[FECHA]]&lt;&gt;"",COUNTA(BD_MO[[#This Row],[DNI]],BD_MO[[#This Row],[DNI 2]],BD_MO[[#This Row],[DNI 3]],BD_MO[[#This Row],[DNI 4]]),"")</f>
        <v>1</v>
      </c>
      <c r="U352" s="348"/>
      <c r="V352" s="348"/>
      <c r="W352" s="348"/>
      <c r="X352" s="348">
        <v>1</v>
      </c>
      <c r="Y352" s="337">
        <f>SUM(BD_MO[[#This Row],[LIMP]:[SERV]])</f>
        <v>1</v>
      </c>
      <c r="Z352" s="345" t="s">
        <v>12338</v>
      </c>
      <c r="AA352" s="345">
        <f>+IF(BD_MO[[#This Row],[N° VALE]]&lt;&gt;"",1,"")</f>
        <v>1</v>
      </c>
      <c r="AB352" s="329" t="s">
        <v>10710</v>
      </c>
      <c r="AC352" s="345">
        <v>3</v>
      </c>
      <c r="AD352" s="345">
        <f>+IF(BD_MO[[#This Row],[N° VALE]]&lt;&gt;"",BD_MO[[#This Row],[FULMINANTE N° 08]]+BD_MO[CARMEX 7''],"")</f>
        <v>5</v>
      </c>
      <c r="AE352" s="345"/>
      <c r="AF352" s="345">
        <f>+IF(BD_MO[[#This Row],[N° VALE]]&lt;&gt;"",BD_MO[[#This Row],[N° TALADROS]]+BD_MO[[#This Row],[N° TAL. VACIOS]],"")</f>
        <v>5</v>
      </c>
      <c r="AG352" s="349"/>
      <c r="AH352" s="349">
        <v>15</v>
      </c>
      <c r="AI352" s="349"/>
      <c r="AJ352" s="349"/>
      <c r="AK352" s="349">
        <v>5</v>
      </c>
      <c r="AL352" s="349">
        <v>2</v>
      </c>
      <c r="AM352" s="344"/>
      <c r="AN352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52" s="345">
        <f>+IF(BD_MO[[#This Row],[N° VALE]]&lt;&gt;"",IF(BD_MO[[#This Row],[FULMINANTE N° 08]]&lt;&gt;"",BD_MO[[#This Row],[FULMINANTE N° 08]],IF(BD_MO[[#This Row],[CARMEX 7'']]&lt;&gt;0,0,"")),"")</f>
        <v>0</v>
      </c>
      <c r="AP352" s="348">
        <f>+IF(BD_MO[[#This Row],[N° VALE]]&lt;&gt;"",BD_MO[[#This Row],[N°  TOTAL TALADROS]]*BD_MO[[#This Row],[BARRA]]*0.95,"")</f>
        <v>14.25</v>
      </c>
      <c r="AQ352" s="348">
        <f>+IF(BD_MO[[#This Row],[N° VALE]]&lt;&gt;"",BD_MO[[#This Row],[EMULNOR 1000 (N° CART.)]]*PE_EMUL_1000[PE],"")</f>
        <v>1.4205000000000001</v>
      </c>
      <c r="AR352" s="348">
        <f>+IF(BD_MO[[#This Row],[N° VALE]]&lt;&gt;"",BD_MO[[#This Row],[EMULNOR 3000 (N° CART.)]]*PE_EMUL_3000[PE],"")</f>
        <v>0</v>
      </c>
      <c r="AS352" s="348">
        <f>+IF(BD_MO[[#This Row],[N° VALE]]&lt;&gt;"",BD_MO[[#This Row],[PULVERULENTA (N° CART.)]]*PE_PULV_65[PE],"")</f>
        <v>0</v>
      </c>
      <c r="AT352" s="348">
        <f>+IF(BD_MO[[#This Row],[N° DISP]]&lt;&gt;"",BD_MO[[#This Row],[SEMIGELATINA (N° CART.)]]*PE_SEMIGEL_65[PE],"")</f>
        <v>0</v>
      </c>
      <c r="AU352" s="348">
        <f>+IF(BD_MO[N° VALE]&lt;&gt;"",BD_MO[[#This Row],[KG EXPLO SEMIGEL]]+BD_MO[[#This Row],[KG EXPLO PULVE]]+BD_MO[[#This Row],[KG EXPLO EMULN 3000]]+BD_MO[[#This Row],[KG EXPLO EMULN 1000]],"")</f>
        <v>1.4205000000000001</v>
      </c>
      <c r="AV352" s="345"/>
      <c r="AW352" s="345"/>
      <c r="AX352" s="345" t="str">
        <f>+IF(BD_MO[[#This Row],[MINERAL (U-35)]]&lt;&gt;"",BD_MO[[#This Row],[MINERAL (U-35)]]*1.45,"-")</f>
        <v>-</v>
      </c>
      <c r="AY352" s="345" t="str">
        <f>+IF(BD_MO[[#This Row],[DESMONTE (U-35)]]&lt;&gt;"",BD_MO[[#This Row],[DESMONTE (U-35)]]*1.23,"-")</f>
        <v>-</v>
      </c>
      <c r="AZ352" s="345"/>
      <c r="BA352" s="345"/>
      <c r="BB352" s="345"/>
      <c r="BC352" s="345"/>
      <c r="BD352" s="345"/>
      <c r="BE352" s="345"/>
      <c r="BF352" s="345"/>
      <c r="BG352" s="345"/>
      <c r="BH352" s="345"/>
      <c r="BI352" s="345"/>
      <c r="BJ352" s="345"/>
      <c r="BK352" s="345"/>
      <c r="BL352" s="345"/>
      <c r="BM352" s="345"/>
      <c r="BN352" s="344"/>
      <c r="BO352" s="345"/>
      <c r="BP352" s="345"/>
      <c r="BQ352" s="344"/>
      <c r="BR352" s="345"/>
      <c r="BS352" s="344"/>
      <c r="BT352" s="348"/>
      <c r="BU352" s="345"/>
      <c r="BV352" s="345"/>
      <c r="BW352" s="345"/>
      <c r="BX352" s="345"/>
      <c r="BY352" s="345"/>
      <c r="BZ352" s="345"/>
      <c r="CA352" s="345"/>
      <c r="CB352" s="345"/>
      <c r="CC352" s="345"/>
      <c r="CD352" s="345"/>
      <c r="CE352" s="345"/>
      <c r="CF352" s="345"/>
      <c r="CG352" s="345"/>
      <c r="CH352" s="345"/>
      <c r="CI352" s="345"/>
      <c r="CJ352" s="345"/>
      <c r="CK352" s="345"/>
      <c r="CL352" s="345"/>
      <c r="CM352" s="345"/>
      <c r="CN352" s="345"/>
      <c r="CO352" s="345"/>
      <c r="CP352" s="348">
        <f>+IF(BD_MO[[#This Row],[FECHA]]&lt;&gt;"",BD_MO[[#This Row],[PUNTAL 4"]]+BD_MO[[#This Row],[PUNTAL 5"]]+BD_MO[[#This Row],[PUNTAL 6"]]+BD_MO[[#This Row],[PUNTAL 7"]]+BD_MO[[#This Row],[PUNTAL 8"]],"")</f>
        <v>0</v>
      </c>
      <c r="CQ352" s="345"/>
      <c r="CR352" s="345"/>
      <c r="CS352" s="345"/>
      <c r="CT352" s="345"/>
      <c r="CU352" s="345"/>
      <c r="CV352" s="345"/>
      <c r="CW352" s="345"/>
      <c r="CX352" s="345"/>
      <c r="CY352" s="348"/>
      <c r="CZ352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52" s="348">
        <f>+IF(BD_MO[[#This Row],[FECHA]]&lt;&gt;"",BD_MO[[#This Row],[DURMIENTE2]]*6.561+BD_MO[[#This Row],[LISTONES]]*4.921+BD_MO[[#This Row],[TABLA 1"x8"x3m]]*6.561+BD_MO[[#This Row],[TABLA 2"x8"x3m]]*13.122,"")</f>
        <v>0</v>
      </c>
      <c r="DB352" s="348">
        <f>+IF(BD_MO[[#This Row],[FECHA]]&lt;&gt;"",BD_MO[[#This Row],[PIE2 MADERA ASERRADA]]*1.95,"")</f>
        <v>0</v>
      </c>
      <c r="DC352" s="348">
        <f>+IF(BD_MO[[#This Row],[FECHA]]&lt;&gt;"",BD_MO[[#This Row],[KG. MADERA REDONDA]]+BD_MO[[#This Row],[KG MADERA ASERRADA]],"")</f>
        <v>0</v>
      </c>
      <c r="DD352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52" s="345"/>
      <c r="DF352" s="345"/>
      <c r="DG352" s="345"/>
      <c r="DH352" s="345"/>
      <c r="DI352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0.81</v>
      </c>
      <c r="DJ352" s="351"/>
      <c r="DK352" s="351"/>
      <c r="DL352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52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52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52" s="367">
        <f>5*0.75017241</f>
        <v>3.7508620500000003</v>
      </c>
      <c r="DP352" s="351">
        <f>+IF(BD_MO[[#This Row],[M o D]]&lt;&gt;"",IF(BD_MO[[#This Row],[M o D]]="M",BD_MO[[#This Row],[ROTURA TMH]]/2.65,BD_MO[[#This Row],[ROTURA TMH]]/2.4),"")</f>
        <v>1.5628591875000002</v>
      </c>
      <c r="DQ352" s="351">
        <v>0.31</v>
      </c>
      <c r="DR352" s="116" t="str">
        <f>IF(BD_MO[[#This Row],[TIPO AVANCE]]="Avance",((BD_MO[[#This Row],[AVANCE (m)]]/BD_MO[[#This Row],[AVANCE TEÓRICO]]))," ")</f>
        <v xml:space="preserve"> </v>
      </c>
      <c r="DS352" s="134"/>
      <c r="DT352" s="134"/>
      <c r="DU352" s="134"/>
      <c r="DV352" s="134"/>
      <c r="DW352" s="134"/>
      <c r="DX352" s="135"/>
      <c r="DY352" s="135"/>
      <c r="DZ352" s="135"/>
    </row>
    <row r="353" spans="1:130" s="136" customFormat="1" ht="18" customHeight="1" x14ac:dyDescent="0.25">
      <c r="A353" s="328">
        <v>44671</v>
      </c>
      <c r="B353" s="329" t="s">
        <v>10655</v>
      </c>
      <c r="C353" s="329" t="s">
        <v>10672</v>
      </c>
      <c r="D353" s="343" t="s">
        <v>11872</v>
      </c>
      <c r="E353" s="344" t="str">
        <f>LEFT(BD_MO[[#This Row],[LABOR]],2)</f>
        <v>PQ</v>
      </c>
      <c r="F353" s="345"/>
      <c r="G353" s="345" t="s">
        <v>10669</v>
      </c>
      <c r="H353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53" s="344" t="str">
        <f>IF(BD_MO[FECHA]&lt;&gt;"",VLOOKUP(BD_MO[LABOR],TB_CECO[[LABOR]:[CECO_T]],3,FALSE),"")</f>
        <v>ANDREA</v>
      </c>
      <c r="J353" s="344" t="str">
        <f>IF(BD_MO[FECHA]&lt;&gt;"",VLOOKUP(BD_MO[LABOR],D_CECO!B:H,7,FALSE),"")</f>
        <v>LINEAL</v>
      </c>
      <c r="K353" s="344" t="str">
        <f>IF(BD_MO[FECHA]&lt;&gt;"",VLOOKUP(BD_MO[LABOR],D_CECO!B:H,4,FALSE),"")</f>
        <v>EXPLOTACION</v>
      </c>
      <c r="L353" s="344"/>
      <c r="M353" s="329"/>
      <c r="N353" s="345"/>
      <c r="O353" s="333" t="s">
        <v>12199</v>
      </c>
      <c r="P353" s="333" t="s">
        <v>12220</v>
      </c>
      <c r="Q353" s="333" t="s">
        <v>12196</v>
      </c>
      <c r="R353" s="346"/>
      <c r="S353" s="347" t="str">
        <f>IFERROR(VLOOKUP(BD_MO[DNI 4],#REF!,2,FALSE)," ")</f>
        <v xml:space="preserve"> </v>
      </c>
      <c r="T353" s="348">
        <f>+IF(BD_MO[[#This Row],[FECHA]]&lt;&gt;"",COUNTA(BD_MO[[#This Row],[DNI]],BD_MO[[#This Row],[DNI 2]],BD_MO[[#This Row],[DNI 3]],BD_MO[[#This Row],[DNI 4]]),"")</f>
        <v>3</v>
      </c>
      <c r="U353" s="348"/>
      <c r="V353" s="348"/>
      <c r="W353" s="348"/>
      <c r="X353" s="348">
        <v>3</v>
      </c>
      <c r="Y353" s="337">
        <f>SUM(BD_MO[[#This Row],[LIMP]:[SERV]])</f>
        <v>3</v>
      </c>
      <c r="Z353" s="345"/>
      <c r="AA353" s="345" t="str">
        <f>+IF(BD_MO[[#This Row],[N° VALE]]&lt;&gt;"",1,"")</f>
        <v/>
      </c>
      <c r="AB353" s="329"/>
      <c r="AC353" s="345"/>
      <c r="AD353" s="345" t="str">
        <f>+IF(BD_MO[[#This Row],[N° VALE]]&lt;&gt;"",BD_MO[[#This Row],[FULMINANTE N° 08]]+BD_MO[CARMEX 7''],"")</f>
        <v/>
      </c>
      <c r="AE353" s="345"/>
      <c r="AF353" s="345" t="str">
        <f>+IF(BD_MO[[#This Row],[N° VALE]]&lt;&gt;"",BD_MO[[#This Row],[N° TALADROS]]+BD_MO[[#This Row],[N° TAL. VACIOS]],"")</f>
        <v/>
      </c>
      <c r="AG353" s="349"/>
      <c r="AH353" s="349"/>
      <c r="AI353" s="349"/>
      <c r="AJ353" s="349"/>
      <c r="AK353" s="349"/>
      <c r="AL353" s="349"/>
      <c r="AM353" s="344"/>
      <c r="AN353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53" s="345" t="str">
        <f>+IF(BD_MO[[#This Row],[N° VALE]]&lt;&gt;"",IF(BD_MO[[#This Row],[FULMINANTE N° 08]]&lt;&gt;"",BD_MO[[#This Row],[FULMINANTE N° 08]],IF(BD_MO[[#This Row],[CARMEX 7'']]&lt;&gt;0,0,"")),"")</f>
        <v/>
      </c>
      <c r="AP353" s="348" t="str">
        <f>+IF(BD_MO[[#This Row],[N° VALE]]&lt;&gt;"",BD_MO[[#This Row],[N°  TOTAL TALADROS]]*BD_MO[[#This Row],[BARRA]]*0.95,"")</f>
        <v/>
      </c>
      <c r="AQ353" s="348" t="str">
        <f>+IF(BD_MO[[#This Row],[N° VALE]]&lt;&gt;"",BD_MO[[#This Row],[EMULNOR 1000 (N° CART.)]]*PE_EMUL_1000[PE],"")</f>
        <v/>
      </c>
      <c r="AR353" s="348" t="str">
        <f>+IF(BD_MO[[#This Row],[N° VALE]]&lt;&gt;"",BD_MO[[#This Row],[EMULNOR 3000 (N° CART.)]]*PE_EMUL_3000[PE],"")</f>
        <v/>
      </c>
      <c r="AS353" s="348" t="str">
        <f>+IF(BD_MO[[#This Row],[N° VALE]]&lt;&gt;"",BD_MO[[#This Row],[PULVERULENTA (N° CART.)]]*PE_PULV_65[PE],"")</f>
        <v/>
      </c>
      <c r="AT353" s="348" t="str">
        <f>+IF(BD_MO[[#This Row],[N° DISP]]&lt;&gt;"",BD_MO[[#This Row],[SEMIGELATINA (N° CART.)]]*PE_SEMIGEL_65[PE],"")</f>
        <v/>
      </c>
      <c r="AU353" s="348" t="str">
        <f>+IF(BD_MO[N° VALE]&lt;&gt;"",BD_MO[[#This Row],[KG EXPLO SEMIGEL]]+BD_MO[[#This Row],[KG EXPLO PULVE]]+BD_MO[[#This Row],[KG EXPLO EMULN 3000]]+BD_MO[[#This Row],[KG EXPLO EMULN 1000]],"")</f>
        <v/>
      </c>
      <c r="AV353" s="345"/>
      <c r="AW353" s="345"/>
      <c r="AX353" s="345" t="str">
        <f>+IF(BD_MO[[#This Row],[MINERAL (U-35)]]&lt;&gt;"",BD_MO[[#This Row],[MINERAL (U-35)]]*1.45,"-")</f>
        <v>-</v>
      </c>
      <c r="AY353" s="345" t="str">
        <f>+IF(BD_MO[[#This Row],[DESMONTE (U-35)]]&lt;&gt;"",BD_MO[[#This Row],[DESMONTE (U-35)]]*1.23,"-")</f>
        <v>-</v>
      </c>
      <c r="AZ353" s="345"/>
      <c r="BA353" s="345"/>
      <c r="BB353" s="345"/>
      <c r="BC353" s="345"/>
      <c r="BD353" s="345"/>
      <c r="BE353" s="345"/>
      <c r="BF353" s="345"/>
      <c r="BG353" s="345"/>
      <c r="BH353" s="345"/>
      <c r="BI353" s="345"/>
      <c r="BJ353" s="345"/>
      <c r="BK353" s="345"/>
      <c r="BL353" s="345"/>
      <c r="BM353" s="345"/>
      <c r="BN353" s="344"/>
      <c r="BO353" s="345"/>
      <c r="BP353" s="345"/>
      <c r="BQ353" s="344"/>
      <c r="BR353" s="345"/>
      <c r="BS353" s="344"/>
      <c r="BT353" s="348"/>
      <c r="BU353" s="345"/>
      <c r="BV353" s="345"/>
      <c r="BW353" s="345"/>
      <c r="BX353" s="345"/>
      <c r="BY353" s="345"/>
      <c r="BZ353" s="345"/>
      <c r="CA353" s="345"/>
      <c r="CB353" s="345"/>
      <c r="CC353" s="345"/>
      <c r="CD353" s="345"/>
      <c r="CE353" s="345"/>
      <c r="CF353" s="345"/>
      <c r="CG353" s="345"/>
      <c r="CH353" s="345"/>
      <c r="CI353" s="345"/>
      <c r="CJ353" s="345"/>
      <c r="CK353" s="345"/>
      <c r="CL353" s="345"/>
      <c r="CM353" s="345"/>
      <c r="CN353" s="345"/>
      <c r="CO353" s="345"/>
      <c r="CP353" s="348">
        <f>+IF(BD_MO[[#This Row],[FECHA]]&lt;&gt;"",BD_MO[[#This Row],[PUNTAL 4"]]+BD_MO[[#This Row],[PUNTAL 5"]]+BD_MO[[#This Row],[PUNTAL 6"]]+BD_MO[[#This Row],[PUNTAL 7"]]+BD_MO[[#This Row],[PUNTAL 8"]],"")</f>
        <v>0</v>
      </c>
      <c r="CQ353" s="345"/>
      <c r="CR353" s="345"/>
      <c r="CS353" s="345"/>
      <c r="CT353" s="345"/>
      <c r="CU353" s="345"/>
      <c r="CV353" s="345"/>
      <c r="CW353" s="345"/>
      <c r="CX353" s="345"/>
      <c r="CY353" s="348"/>
      <c r="CZ353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53" s="348">
        <f>+IF(BD_MO[[#This Row],[FECHA]]&lt;&gt;"",BD_MO[[#This Row],[DURMIENTE2]]*6.561+BD_MO[[#This Row],[LISTONES]]*4.921+BD_MO[[#This Row],[TABLA 1"x8"x3m]]*6.561+BD_MO[[#This Row],[TABLA 2"x8"x3m]]*13.122,"")</f>
        <v>0</v>
      </c>
      <c r="DB353" s="348">
        <f>+IF(BD_MO[[#This Row],[FECHA]]&lt;&gt;"",BD_MO[[#This Row],[PIE2 MADERA ASERRADA]]*1.95,"")</f>
        <v>0</v>
      </c>
      <c r="DC353" s="348">
        <f>+IF(BD_MO[[#This Row],[FECHA]]&lt;&gt;"",BD_MO[[#This Row],[KG. MADERA REDONDA]]+BD_MO[[#This Row],[KG MADERA ASERRADA]],"")</f>
        <v>0</v>
      </c>
      <c r="DD353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53" s="345"/>
      <c r="DF353" s="345"/>
      <c r="DG353" s="345" t="s">
        <v>12238</v>
      </c>
      <c r="DH353" s="345">
        <v>8</v>
      </c>
      <c r="DI353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53" s="351"/>
      <c r="DK353" s="351"/>
      <c r="DL353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53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53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53" s="367"/>
      <c r="DP353" s="351" t="str">
        <f>+IF(BD_MO[[#This Row],[M o D]]&lt;&gt;"",IF(BD_MO[[#This Row],[M o D]]="M",BD_MO[[#This Row],[ROTURA TMH]]/2.65,BD_MO[[#This Row],[ROTURA TMH]]/2.4),"")</f>
        <v/>
      </c>
      <c r="DQ353" s="351"/>
      <c r="DR353" s="116" t="str">
        <f>IF(BD_MO[[#This Row],[TIPO AVANCE]]="Avance",((BD_MO[[#This Row],[AVANCE (m)]]/BD_MO[[#This Row],[AVANCE TEÓRICO]]))," ")</f>
        <v xml:space="preserve"> </v>
      </c>
      <c r="DS353" s="134"/>
      <c r="DT353" s="134"/>
      <c r="DU353" s="134"/>
      <c r="DV353" s="134"/>
      <c r="DW353" s="134"/>
      <c r="DX353" s="135"/>
      <c r="DY353" s="135"/>
      <c r="DZ353" s="135"/>
    </row>
    <row r="354" spans="1:130" s="136" customFormat="1" ht="18" customHeight="1" x14ac:dyDescent="0.25">
      <c r="A354" s="328">
        <v>44671</v>
      </c>
      <c r="B354" s="329" t="s">
        <v>10655</v>
      </c>
      <c r="C354" s="329" t="s">
        <v>10672</v>
      </c>
      <c r="D354" s="343" t="s">
        <v>10952</v>
      </c>
      <c r="E354" s="344" t="str">
        <f>LEFT(BD_MO[[#This Row],[LABOR]],2)</f>
        <v>In</v>
      </c>
      <c r="F354" s="345"/>
      <c r="G354" s="345" t="s">
        <v>10669</v>
      </c>
      <c r="H354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54" s="344" t="str">
        <f>IF(BD_MO[FECHA]&lt;&gt;"",VLOOKUP(BD_MO[LABOR],TB_CECO[[LABOR]:[CECO_T]],3,FALSE),"")</f>
        <v>VANESSA</v>
      </c>
      <c r="J354" s="344" t="str">
        <f>IF(BD_MO[FECHA]&lt;&gt;"",VLOOKUP(BD_MO[LABOR],D_CECO!B:H,7,FALSE),"")</f>
        <v>LINEAL</v>
      </c>
      <c r="K354" s="344" t="str">
        <f>IF(BD_MO[FECHA]&lt;&gt;"",VLOOKUP(BD_MO[LABOR],D_CECO!B:H,4,FALSE),"")</f>
        <v>EXPLORACION</v>
      </c>
      <c r="L354" s="344"/>
      <c r="M354" s="329"/>
      <c r="N354" s="345"/>
      <c r="O354" s="333" t="s">
        <v>12198</v>
      </c>
      <c r="P354" s="333" t="s">
        <v>12234</v>
      </c>
      <c r="Q354" s="333"/>
      <c r="R354" s="346"/>
      <c r="S354" s="347" t="str">
        <f>IFERROR(VLOOKUP(BD_MO[DNI 4],#REF!,2,FALSE)," ")</f>
        <v xml:space="preserve"> </v>
      </c>
      <c r="T354" s="348">
        <f>+IF(BD_MO[[#This Row],[FECHA]]&lt;&gt;"",COUNTA(BD_MO[[#This Row],[DNI]],BD_MO[[#This Row],[DNI 2]],BD_MO[[#This Row],[DNI 3]],BD_MO[[#This Row],[DNI 4]]),"")</f>
        <v>2</v>
      </c>
      <c r="U354" s="348"/>
      <c r="V354" s="348"/>
      <c r="W354" s="348"/>
      <c r="X354" s="348">
        <v>2</v>
      </c>
      <c r="Y354" s="337">
        <f>SUM(BD_MO[[#This Row],[LIMP]:[SERV]])</f>
        <v>2</v>
      </c>
      <c r="Z354" s="345"/>
      <c r="AA354" s="345" t="str">
        <f>+IF(BD_MO[[#This Row],[N° VALE]]&lt;&gt;"",1,"")</f>
        <v/>
      </c>
      <c r="AB354" s="329"/>
      <c r="AC354" s="345"/>
      <c r="AD354" s="345" t="str">
        <f>+IF(BD_MO[[#This Row],[N° VALE]]&lt;&gt;"",BD_MO[[#This Row],[FULMINANTE N° 08]]+BD_MO[CARMEX 7''],"")</f>
        <v/>
      </c>
      <c r="AE354" s="345"/>
      <c r="AF354" s="345" t="str">
        <f>+IF(BD_MO[[#This Row],[N° VALE]]&lt;&gt;"",BD_MO[[#This Row],[N° TALADROS]]+BD_MO[[#This Row],[N° TAL. VACIOS]],"")</f>
        <v/>
      </c>
      <c r="AG354" s="349"/>
      <c r="AH354" s="349"/>
      <c r="AI354" s="349"/>
      <c r="AJ354" s="349"/>
      <c r="AK354" s="349"/>
      <c r="AL354" s="349"/>
      <c r="AM354" s="344"/>
      <c r="AN354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54" s="345" t="str">
        <f>+IF(BD_MO[[#This Row],[N° VALE]]&lt;&gt;"",IF(BD_MO[[#This Row],[FULMINANTE N° 08]]&lt;&gt;"",BD_MO[[#This Row],[FULMINANTE N° 08]],IF(BD_MO[[#This Row],[CARMEX 7'']]&lt;&gt;0,0,"")),"")</f>
        <v/>
      </c>
      <c r="AP354" s="348" t="str">
        <f>+IF(BD_MO[[#This Row],[N° VALE]]&lt;&gt;"",BD_MO[[#This Row],[N°  TOTAL TALADROS]]*BD_MO[[#This Row],[BARRA]]*0.95,"")</f>
        <v/>
      </c>
      <c r="AQ354" s="348" t="str">
        <f>+IF(BD_MO[[#This Row],[N° VALE]]&lt;&gt;"",BD_MO[[#This Row],[EMULNOR 1000 (N° CART.)]]*PE_EMUL_1000[PE],"")</f>
        <v/>
      </c>
      <c r="AR354" s="348" t="str">
        <f>+IF(BD_MO[[#This Row],[N° VALE]]&lt;&gt;"",BD_MO[[#This Row],[EMULNOR 3000 (N° CART.)]]*PE_EMUL_3000[PE],"")</f>
        <v/>
      </c>
      <c r="AS354" s="348" t="str">
        <f>+IF(BD_MO[[#This Row],[N° VALE]]&lt;&gt;"",BD_MO[[#This Row],[PULVERULENTA (N° CART.)]]*PE_PULV_65[PE],"")</f>
        <v/>
      </c>
      <c r="AT354" s="348" t="str">
        <f>+IF(BD_MO[[#This Row],[N° DISP]]&lt;&gt;"",BD_MO[[#This Row],[SEMIGELATINA (N° CART.)]]*PE_SEMIGEL_65[PE],"")</f>
        <v/>
      </c>
      <c r="AU354" s="348" t="str">
        <f>+IF(BD_MO[N° VALE]&lt;&gt;"",BD_MO[[#This Row],[KG EXPLO SEMIGEL]]+BD_MO[[#This Row],[KG EXPLO PULVE]]+BD_MO[[#This Row],[KG EXPLO EMULN 3000]]+BD_MO[[#This Row],[KG EXPLO EMULN 1000]],"")</f>
        <v/>
      </c>
      <c r="AV354" s="345"/>
      <c r="AW354" s="345"/>
      <c r="AX354" s="345" t="str">
        <f>+IF(BD_MO[[#This Row],[MINERAL (U-35)]]&lt;&gt;"",BD_MO[[#This Row],[MINERAL (U-35)]]*1.45,"-")</f>
        <v>-</v>
      </c>
      <c r="AY354" s="345" t="str">
        <f>+IF(BD_MO[[#This Row],[DESMONTE (U-35)]]&lt;&gt;"",BD_MO[[#This Row],[DESMONTE (U-35)]]*1.23,"-")</f>
        <v>-</v>
      </c>
      <c r="AZ354" s="345"/>
      <c r="BA354" s="345"/>
      <c r="BB354" s="345"/>
      <c r="BC354" s="345"/>
      <c r="BD354" s="345"/>
      <c r="BE354" s="345"/>
      <c r="BF354" s="345"/>
      <c r="BG354" s="345"/>
      <c r="BH354" s="345"/>
      <c r="BI354" s="345"/>
      <c r="BJ354" s="345"/>
      <c r="BK354" s="345"/>
      <c r="BL354" s="345"/>
      <c r="BM354" s="345"/>
      <c r="BN354" s="344"/>
      <c r="BO354" s="345"/>
      <c r="BP354" s="345"/>
      <c r="BQ354" s="344"/>
      <c r="BR354" s="345"/>
      <c r="BS354" s="344"/>
      <c r="BT354" s="348"/>
      <c r="BU354" s="345"/>
      <c r="BV354" s="345"/>
      <c r="BW354" s="345"/>
      <c r="BX354" s="345"/>
      <c r="BY354" s="345"/>
      <c r="BZ354" s="345"/>
      <c r="CA354" s="345"/>
      <c r="CB354" s="345"/>
      <c r="CC354" s="345"/>
      <c r="CD354" s="345"/>
      <c r="CE354" s="345"/>
      <c r="CF354" s="345"/>
      <c r="CG354" s="345"/>
      <c r="CH354" s="345"/>
      <c r="CI354" s="345"/>
      <c r="CJ354" s="345"/>
      <c r="CK354" s="345"/>
      <c r="CL354" s="345"/>
      <c r="CM354" s="345"/>
      <c r="CN354" s="345"/>
      <c r="CO354" s="345"/>
      <c r="CP354" s="348">
        <f>+IF(BD_MO[[#This Row],[FECHA]]&lt;&gt;"",BD_MO[[#This Row],[PUNTAL 4"]]+BD_MO[[#This Row],[PUNTAL 5"]]+BD_MO[[#This Row],[PUNTAL 6"]]+BD_MO[[#This Row],[PUNTAL 7"]]+BD_MO[[#This Row],[PUNTAL 8"]],"")</f>
        <v>0</v>
      </c>
      <c r="CQ354" s="345"/>
      <c r="CR354" s="345"/>
      <c r="CS354" s="345"/>
      <c r="CT354" s="345"/>
      <c r="CU354" s="345"/>
      <c r="CV354" s="345"/>
      <c r="CW354" s="345"/>
      <c r="CX354" s="345"/>
      <c r="CY354" s="348"/>
      <c r="CZ354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54" s="348">
        <f>+IF(BD_MO[[#This Row],[FECHA]]&lt;&gt;"",BD_MO[[#This Row],[DURMIENTE2]]*6.561+BD_MO[[#This Row],[LISTONES]]*4.921+BD_MO[[#This Row],[TABLA 1"x8"x3m]]*6.561+BD_MO[[#This Row],[TABLA 2"x8"x3m]]*13.122,"")</f>
        <v>0</v>
      </c>
      <c r="DB354" s="348">
        <f>+IF(BD_MO[[#This Row],[FECHA]]&lt;&gt;"",BD_MO[[#This Row],[PIE2 MADERA ASERRADA]]*1.95,"")</f>
        <v>0</v>
      </c>
      <c r="DC354" s="348">
        <f>+IF(BD_MO[[#This Row],[FECHA]]&lt;&gt;"",BD_MO[[#This Row],[KG. MADERA REDONDA]]+BD_MO[[#This Row],[KG MADERA ASERRADA]],"")</f>
        <v>0</v>
      </c>
      <c r="DD354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54" s="345"/>
      <c r="DF354" s="345"/>
      <c r="DG354" s="345" t="s">
        <v>12239</v>
      </c>
      <c r="DH354" s="345">
        <v>8</v>
      </c>
      <c r="DI354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54" s="351"/>
      <c r="DK354" s="351"/>
      <c r="DL354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54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54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54" s="367"/>
      <c r="DP354" s="351" t="str">
        <f>+IF(BD_MO[[#This Row],[M o D]]&lt;&gt;"",IF(BD_MO[[#This Row],[M o D]]="M",BD_MO[[#This Row],[ROTURA TMH]]/2.65,BD_MO[[#This Row],[ROTURA TMH]]/2.4),"")</f>
        <v/>
      </c>
      <c r="DQ354" s="351"/>
      <c r="DR354" s="116" t="str">
        <f>IF(BD_MO[[#This Row],[TIPO AVANCE]]="Avance",((BD_MO[[#This Row],[AVANCE (m)]]/BD_MO[[#This Row],[AVANCE TEÓRICO]]))," ")</f>
        <v xml:space="preserve"> </v>
      </c>
      <c r="DS354" s="134"/>
      <c r="DT354" s="134"/>
      <c r="DU354" s="134"/>
      <c r="DV354" s="134"/>
      <c r="DW354" s="134"/>
      <c r="DX354" s="135"/>
      <c r="DY354" s="135"/>
      <c r="DZ354" s="135"/>
    </row>
    <row r="355" spans="1:130" s="136" customFormat="1" ht="18" customHeight="1" x14ac:dyDescent="0.25">
      <c r="A355" s="328">
        <v>44671</v>
      </c>
      <c r="B355" s="329" t="s">
        <v>10655</v>
      </c>
      <c r="C355" s="329" t="s">
        <v>10672</v>
      </c>
      <c r="D355" s="343" t="s">
        <v>10954</v>
      </c>
      <c r="E355" s="344" t="str">
        <f>LEFT(BD_MO[[#This Row],[LABOR]],2)</f>
        <v>MO</v>
      </c>
      <c r="F355" s="345"/>
      <c r="G355" s="345" t="s">
        <v>10669</v>
      </c>
      <c r="H355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55" s="344" t="str">
        <f>IF(BD_MO[FECHA]&lt;&gt;"",VLOOKUP(BD_MO[LABOR],TB_CECO[[LABOR]:[CECO_T]],3,FALSE),"")</f>
        <v>INCA</v>
      </c>
      <c r="J355" s="344" t="str">
        <f>IF(BD_MO[FECHA]&lt;&gt;"",VLOOKUP(BD_MO[LABOR],D_CECO!B:H,7,FALSE),"")</f>
        <v>SERVICIOS</v>
      </c>
      <c r="K355" s="344" t="str">
        <f>IF(BD_MO[FECHA]&lt;&gt;"",VLOOKUP(BD_MO[LABOR],D_CECO!B:H,4,FALSE),"")</f>
        <v>SERVICIOS</v>
      </c>
      <c r="L355" s="344"/>
      <c r="M355" s="329"/>
      <c r="N355" s="345"/>
      <c r="O355" s="333" t="s">
        <v>12202</v>
      </c>
      <c r="P355" s="333"/>
      <c r="Q355" s="333"/>
      <c r="R355" s="346"/>
      <c r="S355" s="347" t="str">
        <f>IFERROR(VLOOKUP(BD_MO[DNI 4],#REF!,2,FALSE)," ")</f>
        <v xml:space="preserve"> </v>
      </c>
      <c r="T355" s="348">
        <f>+IF(BD_MO[[#This Row],[FECHA]]&lt;&gt;"",COUNTA(BD_MO[[#This Row],[DNI]],BD_MO[[#This Row],[DNI 2]],BD_MO[[#This Row],[DNI 3]],BD_MO[[#This Row],[DNI 4]]),"")</f>
        <v>1</v>
      </c>
      <c r="U355" s="348"/>
      <c r="V355" s="348"/>
      <c r="W355" s="348"/>
      <c r="X355" s="348">
        <v>1</v>
      </c>
      <c r="Y355" s="337">
        <f>SUM(BD_MO[[#This Row],[LIMP]:[SERV]])</f>
        <v>1</v>
      </c>
      <c r="Z355" s="345"/>
      <c r="AA355" s="345" t="str">
        <f>+IF(BD_MO[[#This Row],[N° VALE]]&lt;&gt;"",1,"")</f>
        <v/>
      </c>
      <c r="AB355" s="329"/>
      <c r="AC355" s="345"/>
      <c r="AD355" s="345" t="str">
        <f>+IF(BD_MO[[#This Row],[N° VALE]]&lt;&gt;"",BD_MO[[#This Row],[FULMINANTE N° 08]]+BD_MO[CARMEX 7''],"")</f>
        <v/>
      </c>
      <c r="AE355" s="345"/>
      <c r="AF355" s="345" t="str">
        <f>+IF(BD_MO[[#This Row],[N° VALE]]&lt;&gt;"",BD_MO[[#This Row],[N° TALADROS]]+BD_MO[[#This Row],[N° TAL. VACIOS]],"")</f>
        <v/>
      </c>
      <c r="AG355" s="349"/>
      <c r="AH355" s="349"/>
      <c r="AI355" s="349"/>
      <c r="AJ355" s="349"/>
      <c r="AK355" s="349"/>
      <c r="AL355" s="349"/>
      <c r="AM355" s="344"/>
      <c r="AN355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55" s="345" t="str">
        <f>+IF(BD_MO[[#This Row],[N° VALE]]&lt;&gt;"",IF(BD_MO[[#This Row],[FULMINANTE N° 08]]&lt;&gt;"",BD_MO[[#This Row],[FULMINANTE N° 08]],IF(BD_MO[[#This Row],[CARMEX 7'']]&lt;&gt;0,0,"")),"")</f>
        <v/>
      </c>
      <c r="AP355" s="348" t="str">
        <f>+IF(BD_MO[[#This Row],[N° VALE]]&lt;&gt;"",BD_MO[[#This Row],[N°  TOTAL TALADROS]]*BD_MO[[#This Row],[BARRA]]*0.95,"")</f>
        <v/>
      </c>
      <c r="AQ355" s="348" t="str">
        <f>+IF(BD_MO[[#This Row],[N° VALE]]&lt;&gt;"",BD_MO[[#This Row],[EMULNOR 1000 (N° CART.)]]*PE_EMUL_1000[PE],"")</f>
        <v/>
      </c>
      <c r="AR355" s="348" t="str">
        <f>+IF(BD_MO[[#This Row],[N° VALE]]&lt;&gt;"",BD_MO[[#This Row],[EMULNOR 3000 (N° CART.)]]*PE_EMUL_3000[PE],"")</f>
        <v/>
      </c>
      <c r="AS355" s="348" t="str">
        <f>+IF(BD_MO[[#This Row],[N° VALE]]&lt;&gt;"",BD_MO[[#This Row],[PULVERULENTA (N° CART.)]]*PE_PULV_65[PE],"")</f>
        <v/>
      </c>
      <c r="AT355" s="348" t="str">
        <f>+IF(BD_MO[[#This Row],[N° DISP]]&lt;&gt;"",BD_MO[[#This Row],[SEMIGELATINA (N° CART.)]]*PE_SEMIGEL_65[PE],"")</f>
        <v/>
      </c>
      <c r="AU355" s="348" t="str">
        <f>+IF(BD_MO[N° VALE]&lt;&gt;"",BD_MO[[#This Row],[KG EXPLO SEMIGEL]]+BD_MO[[#This Row],[KG EXPLO PULVE]]+BD_MO[[#This Row],[KG EXPLO EMULN 3000]]+BD_MO[[#This Row],[KG EXPLO EMULN 1000]],"")</f>
        <v/>
      </c>
      <c r="AV355" s="345"/>
      <c r="AW355" s="345"/>
      <c r="AX355" s="345" t="str">
        <f>+IF(BD_MO[[#This Row],[MINERAL (U-35)]]&lt;&gt;"",BD_MO[[#This Row],[MINERAL (U-35)]]*1.45,"-")</f>
        <v>-</v>
      </c>
      <c r="AY355" s="345" t="str">
        <f>+IF(BD_MO[[#This Row],[DESMONTE (U-35)]]&lt;&gt;"",BD_MO[[#This Row],[DESMONTE (U-35)]]*1.23,"-")</f>
        <v>-</v>
      </c>
      <c r="AZ355" s="345"/>
      <c r="BA355" s="345"/>
      <c r="BB355" s="345"/>
      <c r="BC355" s="345"/>
      <c r="BD355" s="345"/>
      <c r="BE355" s="345"/>
      <c r="BF355" s="345"/>
      <c r="BG355" s="345"/>
      <c r="BH355" s="345"/>
      <c r="BI355" s="345"/>
      <c r="BJ355" s="345"/>
      <c r="BK355" s="345"/>
      <c r="BL355" s="345"/>
      <c r="BM355" s="345"/>
      <c r="BN355" s="344"/>
      <c r="BO355" s="345"/>
      <c r="BP355" s="345"/>
      <c r="BQ355" s="344"/>
      <c r="BR355" s="345"/>
      <c r="BS355" s="344"/>
      <c r="BT355" s="348"/>
      <c r="BU355" s="345"/>
      <c r="BV355" s="345"/>
      <c r="BW355" s="345"/>
      <c r="BX355" s="345"/>
      <c r="BY355" s="345"/>
      <c r="BZ355" s="345"/>
      <c r="CA355" s="345"/>
      <c r="CB355" s="345"/>
      <c r="CC355" s="345"/>
      <c r="CD355" s="345"/>
      <c r="CE355" s="345"/>
      <c r="CF355" s="345"/>
      <c r="CG355" s="345"/>
      <c r="CH355" s="345"/>
      <c r="CI355" s="345"/>
      <c r="CJ355" s="345"/>
      <c r="CK355" s="345"/>
      <c r="CL355" s="345"/>
      <c r="CM355" s="345"/>
      <c r="CN355" s="345"/>
      <c r="CO355" s="345"/>
      <c r="CP355" s="348">
        <f>+IF(BD_MO[[#This Row],[FECHA]]&lt;&gt;"",BD_MO[[#This Row],[PUNTAL 4"]]+BD_MO[[#This Row],[PUNTAL 5"]]+BD_MO[[#This Row],[PUNTAL 6"]]+BD_MO[[#This Row],[PUNTAL 7"]]+BD_MO[[#This Row],[PUNTAL 8"]],"")</f>
        <v>0</v>
      </c>
      <c r="CQ355" s="345"/>
      <c r="CR355" s="345"/>
      <c r="CS355" s="345"/>
      <c r="CT355" s="345"/>
      <c r="CU355" s="345"/>
      <c r="CV355" s="345"/>
      <c r="CW355" s="345"/>
      <c r="CX355" s="345"/>
      <c r="CY355" s="348"/>
      <c r="CZ355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55" s="348">
        <f>+IF(BD_MO[[#This Row],[FECHA]]&lt;&gt;"",BD_MO[[#This Row],[DURMIENTE2]]*6.561+BD_MO[[#This Row],[LISTONES]]*4.921+BD_MO[[#This Row],[TABLA 1"x8"x3m]]*6.561+BD_MO[[#This Row],[TABLA 2"x8"x3m]]*13.122,"")</f>
        <v>0</v>
      </c>
      <c r="DB355" s="348">
        <f>+IF(BD_MO[[#This Row],[FECHA]]&lt;&gt;"",BD_MO[[#This Row],[PIE2 MADERA ASERRADA]]*1.95,"")</f>
        <v>0</v>
      </c>
      <c r="DC355" s="348">
        <f>+IF(BD_MO[[#This Row],[FECHA]]&lt;&gt;"",BD_MO[[#This Row],[KG. MADERA REDONDA]]+BD_MO[[#This Row],[KG MADERA ASERRADA]],"")</f>
        <v>0</v>
      </c>
      <c r="DD355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55" s="345"/>
      <c r="DF355" s="345"/>
      <c r="DG355" s="345"/>
      <c r="DH355" s="345"/>
      <c r="DI355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55" s="351"/>
      <c r="DK355" s="351"/>
      <c r="DL355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55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55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55" s="367"/>
      <c r="DP355" s="351" t="str">
        <f>+IF(BD_MO[[#This Row],[M o D]]&lt;&gt;"",IF(BD_MO[[#This Row],[M o D]]="M",BD_MO[[#This Row],[ROTURA TMH]]/2.65,BD_MO[[#This Row],[ROTURA TMH]]/2.4),"")</f>
        <v/>
      </c>
      <c r="DQ355" s="351"/>
      <c r="DR355" s="116" t="str">
        <f>IF(BD_MO[[#This Row],[TIPO AVANCE]]="Avance",((BD_MO[[#This Row],[AVANCE (m)]]/BD_MO[[#This Row],[AVANCE TEÓRICO]]))," ")</f>
        <v xml:space="preserve"> </v>
      </c>
      <c r="DS355" s="134"/>
      <c r="DT355" s="134"/>
      <c r="DU355" s="134"/>
      <c r="DV355" s="134"/>
      <c r="DW355" s="134"/>
      <c r="DX355" s="135"/>
      <c r="DY355" s="135"/>
      <c r="DZ355" s="135"/>
    </row>
    <row r="356" spans="1:130" s="115" customFormat="1" ht="18" customHeight="1" thickBot="1" x14ac:dyDescent="0.3">
      <c r="A356" s="352">
        <v>44671</v>
      </c>
      <c r="B356" s="353" t="s">
        <v>10655</v>
      </c>
      <c r="C356" s="353" t="s">
        <v>10672</v>
      </c>
      <c r="D356" s="354" t="s">
        <v>10717</v>
      </c>
      <c r="E356" s="355" t="str">
        <f>LEFT(BD_MO[[#This Row],[LABOR]],2)</f>
        <v>BO</v>
      </c>
      <c r="F356" s="356"/>
      <c r="G356" s="356" t="s">
        <v>10669</v>
      </c>
      <c r="H356" s="35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56" s="355" t="str">
        <f>IF(BD_MO[FECHA]&lt;&gt;"",VLOOKUP(BD_MO[LABOR],TB_CECO[[LABOR]:[CECO_T]],3,FALSE),"")</f>
        <v>CACHORRO</v>
      </c>
      <c r="J356" s="355" t="str">
        <f>IF(BD_MO[FECHA]&lt;&gt;"",VLOOKUP(BD_MO[LABOR],D_CECO!B:H,7,FALSE),"")</f>
        <v>SERVICIOS</v>
      </c>
      <c r="K356" s="355" t="str">
        <f>IF(BD_MO[FECHA]&lt;&gt;"",VLOOKUP(BD_MO[LABOR],D_CECO!B:H,4,FALSE),"")</f>
        <v>SERVICIOS</v>
      </c>
      <c r="L356" s="355"/>
      <c r="M356" s="353"/>
      <c r="N356" s="356"/>
      <c r="O356" s="357" t="s">
        <v>12333</v>
      </c>
      <c r="P356" s="357" t="s">
        <v>12201</v>
      </c>
      <c r="Q356" s="357"/>
      <c r="R356" s="358"/>
      <c r="S356" s="359" t="str">
        <f>IFERROR(VLOOKUP(BD_MO[DNI 4],#REF!,2,FALSE)," ")</f>
        <v xml:space="preserve"> </v>
      </c>
      <c r="T356" s="360">
        <f>+IF(BD_MO[[#This Row],[FECHA]]&lt;&gt;"",COUNTA(BD_MO[[#This Row],[DNI]],BD_MO[[#This Row],[DNI 2]],BD_MO[[#This Row],[DNI 3]],BD_MO[[#This Row],[DNI 4]]),"")</f>
        <v>2</v>
      </c>
      <c r="U356" s="360"/>
      <c r="V356" s="360"/>
      <c r="W356" s="360"/>
      <c r="X356" s="360">
        <v>2</v>
      </c>
      <c r="Y356" s="361">
        <f>SUM(BD_MO[[#This Row],[LIMP]:[SERV]])</f>
        <v>2</v>
      </c>
      <c r="Z356" s="356"/>
      <c r="AA356" s="356" t="str">
        <f>+IF(BD_MO[[#This Row],[N° VALE]]&lt;&gt;"",1,"")</f>
        <v/>
      </c>
      <c r="AB356" s="353"/>
      <c r="AC356" s="356"/>
      <c r="AD356" s="356" t="str">
        <f>+IF(BD_MO[[#This Row],[N° VALE]]&lt;&gt;"",BD_MO[[#This Row],[FULMINANTE N° 08]]+BD_MO[CARMEX 7''],"")</f>
        <v/>
      </c>
      <c r="AE356" s="356"/>
      <c r="AF356" s="356" t="str">
        <f>+IF(BD_MO[[#This Row],[N° VALE]]&lt;&gt;"",BD_MO[[#This Row],[N° TALADROS]]+BD_MO[[#This Row],[N° TAL. VACIOS]],"")</f>
        <v/>
      </c>
      <c r="AG356" s="362"/>
      <c r="AH356" s="362"/>
      <c r="AI356" s="362"/>
      <c r="AJ356" s="362"/>
      <c r="AK356" s="362"/>
      <c r="AL356" s="362"/>
      <c r="AM356" s="355"/>
      <c r="AN356" s="35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56" s="356" t="str">
        <f>+IF(BD_MO[[#This Row],[N° VALE]]&lt;&gt;"",IF(BD_MO[[#This Row],[FULMINANTE N° 08]]&lt;&gt;"",BD_MO[[#This Row],[FULMINANTE N° 08]],IF(BD_MO[[#This Row],[CARMEX 7'']]&lt;&gt;0,0,"")),"")</f>
        <v/>
      </c>
      <c r="AP356" s="360" t="str">
        <f>+IF(BD_MO[[#This Row],[N° VALE]]&lt;&gt;"",BD_MO[[#This Row],[N°  TOTAL TALADROS]]*BD_MO[[#This Row],[BARRA]]*0.95,"")</f>
        <v/>
      </c>
      <c r="AQ356" s="360" t="str">
        <f>+IF(BD_MO[[#This Row],[N° VALE]]&lt;&gt;"",BD_MO[[#This Row],[EMULNOR 1000 (N° CART.)]]*PE_EMUL_1000[PE],"")</f>
        <v/>
      </c>
      <c r="AR356" s="360" t="str">
        <f>+IF(BD_MO[[#This Row],[N° VALE]]&lt;&gt;"",BD_MO[[#This Row],[EMULNOR 3000 (N° CART.)]]*PE_EMUL_3000[PE],"")</f>
        <v/>
      </c>
      <c r="AS356" s="360" t="str">
        <f>+IF(BD_MO[[#This Row],[N° VALE]]&lt;&gt;"",BD_MO[[#This Row],[PULVERULENTA (N° CART.)]]*PE_PULV_65[PE],"")</f>
        <v/>
      </c>
      <c r="AT356" s="360" t="str">
        <f>+IF(BD_MO[[#This Row],[N° DISP]]&lt;&gt;"",BD_MO[[#This Row],[SEMIGELATINA (N° CART.)]]*PE_SEMIGEL_65[PE],"")</f>
        <v/>
      </c>
      <c r="AU356" s="360" t="str">
        <f>+IF(BD_MO[N° VALE]&lt;&gt;"",BD_MO[[#This Row],[KG EXPLO SEMIGEL]]+BD_MO[[#This Row],[KG EXPLO PULVE]]+BD_MO[[#This Row],[KG EXPLO EMULN 3000]]+BD_MO[[#This Row],[KG EXPLO EMULN 1000]],"")</f>
        <v/>
      </c>
      <c r="AV356" s="356"/>
      <c r="AW356" s="356"/>
      <c r="AX356" s="356" t="str">
        <f>+IF(BD_MO[[#This Row],[MINERAL (U-35)]]&lt;&gt;"",BD_MO[[#This Row],[MINERAL (U-35)]]*1.45,"-")</f>
        <v>-</v>
      </c>
      <c r="AY356" s="356" t="str">
        <f>+IF(BD_MO[[#This Row],[DESMONTE (U-35)]]&lt;&gt;"",BD_MO[[#This Row],[DESMONTE (U-35)]]*1.23,"-")</f>
        <v>-</v>
      </c>
      <c r="AZ356" s="356"/>
      <c r="BA356" s="356"/>
      <c r="BB356" s="356"/>
      <c r="BC356" s="356"/>
      <c r="BD356" s="356"/>
      <c r="BE356" s="356"/>
      <c r="BF356" s="356"/>
      <c r="BG356" s="356"/>
      <c r="BH356" s="356"/>
      <c r="BI356" s="356"/>
      <c r="BJ356" s="356"/>
      <c r="BK356" s="356"/>
      <c r="BL356" s="356"/>
      <c r="BM356" s="356"/>
      <c r="BN356" s="355"/>
      <c r="BO356" s="356"/>
      <c r="BP356" s="356"/>
      <c r="BQ356" s="355"/>
      <c r="BR356" s="356"/>
      <c r="BS356" s="355"/>
      <c r="BT356" s="360"/>
      <c r="BU356" s="356"/>
      <c r="BV356" s="356"/>
      <c r="BW356" s="356"/>
      <c r="BX356" s="356"/>
      <c r="BY356" s="356"/>
      <c r="BZ356" s="356"/>
      <c r="CA356" s="356"/>
      <c r="CB356" s="356"/>
      <c r="CC356" s="356"/>
      <c r="CD356" s="356"/>
      <c r="CE356" s="356"/>
      <c r="CF356" s="356"/>
      <c r="CG356" s="356"/>
      <c r="CH356" s="356"/>
      <c r="CI356" s="356"/>
      <c r="CJ356" s="356"/>
      <c r="CK356" s="356"/>
      <c r="CL356" s="356"/>
      <c r="CM356" s="356"/>
      <c r="CN356" s="356"/>
      <c r="CO356" s="356"/>
      <c r="CP356" s="360">
        <f>+IF(BD_MO[[#This Row],[FECHA]]&lt;&gt;"",BD_MO[[#This Row],[PUNTAL 4"]]+BD_MO[[#This Row],[PUNTAL 5"]]+BD_MO[[#This Row],[PUNTAL 6"]]+BD_MO[[#This Row],[PUNTAL 7"]]+BD_MO[[#This Row],[PUNTAL 8"]],"")</f>
        <v>0</v>
      </c>
      <c r="CQ356" s="356"/>
      <c r="CR356" s="356"/>
      <c r="CS356" s="356"/>
      <c r="CT356" s="356"/>
      <c r="CU356" s="356"/>
      <c r="CV356" s="356"/>
      <c r="CW356" s="356"/>
      <c r="CX356" s="356"/>
      <c r="CY356" s="360"/>
      <c r="CZ356" s="360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56" s="360">
        <f>+IF(BD_MO[[#This Row],[FECHA]]&lt;&gt;"",BD_MO[[#This Row],[DURMIENTE2]]*6.561+BD_MO[[#This Row],[LISTONES]]*4.921+BD_MO[[#This Row],[TABLA 1"x8"x3m]]*6.561+BD_MO[[#This Row],[TABLA 2"x8"x3m]]*13.122,"")</f>
        <v>0</v>
      </c>
      <c r="DB356" s="360">
        <f>+IF(BD_MO[[#This Row],[FECHA]]&lt;&gt;"",BD_MO[[#This Row],[PIE2 MADERA ASERRADA]]*1.95,"")</f>
        <v>0</v>
      </c>
      <c r="DC356" s="360">
        <f>+IF(BD_MO[[#This Row],[FECHA]]&lt;&gt;"",BD_MO[[#This Row],[KG. MADERA REDONDA]]+BD_MO[[#This Row],[KG MADERA ASERRADA]],"")</f>
        <v>0</v>
      </c>
      <c r="DD356" s="363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56" s="356"/>
      <c r="DF356" s="356"/>
      <c r="DG356" s="356"/>
      <c r="DH356" s="356"/>
      <c r="DI356" s="364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56" s="364"/>
      <c r="DK356" s="364"/>
      <c r="DL356" s="364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56" s="364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56" s="364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56" s="365"/>
      <c r="DP356" s="364" t="str">
        <f>+IF(BD_MO[[#This Row],[M o D]]&lt;&gt;"",IF(BD_MO[[#This Row],[M o D]]="M",BD_MO[[#This Row],[ROTURA TMH]]/2.65,BD_MO[[#This Row],[ROTURA TMH]]/2.4),"")</f>
        <v/>
      </c>
      <c r="DQ356" s="364"/>
      <c r="DR356" s="116" t="str">
        <f>IF(BD_MO[[#This Row],[TIPO AVANCE]]="Avance",((BD_MO[[#This Row],[AVANCE (m)]]/BD_MO[[#This Row],[AVANCE TEÓRICO]]))," ")</f>
        <v xml:space="preserve"> </v>
      </c>
      <c r="DS356" s="113"/>
      <c r="DT356" s="113"/>
      <c r="DU356" s="113"/>
      <c r="DV356" s="113"/>
      <c r="DW356" s="113"/>
      <c r="DX356" s="114"/>
      <c r="DY356" s="114"/>
      <c r="DZ356" s="114"/>
    </row>
    <row r="357" spans="1:130" s="136" customFormat="1" ht="18" customHeight="1" x14ac:dyDescent="0.25">
      <c r="A357" s="328">
        <v>44672</v>
      </c>
      <c r="B357" s="329" t="s">
        <v>10647</v>
      </c>
      <c r="C357" s="329" t="s">
        <v>10668</v>
      </c>
      <c r="D357" s="368" t="s">
        <v>11827</v>
      </c>
      <c r="E357" s="344" t="str">
        <f>LEFT(BD_MO[[#This Row],[LABOR]],2)</f>
        <v>Tj</v>
      </c>
      <c r="F357" s="345" t="s">
        <v>10950</v>
      </c>
      <c r="G357" s="345" t="s">
        <v>10648</v>
      </c>
      <c r="H357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57" s="344" t="str">
        <f>IF(BD_MO[FECHA]&lt;&gt;"",VLOOKUP(BD_MO[LABOR],TB_CECO[[LABOR]:[CECO_T]],3,FALSE),"")</f>
        <v>VANESSA</v>
      </c>
      <c r="J357" s="344" t="str">
        <f>IF(BD_MO[FECHA]&lt;&gt;"",VLOOKUP(BD_MO[LABOR],D_CECO!B:H,7,FALSE),"")</f>
        <v>TAJO</v>
      </c>
      <c r="K357" s="344" t="str">
        <f>IF(BD_MO[FECHA]&lt;&gt;"",VLOOKUP(BD_MO[LABOR],D_CECO!B:H,4,FALSE),"")</f>
        <v>EXPLOTACION</v>
      </c>
      <c r="L357" s="344"/>
      <c r="M357" s="329" t="s">
        <v>10661</v>
      </c>
      <c r="N357" s="345"/>
      <c r="O357" s="333" t="s">
        <v>12095</v>
      </c>
      <c r="P357" s="333" t="s">
        <v>12088</v>
      </c>
      <c r="Q357" s="333"/>
      <c r="R357" s="346"/>
      <c r="S357" s="347" t="str">
        <f>IFERROR(VLOOKUP(BD_MO[DNI 4],#REF!,2,FALSE)," ")</f>
        <v xml:space="preserve"> </v>
      </c>
      <c r="T357" s="348">
        <f>+IF(BD_MO[[#This Row],[FECHA]]&lt;&gt;"",COUNTA(BD_MO[[#This Row],[DNI]],BD_MO[[#This Row],[DNI 2]],BD_MO[[#This Row],[DNI 3]],BD_MO[[#This Row],[DNI 4]]),"")</f>
        <v>2</v>
      </c>
      <c r="U357" s="348">
        <v>0.9</v>
      </c>
      <c r="V357" s="348">
        <v>0.3</v>
      </c>
      <c r="W357" s="348">
        <v>0.6</v>
      </c>
      <c r="X357" s="348">
        <v>0.2</v>
      </c>
      <c r="Y357" s="337">
        <f>SUM(BD_MO[[#This Row],[LIMP]:[SERV]])</f>
        <v>1.9999999999999998</v>
      </c>
      <c r="Z357" s="345" t="s">
        <v>12341</v>
      </c>
      <c r="AA357" s="345">
        <f>+IF(BD_MO[[#This Row],[N° VALE]]&lt;&gt;"",1,"")</f>
        <v>1</v>
      </c>
      <c r="AB357" s="329" t="s">
        <v>10691</v>
      </c>
      <c r="AC357" s="345">
        <v>4</v>
      </c>
      <c r="AD357" s="345">
        <f>+IF(BD_MO[[#This Row],[N° VALE]]&lt;&gt;"",BD_MO[[#This Row],[FULMINANTE N° 08]]+BD_MO[CARMEX 7''],"")</f>
        <v>10</v>
      </c>
      <c r="AE357" s="345"/>
      <c r="AF357" s="345">
        <f>+IF(BD_MO[[#This Row],[N° VALE]]&lt;&gt;"",BD_MO[[#This Row],[N° TALADROS]]+BD_MO[[#This Row],[N° TAL. VACIOS]],"")</f>
        <v>10</v>
      </c>
      <c r="AG357" s="349">
        <v>9</v>
      </c>
      <c r="AH357" s="349">
        <v>39</v>
      </c>
      <c r="AI357" s="349"/>
      <c r="AJ357" s="349"/>
      <c r="AK357" s="349">
        <v>10</v>
      </c>
      <c r="AL357" s="349">
        <v>2</v>
      </c>
      <c r="AM357" s="344"/>
      <c r="AN357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57" s="345">
        <f>+IF(BD_MO[[#This Row],[N° VALE]]&lt;&gt;"",IF(BD_MO[[#This Row],[FULMINANTE N° 08]]&lt;&gt;"",BD_MO[[#This Row],[FULMINANTE N° 08]],IF(BD_MO[[#This Row],[CARMEX 7'']]&lt;&gt;0,0,"")),"")</f>
        <v>0</v>
      </c>
      <c r="AP357" s="348">
        <f>+IF(BD_MO[[#This Row],[N° VALE]]&lt;&gt;"",BD_MO[[#This Row],[N°  TOTAL TALADROS]]*BD_MO[[#This Row],[BARRA]]*0.95,"")</f>
        <v>38</v>
      </c>
      <c r="AQ357" s="348">
        <f>+IF(BD_MO[[#This Row],[N° VALE]]&lt;&gt;"",BD_MO[[#This Row],[EMULNOR 1000 (N° CART.)]]*PE_EMUL_1000[PE],"")</f>
        <v>3.6933000000000002</v>
      </c>
      <c r="AR357" s="348">
        <f>+IF(BD_MO[[#This Row],[N° VALE]]&lt;&gt;"",BD_MO[[#This Row],[EMULNOR 3000 (N° CART.)]]*PE_EMUL_3000[PE],"")</f>
        <v>0.86538461538461586</v>
      </c>
      <c r="AS357" s="348">
        <f>+IF(BD_MO[[#This Row],[N° VALE]]&lt;&gt;"",BD_MO[[#This Row],[PULVERULENTA (N° CART.)]]*PE_PULV_65[PE],"")</f>
        <v>0</v>
      </c>
      <c r="AT357" s="348">
        <f>+IF(BD_MO[[#This Row],[N° DISP]]&lt;&gt;"",BD_MO[[#This Row],[SEMIGELATINA (N° CART.)]]*PE_SEMIGEL_65[PE],"")</f>
        <v>0</v>
      </c>
      <c r="AU357" s="348">
        <f>+IF(BD_MO[N° VALE]&lt;&gt;"",BD_MO[[#This Row],[KG EXPLO SEMIGEL]]+BD_MO[[#This Row],[KG EXPLO PULVE]]+BD_MO[[#This Row],[KG EXPLO EMULN 3000]]+BD_MO[[#This Row],[KG EXPLO EMULN 1000]],"")</f>
        <v>4.5586846153846157</v>
      </c>
      <c r="AV357" s="345">
        <v>11</v>
      </c>
      <c r="AW357" s="345"/>
      <c r="AX357" s="345">
        <f>+IF(BD_MO[[#This Row],[MINERAL (U-35)]]&lt;&gt;"",BD_MO[[#This Row],[MINERAL (U-35)]]*1.45,"-")</f>
        <v>15.95</v>
      </c>
      <c r="AY357" s="345" t="str">
        <f>+IF(BD_MO[[#This Row],[DESMONTE (U-35)]]&lt;&gt;"",BD_MO[[#This Row],[DESMONTE (U-35)]]*1.23,"-")</f>
        <v>-</v>
      </c>
      <c r="AZ357" s="345"/>
      <c r="BA357" s="345"/>
      <c r="BB357" s="345"/>
      <c r="BC357" s="345"/>
      <c r="BD357" s="345"/>
      <c r="BE357" s="345"/>
      <c r="BF357" s="345"/>
      <c r="BG357" s="345"/>
      <c r="BH357" s="345"/>
      <c r="BI357" s="345"/>
      <c r="BJ357" s="345"/>
      <c r="BK357" s="345"/>
      <c r="BL357" s="345"/>
      <c r="BM357" s="345"/>
      <c r="BN357" s="344"/>
      <c r="BO357" s="345"/>
      <c r="BP357" s="345"/>
      <c r="BQ357" s="344"/>
      <c r="BR357" s="345"/>
      <c r="BS357" s="344"/>
      <c r="BT357" s="348"/>
      <c r="BU357" s="345"/>
      <c r="BV357" s="345"/>
      <c r="BW357" s="345"/>
      <c r="BX357" s="345"/>
      <c r="BY357" s="345"/>
      <c r="BZ357" s="345"/>
      <c r="CA357" s="345"/>
      <c r="CB357" s="345"/>
      <c r="CC357" s="345"/>
      <c r="CD357" s="345"/>
      <c r="CE357" s="345"/>
      <c r="CF357" s="345"/>
      <c r="CG357" s="345"/>
      <c r="CH357" s="345"/>
      <c r="CI357" s="345"/>
      <c r="CJ357" s="345"/>
      <c r="CK357" s="345"/>
      <c r="CL357" s="345"/>
      <c r="CM357" s="345"/>
      <c r="CN357" s="345">
        <v>2</v>
      </c>
      <c r="CO357" s="345"/>
      <c r="CP357" s="348">
        <f>+IF(BD_MO[[#This Row],[FECHA]]&lt;&gt;"",BD_MO[[#This Row],[PUNTAL 4"]]+BD_MO[[#This Row],[PUNTAL 5"]]+BD_MO[[#This Row],[PUNTAL 6"]]+BD_MO[[#This Row],[PUNTAL 7"]]+BD_MO[[#This Row],[PUNTAL 8"]],"")</f>
        <v>2</v>
      </c>
      <c r="CQ357" s="345"/>
      <c r="CR357" s="345"/>
      <c r="CS357" s="345">
        <v>11</v>
      </c>
      <c r="CT357" s="345"/>
      <c r="CU357" s="345"/>
      <c r="CV357" s="345"/>
      <c r="CW357" s="345"/>
      <c r="CX357" s="345"/>
      <c r="CY357" s="348"/>
      <c r="CZ357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392.75800000000004</v>
      </c>
      <c r="DA357" s="348">
        <f>+IF(BD_MO[[#This Row],[FECHA]]&lt;&gt;"",BD_MO[[#This Row],[DURMIENTE2]]*6.561+BD_MO[[#This Row],[LISTONES]]*4.921+BD_MO[[#This Row],[TABLA 1"x8"x3m]]*6.561+BD_MO[[#This Row],[TABLA 2"x8"x3m]]*13.122,"")</f>
        <v>0</v>
      </c>
      <c r="DB357" s="348">
        <f>+IF(BD_MO[[#This Row],[FECHA]]&lt;&gt;"",BD_MO[[#This Row],[PIE2 MADERA ASERRADA]]*1.95,"")</f>
        <v>0</v>
      </c>
      <c r="DC357" s="348">
        <f>+IF(BD_MO[[#This Row],[FECHA]]&lt;&gt;"",BD_MO[[#This Row],[KG. MADERA REDONDA]]+BD_MO[[#This Row],[KG MADERA ASERRADA]],"")</f>
        <v>392.75800000000004</v>
      </c>
      <c r="DD357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170.79</v>
      </c>
      <c r="DE357" s="345"/>
      <c r="DF357" s="345"/>
      <c r="DG357" s="345"/>
      <c r="DH357" s="345"/>
      <c r="DI357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57" s="351"/>
      <c r="DK357" s="351"/>
      <c r="DL357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357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357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57" s="50">
        <v>10.5</v>
      </c>
      <c r="DP357" s="351">
        <f>+IF(BD_MO[[#This Row],[M o D]]&lt;&gt;"",IF(BD_MO[[#This Row],[M o D]]="M",BD_MO[[#This Row],[ROTURA TMH]]/2.65,BD_MO[[#This Row],[ROTURA TMH]]/2.4),"")</f>
        <v>3.9622641509433962</v>
      </c>
      <c r="DQ357" s="351"/>
      <c r="DR357" s="116" t="str">
        <f>IF(BD_MO[[#This Row],[TIPO AVANCE]]="Avance",((BD_MO[[#This Row],[AVANCE (m)]]/BD_MO[[#This Row],[AVANCE TEÓRICO]]))," ")</f>
        <v xml:space="preserve"> </v>
      </c>
      <c r="DS357" s="134"/>
      <c r="DT357" s="134"/>
      <c r="DU357" s="134"/>
      <c r="DV357" s="134"/>
      <c r="DW357" s="134"/>
      <c r="DX357" s="135"/>
      <c r="DY357" s="135"/>
      <c r="DZ357" s="135"/>
    </row>
    <row r="358" spans="1:130" s="136" customFormat="1" ht="18" customHeight="1" x14ac:dyDescent="0.25">
      <c r="A358" s="328">
        <v>44672</v>
      </c>
      <c r="B358" s="329" t="s">
        <v>10647</v>
      </c>
      <c r="C358" s="329" t="s">
        <v>10668</v>
      </c>
      <c r="D358" s="343" t="s">
        <v>12317</v>
      </c>
      <c r="E358" s="349" t="str">
        <f>LEFT(BD_MO[[#This Row],[LABOR]],2)</f>
        <v>Sn</v>
      </c>
      <c r="F358" s="329" t="s">
        <v>10950</v>
      </c>
      <c r="G358" s="329" t="s">
        <v>10648</v>
      </c>
      <c r="H358" s="34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58" s="349" t="s">
        <v>12254</v>
      </c>
      <c r="J358" s="387" t="s">
        <v>10525</v>
      </c>
      <c r="K358" s="349" t="s">
        <v>12247</v>
      </c>
      <c r="L358" s="349"/>
      <c r="M358" s="329" t="s">
        <v>10646</v>
      </c>
      <c r="N358" s="329"/>
      <c r="O358" s="333" t="s">
        <v>12101</v>
      </c>
      <c r="P358" s="333" t="s">
        <v>12305</v>
      </c>
      <c r="Q358" s="333"/>
      <c r="R358" s="333"/>
      <c r="S358" s="391" t="str">
        <f>IFERROR(VLOOKUP(BD_MO[DNI 4],#REF!,2,FALSE)," ")</f>
        <v xml:space="preserve"> </v>
      </c>
      <c r="T358" s="350">
        <f>+IF(BD_MO[[#This Row],[FECHA]]&lt;&gt;"",COUNTA(BD_MO[[#This Row],[DNI]],BD_MO[[#This Row],[DNI 2]],BD_MO[[#This Row],[DNI 3]],BD_MO[[#This Row],[DNI 4]]),"")</f>
        <v>2</v>
      </c>
      <c r="U358" s="350">
        <v>0.9</v>
      </c>
      <c r="V358" s="350">
        <v>0.8</v>
      </c>
      <c r="W358" s="350"/>
      <c r="X358" s="350">
        <v>0.3</v>
      </c>
      <c r="Y358" s="337">
        <f>SUM(BD_MO[[#This Row],[LIMP]:[SERV]])</f>
        <v>2</v>
      </c>
      <c r="Z358" s="329" t="s">
        <v>12342</v>
      </c>
      <c r="AA358" s="329">
        <f>+IF(BD_MO[[#This Row],[N° VALE]]&lt;&gt;"",1,"")</f>
        <v>1</v>
      </c>
      <c r="AB358" s="329" t="s">
        <v>10659</v>
      </c>
      <c r="AC358" s="329">
        <v>4</v>
      </c>
      <c r="AD358" s="329">
        <f>+IF(BD_MO[[#This Row],[N° VALE]]&lt;&gt;"",BD_MO[[#This Row],[FULMINANTE N° 08]]+BD_MO[CARMEX 7''],"")</f>
        <v>3</v>
      </c>
      <c r="AE358" s="329">
        <v>3</v>
      </c>
      <c r="AF358" s="329">
        <f>+IF(BD_MO[[#This Row],[N° VALE]]&lt;&gt;"",BD_MO[[#This Row],[N° TALADROS]]+BD_MO[[#This Row],[N° TAL. VACIOS]],"")</f>
        <v>6</v>
      </c>
      <c r="AG358" s="349">
        <v>25</v>
      </c>
      <c r="AH358" s="349">
        <v>97</v>
      </c>
      <c r="AI358" s="349"/>
      <c r="AJ358" s="349"/>
      <c r="AK358" s="349">
        <v>3</v>
      </c>
      <c r="AL358" s="349">
        <v>1</v>
      </c>
      <c r="AM358" s="349"/>
      <c r="AN358" s="32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58" s="329">
        <f>+IF(BD_MO[[#This Row],[N° VALE]]&lt;&gt;"",IF(BD_MO[[#This Row],[FULMINANTE N° 08]]&lt;&gt;"",BD_MO[[#This Row],[FULMINANTE N° 08]],IF(BD_MO[[#This Row],[CARMEX 7'']]&lt;&gt;0,0,"")),"")</f>
        <v>0</v>
      </c>
      <c r="AP358" s="350">
        <f>+IF(BD_MO[[#This Row],[N° VALE]]&lt;&gt;"",BD_MO[[#This Row],[N°  TOTAL TALADROS]]*BD_MO[[#This Row],[BARRA]]*0.95,"")</f>
        <v>22.799999999999997</v>
      </c>
      <c r="AQ358" s="350">
        <f>+IF(BD_MO[[#This Row],[N° VALE]]&lt;&gt;"",BD_MO[[#This Row],[EMULNOR 1000 (N° CART.)]]*PE_EMUL_1000[PE],"")</f>
        <v>9.1859000000000002</v>
      </c>
      <c r="AR358" s="350">
        <f>+IF(BD_MO[[#This Row],[N° VALE]]&lt;&gt;"",BD_MO[[#This Row],[EMULNOR 3000 (N° CART.)]]*PE_EMUL_3000[PE],"")</f>
        <v>2.4038461538461551</v>
      </c>
      <c r="AS358" s="350">
        <f>+IF(BD_MO[[#This Row],[N° VALE]]&lt;&gt;"",BD_MO[[#This Row],[PULVERULENTA (N° CART.)]]*PE_PULV_65[PE],"")</f>
        <v>0</v>
      </c>
      <c r="AT358" s="350">
        <f>+IF(BD_MO[[#This Row],[N° DISP]]&lt;&gt;"",BD_MO[[#This Row],[SEMIGELATINA (N° CART.)]]*PE_SEMIGEL_65[PE],"")</f>
        <v>0</v>
      </c>
      <c r="AU358" s="350">
        <f>+IF(BD_MO[N° VALE]&lt;&gt;"",BD_MO[[#This Row],[KG EXPLO SEMIGEL]]+BD_MO[[#This Row],[KG EXPLO PULVE]]+BD_MO[[#This Row],[KG EXPLO EMULN 3000]]+BD_MO[[#This Row],[KG EXPLO EMULN 1000]],"")</f>
        <v>11.589746153846155</v>
      </c>
      <c r="AV358" s="329"/>
      <c r="AW358" s="329"/>
      <c r="AX358" s="329" t="str">
        <f>+IF(BD_MO[[#This Row],[MINERAL (U-35)]]&lt;&gt;"",BD_MO[[#This Row],[MINERAL (U-35)]]*1.45,"-")</f>
        <v>-</v>
      </c>
      <c r="AY358" s="329" t="str">
        <f>+IF(BD_MO[[#This Row],[DESMONTE (U-35)]]&lt;&gt;"",BD_MO[[#This Row],[DESMONTE (U-35)]]*1.23,"-")</f>
        <v>-</v>
      </c>
      <c r="AZ358" s="329"/>
      <c r="BA358" s="329"/>
      <c r="BB358" s="329"/>
      <c r="BC358" s="329"/>
      <c r="BD358" s="329"/>
      <c r="BE358" s="329"/>
      <c r="BF358" s="329"/>
      <c r="BG358" s="329"/>
      <c r="BH358" s="329"/>
      <c r="BI358" s="329"/>
      <c r="BJ358" s="329"/>
      <c r="BK358" s="329"/>
      <c r="BL358" s="329"/>
      <c r="BM358" s="329"/>
      <c r="BN358" s="349"/>
      <c r="BO358" s="329"/>
      <c r="BP358" s="329"/>
      <c r="BQ358" s="349"/>
      <c r="BR358" s="329"/>
      <c r="BS358" s="349"/>
      <c r="BT358" s="350"/>
      <c r="BU358" s="329"/>
      <c r="BV358" s="329"/>
      <c r="BW358" s="329"/>
      <c r="BX358" s="329"/>
      <c r="BY358" s="329"/>
      <c r="BZ358" s="329"/>
      <c r="CA358" s="329"/>
      <c r="CB358" s="329"/>
      <c r="CC358" s="329"/>
      <c r="CD358" s="329"/>
      <c r="CE358" s="329"/>
      <c r="CF358" s="329"/>
      <c r="CG358" s="329"/>
      <c r="CH358" s="329"/>
      <c r="CI358" s="329"/>
      <c r="CJ358" s="329"/>
      <c r="CK358" s="329"/>
      <c r="CL358" s="329"/>
      <c r="CM358" s="329"/>
      <c r="CN358" s="329"/>
      <c r="CO358" s="329"/>
      <c r="CP358" s="350">
        <f>+IF(BD_MO[[#This Row],[FECHA]]&lt;&gt;"",BD_MO[[#This Row],[PUNTAL 4"]]+BD_MO[[#This Row],[PUNTAL 5"]]+BD_MO[[#This Row],[PUNTAL 6"]]+BD_MO[[#This Row],[PUNTAL 7"]]+BD_MO[[#This Row],[PUNTAL 8"]],"")</f>
        <v>0</v>
      </c>
      <c r="CQ358" s="329"/>
      <c r="CR358" s="329"/>
      <c r="CS358" s="329"/>
      <c r="CT358" s="329"/>
      <c r="CU358" s="329"/>
      <c r="CV358" s="329"/>
      <c r="CW358" s="329"/>
      <c r="CX358" s="329"/>
      <c r="CY358" s="350"/>
      <c r="CZ358" s="350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58" s="350">
        <f>+IF(BD_MO[[#This Row],[FECHA]]&lt;&gt;"",BD_MO[[#This Row],[DURMIENTE2]]*6.561+BD_MO[[#This Row],[LISTONES]]*4.921+BD_MO[[#This Row],[TABLA 1"x8"x3m]]*6.561+BD_MO[[#This Row],[TABLA 2"x8"x3m]]*13.122,"")</f>
        <v>0</v>
      </c>
      <c r="DB358" s="350">
        <f>+IF(BD_MO[[#This Row],[FECHA]]&lt;&gt;"",BD_MO[[#This Row],[PIE2 MADERA ASERRADA]]*1.95,"")</f>
        <v>0</v>
      </c>
      <c r="DC358" s="350">
        <f>+IF(BD_MO[[#This Row],[FECHA]]&lt;&gt;"",BD_MO[[#This Row],[KG. MADERA REDONDA]]+BD_MO[[#This Row],[KG MADERA ASERRADA]],"")</f>
        <v>0</v>
      </c>
      <c r="DD358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58" s="329"/>
      <c r="DF358" s="329"/>
      <c r="DG358" s="329"/>
      <c r="DH358" s="329"/>
      <c r="DI358" s="36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58" s="367"/>
      <c r="DK358" s="367"/>
      <c r="DL358" s="36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58" s="36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58" s="36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58" s="367"/>
      <c r="DP358" s="367">
        <f>+IF(BD_MO[[#This Row],[M o D]]&lt;&gt;"",IF(BD_MO[[#This Row],[M o D]]="M",BD_MO[[#This Row],[ROTURA TMH]]/2.65,BD_MO[[#This Row],[ROTURA TMH]]/2.4),"")</f>
        <v>0</v>
      </c>
      <c r="DQ358" s="367">
        <v>1.1399999999999999</v>
      </c>
      <c r="DR358" s="116">
        <f>IF(BD_MO[[#This Row],[TIPO AVANCE]]="Avance",((BD_MO[[#This Row],[AVANCE (m)]]/BD_MO[[#This Row],[AVANCE TEÓRICO]]))," ")</f>
        <v>1.0555555555555554</v>
      </c>
      <c r="DS358" s="134"/>
      <c r="DT358" s="134"/>
      <c r="DU358" s="134"/>
      <c r="DV358" s="134"/>
      <c r="DW358" s="134"/>
      <c r="DX358" s="135"/>
      <c r="DY358" s="135"/>
      <c r="DZ358" s="135"/>
    </row>
    <row r="359" spans="1:130" s="136" customFormat="1" ht="18" customHeight="1" x14ac:dyDescent="0.25">
      <c r="A359" s="328">
        <v>44672</v>
      </c>
      <c r="B359" s="329" t="s">
        <v>10647</v>
      </c>
      <c r="C359" s="329" t="s">
        <v>10668</v>
      </c>
      <c r="D359" s="343" t="s">
        <v>11851</v>
      </c>
      <c r="E359" s="349" t="str">
        <f>LEFT(BD_MO[[#This Row],[LABOR]],2)</f>
        <v>Es</v>
      </c>
      <c r="F359" s="329" t="s">
        <v>10687</v>
      </c>
      <c r="G359" s="329" t="s">
        <v>10648</v>
      </c>
      <c r="H359" s="34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59" s="349" t="str">
        <f>IF(BD_MO[FECHA]&lt;&gt;"",VLOOKUP(BD_MO[LABOR],TB_CECO[[LABOR]:[CECO_T]],3,FALSE),"")</f>
        <v>VANESSA</v>
      </c>
      <c r="J359" s="349" t="str">
        <f>IF(BD_MO[FECHA]&lt;&gt;"",VLOOKUP(BD_MO[LABOR],D_CECO!B:H,7,FALSE),"")</f>
        <v>LINEAL</v>
      </c>
      <c r="K359" s="349" t="str">
        <f>IF(BD_MO[FECHA]&lt;&gt;"",VLOOKUP(BD_MO[LABOR],D_CECO!B:H,4,FALSE),"")</f>
        <v>DESARROLLO</v>
      </c>
      <c r="L359" s="349"/>
      <c r="M359" s="329" t="s">
        <v>10646</v>
      </c>
      <c r="N359" s="329"/>
      <c r="O359" s="333" t="s">
        <v>12091</v>
      </c>
      <c r="P359" s="333" t="s">
        <v>12159</v>
      </c>
      <c r="Q359" s="333"/>
      <c r="R359" s="333"/>
      <c r="S359" s="391" t="str">
        <f>IFERROR(VLOOKUP(BD_MO[DNI 4],#REF!,2,FALSE)," ")</f>
        <v xml:space="preserve"> </v>
      </c>
      <c r="T359" s="350">
        <f>+IF(BD_MO[[#This Row],[FECHA]]&lt;&gt;"",COUNTA(BD_MO[[#This Row],[DNI]],BD_MO[[#This Row],[DNI 2]],BD_MO[[#This Row],[DNI 3]],BD_MO[[#This Row],[DNI 4]]),"")</f>
        <v>2</v>
      </c>
      <c r="U359" s="350">
        <v>0.9</v>
      </c>
      <c r="V359" s="350">
        <v>0.6</v>
      </c>
      <c r="W359" s="350">
        <v>0.3</v>
      </c>
      <c r="X359" s="350">
        <v>0.2</v>
      </c>
      <c r="Y359" s="337">
        <f>SUM(BD_MO[[#This Row],[LIMP]:[SERV]])</f>
        <v>2</v>
      </c>
      <c r="Z359" s="329" t="s">
        <v>12343</v>
      </c>
      <c r="AA359" s="329">
        <f>+IF(BD_MO[[#This Row],[N° VALE]]&lt;&gt;"",1,"")</f>
        <v>1</v>
      </c>
      <c r="AB359" s="329" t="s">
        <v>10705</v>
      </c>
      <c r="AC359" s="329">
        <v>5</v>
      </c>
      <c r="AD359" s="329">
        <v>15</v>
      </c>
      <c r="AE359" s="329"/>
      <c r="AF359" s="329">
        <f>+IF(BD_MO[[#This Row],[N° VALE]]&lt;&gt;"",BD_MO[[#This Row],[N° TALADROS]]+BD_MO[[#This Row],[N° TAL. VACIOS]],"")</f>
        <v>15</v>
      </c>
      <c r="AG359" s="349">
        <v>50</v>
      </c>
      <c r="AH359" s="349">
        <v>75</v>
      </c>
      <c r="AI359" s="349"/>
      <c r="AJ359" s="349"/>
      <c r="AK359" s="349">
        <v>23</v>
      </c>
      <c r="AL359" s="349">
        <v>5</v>
      </c>
      <c r="AM359" s="349"/>
      <c r="AN359" s="32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59" s="329">
        <f>+IF(BD_MO[[#This Row],[N° VALE]]&lt;&gt;"",IF(BD_MO[[#This Row],[FULMINANTE N° 08]]&lt;&gt;"",BD_MO[[#This Row],[FULMINANTE N° 08]],IF(BD_MO[[#This Row],[CARMEX 7'']]&lt;&gt;0,0,"")),"")</f>
        <v>0</v>
      </c>
      <c r="AP359" s="350">
        <f>+IF(BD_MO[[#This Row],[N° VALE]]&lt;&gt;"",BD_MO[[#This Row],[N°  TOTAL TALADROS]]*BD_MO[[#This Row],[BARRA]]*0.95,"")</f>
        <v>71.25</v>
      </c>
      <c r="AQ359" s="350">
        <f>+IF(BD_MO[[#This Row],[N° VALE]]&lt;&gt;"",BD_MO[[#This Row],[EMULNOR 1000 (N° CART.)]]*PE_EMUL_1000[PE],"")</f>
        <v>7.1025000000000009</v>
      </c>
      <c r="AR359" s="350">
        <f>+IF(BD_MO[[#This Row],[N° VALE]]&lt;&gt;"",BD_MO[[#This Row],[EMULNOR 3000 (N° CART.)]]*PE_EMUL_3000[PE],"")</f>
        <v>4.8076923076923102</v>
      </c>
      <c r="AS359" s="350">
        <f>+IF(BD_MO[[#This Row],[N° VALE]]&lt;&gt;"",BD_MO[[#This Row],[PULVERULENTA (N° CART.)]]*PE_PULV_65[PE],"")</f>
        <v>0</v>
      </c>
      <c r="AT359" s="350">
        <f>+IF(BD_MO[[#This Row],[N° DISP]]&lt;&gt;"",BD_MO[[#This Row],[SEMIGELATINA (N° CART.)]]*PE_SEMIGEL_65[PE],"")</f>
        <v>0</v>
      </c>
      <c r="AU359" s="350">
        <f>+IF(BD_MO[N° VALE]&lt;&gt;"",BD_MO[[#This Row],[KG EXPLO SEMIGEL]]+BD_MO[[#This Row],[KG EXPLO PULVE]]+BD_MO[[#This Row],[KG EXPLO EMULN 3000]]+BD_MO[[#This Row],[KG EXPLO EMULN 1000]],"")</f>
        <v>11.910192307692311</v>
      </c>
      <c r="AV359" s="329"/>
      <c r="AW359" s="329">
        <v>7</v>
      </c>
      <c r="AX359" s="329" t="str">
        <f>+IF(BD_MO[[#This Row],[MINERAL (U-35)]]&lt;&gt;"",BD_MO[[#This Row],[MINERAL (U-35)]]*1.45,"-")</f>
        <v>-</v>
      </c>
      <c r="AY359" s="329">
        <f>+IF(BD_MO[[#This Row],[DESMONTE (U-35)]]&lt;&gt;"",BD_MO[[#This Row],[DESMONTE (U-35)]]*1.23,"-")</f>
        <v>8.61</v>
      </c>
      <c r="AZ359" s="329"/>
      <c r="BA359" s="329"/>
      <c r="BB359" s="329"/>
      <c r="BC359" s="329"/>
      <c r="BD359" s="329"/>
      <c r="BE359" s="329"/>
      <c r="BF359" s="329"/>
      <c r="BG359" s="329"/>
      <c r="BH359" s="329"/>
      <c r="BI359" s="329"/>
      <c r="BJ359" s="329"/>
      <c r="BK359" s="329"/>
      <c r="BL359" s="329"/>
      <c r="BM359" s="329"/>
      <c r="BN359" s="349"/>
      <c r="BO359" s="329"/>
      <c r="BP359" s="329"/>
      <c r="BQ359" s="349"/>
      <c r="BR359" s="329"/>
      <c r="BS359" s="349"/>
      <c r="BT359" s="350"/>
      <c r="BU359" s="329"/>
      <c r="BV359" s="329"/>
      <c r="BW359" s="329"/>
      <c r="BX359" s="329"/>
      <c r="BY359" s="329"/>
      <c r="BZ359" s="329"/>
      <c r="CA359" s="329"/>
      <c r="CB359" s="329"/>
      <c r="CC359" s="329"/>
      <c r="CD359" s="329"/>
      <c r="CE359" s="329"/>
      <c r="CF359" s="329"/>
      <c r="CG359" s="329"/>
      <c r="CH359" s="329"/>
      <c r="CI359" s="329"/>
      <c r="CJ359" s="329"/>
      <c r="CK359" s="329"/>
      <c r="CL359" s="329"/>
      <c r="CM359" s="329"/>
      <c r="CN359" s="329"/>
      <c r="CO359" s="329"/>
      <c r="CP359" s="350">
        <f>+IF(BD_MO[[#This Row],[FECHA]]&lt;&gt;"",BD_MO[[#This Row],[PUNTAL 4"]]+BD_MO[[#This Row],[PUNTAL 5"]]+BD_MO[[#This Row],[PUNTAL 6"]]+BD_MO[[#This Row],[PUNTAL 7"]]+BD_MO[[#This Row],[PUNTAL 8"]],"")</f>
        <v>0</v>
      </c>
      <c r="CQ359" s="329"/>
      <c r="CR359" s="329"/>
      <c r="CS359" s="329"/>
      <c r="CT359" s="329"/>
      <c r="CU359" s="329"/>
      <c r="CV359" s="329"/>
      <c r="CW359" s="329"/>
      <c r="CX359" s="329"/>
      <c r="CY359" s="350"/>
      <c r="CZ359" s="350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59" s="350">
        <f>+IF(BD_MO[[#This Row],[FECHA]]&lt;&gt;"",BD_MO[[#This Row],[DURMIENTE2]]*6.561+BD_MO[[#This Row],[LISTONES]]*4.921+BD_MO[[#This Row],[TABLA 1"x8"x3m]]*6.561+BD_MO[[#This Row],[TABLA 2"x8"x3m]]*13.122,"")</f>
        <v>0</v>
      </c>
      <c r="DB359" s="350">
        <f>+IF(BD_MO[[#This Row],[FECHA]]&lt;&gt;"",BD_MO[[#This Row],[PIE2 MADERA ASERRADA]]*1.95,"")</f>
        <v>0</v>
      </c>
      <c r="DC359" s="350">
        <f>+IF(BD_MO[[#This Row],[FECHA]]&lt;&gt;"",BD_MO[[#This Row],[KG. MADERA REDONDA]]+BD_MO[[#This Row],[KG MADERA ASERRADA]],"")</f>
        <v>0</v>
      </c>
      <c r="DD359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59" s="329"/>
      <c r="DF359" s="329"/>
      <c r="DG359" s="329"/>
      <c r="DH359" s="329"/>
      <c r="DI359" s="36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359" s="367"/>
      <c r="DK359" s="367"/>
      <c r="DL359" s="36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59" s="36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59" s="36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59" s="367">
        <v>11.44</v>
      </c>
      <c r="DP359" s="367">
        <f>+IF(BD_MO[[#This Row],[M o D]]&lt;&gt;"",IF(BD_MO[[#This Row],[M o D]]="M",BD_MO[[#This Row],[ROTURA TMH]]/2.65,BD_MO[[#This Row],[ROTURA TMH]]/2.4),"")</f>
        <v>4.7666666666666666</v>
      </c>
      <c r="DQ359" s="367">
        <v>1.38</v>
      </c>
      <c r="DR359" s="116">
        <f>IF(BD_MO[[#This Row],[TIPO AVANCE]]="Avance",((BD_MO[[#This Row],[AVANCE (m)]]/BD_MO[[#This Row],[AVANCE TEÓRICO]]))," ")</f>
        <v>1.0222222222222221</v>
      </c>
      <c r="DS359" s="134"/>
      <c r="DT359" s="134"/>
      <c r="DU359" s="134"/>
      <c r="DV359" s="134"/>
      <c r="DW359" s="134"/>
      <c r="DX359" s="135"/>
      <c r="DY359" s="135"/>
      <c r="DZ359" s="135"/>
    </row>
    <row r="360" spans="1:130" s="136" customFormat="1" ht="18" customHeight="1" x14ac:dyDescent="0.25">
      <c r="A360" s="328">
        <v>44672</v>
      </c>
      <c r="B360" s="329" t="s">
        <v>10647</v>
      </c>
      <c r="C360" s="329" t="s">
        <v>10668</v>
      </c>
      <c r="D360" s="368" t="s">
        <v>12339</v>
      </c>
      <c r="E360" s="344" t="str">
        <f>LEFT(BD_MO[[#This Row],[LABOR]],2)</f>
        <v>Tj</v>
      </c>
      <c r="F360" s="345" t="s">
        <v>10950</v>
      </c>
      <c r="G360" s="345" t="s">
        <v>10648</v>
      </c>
      <c r="H360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60" s="344" t="s">
        <v>12254</v>
      </c>
      <c r="J360" s="344" t="s">
        <v>10502</v>
      </c>
      <c r="K360" s="344" t="s">
        <v>12249</v>
      </c>
      <c r="L360" s="344"/>
      <c r="M360" s="329" t="s">
        <v>10654</v>
      </c>
      <c r="N360" s="345"/>
      <c r="O360" s="333" t="s">
        <v>12306</v>
      </c>
      <c r="P360" s="333" t="s">
        <v>12093</v>
      </c>
      <c r="Q360" s="333"/>
      <c r="R360" s="346"/>
      <c r="S360" s="347" t="str">
        <f>IFERROR(VLOOKUP(BD_MO[DNI 4],#REF!,2,FALSE)," ")</f>
        <v xml:space="preserve"> </v>
      </c>
      <c r="T360" s="348">
        <f>+IF(BD_MO[[#This Row],[FECHA]]&lt;&gt;"",COUNTA(BD_MO[[#This Row],[DNI]],BD_MO[[#This Row],[DNI 2]],BD_MO[[#This Row],[DNI 3]],BD_MO[[#This Row],[DNI 4]]),"")</f>
        <v>2</v>
      </c>
      <c r="U360" s="348"/>
      <c r="V360" s="348">
        <v>0.8</v>
      </c>
      <c r="W360" s="348">
        <v>0.9</v>
      </c>
      <c r="X360" s="348">
        <v>0.3</v>
      </c>
      <c r="Y360" s="337">
        <f>SUM(BD_MO[[#This Row],[LIMP]:[SERV]])</f>
        <v>2</v>
      </c>
      <c r="Z360" s="345" t="s">
        <v>12344</v>
      </c>
      <c r="AA360" s="345">
        <f>+IF(BD_MO[[#This Row],[N° VALE]]&lt;&gt;"",1,"")</f>
        <v>1</v>
      </c>
      <c r="AB360" s="329" t="s">
        <v>10710</v>
      </c>
      <c r="AC360" s="345">
        <v>4</v>
      </c>
      <c r="AD360" s="345">
        <f>+IF(BD_MO[[#This Row],[N° VALE]]&lt;&gt;"",BD_MO[[#This Row],[FULMINANTE N° 08]]+BD_MO[CARMEX 7''],"")</f>
        <v>11</v>
      </c>
      <c r="AE360" s="345"/>
      <c r="AF360" s="345">
        <f>+IF(BD_MO[[#This Row],[N° VALE]]&lt;&gt;"",BD_MO[[#This Row],[N° TALADROS]]+BD_MO[[#This Row],[N° TAL. VACIOS]],"")</f>
        <v>11</v>
      </c>
      <c r="AG360" s="349">
        <v>27</v>
      </c>
      <c r="AH360" s="349">
        <v>48</v>
      </c>
      <c r="AI360" s="349"/>
      <c r="AJ360" s="349"/>
      <c r="AK360" s="349">
        <v>11</v>
      </c>
      <c r="AL360" s="349">
        <v>4</v>
      </c>
      <c r="AM360" s="344"/>
      <c r="AN360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60" s="345">
        <f>+IF(BD_MO[[#This Row],[N° VALE]]&lt;&gt;"",IF(BD_MO[[#This Row],[FULMINANTE N° 08]]&lt;&gt;"",BD_MO[[#This Row],[FULMINANTE N° 08]],IF(BD_MO[[#This Row],[CARMEX 7'']]&lt;&gt;0,0,"")),"")</f>
        <v>0</v>
      </c>
      <c r="AP360" s="348">
        <f>+IF(BD_MO[[#This Row],[N° VALE]]&lt;&gt;"",BD_MO[[#This Row],[N°  TOTAL TALADROS]]*BD_MO[[#This Row],[BARRA]]*0.95,"")</f>
        <v>41.8</v>
      </c>
      <c r="AQ360" s="348">
        <f>+IF(BD_MO[[#This Row],[N° VALE]]&lt;&gt;"",BD_MO[[#This Row],[EMULNOR 1000 (N° CART.)]]*PE_EMUL_1000[PE],"")</f>
        <v>4.5456000000000003</v>
      </c>
      <c r="AR360" s="348">
        <f>+IF(BD_MO[[#This Row],[N° VALE]]&lt;&gt;"",BD_MO[[#This Row],[EMULNOR 3000 (N° CART.)]]*PE_EMUL_3000[PE],"")</f>
        <v>2.5961538461538476</v>
      </c>
      <c r="AS360" s="348">
        <f>+IF(BD_MO[[#This Row],[N° VALE]]&lt;&gt;"",BD_MO[[#This Row],[PULVERULENTA (N° CART.)]]*PE_PULV_65[PE],"")</f>
        <v>0</v>
      </c>
      <c r="AT360" s="348">
        <f>+IF(BD_MO[[#This Row],[N° DISP]]&lt;&gt;"",BD_MO[[#This Row],[SEMIGELATINA (N° CART.)]]*PE_SEMIGEL_65[PE],"")</f>
        <v>0</v>
      </c>
      <c r="AU360" s="348">
        <f>+IF(BD_MO[N° VALE]&lt;&gt;"",BD_MO[[#This Row],[KG EXPLO SEMIGEL]]+BD_MO[[#This Row],[KG EXPLO PULVE]]+BD_MO[[#This Row],[KG EXPLO EMULN 3000]]+BD_MO[[#This Row],[KG EXPLO EMULN 1000]],"")</f>
        <v>7.1417538461538479</v>
      </c>
      <c r="AV360" s="345"/>
      <c r="AW360" s="345"/>
      <c r="AX360" s="345" t="str">
        <f>+IF(BD_MO[[#This Row],[MINERAL (U-35)]]&lt;&gt;"",BD_MO[[#This Row],[MINERAL (U-35)]]*1.45,"-")</f>
        <v>-</v>
      </c>
      <c r="AY360" s="345" t="str">
        <f>+IF(BD_MO[[#This Row],[DESMONTE (U-35)]]&lt;&gt;"",BD_MO[[#This Row],[DESMONTE (U-35)]]*1.23,"-")</f>
        <v>-</v>
      </c>
      <c r="AZ360" s="345"/>
      <c r="BA360" s="345"/>
      <c r="BB360" s="345"/>
      <c r="BC360" s="345"/>
      <c r="BD360" s="345"/>
      <c r="BE360" s="345"/>
      <c r="BF360" s="345"/>
      <c r="BG360" s="345"/>
      <c r="BH360" s="345"/>
      <c r="BI360" s="345"/>
      <c r="BJ360" s="345"/>
      <c r="BK360" s="345"/>
      <c r="BL360" s="345"/>
      <c r="BM360" s="345"/>
      <c r="BN360" s="344"/>
      <c r="BO360" s="345"/>
      <c r="BP360" s="345"/>
      <c r="BQ360" s="344"/>
      <c r="BR360" s="345"/>
      <c r="BS360" s="344"/>
      <c r="BT360" s="348"/>
      <c r="BU360" s="345"/>
      <c r="BV360" s="345"/>
      <c r="BW360" s="345"/>
      <c r="BX360" s="345"/>
      <c r="BY360" s="345"/>
      <c r="BZ360" s="345"/>
      <c r="CA360" s="345"/>
      <c r="CB360" s="345"/>
      <c r="CC360" s="345"/>
      <c r="CD360" s="345"/>
      <c r="CE360" s="345"/>
      <c r="CF360" s="345"/>
      <c r="CG360" s="345"/>
      <c r="CH360" s="345"/>
      <c r="CI360" s="345"/>
      <c r="CJ360" s="345"/>
      <c r="CK360" s="345"/>
      <c r="CL360" s="345"/>
      <c r="CM360" s="345"/>
      <c r="CN360" s="345"/>
      <c r="CO360" s="345"/>
      <c r="CP360" s="348">
        <f>+IF(BD_MO[[#This Row],[FECHA]]&lt;&gt;"",BD_MO[[#This Row],[PUNTAL 4"]]+BD_MO[[#This Row],[PUNTAL 5"]]+BD_MO[[#This Row],[PUNTAL 6"]]+BD_MO[[#This Row],[PUNTAL 7"]]+BD_MO[[#This Row],[PUNTAL 8"]],"")</f>
        <v>0</v>
      </c>
      <c r="CQ360" s="345"/>
      <c r="CR360" s="345"/>
      <c r="CS360" s="345"/>
      <c r="CT360" s="345"/>
      <c r="CU360" s="345"/>
      <c r="CV360" s="345"/>
      <c r="CW360" s="345"/>
      <c r="CX360" s="345"/>
      <c r="CY360" s="348"/>
      <c r="CZ360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60" s="348">
        <f>+IF(BD_MO[[#This Row],[FECHA]]&lt;&gt;"",BD_MO[[#This Row],[DURMIENTE2]]*6.561+BD_MO[[#This Row],[LISTONES]]*4.921+BD_MO[[#This Row],[TABLA 1"x8"x3m]]*6.561+BD_MO[[#This Row],[TABLA 2"x8"x3m]]*13.122,"")</f>
        <v>0</v>
      </c>
      <c r="DB360" s="348">
        <f>+IF(BD_MO[[#This Row],[FECHA]]&lt;&gt;"",BD_MO[[#This Row],[PIE2 MADERA ASERRADA]]*1.95,"")</f>
        <v>0</v>
      </c>
      <c r="DC360" s="348">
        <f>+IF(BD_MO[[#This Row],[FECHA]]&lt;&gt;"",BD_MO[[#This Row],[KG. MADERA REDONDA]]+BD_MO[[#This Row],[KG MADERA ASERRADA]],"")</f>
        <v>0</v>
      </c>
      <c r="DD360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60" s="345"/>
      <c r="DF360" s="345"/>
      <c r="DG360" s="345"/>
      <c r="DH360" s="345"/>
      <c r="DI360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60" s="351"/>
      <c r="DK360" s="351"/>
      <c r="DL360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2.57</v>
      </c>
      <c r="DM360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2.6728000000000001</v>
      </c>
      <c r="DN360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60" s="367">
        <f>1.13*11</f>
        <v>12.43</v>
      </c>
      <c r="DP360" s="351">
        <f>+IF(BD_MO[[#This Row],[M o D]]&lt;&gt;"",IF(BD_MO[[#This Row],[M o D]]="M",BD_MO[[#This Row],[ROTURA TMH]]/2.65,BD_MO[[#This Row],[ROTURA TMH]]/2.4),"")</f>
        <v>4.6905660377358487</v>
      </c>
      <c r="DQ360" s="351"/>
      <c r="DR360" s="116" t="str">
        <f>IF(BD_MO[[#This Row],[TIPO AVANCE]]="Avance",((BD_MO[[#This Row],[AVANCE (m)]]/BD_MO[[#This Row],[AVANCE TEÓRICO]]))," ")</f>
        <v xml:space="preserve"> </v>
      </c>
      <c r="DS360" s="134"/>
      <c r="DT360" s="134"/>
      <c r="DU360" s="134"/>
      <c r="DV360" s="134"/>
      <c r="DW360" s="134"/>
      <c r="DX360" s="135"/>
      <c r="DY360" s="135"/>
      <c r="DZ360" s="135"/>
    </row>
    <row r="361" spans="1:130" s="136" customFormat="1" ht="18" customHeight="1" x14ac:dyDescent="0.25">
      <c r="A361" s="328">
        <v>44672</v>
      </c>
      <c r="B361" s="329" t="s">
        <v>10647</v>
      </c>
      <c r="C361" s="329" t="s">
        <v>10668</v>
      </c>
      <c r="D361" s="343" t="s">
        <v>10952</v>
      </c>
      <c r="E361" s="344" t="str">
        <f>LEFT(BD_MO[[#This Row],[LABOR]],2)</f>
        <v>In</v>
      </c>
      <c r="F361" s="345"/>
      <c r="G361" s="345" t="s">
        <v>10669</v>
      </c>
      <c r="H361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61" s="344" t="str">
        <f>IF(BD_MO[FECHA]&lt;&gt;"",VLOOKUP(BD_MO[LABOR],TB_CECO[[LABOR]:[CECO_T]],3,FALSE),"")</f>
        <v>VANESSA</v>
      </c>
      <c r="J361" s="344" t="str">
        <f>IF(BD_MO[FECHA]&lt;&gt;"",VLOOKUP(BD_MO[LABOR],D_CECO!B:H,7,FALSE),"")</f>
        <v>LINEAL</v>
      </c>
      <c r="K361" s="344" t="str">
        <f>IF(BD_MO[FECHA]&lt;&gt;"",VLOOKUP(BD_MO[LABOR],D_CECO!B:H,4,FALSE),"")</f>
        <v>EXPLORACION</v>
      </c>
      <c r="L361" s="344"/>
      <c r="M361" s="329"/>
      <c r="N361" s="345"/>
      <c r="O361" s="333" t="s">
        <v>12092</v>
      </c>
      <c r="P361" s="333" t="s">
        <v>12099</v>
      </c>
      <c r="Q361" s="333"/>
      <c r="R361" s="346"/>
      <c r="S361" s="347" t="str">
        <f>IFERROR(VLOOKUP(BD_MO[DNI 4],#REF!,2,FALSE)," ")</f>
        <v xml:space="preserve"> </v>
      </c>
      <c r="T361" s="348">
        <f>+IF(BD_MO[[#This Row],[FECHA]]&lt;&gt;"",COUNTA(BD_MO[[#This Row],[DNI]],BD_MO[[#This Row],[DNI 2]],BD_MO[[#This Row],[DNI 3]],BD_MO[[#This Row],[DNI 4]]),"")</f>
        <v>2</v>
      </c>
      <c r="U361" s="348"/>
      <c r="V361" s="348"/>
      <c r="W361" s="348"/>
      <c r="X361" s="348">
        <v>2</v>
      </c>
      <c r="Y361" s="337">
        <f>SUM(BD_MO[[#This Row],[LIMP]:[SERV]])</f>
        <v>2</v>
      </c>
      <c r="Z361" s="345"/>
      <c r="AA361" s="345" t="str">
        <f>+IF(BD_MO[[#This Row],[N° VALE]]&lt;&gt;"",1,"")</f>
        <v/>
      </c>
      <c r="AB361" s="329"/>
      <c r="AC361" s="345"/>
      <c r="AD361" s="345" t="str">
        <f>+IF(BD_MO[[#This Row],[N° VALE]]&lt;&gt;"",BD_MO[[#This Row],[FULMINANTE N° 08]]+BD_MO[CARMEX 7''],"")</f>
        <v/>
      </c>
      <c r="AE361" s="345"/>
      <c r="AF361" s="345" t="str">
        <f>+IF(BD_MO[[#This Row],[N° VALE]]&lt;&gt;"",BD_MO[[#This Row],[N° TALADROS]]+BD_MO[[#This Row],[N° TAL. VACIOS]],"")</f>
        <v/>
      </c>
      <c r="AG361" s="349"/>
      <c r="AH361" s="349"/>
      <c r="AI361" s="349"/>
      <c r="AJ361" s="349"/>
      <c r="AK361" s="349"/>
      <c r="AL361" s="349"/>
      <c r="AM361" s="344"/>
      <c r="AN361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61" s="345" t="str">
        <f>+IF(BD_MO[[#This Row],[N° VALE]]&lt;&gt;"",IF(BD_MO[[#This Row],[FULMINANTE N° 08]]&lt;&gt;"",BD_MO[[#This Row],[FULMINANTE N° 08]],IF(BD_MO[[#This Row],[CARMEX 7'']]&lt;&gt;0,0,"")),"")</f>
        <v/>
      </c>
      <c r="AP361" s="348" t="str">
        <f>+IF(BD_MO[[#This Row],[N° VALE]]&lt;&gt;"",BD_MO[[#This Row],[N°  TOTAL TALADROS]]*BD_MO[[#This Row],[BARRA]]*0.95,"")</f>
        <v/>
      </c>
      <c r="AQ361" s="348" t="str">
        <f>+IF(BD_MO[[#This Row],[N° VALE]]&lt;&gt;"",BD_MO[[#This Row],[EMULNOR 1000 (N° CART.)]]*PE_EMUL_1000[PE],"")</f>
        <v/>
      </c>
      <c r="AR361" s="348" t="str">
        <f>+IF(BD_MO[[#This Row],[N° VALE]]&lt;&gt;"",BD_MO[[#This Row],[EMULNOR 3000 (N° CART.)]]*PE_EMUL_3000[PE],"")</f>
        <v/>
      </c>
      <c r="AS361" s="348" t="str">
        <f>+IF(BD_MO[[#This Row],[N° VALE]]&lt;&gt;"",BD_MO[[#This Row],[PULVERULENTA (N° CART.)]]*PE_PULV_65[PE],"")</f>
        <v/>
      </c>
      <c r="AT361" s="348" t="str">
        <f>+IF(BD_MO[[#This Row],[N° DISP]]&lt;&gt;"",BD_MO[[#This Row],[SEMIGELATINA (N° CART.)]]*PE_SEMIGEL_65[PE],"")</f>
        <v/>
      </c>
      <c r="AU361" s="348" t="str">
        <f>+IF(BD_MO[N° VALE]&lt;&gt;"",BD_MO[[#This Row],[KG EXPLO SEMIGEL]]+BD_MO[[#This Row],[KG EXPLO PULVE]]+BD_MO[[#This Row],[KG EXPLO EMULN 3000]]+BD_MO[[#This Row],[KG EXPLO EMULN 1000]],"")</f>
        <v/>
      </c>
      <c r="AV361" s="345"/>
      <c r="AW361" s="345"/>
      <c r="AX361" s="345" t="str">
        <f>+IF(BD_MO[[#This Row],[MINERAL (U-35)]]&lt;&gt;"",BD_MO[[#This Row],[MINERAL (U-35)]]*1.45,"-")</f>
        <v>-</v>
      </c>
      <c r="AY361" s="345" t="str">
        <f>+IF(BD_MO[[#This Row],[DESMONTE (U-35)]]&lt;&gt;"",BD_MO[[#This Row],[DESMONTE (U-35)]]*1.23,"-")</f>
        <v>-</v>
      </c>
      <c r="AZ361" s="345"/>
      <c r="BA361" s="345"/>
      <c r="BB361" s="345"/>
      <c r="BC361" s="345"/>
      <c r="BD361" s="345"/>
      <c r="BE361" s="345"/>
      <c r="BF361" s="345"/>
      <c r="BG361" s="345"/>
      <c r="BH361" s="345"/>
      <c r="BI361" s="345"/>
      <c r="BJ361" s="345"/>
      <c r="BK361" s="345"/>
      <c r="BL361" s="345"/>
      <c r="BM361" s="345"/>
      <c r="BN361" s="344"/>
      <c r="BO361" s="345"/>
      <c r="BP361" s="345"/>
      <c r="BQ361" s="344"/>
      <c r="BR361" s="345"/>
      <c r="BS361" s="344"/>
      <c r="BT361" s="348"/>
      <c r="BU361" s="345"/>
      <c r="BV361" s="345"/>
      <c r="BW361" s="345"/>
      <c r="BX361" s="345"/>
      <c r="BY361" s="345"/>
      <c r="BZ361" s="345"/>
      <c r="CA361" s="345"/>
      <c r="CB361" s="345"/>
      <c r="CC361" s="345"/>
      <c r="CD361" s="345"/>
      <c r="CE361" s="345"/>
      <c r="CF361" s="345"/>
      <c r="CG361" s="345"/>
      <c r="CH361" s="345"/>
      <c r="CI361" s="345"/>
      <c r="CJ361" s="345"/>
      <c r="CK361" s="345"/>
      <c r="CL361" s="345"/>
      <c r="CM361" s="345"/>
      <c r="CN361" s="345"/>
      <c r="CO361" s="345"/>
      <c r="CP361" s="348">
        <f>+IF(BD_MO[[#This Row],[FECHA]]&lt;&gt;"",BD_MO[[#This Row],[PUNTAL 4"]]+BD_MO[[#This Row],[PUNTAL 5"]]+BD_MO[[#This Row],[PUNTAL 6"]]+BD_MO[[#This Row],[PUNTAL 7"]]+BD_MO[[#This Row],[PUNTAL 8"]],"")</f>
        <v>0</v>
      </c>
      <c r="CQ361" s="345"/>
      <c r="CR361" s="345"/>
      <c r="CS361" s="345"/>
      <c r="CT361" s="345"/>
      <c r="CU361" s="345"/>
      <c r="CV361" s="345"/>
      <c r="CW361" s="345"/>
      <c r="CX361" s="345"/>
      <c r="CY361" s="348"/>
      <c r="CZ361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61" s="348">
        <f>+IF(BD_MO[[#This Row],[FECHA]]&lt;&gt;"",BD_MO[[#This Row],[DURMIENTE2]]*6.561+BD_MO[[#This Row],[LISTONES]]*4.921+BD_MO[[#This Row],[TABLA 1"x8"x3m]]*6.561+BD_MO[[#This Row],[TABLA 2"x8"x3m]]*13.122,"")</f>
        <v>0</v>
      </c>
      <c r="DB361" s="348">
        <f>+IF(BD_MO[[#This Row],[FECHA]]&lt;&gt;"",BD_MO[[#This Row],[PIE2 MADERA ASERRADA]]*1.95,"")</f>
        <v>0</v>
      </c>
      <c r="DC361" s="348">
        <f>+IF(BD_MO[[#This Row],[FECHA]]&lt;&gt;"",BD_MO[[#This Row],[KG. MADERA REDONDA]]+BD_MO[[#This Row],[KG MADERA ASERRADA]],"")</f>
        <v>0</v>
      </c>
      <c r="DD361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61" s="345"/>
      <c r="DF361" s="345"/>
      <c r="DG361" s="345"/>
      <c r="DH361" s="345"/>
      <c r="DI361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61" s="351"/>
      <c r="DK361" s="351"/>
      <c r="DL361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61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61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61" s="367"/>
      <c r="DP361" s="351" t="str">
        <f>+IF(BD_MO[[#This Row],[M o D]]&lt;&gt;"",IF(BD_MO[[#This Row],[M o D]]="M",BD_MO[[#This Row],[ROTURA TMH]]/2.65,BD_MO[[#This Row],[ROTURA TMH]]/2.4),"")</f>
        <v/>
      </c>
      <c r="DQ361" s="351"/>
      <c r="DR361" s="116" t="str">
        <f>IF(BD_MO[[#This Row],[TIPO AVANCE]]="Avance",((BD_MO[[#This Row],[AVANCE (m)]]/BD_MO[[#This Row],[AVANCE TEÓRICO]]))," ")</f>
        <v xml:space="preserve"> </v>
      </c>
      <c r="DS361" s="134"/>
      <c r="DT361" s="134"/>
      <c r="DU361" s="134"/>
      <c r="DV361" s="134"/>
      <c r="DW361" s="134"/>
      <c r="DX361" s="135"/>
      <c r="DY361" s="135"/>
      <c r="DZ361" s="135"/>
    </row>
    <row r="362" spans="1:130" s="136" customFormat="1" ht="18" customHeight="1" x14ac:dyDescent="0.25">
      <c r="A362" s="328">
        <v>44672</v>
      </c>
      <c r="B362" s="329" t="s">
        <v>10647</v>
      </c>
      <c r="C362" s="329" t="s">
        <v>10668</v>
      </c>
      <c r="D362" s="343" t="s">
        <v>11872</v>
      </c>
      <c r="E362" s="344" t="str">
        <f>LEFT(BD_MO[[#This Row],[LABOR]],2)</f>
        <v>PQ</v>
      </c>
      <c r="F362" s="345"/>
      <c r="G362" s="345" t="s">
        <v>10669</v>
      </c>
      <c r="H362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62" s="344" t="str">
        <f>IF(BD_MO[FECHA]&lt;&gt;"",VLOOKUP(BD_MO[LABOR],TB_CECO[[LABOR]:[CECO_T]],3,FALSE),"")</f>
        <v>ANDREA</v>
      </c>
      <c r="J362" s="344" t="str">
        <f>IF(BD_MO[FECHA]&lt;&gt;"",VLOOKUP(BD_MO[LABOR],D_CECO!B:H,7,FALSE),"")</f>
        <v>LINEAL</v>
      </c>
      <c r="K362" s="344" t="str">
        <f>IF(BD_MO[FECHA]&lt;&gt;"",VLOOKUP(BD_MO[LABOR],D_CECO!B:H,4,FALSE),"")</f>
        <v>EXPLOTACION</v>
      </c>
      <c r="L362" s="344"/>
      <c r="M362" s="329"/>
      <c r="N362" s="345"/>
      <c r="O362" s="333" t="s">
        <v>12097</v>
      </c>
      <c r="P362" s="333" t="s">
        <v>12090</v>
      </c>
      <c r="Q362" s="333" t="s">
        <v>12340</v>
      </c>
      <c r="R362" s="346"/>
      <c r="S362" s="347" t="str">
        <f>IFERROR(VLOOKUP(BD_MO[DNI 4],#REF!,2,FALSE)," ")</f>
        <v xml:space="preserve"> </v>
      </c>
      <c r="T362" s="348">
        <f>+IF(BD_MO[[#This Row],[FECHA]]&lt;&gt;"",COUNTA(BD_MO[[#This Row],[DNI]],BD_MO[[#This Row],[DNI 2]],BD_MO[[#This Row],[DNI 3]],BD_MO[[#This Row],[DNI 4]]),"")</f>
        <v>3</v>
      </c>
      <c r="U362" s="348"/>
      <c r="V362" s="348"/>
      <c r="W362" s="348"/>
      <c r="X362" s="348">
        <v>3</v>
      </c>
      <c r="Y362" s="337">
        <f>SUM(BD_MO[[#This Row],[LIMP]:[SERV]])</f>
        <v>3</v>
      </c>
      <c r="Z362" s="345"/>
      <c r="AA362" s="345" t="str">
        <f>+IF(BD_MO[[#This Row],[N° VALE]]&lt;&gt;"",1,"")</f>
        <v/>
      </c>
      <c r="AB362" s="329"/>
      <c r="AC362" s="345"/>
      <c r="AD362" s="345" t="str">
        <f>+IF(BD_MO[[#This Row],[N° VALE]]&lt;&gt;"",BD_MO[[#This Row],[FULMINANTE N° 08]]+BD_MO[CARMEX 7''],"")</f>
        <v/>
      </c>
      <c r="AE362" s="345"/>
      <c r="AF362" s="345" t="str">
        <f>+IF(BD_MO[[#This Row],[N° VALE]]&lt;&gt;"",BD_MO[[#This Row],[N° TALADROS]]+BD_MO[[#This Row],[N° TAL. VACIOS]],"")</f>
        <v/>
      </c>
      <c r="AG362" s="349"/>
      <c r="AH362" s="349"/>
      <c r="AI362" s="349"/>
      <c r="AJ362" s="349"/>
      <c r="AK362" s="349"/>
      <c r="AL362" s="349"/>
      <c r="AM362" s="344"/>
      <c r="AN362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62" s="345" t="str">
        <f>+IF(BD_MO[[#This Row],[N° VALE]]&lt;&gt;"",IF(BD_MO[[#This Row],[FULMINANTE N° 08]]&lt;&gt;"",BD_MO[[#This Row],[FULMINANTE N° 08]],IF(BD_MO[[#This Row],[CARMEX 7'']]&lt;&gt;0,0,"")),"")</f>
        <v/>
      </c>
      <c r="AP362" s="348" t="str">
        <f>+IF(BD_MO[[#This Row],[N° VALE]]&lt;&gt;"",BD_MO[[#This Row],[N°  TOTAL TALADROS]]*BD_MO[[#This Row],[BARRA]]*0.95,"")</f>
        <v/>
      </c>
      <c r="AQ362" s="348" t="str">
        <f>+IF(BD_MO[[#This Row],[N° VALE]]&lt;&gt;"",BD_MO[[#This Row],[EMULNOR 1000 (N° CART.)]]*PE_EMUL_1000[PE],"")</f>
        <v/>
      </c>
      <c r="AR362" s="348" t="str">
        <f>+IF(BD_MO[[#This Row],[N° VALE]]&lt;&gt;"",BD_MO[[#This Row],[EMULNOR 3000 (N° CART.)]]*PE_EMUL_3000[PE],"")</f>
        <v/>
      </c>
      <c r="AS362" s="348" t="str">
        <f>+IF(BD_MO[[#This Row],[N° VALE]]&lt;&gt;"",BD_MO[[#This Row],[PULVERULENTA (N° CART.)]]*PE_PULV_65[PE],"")</f>
        <v/>
      </c>
      <c r="AT362" s="348" t="str">
        <f>+IF(BD_MO[[#This Row],[N° DISP]]&lt;&gt;"",BD_MO[[#This Row],[SEMIGELATINA (N° CART.)]]*PE_SEMIGEL_65[PE],"")</f>
        <v/>
      </c>
      <c r="AU362" s="348" t="str">
        <f>+IF(BD_MO[N° VALE]&lt;&gt;"",BD_MO[[#This Row],[KG EXPLO SEMIGEL]]+BD_MO[[#This Row],[KG EXPLO PULVE]]+BD_MO[[#This Row],[KG EXPLO EMULN 3000]]+BD_MO[[#This Row],[KG EXPLO EMULN 1000]],"")</f>
        <v/>
      </c>
      <c r="AV362" s="345"/>
      <c r="AW362" s="345"/>
      <c r="AX362" s="345" t="str">
        <f>+IF(BD_MO[[#This Row],[MINERAL (U-35)]]&lt;&gt;"",BD_MO[[#This Row],[MINERAL (U-35)]]*1.45,"-")</f>
        <v>-</v>
      </c>
      <c r="AY362" s="345" t="str">
        <f>+IF(BD_MO[[#This Row],[DESMONTE (U-35)]]&lt;&gt;"",BD_MO[[#This Row],[DESMONTE (U-35)]]*1.23,"-")</f>
        <v>-</v>
      </c>
      <c r="AZ362" s="345"/>
      <c r="BA362" s="345"/>
      <c r="BB362" s="345"/>
      <c r="BC362" s="345"/>
      <c r="BD362" s="345"/>
      <c r="BE362" s="345"/>
      <c r="BF362" s="345"/>
      <c r="BG362" s="345"/>
      <c r="BH362" s="345"/>
      <c r="BI362" s="345"/>
      <c r="BJ362" s="345"/>
      <c r="BK362" s="345"/>
      <c r="BL362" s="345"/>
      <c r="BM362" s="345"/>
      <c r="BN362" s="344"/>
      <c r="BO362" s="345"/>
      <c r="BP362" s="345"/>
      <c r="BQ362" s="344"/>
      <c r="BR362" s="345"/>
      <c r="BS362" s="344"/>
      <c r="BT362" s="348"/>
      <c r="BU362" s="345"/>
      <c r="BV362" s="345"/>
      <c r="BW362" s="345"/>
      <c r="BX362" s="345"/>
      <c r="BY362" s="345"/>
      <c r="BZ362" s="345"/>
      <c r="CA362" s="345"/>
      <c r="CB362" s="345"/>
      <c r="CC362" s="345"/>
      <c r="CD362" s="345"/>
      <c r="CE362" s="345"/>
      <c r="CF362" s="345"/>
      <c r="CG362" s="345"/>
      <c r="CH362" s="345"/>
      <c r="CI362" s="345"/>
      <c r="CJ362" s="345"/>
      <c r="CK362" s="345"/>
      <c r="CL362" s="345"/>
      <c r="CM362" s="345"/>
      <c r="CN362" s="345"/>
      <c r="CO362" s="345"/>
      <c r="CP362" s="348">
        <f>+IF(BD_MO[[#This Row],[FECHA]]&lt;&gt;"",BD_MO[[#This Row],[PUNTAL 4"]]+BD_MO[[#This Row],[PUNTAL 5"]]+BD_MO[[#This Row],[PUNTAL 6"]]+BD_MO[[#This Row],[PUNTAL 7"]]+BD_MO[[#This Row],[PUNTAL 8"]],"")</f>
        <v>0</v>
      </c>
      <c r="CQ362" s="345"/>
      <c r="CR362" s="345"/>
      <c r="CS362" s="345"/>
      <c r="CT362" s="345"/>
      <c r="CU362" s="345"/>
      <c r="CV362" s="345"/>
      <c r="CW362" s="345"/>
      <c r="CX362" s="345"/>
      <c r="CY362" s="348"/>
      <c r="CZ362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62" s="348">
        <f>+IF(BD_MO[[#This Row],[FECHA]]&lt;&gt;"",BD_MO[[#This Row],[DURMIENTE2]]*6.561+BD_MO[[#This Row],[LISTONES]]*4.921+BD_MO[[#This Row],[TABLA 1"x8"x3m]]*6.561+BD_MO[[#This Row],[TABLA 2"x8"x3m]]*13.122,"")</f>
        <v>0</v>
      </c>
      <c r="DB362" s="348">
        <f>+IF(BD_MO[[#This Row],[FECHA]]&lt;&gt;"",BD_MO[[#This Row],[PIE2 MADERA ASERRADA]]*1.95,"")</f>
        <v>0</v>
      </c>
      <c r="DC362" s="348">
        <f>+IF(BD_MO[[#This Row],[FECHA]]&lt;&gt;"",BD_MO[[#This Row],[KG. MADERA REDONDA]]+BD_MO[[#This Row],[KG MADERA ASERRADA]],"")</f>
        <v>0</v>
      </c>
      <c r="DD362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62" s="345"/>
      <c r="DF362" s="345"/>
      <c r="DG362" s="345"/>
      <c r="DH362" s="345"/>
      <c r="DI362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62" s="351"/>
      <c r="DK362" s="351"/>
      <c r="DL362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62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62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62" s="367"/>
      <c r="DP362" s="351" t="str">
        <f>+IF(BD_MO[[#This Row],[M o D]]&lt;&gt;"",IF(BD_MO[[#This Row],[M o D]]="M",BD_MO[[#This Row],[ROTURA TMH]]/2.65,BD_MO[[#This Row],[ROTURA TMH]]/2.4),"")</f>
        <v/>
      </c>
      <c r="DQ362" s="351"/>
      <c r="DR362" s="116" t="str">
        <f>IF(BD_MO[[#This Row],[TIPO AVANCE]]="Avance",((BD_MO[[#This Row],[AVANCE (m)]]/BD_MO[[#This Row],[AVANCE TEÓRICO]]))," ")</f>
        <v xml:space="preserve"> </v>
      </c>
      <c r="DS362" s="134"/>
      <c r="DT362" s="134"/>
      <c r="DU362" s="134"/>
      <c r="DV362" s="134"/>
      <c r="DW362" s="134"/>
      <c r="DX362" s="135"/>
      <c r="DY362" s="135"/>
      <c r="DZ362" s="135"/>
    </row>
    <row r="363" spans="1:130" s="136" customFormat="1" ht="18" customHeight="1" x14ac:dyDescent="0.25">
      <c r="A363" s="328">
        <v>44672</v>
      </c>
      <c r="B363" s="329" t="s">
        <v>10647</v>
      </c>
      <c r="C363" s="329" t="s">
        <v>10668</v>
      </c>
      <c r="D363" s="343" t="s">
        <v>10954</v>
      </c>
      <c r="E363" s="344" t="str">
        <f>LEFT(BD_MO[[#This Row],[LABOR]],2)</f>
        <v>MO</v>
      </c>
      <c r="F363" s="345"/>
      <c r="G363" s="345" t="s">
        <v>10669</v>
      </c>
      <c r="H363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63" s="344" t="str">
        <f>IF(BD_MO[FECHA]&lt;&gt;"",VLOOKUP(BD_MO[LABOR],TB_CECO[[LABOR]:[CECO_T]],3,FALSE),"")</f>
        <v>INCA</v>
      </c>
      <c r="J363" s="344" t="str">
        <f>IF(BD_MO[FECHA]&lt;&gt;"",VLOOKUP(BD_MO[LABOR],D_CECO!B:H,7,FALSE),"")</f>
        <v>SERVICIOS</v>
      </c>
      <c r="K363" s="344" t="str">
        <f>IF(BD_MO[FECHA]&lt;&gt;"",VLOOKUP(BD_MO[LABOR],D_CECO!B:H,4,FALSE),"")</f>
        <v>SERVICIOS</v>
      </c>
      <c r="L363" s="344"/>
      <c r="M363" s="329"/>
      <c r="N363" s="345"/>
      <c r="O363" s="333" t="s">
        <v>12098</v>
      </c>
      <c r="P363" s="333" t="s">
        <v>12162</v>
      </c>
      <c r="Q363" s="333"/>
      <c r="R363" s="346"/>
      <c r="S363" s="347" t="str">
        <f>IFERROR(VLOOKUP(BD_MO[DNI 4],#REF!,2,FALSE)," ")</f>
        <v xml:space="preserve"> </v>
      </c>
      <c r="T363" s="348">
        <f>+IF(BD_MO[[#This Row],[FECHA]]&lt;&gt;"",COUNTA(BD_MO[[#This Row],[DNI]],BD_MO[[#This Row],[DNI 2]],BD_MO[[#This Row],[DNI 3]],BD_MO[[#This Row],[DNI 4]]),"")</f>
        <v>2</v>
      </c>
      <c r="U363" s="348"/>
      <c r="V363" s="348"/>
      <c r="W363" s="348"/>
      <c r="X363" s="348">
        <v>2</v>
      </c>
      <c r="Y363" s="337">
        <f>SUM(BD_MO[[#This Row],[LIMP]:[SERV]])</f>
        <v>2</v>
      </c>
      <c r="Z363" s="345"/>
      <c r="AA363" s="345" t="str">
        <f>+IF(BD_MO[[#This Row],[N° VALE]]&lt;&gt;"",1,"")</f>
        <v/>
      </c>
      <c r="AB363" s="329"/>
      <c r="AC363" s="345"/>
      <c r="AD363" s="345" t="str">
        <f>+IF(BD_MO[[#This Row],[N° VALE]]&lt;&gt;"",BD_MO[[#This Row],[FULMINANTE N° 08]]+BD_MO[CARMEX 7''],"")</f>
        <v/>
      </c>
      <c r="AE363" s="345"/>
      <c r="AF363" s="345" t="str">
        <f>+IF(BD_MO[[#This Row],[N° VALE]]&lt;&gt;"",BD_MO[[#This Row],[N° TALADROS]]+BD_MO[[#This Row],[N° TAL. VACIOS]],"")</f>
        <v/>
      </c>
      <c r="AG363" s="349"/>
      <c r="AH363" s="349"/>
      <c r="AI363" s="349"/>
      <c r="AJ363" s="349"/>
      <c r="AK363" s="349"/>
      <c r="AL363" s="349"/>
      <c r="AM363" s="344"/>
      <c r="AN363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63" s="345" t="str">
        <f>+IF(BD_MO[[#This Row],[N° VALE]]&lt;&gt;"",IF(BD_MO[[#This Row],[FULMINANTE N° 08]]&lt;&gt;"",BD_MO[[#This Row],[FULMINANTE N° 08]],IF(BD_MO[[#This Row],[CARMEX 7'']]&lt;&gt;0,0,"")),"")</f>
        <v/>
      </c>
      <c r="AP363" s="348" t="str">
        <f>+IF(BD_MO[[#This Row],[N° VALE]]&lt;&gt;"",BD_MO[[#This Row],[N°  TOTAL TALADROS]]*BD_MO[[#This Row],[BARRA]]*0.95,"")</f>
        <v/>
      </c>
      <c r="AQ363" s="348" t="str">
        <f>+IF(BD_MO[[#This Row],[N° VALE]]&lt;&gt;"",BD_MO[[#This Row],[EMULNOR 1000 (N° CART.)]]*PE_EMUL_1000[PE],"")</f>
        <v/>
      </c>
      <c r="AR363" s="348" t="str">
        <f>+IF(BD_MO[[#This Row],[N° VALE]]&lt;&gt;"",BD_MO[[#This Row],[EMULNOR 3000 (N° CART.)]]*PE_EMUL_3000[PE],"")</f>
        <v/>
      </c>
      <c r="AS363" s="348" t="str">
        <f>+IF(BD_MO[[#This Row],[N° VALE]]&lt;&gt;"",BD_MO[[#This Row],[PULVERULENTA (N° CART.)]]*PE_PULV_65[PE],"")</f>
        <v/>
      </c>
      <c r="AT363" s="348" t="str">
        <f>+IF(BD_MO[[#This Row],[N° DISP]]&lt;&gt;"",BD_MO[[#This Row],[SEMIGELATINA (N° CART.)]]*PE_SEMIGEL_65[PE],"")</f>
        <v/>
      </c>
      <c r="AU363" s="348" t="str">
        <f>+IF(BD_MO[N° VALE]&lt;&gt;"",BD_MO[[#This Row],[KG EXPLO SEMIGEL]]+BD_MO[[#This Row],[KG EXPLO PULVE]]+BD_MO[[#This Row],[KG EXPLO EMULN 3000]]+BD_MO[[#This Row],[KG EXPLO EMULN 1000]],"")</f>
        <v/>
      </c>
      <c r="AV363" s="345"/>
      <c r="AW363" s="345"/>
      <c r="AX363" s="345" t="str">
        <f>+IF(BD_MO[[#This Row],[MINERAL (U-35)]]&lt;&gt;"",BD_MO[[#This Row],[MINERAL (U-35)]]*1.45,"-")</f>
        <v>-</v>
      </c>
      <c r="AY363" s="345" t="str">
        <f>+IF(BD_MO[[#This Row],[DESMONTE (U-35)]]&lt;&gt;"",BD_MO[[#This Row],[DESMONTE (U-35)]]*1.23,"-")</f>
        <v>-</v>
      </c>
      <c r="AZ363" s="345"/>
      <c r="BA363" s="345"/>
      <c r="BB363" s="345"/>
      <c r="BC363" s="345"/>
      <c r="BD363" s="345"/>
      <c r="BE363" s="345"/>
      <c r="BF363" s="345"/>
      <c r="BG363" s="345"/>
      <c r="BH363" s="345"/>
      <c r="BI363" s="345"/>
      <c r="BJ363" s="345"/>
      <c r="BK363" s="345"/>
      <c r="BL363" s="345"/>
      <c r="BM363" s="345"/>
      <c r="BN363" s="344"/>
      <c r="BO363" s="345"/>
      <c r="BP363" s="345"/>
      <c r="BQ363" s="344"/>
      <c r="BR363" s="345"/>
      <c r="BS363" s="344"/>
      <c r="BT363" s="348"/>
      <c r="BU363" s="345"/>
      <c r="BV363" s="345"/>
      <c r="BW363" s="345"/>
      <c r="BX363" s="345"/>
      <c r="BY363" s="345"/>
      <c r="BZ363" s="345"/>
      <c r="CA363" s="345"/>
      <c r="CB363" s="345"/>
      <c r="CC363" s="345"/>
      <c r="CD363" s="345"/>
      <c r="CE363" s="345"/>
      <c r="CF363" s="345"/>
      <c r="CG363" s="345"/>
      <c r="CH363" s="345"/>
      <c r="CI363" s="345"/>
      <c r="CJ363" s="345"/>
      <c r="CK363" s="345"/>
      <c r="CL363" s="345"/>
      <c r="CM363" s="345"/>
      <c r="CN363" s="345"/>
      <c r="CO363" s="345"/>
      <c r="CP363" s="348">
        <f>+IF(BD_MO[[#This Row],[FECHA]]&lt;&gt;"",BD_MO[[#This Row],[PUNTAL 4"]]+BD_MO[[#This Row],[PUNTAL 5"]]+BD_MO[[#This Row],[PUNTAL 6"]]+BD_MO[[#This Row],[PUNTAL 7"]]+BD_MO[[#This Row],[PUNTAL 8"]],"")</f>
        <v>0</v>
      </c>
      <c r="CQ363" s="345"/>
      <c r="CR363" s="345"/>
      <c r="CS363" s="345"/>
      <c r="CT363" s="345"/>
      <c r="CU363" s="345"/>
      <c r="CV363" s="345"/>
      <c r="CW363" s="345"/>
      <c r="CX363" s="345"/>
      <c r="CY363" s="348"/>
      <c r="CZ363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63" s="348">
        <f>+IF(BD_MO[[#This Row],[FECHA]]&lt;&gt;"",BD_MO[[#This Row],[DURMIENTE2]]*6.561+BD_MO[[#This Row],[LISTONES]]*4.921+BD_MO[[#This Row],[TABLA 1"x8"x3m]]*6.561+BD_MO[[#This Row],[TABLA 2"x8"x3m]]*13.122,"")</f>
        <v>0</v>
      </c>
      <c r="DB363" s="348">
        <f>+IF(BD_MO[[#This Row],[FECHA]]&lt;&gt;"",BD_MO[[#This Row],[PIE2 MADERA ASERRADA]]*1.95,"")</f>
        <v>0</v>
      </c>
      <c r="DC363" s="348">
        <f>+IF(BD_MO[[#This Row],[FECHA]]&lt;&gt;"",BD_MO[[#This Row],[KG. MADERA REDONDA]]+BD_MO[[#This Row],[KG MADERA ASERRADA]],"")</f>
        <v>0</v>
      </c>
      <c r="DD363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63" s="345"/>
      <c r="DF363" s="345"/>
      <c r="DG363" s="345"/>
      <c r="DH363" s="345"/>
      <c r="DI363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63" s="351"/>
      <c r="DK363" s="351"/>
      <c r="DL363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63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63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63" s="367"/>
      <c r="DP363" s="351" t="str">
        <f>+IF(BD_MO[[#This Row],[M o D]]&lt;&gt;"",IF(BD_MO[[#This Row],[M o D]]="M",BD_MO[[#This Row],[ROTURA TMH]]/2.65,BD_MO[[#This Row],[ROTURA TMH]]/2.4),"")</f>
        <v/>
      </c>
      <c r="DQ363" s="351"/>
      <c r="DR363" s="116" t="str">
        <f>IF(BD_MO[[#This Row],[TIPO AVANCE]]="Avance",((BD_MO[[#This Row],[AVANCE (m)]]/BD_MO[[#This Row],[AVANCE TEÓRICO]]))," ")</f>
        <v xml:space="preserve"> </v>
      </c>
      <c r="DS363" s="134"/>
      <c r="DT363" s="134"/>
      <c r="DU363" s="134"/>
      <c r="DV363" s="134"/>
      <c r="DW363" s="134"/>
      <c r="DX363" s="135"/>
      <c r="DY363" s="135"/>
      <c r="DZ363" s="135"/>
    </row>
    <row r="364" spans="1:130" s="112" customFormat="1" ht="18" customHeight="1" thickBot="1" x14ac:dyDescent="0.3">
      <c r="A364" s="369">
        <v>44672</v>
      </c>
      <c r="B364" s="370" t="s">
        <v>10647</v>
      </c>
      <c r="C364" s="370" t="s">
        <v>10668</v>
      </c>
      <c r="D364" s="371" t="s">
        <v>10717</v>
      </c>
      <c r="E364" s="372" t="str">
        <f>LEFT(BD_MO[[#This Row],[LABOR]],2)</f>
        <v>BO</v>
      </c>
      <c r="F364" s="373"/>
      <c r="G364" s="373" t="s">
        <v>10669</v>
      </c>
      <c r="H364" s="37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64" s="372" t="str">
        <f>IF(BD_MO[FECHA]&lt;&gt;"",VLOOKUP(BD_MO[LABOR],TB_CECO[[LABOR]:[CECO_T]],3,FALSE),"")</f>
        <v>CACHORRO</v>
      </c>
      <c r="J364" s="372" t="str">
        <f>IF(BD_MO[FECHA]&lt;&gt;"",VLOOKUP(BD_MO[LABOR],D_CECO!B:H,7,FALSE),"")</f>
        <v>SERVICIOS</v>
      </c>
      <c r="K364" s="372" t="str">
        <f>IF(BD_MO[FECHA]&lt;&gt;"",VLOOKUP(BD_MO[LABOR],D_CECO!B:H,4,FALSE),"")</f>
        <v>SERVICIOS</v>
      </c>
      <c r="L364" s="372"/>
      <c r="M364" s="370"/>
      <c r="N364" s="373"/>
      <c r="O364" s="374" t="s">
        <v>12118</v>
      </c>
      <c r="P364" s="374"/>
      <c r="Q364" s="374"/>
      <c r="R364" s="375"/>
      <c r="S364" s="376" t="str">
        <f>IFERROR(VLOOKUP(BD_MO[DNI 4],#REF!,2,FALSE)," ")</f>
        <v xml:space="preserve"> </v>
      </c>
      <c r="T364" s="377">
        <f>+IF(BD_MO[[#This Row],[FECHA]]&lt;&gt;"",COUNTA(BD_MO[[#This Row],[DNI]],BD_MO[[#This Row],[DNI 2]],BD_MO[[#This Row],[DNI 3]],BD_MO[[#This Row],[DNI 4]]),"")</f>
        <v>1</v>
      </c>
      <c r="U364" s="377"/>
      <c r="V364" s="377"/>
      <c r="W364" s="377"/>
      <c r="X364" s="377">
        <v>1</v>
      </c>
      <c r="Y364" s="378">
        <f>SUM(BD_MO[[#This Row],[LIMP]:[SERV]])</f>
        <v>1</v>
      </c>
      <c r="Z364" s="373"/>
      <c r="AA364" s="373" t="str">
        <f>+IF(BD_MO[[#This Row],[N° VALE]]&lt;&gt;"",1,"")</f>
        <v/>
      </c>
      <c r="AB364" s="370"/>
      <c r="AC364" s="373"/>
      <c r="AD364" s="373" t="str">
        <f>+IF(BD_MO[[#This Row],[N° VALE]]&lt;&gt;"",BD_MO[[#This Row],[FULMINANTE N° 08]]+BD_MO[CARMEX 7''],"")</f>
        <v/>
      </c>
      <c r="AE364" s="373"/>
      <c r="AF364" s="373" t="str">
        <f>+IF(BD_MO[[#This Row],[N° VALE]]&lt;&gt;"",BD_MO[[#This Row],[N° TALADROS]]+BD_MO[[#This Row],[N° TAL. VACIOS]],"")</f>
        <v/>
      </c>
      <c r="AG364" s="379"/>
      <c r="AH364" s="379"/>
      <c r="AI364" s="379"/>
      <c r="AJ364" s="379"/>
      <c r="AK364" s="379"/>
      <c r="AL364" s="379"/>
      <c r="AM364" s="372"/>
      <c r="AN364" s="373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64" s="373" t="str">
        <f>+IF(BD_MO[[#This Row],[N° VALE]]&lt;&gt;"",IF(BD_MO[[#This Row],[FULMINANTE N° 08]]&lt;&gt;"",BD_MO[[#This Row],[FULMINANTE N° 08]],IF(BD_MO[[#This Row],[CARMEX 7'']]&lt;&gt;0,0,"")),"")</f>
        <v/>
      </c>
      <c r="AP364" s="377" t="str">
        <f>+IF(BD_MO[[#This Row],[N° VALE]]&lt;&gt;"",BD_MO[[#This Row],[N°  TOTAL TALADROS]]*BD_MO[[#This Row],[BARRA]]*0.95,"")</f>
        <v/>
      </c>
      <c r="AQ364" s="377" t="str">
        <f>+IF(BD_MO[[#This Row],[N° VALE]]&lt;&gt;"",BD_MO[[#This Row],[EMULNOR 1000 (N° CART.)]]*PE_EMUL_1000[PE],"")</f>
        <v/>
      </c>
      <c r="AR364" s="377" t="str">
        <f>+IF(BD_MO[[#This Row],[N° VALE]]&lt;&gt;"",BD_MO[[#This Row],[EMULNOR 3000 (N° CART.)]]*PE_EMUL_3000[PE],"")</f>
        <v/>
      </c>
      <c r="AS364" s="377" t="str">
        <f>+IF(BD_MO[[#This Row],[N° VALE]]&lt;&gt;"",BD_MO[[#This Row],[PULVERULENTA (N° CART.)]]*PE_PULV_65[PE],"")</f>
        <v/>
      </c>
      <c r="AT364" s="377" t="str">
        <f>+IF(BD_MO[[#This Row],[N° DISP]]&lt;&gt;"",BD_MO[[#This Row],[SEMIGELATINA (N° CART.)]]*PE_SEMIGEL_65[PE],"")</f>
        <v/>
      </c>
      <c r="AU364" s="377" t="str">
        <f>+IF(BD_MO[N° VALE]&lt;&gt;"",BD_MO[[#This Row],[KG EXPLO SEMIGEL]]+BD_MO[[#This Row],[KG EXPLO PULVE]]+BD_MO[[#This Row],[KG EXPLO EMULN 3000]]+BD_MO[[#This Row],[KG EXPLO EMULN 1000]],"")</f>
        <v/>
      </c>
      <c r="AV364" s="373"/>
      <c r="AW364" s="373"/>
      <c r="AX364" s="373" t="str">
        <f>+IF(BD_MO[[#This Row],[MINERAL (U-35)]]&lt;&gt;"",BD_MO[[#This Row],[MINERAL (U-35)]]*1.45,"-")</f>
        <v>-</v>
      </c>
      <c r="AY364" s="373" t="str">
        <f>+IF(BD_MO[[#This Row],[DESMONTE (U-35)]]&lt;&gt;"",BD_MO[[#This Row],[DESMONTE (U-35)]]*1.23,"-")</f>
        <v>-</v>
      </c>
      <c r="AZ364" s="373"/>
      <c r="BA364" s="373"/>
      <c r="BB364" s="373"/>
      <c r="BC364" s="373"/>
      <c r="BD364" s="373"/>
      <c r="BE364" s="373"/>
      <c r="BF364" s="373"/>
      <c r="BG364" s="373"/>
      <c r="BH364" s="373"/>
      <c r="BI364" s="373"/>
      <c r="BJ364" s="373"/>
      <c r="BK364" s="373"/>
      <c r="BL364" s="373"/>
      <c r="BM364" s="373"/>
      <c r="BN364" s="372"/>
      <c r="BO364" s="373"/>
      <c r="BP364" s="373"/>
      <c r="BQ364" s="372"/>
      <c r="BR364" s="373"/>
      <c r="BS364" s="372"/>
      <c r="BT364" s="377"/>
      <c r="BU364" s="373"/>
      <c r="BV364" s="373"/>
      <c r="BW364" s="373"/>
      <c r="BX364" s="373"/>
      <c r="BY364" s="373"/>
      <c r="BZ364" s="373"/>
      <c r="CA364" s="373"/>
      <c r="CB364" s="373"/>
      <c r="CC364" s="373"/>
      <c r="CD364" s="373"/>
      <c r="CE364" s="373"/>
      <c r="CF364" s="373"/>
      <c r="CG364" s="373"/>
      <c r="CH364" s="373"/>
      <c r="CI364" s="373"/>
      <c r="CJ364" s="373"/>
      <c r="CK364" s="373"/>
      <c r="CL364" s="373"/>
      <c r="CM364" s="373"/>
      <c r="CN364" s="373"/>
      <c r="CO364" s="373"/>
      <c r="CP364" s="377">
        <f>+IF(BD_MO[[#This Row],[FECHA]]&lt;&gt;"",BD_MO[[#This Row],[PUNTAL 4"]]+BD_MO[[#This Row],[PUNTAL 5"]]+BD_MO[[#This Row],[PUNTAL 6"]]+BD_MO[[#This Row],[PUNTAL 7"]]+BD_MO[[#This Row],[PUNTAL 8"]],"")</f>
        <v>0</v>
      </c>
      <c r="CQ364" s="373"/>
      <c r="CR364" s="373"/>
      <c r="CS364" s="373"/>
      <c r="CT364" s="373"/>
      <c r="CU364" s="373"/>
      <c r="CV364" s="373"/>
      <c r="CW364" s="373"/>
      <c r="CX364" s="373"/>
      <c r="CY364" s="377"/>
      <c r="CZ364" s="377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64" s="377">
        <f>+IF(BD_MO[[#This Row],[FECHA]]&lt;&gt;"",BD_MO[[#This Row],[DURMIENTE2]]*6.561+BD_MO[[#This Row],[LISTONES]]*4.921+BD_MO[[#This Row],[TABLA 1"x8"x3m]]*6.561+BD_MO[[#This Row],[TABLA 2"x8"x3m]]*13.122,"")</f>
        <v>0</v>
      </c>
      <c r="DB364" s="377">
        <f>+IF(BD_MO[[#This Row],[FECHA]]&lt;&gt;"",BD_MO[[#This Row],[PIE2 MADERA ASERRADA]]*1.95,"")</f>
        <v>0</v>
      </c>
      <c r="DC364" s="377">
        <f>+IF(BD_MO[[#This Row],[FECHA]]&lt;&gt;"",BD_MO[[#This Row],[KG. MADERA REDONDA]]+BD_MO[[#This Row],[KG MADERA ASERRADA]],"")</f>
        <v>0</v>
      </c>
      <c r="DD364" s="38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64" s="373"/>
      <c r="DF364" s="373"/>
      <c r="DG364" s="373"/>
      <c r="DH364" s="373"/>
      <c r="DI364" s="38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64" s="381"/>
      <c r="DK364" s="381"/>
      <c r="DL364" s="38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64" s="38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64" s="38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64" s="382"/>
      <c r="DP364" s="381" t="str">
        <f>+IF(BD_MO[[#This Row],[M o D]]&lt;&gt;"",IF(BD_MO[[#This Row],[M o D]]="M",BD_MO[[#This Row],[ROTURA TMH]]/2.65,BD_MO[[#This Row],[ROTURA TMH]]/2.4),"")</f>
        <v/>
      </c>
      <c r="DQ364" s="381"/>
      <c r="DR364" s="116" t="str">
        <f>IF(BD_MO[[#This Row],[TIPO AVANCE]]="Avance",((BD_MO[[#This Row],[AVANCE (m)]]/BD_MO[[#This Row],[AVANCE TEÓRICO]]))," ")</f>
        <v xml:space="preserve"> </v>
      </c>
      <c r="DS364" s="110"/>
      <c r="DT364" s="110"/>
      <c r="DU364" s="110"/>
      <c r="DV364" s="110"/>
      <c r="DW364" s="110"/>
      <c r="DX364" s="111"/>
      <c r="DY364" s="111"/>
      <c r="DZ364" s="111"/>
    </row>
    <row r="365" spans="1:130" s="136" customFormat="1" ht="18" customHeight="1" x14ac:dyDescent="0.25">
      <c r="A365" s="328">
        <v>44672</v>
      </c>
      <c r="B365" s="329" t="s">
        <v>10655</v>
      </c>
      <c r="C365" s="329" t="s">
        <v>10672</v>
      </c>
      <c r="D365" s="94" t="s">
        <v>11827</v>
      </c>
      <c r="E365" s="344" t="str">
        <f>LEFT(BD_MO[[#This Row],[LABOR]],2)</f>
        <v>Tj</v>
      </c>
      <c r="F365" s="345" t="s">
        <v>10950</v>
      </c>
      <c r="G365" s="345" t="s">
        <v>10648</v>
      </c>
      <c r="H365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65" s="344" t="str">
        <f>IF(BD_MO[FECHA]&lt;&gt;"",VLOOKUP(BD_MO[LABOR],TB_CECO[[LABOR]:[CECO_T]],3,FALSE),"")</f>
        <v>VANESSA</v>
      </c>
      <c r="J365" s="344" t="str">
        <f>IF(BD_MO[FECHA]&lt;&gt;"",VLOOKUP(BD_MO[LABOR],D_CECO!B:H,7,FALSE),"")</f>
        <v>TAJO</v>
      </c>
      <c r="K365" s="344" t="str">
        <f>IF(BD_MO[FECHA]&lt;&gt;"",VLOOKUP(BD_MO[LABOR],D_CECO!B:H,4,FALSE),"")</f>
        <v>EXPLOTACION</v>
      </c>
      <c r="L365" s="344"/>
      <c r="M365" s="329" t="s">
        <v>10661</v>
      </c>
      <c r="N365" s="345"/>
      <c r="O365" s="333" t="s">
        <v>12194</v>
      </c>
      <c r="P365" s="333" t="s">
        <v>12332</v>
      </c>
      <c r="Q365" s="333"/>
      <c r="R365" s="346"/>
      <c r="S365" s="347" t="str">
        <f>IFERROR(VLOOKUP(BD_MO[DNI 4],#REF!,2,FALSE)," ")</f>
        <v xml:space="preserve"> </v>
      </c>
      <c r="T365" s="348">
        <f>+IF(BD_MO[[#This Row],[FECHA]]&lt;&gt;"",COUNTA(BD_MO[[#This Row],[DNI]],BD_MO[[#This Row],[DNI 2]],BD_MO[[#This Row],[DNI 3]],BD_MO[[#This Row],[DNI 4]]),"")</f>
        <v>2</v>
      </c>
      <c r="U365" s="348"/>
      <c r="V365" s="348">
        <v>0.28000000000000003</v>
      </c>
      <c r="W365" s="348">
        <v>0.76</v>
      </c>
      <c r="X365" s="348">
        <v>0.96</v>
      </c>
      <c r="Y365" s="337">
        <f>SUM(BD_MO[[#This Row],[LIMP]:[SERV]])</f>
        <v>2</v>
      </c>
      <c r="Z365" s="345" t="s">
        <v>12346</v>
      </c>
      <c r="AA365" s="345">
        <f>+IF(BD_MO[[#This Row],[N° VALE]]&lt;&gt;"",1,"")</f>
        <v>1</v>
      </c>
      <c r="AB365" s="329" t="s">
        <v>10691</v>
      </c>
      <c r="AC365" s="345">
        <v>5</v>
      </c>
      <c r="AD365" s="345">
        <f>+IF(BD_MO[[#This Row],[N° VALE]]&lt;&gt;"",BD_MO[[#This Row],[FULMINANTE N° 08]]+BD_MO[CARMEX 7''],"")</f>
        <v>10</v>
      </c>
      <c r="AE365" s="345"/>
      <c r="AF365" s="345">
        <f>+IF(BD_MO[[#This Row],[N° VALE]]&lt;&gt;"",BD_MO[[#This Row],[N° TALADROS]]+BD_MO[[#This Row],[N° TAL. VACIOS]],"")</f>
        <v>10</v>
      </c>
      <c r="AG365" s="349">
        <v>45</v>
      </c>
      <c r="AH365" s="349">
        <v>32</v>
      </c>
      <c r="AI365" s="349"/>
      <c r="AJ365" s="349"/>
      <c r="AK365" s="349">
        <v>10</v>
      </c>
      <c r="AL365" s="349">
        <v>3</v>
      </c>
      <c r="AM365" s="344"/>
      <c r="AN365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65" s="345">
        <f>+IF(BD_MO[[#This Row],[N° VALE]]&lt;&gt;"",IF(BD_MO[[#This Row],[FULMINANTE N° 08]]&lt;&gt;"",BD_MO[[#This Row],[FULMINANTE N° 08]],IF(BD_MO[[#This Row],[CARMEX 7'']]&lt;&gt;0,0,"")),"")</f>
        <v>0</v>
      </c>
      <c r="AP365" s="348">
        <f>+IF(BD_MO[[#This Row],[N° VALE]]&lt;&gt;"",BD_MO[[#This Row],[N°  TOTAL TALADROS]]*BD_MO[[#This Row],[BARRA]]*0.95,"")</f>
        <v>47.5</v>
      </c>
      <c r="AQ365" s="348">
        <f>+IF(BD_MO[[#This Row],[N° VALE]]&lt;&gt;"",BD_MO[[#This Row],[EMULNOR 1000 (N° CART.)]]*PE_EMUL_1000[PE],"")</f>
        <v>3.0304000000000002</v>
      </c>
      <c r="AR365" s="348">
        <f>+IF(BD_MO[[#This Row],[N° VALE]]&lt;&gt;"",BD_MO[[#This Row],[EMULNOR 3000 (N° CART.)]]*PE_EMUL_3000[PE],"")</f>
        <v>4.3269230769230793</v>
      </c>
      <c r="AS365" s="348">
        <f>+IF(BD_MO[[#This Row],[N° VALE]]&lt;&gt;"",BD_MO[[#This Row],[PULVERULENTA (N° CART.)]]*PE_PULV_65[PE],"")</f>
        <v>0</v>
      </c>
      <c r="AT365" s="348">
        <f>+IF(BD_MO[[#This Row],[N° DISP]]&lt;&gt;"",BD_MO[[#This Row],[SEMIGELATINA (N° CART.)]]*PE_SEMIGEL_65[PE],"")</f>
        <v>0</v>
      </c>
      <c r="AU365" s="348">
        <f>+IF(BD_MO[N° VALE]&lt;&gt;"",BD_MO[[#This Row],[KG EXPLO SEMIGEL]]+BD_MO[[#This Row],[KG EXPLO PULVE]]+BD_MO[[#This Row],[KG EXPLO EMULN 3000]]+BD_MO[[#This Row],[KG EXPLO EMULN 1000]],"")</f>
        <v>7.3573230769230795</v>
      </c>
      <c r="AV365" s="345"/>
      <c r="AW365" s="345"/>
      <c r="AX365" s="345" t="str">
        <f>+IF(BD_MO[[#This Row],[MINERAL (U-35)]]&lt;&gt;"",BD_MO[[#This Row],[MINERAL (U-35)]]*1.45,"-")</f>
        <v>-</v>
      </c>
      <c r="AY365" s="345" t="str">
        <f>+IF(BD_MO[[#This Row],[DESMONTE (U-35)]]&lt;&gt;"",BD_MO[[#This Row],[DESMONTE (U-35)]]*1.23,"-")</f>
        <v>-</v>
      </c>
      <c r="AZ365" s="345"/>
      <c r="BA365" s="345"/>
      <c r="BB365" s="345"/>
      <c r="BC365" s="345"/>
      <c r="BD365" s="345"/>
      <c r="BE365" s="345"/>
      <c r="BF365" s="345"/>
      <c r="BG365" s="345"/>
      <c r="BH365" s="345"/>
      <c r="BI365" s="345">
        <v>1</v>
      </c>
      <c r="BJ365" s="345"/>
      <c r="BK365" s="345"/>
      <c r="BL365" s="345">
        <v>1</v>
      </c>
      <c r="BM365" s="345"/>
      <c r="BN365" s="344">
        <v>4.2</v>
      </c>
      <c r="BO365" s="345"/>
      <c r="BP365" s="345"/>
      <c r="BQ365" s="344"/>
      <c r="BR365" s="345"/>
      <c r="BS365" s="344"/>
      <c r="BT365" s="348"/>
      <c r="BU365" s="345"/>
      <c r="BV365" s="345"/>
      <c r="BW365" s="345"/>
      <c r="BX365" s="345"/>
      <c r="BY365" s="345"/>
      <c r="BZ365" s="345"/>
      <c r="CA365" s="345"/>
      <c r="CB365" s="345"/>
      <c r="CC365" s="345"/>
      <c r="CD365" s="345"/>
      <c r="CE365" s="345"/>
      <c r="CF365" s="345"/>
      <c r="CG365" s="345"/>
      <c r="CH365" s="345"/>
      <c r="CI365" s="345"/>
      <c r="CJ365" s="345"/>
      <c r="CK365" s="345"/>
      <c r="CL365" s="345"/>
      <c r="CM365" s="345">
        <v>1</v>
      </c>
      <c r="CN365" s="345">
        <v>1</v>
      </c>
      <c r="CO365" s="345"/>
      <c r="CP365" s="348">
        <f>+IF(BD_MO[[#This Row],[FECHA]]&lt;&gt;"",BD_MO[[#This Row],[PUNTAL 4"]]+BD_MO[[#This Row],[PUNTAL 5"]]+BD_MO[[#This Row],[PUNTAL 6"]]+BD_MO[[#This Row],[PUNTAL 7"]]+BD_MO[[#This Row],[PUNTAL 8"]],"")</f>
        <v>2</v>
      </c>
      <c r="CQ365" s="345"/>
      <c r="CR365" s="345"/>
      <c r="CS365" s="345">
        <v>5</v>
      </c>
      <c r="CT365" s="345"/>
      <c r="CU365" s="345"/>
      <c r="CV365" s="345"/>
      <c r="CW365" s="345"/>
      <c r="CX365" s="345"/>
      <c r="CY365" s="348"/>
      <c r="CZ365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228.953</v>
      </c>
      <c r="DA365" s="348">
        <f>+IF(BD_MO[[#This Row],[FECHA]]&lt;&gt;"",BD_MO[[#This Row],[DURMIENTE2]]*6.561+BD_MO[[#This Row],[LISTONES]]*4.921+BD_MO[[#This Row],[TABLA 1"x8"x3m]]*6.561+BD_MO[[#This Row],[TABLA 2"x8"x3m]]*13.122,"")</f>
        <v>0</v>
      </c>
      <c r="DB365" s="348">
        <f>+IF(BD_MO[[#This Row],[FECHA]]&lt;&gt;"",BD_MO[[#This Row],[PIE2 MADERA ASERRADA]]*1.95,"")</f>
        <v>0</v>
      </c>
      <c r="DC365" s="348">
        <f>+IF(BD_MO[[#This Row],[FECHA]]&lt;&gt;"",BD_MO[[#This Row],[KG. MADERA REDONDA]]+BD_MO[[#This Row],[KG MADERA ASERRADA]],"")</f>
        <v>228.953</v>
      </c>
      <c r="DD365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97.05</v>
      </c>
      <c r="DE365" s="345"/>
      <c r="DF365" s="345"/>
      <c r="DG365" s="345"/>
      <c r="DH365" s="345"/>
      <c r="DI365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</v>
      </c>
      <c r="DJ365" s="351"/>
      <c r="DK365" s="351"/>
      <c r="DL365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365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3.0290000000000004</v>
      </c>
      <c r="DN365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65" s="50">
        <v>14.45</v>
      </c>
      <c r="DP365" s="351">
        <f>+IF(BD_MO[[#This Row],[M o D]]&lt;&gt;"",IF(BD_MO[[#This Row],[M o D]]="M",BD_MO[[#This Row],[ROTURA TMH]]/2.65,BD_MO[[#This Row],[ROTURA TMH]]/2.4),"")</f>
        <v>5.4528301886792452</v>
      </c>
      <c r="DQ365" s="351"/>
      <c r="DR365" s="116" t="str">
        <f>IF(BD_MO[[#This Row],[TIPO AVANCE]]="Avance",((BD_MO[[#This Row],[AVANCE (m)]]/BD_MO[[#This Row],[AVANCE TEÓRICO]]))," ")</f>
        <v xml:space="preserve"> </v>
      </c>
      <c r="DS365" s="134"/>
      <c r="DT365" s="134"/>
      <c r="DU365" s="134"/>
      <c r="DV365" s="134"/>
      <c r="DW365" s="134"/>
      <c r="DX365" s="135"/>
      <c r="DY365" s="135"/>
      <c r="DZ365" s="135"/>
    </row>
    <row r="366" spans="1:130" s="136" customFormat="1" ht="18" customHeight="1" x14ac:dyDescent="0.25">
      <c r="A366" s="328">
        <v>44672</v>
      </c>
      <c r="B366" s="329" t="s">
        <v>10655</v>
      </c>
      <c r="C366" s="329" t="s">
        <v>10672</v>
      </c>
      <c r="D366" s="94" t="s">
        <v>11851</v>
      </c>
      <c r="E366" s="344" t="str">
        <f>LEFT(BD_MO[[#This Row],[LABOR]],2)</f>
        <v>Es</v>
      </c>
      <c r="F366" s="345" t="s">
        <v>10950</v>
      </c>
      <c r="G366" s="345" t="s">
        <v>10648</v>
      </c>
      <c r="H366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66" s="344" t="str">
        <f>IF(BD_MO[FECHA]&lt;&gt;"",VLOOKUP(BD_MO[LABOR],TB_CECO[[LABOR]:[CECO_T]],3,FALSE),"")</f>
        <v>VANESSA</v>
      </c>
      <c r="J366" s="344" t="str">
        <f>IF(BD_MO[FECHA]&lt;&gt;"",VLOOKUP(BD_MO[LABOR],D_CECO!B:H,7,FALSE),"")</f>
        <v>LINEAL</v>
      </c>
      <c r="K366" s="344" t="str">
        <f>IF(BD_MO[FECHA]&lt;&gt;"",VLOOKUP(BD_MO[LABOR],D_CECO!B:H,4,FALSE),"")</f>
        <v>DESARROLLO</v>
      </c>
      <c r="L366" s="344"/>
      <c r="M366" s="329" t="s">
        <v>10646</v>
      </c>
      <c r="N366" s="345"/>
      <c r="O366" s="333" t="s">
        <v>12205</v>
      </c>
      <c r="P366" s="333" t="s">
        <v>12195</v>
      </c>
      <c r="Q366" s="333"/>
      <c r="R366" s="346"/>
      <c r="S366" s="347" t="str">
        <f>IFERROR(VLOOKUP(BD_MO[DNI 4],#REF!,2,FALSE)," ")</f>
        <v xml:space="preserve"> </v>
      </c>
      <c r="T366" s="348">
        <f>+IF(BD_MO[[#This Row],[FECHA]]&lt;&gt;"",COUNTA(BD_MO[[#This Row],[DNI]],BD_MO[[#This Row],[DNI 2]],BD_MO[[#This Row],[DNI 3]],BD_MO[[#This Row],[DNI 4]]),"")</f>
        <v>2</v>
      </c>
      <c r="U366" s="348">
        <v>0.86</v>
      </c>
      <c r="V366" s="348">
        <v>0.38</v>
      </c>
      <c r="W366" s="348"/>
      <c r="X366" s="348">
        <v>0.76</v>
      </c>
      <c r="Y366" s="337">
        <f>SUM(BD_MO[[#This Row],[LIMP]:[SERV]])</f>
        <v>2</v>
      </c>
      <c r="Z366" s="345" t="s">
        <v>12347</v>
      </c>
      <c r="AA366" s="345">
        <f>+IF(BD_MO[[#This Row],[N° VALE]]&lt;&gt;"",1,"")</f>
        <v>1</v>
      </c>
      <c r="AB366" s="329" t="s">
        <v>10705</v>
      </c>
      <c r="AC366" s="345">
        <v>4</v>
      </c>
      <c r="AD366" s="345">
        <v>10</v>
      </c>
      <c r="AE366" s="345"/>
      <c r="AF366" s="345">
        <f>+IF(BD_MO[[#This Row],[N° VALE]]&lt;&gt;"",BD_MO[[#This Row],[N° TALADROS]]+BD_MO[[#This Row],[N° TAL. VACIOS]],"")</f>
        <v>10</v>
      </c>
      <c r="AG366" s="349">
        <v>82</v>
      </c>
      <c r="AH366" s="349">
        <v>42</v>
      </c>
      <c r="AI366" s="349"/>
      <c r="AJ366" s="349"/>
      <c r="AK366" s="349">
        <v>18</v>
      </c>
      <c r="AL366" s="349">
        <v>3</v>
      </c>
      <c r="AM366" s="344"/>
      <c r="AN366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66" s="345">
        <f>+IF(BD_MO[[#This Row],[N° VALE]]&lt;&gt;"",IF(BD_MO[[#This Row],[FULMINANTE N° 08]]&lt;&gt;"",BD_MO[[#This Row],[FULMINANTE N° 08]],IF(BD_MO[[#This Row],[CARMEX 7'']]&lt;&gt;0,0,"")),"")</f>
        <v>0</v>
      </c>
      <c r="AP366" s="348">
        <f>+IF(BD_MO[[#This Row],[N° VALE]]&lt;&gt;"",BD_MO[[#This Row],[N°  TOTAL TALADROS]]*BD_MO[[#This Row],[BARRA]]*0.95,"")</f>
        <v>38</v>
      </c>
      <c r="AQ366" s="348">
        <f>+IF(BD_MO[[#This Row],[N° VALE]]&lt;&gt;"",BD_MO[[#This Row],[EMULNOR 1000 (N° CART.)]]*PE_EMUL_1000[PE],"")</f>
        <v>3.9774000000000003</v>
      </c>
      <c r="AR366" s="348">
        <f>+IF(BD_MO[[#This Row],[N° VALE]]&lt;&gt;"",BD_MO[[#This Row],[EMULNOR 3000 (N° CART.)]]*PE_EMUL_3000[PE],"")</f>
        <v>7.8846153846153886</v>
      </c>
      <c r="AS366" s="348">
        <f>+IF(BD_MO[[#This Row],[N° VALE]]&lt;&gt;"",BD_MO[[#This Row],[PULVERULENTA (N° CART.)]]*PE_PULV_65[PE],"")</f>
        <v>0</v>
      </c>
      <c r="AT366" s="348">
        <f>+IF(BD_MO[[#This Row],[N° DISP]]&lt;&gt;"",BD_MO[[#This Row],[SEMIGELATINA (N° CART.)]]*PE_SEMIGEL_65[PE],"")</f>
        <v>0</v>
      </c>
      <c r="AU366" s="348">
        <f>+IF(BD_MO[N° VALE]&lt;&gt;"",BD_MO[[#This Row],[KG EXPLO SEMIGEL]]+BD_MO[[#This Row],[KG EXPLO PULVE]]+BD_MO[[#This Row],[KG EXPLO EMULN 3000]]+BD_MO[[#This Row],[KG EXPLO EMULN 1000]],"")</f>
        <v>11.86201538461539</v>
      </c>
      <c r="AV366" s="345"/>
      <c r="AW366" s="345">
        <v>3</v>
      </c>
      <c r="AX366" s="345" t="str">
        <f>+IF(BD_MO[[#This Row],[MINERAL (U-35)]]&lt;&gt;"",BD_MO[[#This Row],[MINERAL (U-35)]]*1.45,"-")</f>
        <v>-</v>
      </c>
      <c r="AY366" s="345">
        <f>+IF(BD_MO[[#This Row],[DESMONTE (U-35)]]&lt;&gt;"",BD_MO[[#This Row],[DESMONTE (U-35)]]*1.23,"-")</f>
        <v>3.69</v>
      </c>
      <c r="AZ366" s="345"/>
      <c r="BA366" s="345"/>
      <c r="BB366" s="345"/>
      <c r="BC366" s="345"/>
      <c r="BD366" s="345"/>
      <c r="BE366" s="345"/>
      <c r="BF366" s="345"/>
      <c r="BG366" s="345"/>
      <c r="BH366" s="345"/>
      <c r="BI366" s="345"/>
      <c r="BJ366" s="345"/>
      <c r="BK366" s="345"/>
      <c r="BL366" s="345"/>
      <c r="BM366" s="345"/>
      <c r="BN366" s="344"/>
      <c r="BO366" s="345"/>
      <c r="BP366" s="345"/>
      <c r="BQ366" s="344"/>
      <c r="BR366" s="345"/>
      <c r="BS366" s="344"/>
      <c r="BT366" s="348"/>
      <c r="BU366" s="345"/>
      <c r="BV366" s="345"/>
      <c r="BW366" s="345"/>
      <c r="BX366" s="345"/>
      <c r="BY366" s="345"/>
      <c r="BZ366" s="345"/>
      <c r="CA366" s="345"/>
      <c r="CB366" s="345"/>
      <c r="CC366" s="345"/>
      <c r="CD366" s="345"/>
      <c r="CE366" s="345"/>
      <c r="CF366" s="345"/>
      <c r="CG366" s="345"/>
      <c r="CH366" s="345"/>
      <c r="CI366" s="345"/>
      <c r="CJ366" s="345"/>
      <c r="CK366" s="345"/>
      <c r="CL366" s="345"/>
      <c r="CM366" s="345"/>
      <c r="CN366" s="345"/>
      <c r="CO366" s="345"/>
      <c r="CP366" s="348">
        <f>+IF(BD_MO[[#This Row],[FECHA]]&lt;&gt;"",BD_MO[[#This Row],[PUNTAL 4"]]+BD_MO[[#This Row],[PUNTAL 5"]]+BD_MO[[#This Row],[PUNTAL 6"]]+BD_MO[[#This Row],[PUNTAL 7"]]+BD_MO[[#This Row],[PUNTAL 8"]],"")</f>
        <v>0</v>
      </c>
      <c r="CQ366" s="345"/>
      <c r="CR366" s="345"/>
      <c r="CS366" s="345"/>
      <c r="CT366" s="345"/>
      <c r="CU366" s="345"/>
      <c r="CV366" s="345"/>
      <c r="CW366" s="345"/>
      <c r="CX366" s="345"/>
      <c r="CY366" s="348"/>
      <c r="CZ366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66" s="348">
        <f>+IF(BD_MO[[#This Row],[FECHA]]&lt;&gt;"",BD_MO[[#This Row],[DURMIENTE2]]*6.561+BD_MO[[#This Row],[LISTONES]]*4.921+BD_MO[[#This Row],[TABLA 1"x8"x3m]]*6.561+BD_MO[[#This Row],[TABLA 2"x8"x3m]]*13.122,"")</f>
        <v>0</v>
      </c>
      <c r="DB366" s="348">
        <f>+IF(BD_MO[[#This Row],[FECHA]]&lt;&gt;"",BD_MO[[#This Row],[PIE2 MADERA ASERRADA]]*1.95,"")</f>
        <v>0</v>
      </c>
      <c r="DC366" s="348">
        <f>+IF(BD_MO[[#This Row],[FECHA]]&lt;&gt;"",BD_MO[[#This Row],[KG. MADERA REDONDA]]+BD_MO[[#This Row],[KG MADERA ASERRADA]],"")</f>
        <v>0</v>
      </c>
      <c r="DD366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66" s="345"/>
      <c r="DF366" s="345"/>
      <c r="DG366" s="345"/>
      <c r="DH366" s="345"/>
      <c r="DI366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66" s="351"/>
      <c r="DK366" s="351"/>
      <c r="DL366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66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66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66" s="367">
        <v>7.52</v>
      </c>
      <c r="DP366" s="351">
        <f>+IF(BD_MO[[#This Row],[M o D]]&lt;&gt;"",IF(BD_MO[[#This Row],[M o D]]="M",BD_MO[[#This Row],[ROTURA TMH]]/2.65,BD_MO[[#This Row],[ROTURA TMH]]/2.4),"")</f>
        <v>2.8377358490566036</v>
      </c>
      <c r="DQ366" s="351">
        <v>0.94</v>
      </c>
      <c r="DR366" s="116">
        <f>IF(BD_MO[[#This Row],[TIPO AVANCE]]="Avance",((BD_MO[[#This Row],[AVANCE (m)]]/BD_MO[[#This Row],[AVANCE TEÓRICO]]))," ")</f>
        <v>0.87037037037037024</v>
      </c>
      <c r="DS366" s="134"/>
      <c r="DT366" s="134"/>
      <c r="DU366" s="134"/>
      <c r="DV366" s="134"/>
      <c r="DW366" s="134"/>
      <c r="DX366" s="135"/>
      <c r="DY366" s="135"/>
      <c r="DZ366" s="135"/>
    </row>
    <row r="367" spans="1:130" s="136" customFormat="1" ht="18" customHeight="1" x14ac:dyDescent="0.25">
      <c r="A367" s="328">
        <v>44672</v>
      </c>
      <c r="B367" s="329" t="s">
        <v>10655</v>
      </c>
      <c r="C367" s="329" t="s">
        <v>10672</v>
      </c>
      <c r="D367" s="94" t="s">
        <v>12317</v>
      </c>
      <c r="E367" s="344" t="str">
        <f>LEFT(BD_MO[[#This Row],[LABOR]],2)</f>
        <v>Sn</v>
      </c>
      <c r="F367" s="345" t="s">
        <v>10950</v>
      </c>
      <c r="G367" s="345" t="s">
        <v>10648</v>
      </c>
      <c r="H367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67" s="344" t="s">
        <v>12254</v>
      </c>
      <c r="J367" s="383" t="s">
        <v>10525</v>
      </c>
      <c r="K367" s="344" t="s">
        <v>12247</v>
      </c>
      <c r="L367" s="344"/>
      <c r="M367" s="329" t="s">
        <v>10646</v>
      </c>
      <c r="N367" s="345"/>
      <c r="O367" s="333" t="s">
        <v>12192</v>
      </c>
      <c r="P367" s="333" t="s">
        <v>12207</v>
      </c>
      <c r="Q367" s="333"/>
      <c r="R367" s="346"/>
      <c r="S367" s="347" t="str">
        <f>IFERROR(VLOOKUP(BD_MO[DNI 4],#REF!,2,FALSE)," ")</f>
        <v xml:space="preserve"> </v>
      </c>
      <c r="T367" s="348">
        <f>+IF(BD_MO[[#This Row],[FECHA]]&lt;&gt;"",COUNTA(BD_MO[[#This Row],[DNI]],BD_MO[[#This Row],[DNI 2]],BD_MO[[#This Row],[DNI 3]],BD_MO[[#This Row],[DNI 4]]),"")</f>
        <v>2</v>
      </c>
      <c r="U367" s="348">
        <v>0.76</v>
      </c>
      <c r="V367" s="348">
        <v>0.28000000000000003</v>
      </c>
      <c r="W367" s="348">
        <v>0.38</v>
      </c>
      <c r="X367" s="348">
        <v>0.57999999999999996</v>
      </c>
      <c r="Y367" s="337">
        <f>SUM(BD_MO[[#This Row],[LIMP]:[SERV]])</f>
        <v>2</v>
      </c>
      <c r="Z367" s="345" t="s">
        <v>12348</v>
      </c>
      <c r="AA367" s="345">
        <f>+IF(BD_MO[[#This Row],[N° VALE]]&lt;&gt;"",1,"")</f>
        <v>1</v>
      </c>
      <c r="AB367" s="329" t="s">
        <v>10659</v>
      </c>
      <c r="AC367" s="345">
        <v>4</v>
      </c>
      <c r="AD367" s="345">
        <f>+IF(BD_MO[[#This Row],[N° VALE]]&lt;&gt;"",BD_MO[[#This Row],[FULMINANTE N° 08]]+BD_MO[CARMEX 7''],"")</f>
        <v>4</v>
      </c>
      <c r="AE367" s="345"/>
      <c r="AF367" s="345">
        <f>+IF(BD_MO[[#This Row],[N° VALE]]&lt;&gt;"",BD_MO[[#This Row],[N° TALADROS]]+BD_MO[[#This Row],[N° TAL. VACIOS]],"")</f>
        <v>4</v>
      </c>
      <c r="AG367" s="349">
        <v>1</v>
      </c>
      <c r="AH367" s="349">
        <v>26</v>
      </c>
      <c r="AI367" s="349"/>
      <c r="AJ367" s="349"/>
      <c r="AK367" s="349">
        <v>4</v>
      </c>
      <c r="AL367" s="349">
        <v>2</v>
      </c>
      <c r="AM367" s="344"/>
      <c r="AN367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67" s="345">
        <f>+IF(BD_MO[[#This Row],[N° VALE]]&lt;&gt;"",IF(BD_MO[[#This Row],[FULMINANTE N° 08]]&lt;&gt;"",BD_MO[[#This Row],[FULMINANTE N° 08]],IF(BD_MO[[#This Row],[CARMEX 7'']]&lt;&gt;0,0,"")),"")</f>
        <v>0</v>
      </c>
      <c r="AP367" s="348">
        <f>+IF(BD_MO[[#This Row],[N° VALE]]&lt;&gt;"",BD_MO[[#This Row],[N°  TOTAL TALADROS]]*BD_MO[[#This Row],[BARRA]]*0.95,"")</f>
        <v>15.2</v>
      </c>
      <c r="AQ367" s="348">
        <f>+IF(BD_MO[[#This Row],[N° VALE]]&lt;&gt;"",BD_MO[[#This Row],[EMULNOR 1000 (N° CART.)]]*PE_EMUL_1000[PE],"")</f>
        <v>2.4622000000000002</v>
      </c>
      <c r="AR367" s="348">
        <f>+IF(BD_MO[[#This Row],[N° VALE]]&lt;&gt;"",BD_MO[[#This Row],[EMULNOR 3000 (N° CART.)]]*PE_EMUL_3000[PE],"")</f>
        <v>9.6153846153846201E-2</v>
      </c>
      <c r="AS367" s="348">
        <f>+IF(BD_MO[[#This Row],[N° VALE]]&lt;&gt;"",BD_MO[[#This Row],[PULVERULENTA (N° CART.)]]*PE_PULV_65[PE],"")</f>
        <v>0</v>
      </c>
      <c r="AT367" s="348">
        <f>+IF(BD_MO[[#This Row],[N° DISP]]&lt;&gt;"",BD_MO[[#This Row],[SEMIGELATINA (N° CART.)]]*PE_SEMIGEL_65[PE],"")</f>
        <v>0</v>
      </c>
      <c r="AU367" s="348">
        <f>+IF(BD_MO[N° VALE]&lt;&gt;"",BD_MO[[#This Row],[KG EXPLO SEMIGEL]]+BD_MO[[#This Row],[KG EXPLO PULVE]]+BD_MO[[#This Row],[KG EXPLO EMULN 3000]]+BD_MO[[#This Row],[KG EXPLO EMULN 1000]],"")</f>
        <v>2.5583538461538464</v>
      </c>
      <c r="AV367" s="345"/>
      <c r="AW367" s="345"/>
      <c r="AX367" s="345" t="str">
        <f>+IF(BD_MO[[#This Row],[MINERAL (U-35)]]&lt;&gt;"",BD_MO[[#This Row],[MINERAL (U-35)]]*1.45,"-")</f>
        <v>-</v>
      </c>
      <c r="AY367" s="345" t="str">
        <f>+IF(BD_MO[[#This Row],[DESMONTE (U-35)]]&lt;&gt;"",BD_MO[[#This Row],[DESMONTE (U-35)]]*1.23,"-")</f>
        <v>-</v>
      </c>
      <c r="AZ367" s="345"/>
      <c r="BA367" s="345"/>
      <c r="BB367" s="345"/>
      <c r="BC367" s="345"/>
      <c r="BD367" s="345"/>
      <c r="BE367" s="345"/>
      <c r="BF367" s="345"/>
      <c r="BG367" s="345"/>
      <c r="BH367" s="345"/>
      <c r="BI367" s="345"/>
      <c r="BJ367" s="345"/>
      <c r="BK367" s="345"/>
      <c r="BL367" s="345"/>
      <c r="BM367" s="345"/>
      <c r="BN367" s="344"/>
      <c r="BO367" s="345"/>
      <c r="BP367" s="345"/>
      <c r="BQ367" s="344">
        <v>3.6</v>
      </c>
      <c r="BR367" s="345"/>
      <c r="BS367" s="344"/>
      <c r="BT367" s="348"/>
      <c r="BU367" s="345"/>
      <c r="BV367" s="345"/>
      <c r="BW367" s="345"/>
      <c r="BX367" s="345"/>
      <c r="BY367" s="345"/>
      <c r="BZ367" s="345"/>
      <c r="CA367" s="345"/>
      <c r="CB367" s="345"/>
      <c r="CC367" s="345"/>
      <c r="CD367" s="345"/>
      <c r="CE367" s="345"/>
      <c r="CF367" s="345"/>
      <c r="CG367" s="345"/>
      <c r="CH367" s="345"/>
      <c r="CI367" s="345"/>
      <c r="CJ367" s="345"/>
      <c r="CK367" s="345"/>
      <c r="CL367" s="345"/>
      <c r="CM367" s="345">
        <v>2</v>
      </c>
      <c r="CN367" s="345"/>
      <c r="CO367" s="345"/>
      <c r="CP367" s="348">
        <f>+IF(BD_MO[[#This Row],[FECHA]]&lt;&gt;"",BD_MO[[#This Row],[PUNTAL 4"]]+BD_MO[[#This Row],[PUNTAL 5"]]+BD_MO[[#This Row],[PUNTAL 6"]]+BD_MO[[#This Row],[PUNTAL 7"]]+BD_MO[[#This Row],[PUNTAL 8"]],"")</f>
        <v>2</v>
      </c>
      <c r="CQ367" s="345"/>
      <c r="CR367" s="345"/>
      <c r="CS367" s="345">
        <v>4</v>
      </c>
      <c r="CT367" s="345"/>
      <c r="CU367" s="345"/>
      <c r="CV367" s="345"/>
      <c r="CW367" s="345"/>
      <c r="CX367" s="345"/>
      <c r="CY367" s="348"/>
      <c r="CZ367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188.14800000000002</v>
      </c>
      <c r="DA367" s="348">
        <f>+IF(BD_MO[[#This Row],[FECHA]]&lt;&gt;"",BD_MO[[#This Row],[DURMIENTE2]]*6.561+BD_MO[[#This Row],[LISTONES]]*4.921+BD_MO[[#This Row],[TABLA 1"x8"x3m]]*6.561+BD_MO[[#This Row],[TABLA 2"x8"x3m]]*13.122,"")</f>
        <v>0</v>
      </c>
      <c r="DB367" s="348">
        <f>+IF(BD_MO[[#This Row],[FECHA]]&lt;&gt;"",BD_MO[[#This Row],[PIE2 MADERA ASERRADA]]*1.95,"")</f>
        <v>0</v>
      </c>
      <c r="DC367" s="348">
        <f>+IF(BD_MO[[#This Row],[FECHA]]&lt;&gt;"",BD_MO[[#This Row],[KG. MADERA REDONDA]]+BD_MO[[#This Row],[KG MADERA ASERRADA]],"")</f>
        <v>188.14800000000002</v>
      </c>
      <c r="DD367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84.759999999999991</v>
      </c>
      <c r="DE367" s="345"/>
      <c r="DF367" s="345"/>
      <c r="DG367" s="345"/>
      <c r="DH367" s="345"/>
      <c r="DI367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67" s="351"/>
      <c r="DK367" s="351"/>
      <c r="DL367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67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67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67" s="367"/>
      <c r="DP367" s="351">
        <f>+IF(BD_MO[[#This Row],[M o D]]&lt;&gt;"",IF(BD_MO[[#This Row],[M o D]]="M",BD_MO[[#This Row],[ROTURA TMH]]/2.65,BD_MO[[#This Row],[ROTURA TMH]]/2.4),"")</f>
        <v>0</v>
      </c>
      <c r="DQ367" s="351"/>
      <c r="DR367" s="116">
        <f>IF(BD_MO[[#This Row],[TIPO AVANCE]]="Avance",((BD_MO[[#This Row],[AVANCE (m)]]/BD_MO[[#This Row],[AVANCE TEÓRICO]]))," ")</f>
        <v>0</v>
      </c>
      <c r="DS367" s="134"/>
      <c r="DT367" s="134"/>
      <c r="DU367" s="134"/>
      <c r="DV367" s="134"/>
      <c r="DW367" s="134"/>
      <c r="DX367" s="135"/>
      <c r="DY367" s="135"/>
      <c r="DZ367" s="135"/>
    </row>
    <row r="368" spans="1:130" s="136" customFormat="1" ht="18" customHeight="1" x14ac:dyDescent="0.25">
      <c r="A368" s="328">
        <v>44672</v>
      </c>
      <c r="B368" s="329" t="s">
        <v>10655</v>
      </c>
      <c r="C368" s="329" t="s">
        <v>10672</v>
      </c>
      <c r="D368" s="94" t="s">
        <v>12339</v>
      </c>
      <c r="E368" s="344" t="str">
        <f>LEFT(BD_MO[[#This Row],[LABOR]],2)</f>
        <v>Tj</v>
      </c>
      <c r="F368" s="345" t="s">
        <v>10950</v>
      </c>
      <c r="G368" s="345" t="s">
        <v>10648</v>
      </c>
      <c r="H368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68" s="344" t="s">
        <v>12254</v>
      </c>
      <c r="J368" s="344" t="s">
        <v>10502</v>
      </c>
      <c r="K368" s="344" t="s">
        <v>12249</v>
      </c>
      <c r="L368" s="344"/>
      <c r="M368" s="329" t="s">
        <v>10661</v>
      </c>
      <c r="N368" s="345"/>
      <c r="O368" s="333" t="s">
        <v>12233</v>
      </c>
      <c r="P368" s="333" t="s">
        <v>12197</v>
      </c>
      <c r="Q368" s="333"/>
      <c r="R368" s="346"/>
      <c r="S368" s="347" t="str">
        <f>IFERROR(VLOOKUP(BD_MO[DNI 4],#REF!,2,FALSE)," ")</f>
        <v xml:space="preserve"> </v>
      </c>
      <c r="T368" s="348">
        <f>+IF(BD_MO[[#This Row],[FECHA]]&lt;&gt;"",COUNTA(BD_MO[[#This Row],[DNI]],BD_MO[[#This Row],[DNI 2]],BD_MO[[#This Row],[DNI 3]],BD_MO[[#This Row],[DNI 4]]),"")</f>
        <v>2</v>
      </c>
      <c r="U368" s="348">
        <v>0.76</v>
      </c>
      <c r="V368" s="348">
        <v>0.28000000000000003</v>
      </c>
      <c r="W368" s="348">
        <v>0.38</v>
      </c>
      <c r="X368" s="348">
        <v>0.57999999999999996</v>
      </c>
      <c r="Y368" s="337">
        <f>SUM(BD_MO[[#This Row],[LIMP]:[SERV]])</f>
        <v>2</v>
      </c>
      <c r="Z368" s="345" t="s">
        <v>12349</v>
      </c>
      <c r="AA368" s="345">
        <f>+IF(BD_MO[[#This Row],[N° VALE]]&lt;&gt;"",1,"")</f>
        <v>1</v>
      </c>
      <c r="AB368" s="329" t="s">
        <v>10710</v>
      </c>
      <c r="AC368" s="345">
        <v>4</v>
      </c>
      <c r="AD368" s="345">
        <f>+IF(BD_MO[[#This Row],[N° VALE]]&lt;&gt;"",BD_MO[[#This Row],[FULMINANTE N° 08]]+BD_MO[CARMEX 7''],"")</f>
        <v>10</v>
      </c>
      <c r="AE368" s="345"/>
      <c r="AF368" s="345">
        <f>+IF(BD_MO[[#This Row],[N° VALE]]&lt;&gt;"",BD_MO[[#This Row],[N° TALADROS]]+BD_MO[[#This Row],[N° TAL. VACIOS]],"")</f>
        <v>10</v>
      </c>
      <c r="AG368" s="349">
        <v>1</v>
      </c>
      <c r="AH368" s="349">
        <v>40</v>
      </c>
      <c r="AI368" s="349"/>
      <c r="AJ368" s="349"/>
      <c r="AK368" s="349">
        <v>10</v>
      </c>
      <c r="AL368" s="349">
        <v>4</v>
      </c>
      <c r="AM368" s="344"/>
      <c r="AN368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68" s="345">
        <f>+IF(BD_MO[[#This Row],[N° VALE]]&lt;&gt;"",IF(BD_MO[[#This Row],[FULMINANTE N° 08]]&lt;&gt;"",BD_MO[[#This Row],[FULMINANTE N° 08]],IF(BD_MO[[#This Row],[CARMEX 7'']]&lt;&gt;0,0,"")),"")</f>
        <v>0</v>
      </c>
      <c r="AP368" s="348">
        <f>+IF(BD_MO[[#This Row],[N° VALE]]&lt;&gt;"",BD_MO[[#This Row],[N°  TOTAL TALADROS]]*BD_MO[[#This Row],[BARRA]]*0.95,"")</f>
        <v>38</v>
      </c>
      <c r="AQ368" s="348">
        <f>+IF(BD_MO[[#This Row],[N° VALE]]&lt;&gt;"",BD_MO[[#This Row],[EMULNOR 1000 (N° CART.)]]*PE_EMUL_1000[PE],"")</f>
        <v>3.7880000000000003</v>
      </c>
      <c r="AR368" s="348">
        <f>+IF(BD_MO[[#This Row],[N° VALE]]&lt;&gt;"",BD_MO[[#This Row],[EMULNOR 3000 (N° CART.)]]*PE_EMUL_3000[PE],"")</f>
        <v>9.6153846153846201E-2</v>
      </c>
      <c r="AS368" s="348">
        <f>+IF(BD_MO[[#This Row],[N° VALE]]&lt;&gt;"",BD_MO[[#This Row],[PULVERULENTA (N° CART.)]]*PE_PULV_65[PE],"")</f>
        <v>0</v>
      </c>
      <c r="AT368" s="348">
        <f>+IF(BD_MO[[#This Row],[N° DISP]]&lt;&gt;"",BD_MO[[#This Row],[SEMIGELATINA (N° CART.)]]*PE_SEMIGEL_65[PE],"")</f>
        <v>0</v>
      </c>
      <c r="AU368" s="348">
        <f>+IF(BD_MO[N° VALE]&lt;&gt;"",BD_MO[[#This Row],[KG EXPLO SEMIGEL]]+BD_MO[[#This Row],[KG EXPLO PULVE]]+BD_MO[[#This Row],[KG EXPLO EMULN 3000]]+BD_MO[[#This Row],[KG EXPLO EMULN 1000]],"")</f>
        <v>3.8841538461538465</v>
      </c>
      <c r="AV368" s="345">
        <v>21</v>
      </c>
      <c r="AW368" s="345"/>
      <c r="AX368" s="345">
        <f>+IF(BD_MO[[#This Row],[MINERAL (U-35)]]&lt;&gt;"",BD_MO[[#This Row],[MINERAL (U-35)]]*1.45,"-")</f>
        <v>30.45</v>
      </c>
      <c r="AY368" s="345" t="str">
        <f>+IF(BD_MO[[#This Row],[DESMONTE (U-35)]]&lt;&gt;"",BD_MO[[#This Row],[DESMONTE (U-35)]]*1.23,"-")</f>
        <v>-</v>
      </c>
      <c r="AZ368" s="345"/>
      <c r="BA368" s="345"/>
      <c r="BB368" s="345"/>
      <c r="BC368" s="345"/>
      <c r="BD368" s="345"/>
      <c r="BE368" s="345"/>
      <c r="BF368" s="345"/>
      <c r="BG368" s="345"/>
      <c r="BH368" s="345"/>
      <c r="BI368" s="345"/>
      <c r="BJ368" s="345"/>
      <c r="BK368" s="345"/>
      <c r="BL368" s="345"/>
      <c r="BM368" s="345"/>
      <c r="BN368" s="344">
        <v>3.6</v>
      </c>
      <c r="BO368" s="345"/>
      <c r="BP368" s="345"/>
      <c r="BQ368" s="344"/>
      <c r="BR368" s="345"/>
      <c r="BS368" s="344"/>
      <c r="BT368" s="348"/>
      <c r="BU368" s="345"/>
      <c r="BV368" s="345"/>
      <c r="BW368" s="345"/>
      <c r="BX368" s="345"/>
      <c r="BY368" s="345"/>
      <c r="BZ368" s="345"/>
      <c r="CA368" s="345"/>
      <c r="CB368" s="345"/>
      <c r="CC368" s="345"/>
      <c r="CD368" s="345"/>
      <c r="CE368" s="345"/>
      <c r="CF368" s="345"/>
      <c r="CG368" s="345"/>
      <c r="CH368" s="345"/>
      <c r="CI368" s="345"/>
      <c r="CJ368" s="345"/>
      <c r="CK368" s="345"/>
      <c r="CL368" s="345"/>
      <c r="CM368" s="345"/>
      <c r="CN368" s="345"/>
      <c r="CO368" s="345">
        <v>1</v>
      </c>
      <c r="CP368" s="348">
        <f>+IF(BD_MO[[#This Row],[FECHA]]&lt;&gt;"",BD_MO[[#This Row],[PUNTAL 4"]]+BD_MO[[#This Row],[PUNTAL 5"]]+BD_MO[[#This Row],[PUNTAL 6"]]+BD_MO[[#This Row],[PUNTAL 7"]]+BD_MO[[#This Row],[PUNTAL 8"]],"")</f>
        <v>1</v>
      </c>
      <c r="CQ368" s="345"/>
      <c r="CR368" s="345"/>
      <c r="CS368" s="345">
        <v>5</v>
      </c>
      <c r="CT368" s="345"/>
      <c r="CU368" s="345"/>
      <c r="CV368" s="345"/>
      <c r="CW368" s="345"/>
      <c r="CX368" s="345"/>
      <c r="CY368" s="348"/>
      <c r="CZ368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202.77600000000001</v>
      </c>
      <c r="DA368" s="348">
        <f>+IF(BD_MO[[#This Row],[FECHA]]&lt;&gt;"",BD_MO[[#This Row],[DURMIENTE2]]*6.561+BD_MO[[#This Row],[LISTONES]]*4.921+BD_MO[[#This Row],[TABLA 1"x8"x3m]]*6.561+BD_MO[[#This Row],[TABLA 2"x8"x3m]]*13.122,"")</f>
        <v>0</v>
      </c>
      <c r="DB368" s="348">
        <f>+IF(BD_MO[[#This Row],[FECHA]]&lt;&gt;"",BD_MO[[#This Row],[PIE2 MADERA ASERRADA]]*1.95,"")</f>
        <v>0</v>
      </c>
      <c r="DC368" s="348">
        <f>+IF(BD_MO[[#This Row],[FECHA]]&lt;&gt;"",BD_MO[[#This Row],[KG. MADERA REDONDA]]+BD_MO[[#This Row],[KG MADERA ASERRADA]],"")</f>
        <v>202.77600000000001</v>
      </c>
      <c r="DD368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79.25</v>
      </c>
      <c r="DE368" s="345"/>
      <c r="DF368" s="345"/>
      <c r="DG368" s="345"/>
      <c r="DH368" s="345"/>
      <c r="DI368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68" s="351"/>
      <c r="DK368" s="351"/>
      <c r="DL368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368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368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68" s="367">
        <f>1.13*10</f>
        <v>11.299999999999999</v>
      </c>
      <c r="DP368" s="351">
        <f>+IF(BD_MO[[#This Row],[M o D]]&lt;&gt;"",IF(BD_MO[[#This Row],[M o D]]="M",BD_MO[[#This Row],[ROTURA TMH]]/2.65,BD_MO[[#This Row],[ROTURA TMH]]/2.4),"")</f>
        <v>4.2641509433962259</v>
      </c>
      <c r="DQ368" s="351"/>
      <c r="DR368" s="116" t="str">
        <f>IF(BD_MO[[#This Row],[TIPO AVANCE]]="Avance",((BD_MO[[#This Row],[AVANCE (m)]]/BD_MO[[#This Row],[AVANCE TEÓRICO]]))," ")</f>
        <v xml:space="preserve"> </v>
      </c>
      <c r="DS368" s="134"/>
      <c r="DT368" s="134"/>
      <c r="DU368" s="134"/>
      <c r="DV368" s="134"/>
      <c r="DW368" s="134"/>
      <c r="DX368" s="135"/>
      <c r="DY368" s="135"/>
      <c r="DZ368" s="135"/>
    </row>
    <row r="369" spans="1:130" s="136" customFormat="1" ht="18" customHeight="1" x14ac:dyDescent="0.25">
      <c r="A369" s="328">
        <v>44672</v>
      </c>
      <c r="B369" s="329" t="s">
        <v>10655</v>
      </c>
      <c r="C369" s="329" t="s">
        <v>10672</v>
      </c>
      <c r="D369" s="94" t="s">
        <v>11872</v>
      </c>
      <c r="E369" s="344" t="str">
        <f>LEFT(BD_MO[[#This Row],[LABOR]],2)</f>
        <v>PQ</v>
      </c>
      <c r="F369" s="345"/>
      <c r="G369" s="345" t="s">
        <v>10669</v>
      </c>
      <c r="H369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69" s="344" t="str">
        <f>IF(BD_MO[FECHA]&lt;&gt;"",VLOOKUP(BD_MO[LABOR],TB_CECO[[LABOR]:[CECO_T]],3,FALSE),"")</f>
        <v>ANDREA</v>
      </c>
      <c r="J369" s="344" t="str">
        <f>IF(BD_MO[FECHA]&lt;&gt;"",VLOOKUP(BD_MO[LABOR],D_CECO!B:H,7,FALSE),"")</f>
        <v>LINEAL</v>
      </c>
      <c r="K369" s="344" t="str">
        <f>IF(BD_MO[FECHA]&lt;&gt;"",VLOOKUP(BD_MO[LABOR],D_CECO!B:H,4,FALSE),"")</f>
        <v>EXPLOTACION</v>
      </c>
      <c r="L369" s="344"/>
      <c r="M369" s="329"/>
      <c r="N369" s="345"/>
      <c r="O369" s="333" t="s">
        <v>12199</v>
      </c>
      <c r="P369" s="333" t="s">
        <v>12220</v>
      </c>
      <c r="Q369" s="333" t="s">
        <v>12323</v>
      </c>
      <c r="R369" s="346"/>
      <c r="S369" s="347" t="str">
        <f>IFERROR(VLOOKUP(BD_MO[DNI 4],#REF!,2,FALSE)," ")</f>
        <v xml:space="preserve"> </v>
      </c>
      <c r="T369" s="348">
        <f>+IF(BD_MO[[#This Row],[FECHA]]&lt;&gt;"",COUNTA(BD_MO[[#This Row],[DNI]],BD_MO[[#This Row],[DNI 2]],BD_MO[[#This Row],[DNI 3]],BD_MO[[#This Row],[DNI 4]]),"")</f>
        <v>3</v>
      </c>
      <c r="U369" s="348"/>
      <c r="V369" s="348"/>
      <c r="W369" s="348"/>
      <c r="X369" s="348">
        <v>3</v>
      </c>
      <c r="Y369" s="337">
        <f>SUM(BD_MO[[#This Row],[LIMP]:[SERV]])</f>
        <v>3</v>
      </c>
      <c r="Z369" s="345"/>
      <c r="AA369" s="345" t="str">
        <f>+IF(BD_MO[[#This Row],[N° VALE]]&lt;&gt;"",1,"")</f>
        <v/>
      </c>
      <c r="AB369" s="329"/>
      <c r="AC369" s="345"/>
      <c r="AD369" s="345" t="str">
        <f>+IF(BD_MO[[#This Row],[N° VALE]]&lt;&gt;"",BD_MO[[#This Row],[FULMINANTE N° 08]]+BD_MO[CARMEX 7''],"")</f>
        <v/>
      </c>
      <c r="AE369" s="345"/>
      <c r="AF369" s="345" t="str">
        <f>+IF(BD_MO[[#This Row],[N° VALE]]&lt;&gt;"",BD_MO[[#This Row],[N° TALADROS]]+BD_MO[[#This Row],[N° TAL. VACIOS]],"")</f>
        <v/>
      </c>
      <c r="AG369" s="349"/>
      <c r="AH369" s="349"/>
      <c r="AI369" s="349"/>
      <c r="AJ369" s="349"/>
      <c r="AK369" s="349"/>
      <c r="AL369" s="349"/>
      <c r="AM369" s="344"/>
      <c r="AN369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69" s="345" t="str">
        <f>+IF(BD_MO[[#This Row],[N° VALE]]&lt;&gt;"",IF(BD_MO[[#This Row],[FULMINANTE N° 08]]&lt;&gt;"",BD_MO[[#This Row],[FULMINANTE N° 08]],IF(BD_MO[[#This Row],[CARMEX 7'']]&lt;&gt;0,0,"")),"")</f>
        <v/>
      </c>
      <c r="AP369" s="348" t="str">
        <f>+IF(BD_MO[[#This Row],[N° VALE]]&lt;&gt;"",BD_MO[[#This Row],[N°  TOTAL TALADROS]]*BD_MO[[#This Row],[BARRA]]*0.95,"")</f>
        <v/>
      </c>
      <c r="AQ369" s="348" t="str">
        <f>+IF(BD_MO[[#This Row],[N° VALE]]&lt;&gt;"",BD_MO[[#This Row],[EMULNOR 1000 (N° CART.)]]*PE_EMUL_1000[PE],"")</f>
        <v/>
      </c>
      <c r="AR369" s="348" t="str">
        <f>+IF(BD_MO[[#This Row],[N° VALE]]&lt;&gt;"",BD_MO[[#This Row],[EMULNOR 3000 (N° CART.)]]*PE_EMUL_3000[PE],"")</f>
        <v/>
      </c>
      <c r="AS369" s="348" t="str">
        <f>+IF(BD_MO[[#This Row],[N° VALE]]&lt;&gt;"",BD_MO[[#This Row],[PULVERULENTA (N° CART.)]]*PE_PULV_65[PE],"")</f>
        <v/>
      </c>
      <c r="AT369" s="348" t="str">
        <f>+IF(BD_MO[[#This Row],[N° DISP]]&lt;&gt;"",BD_MO[[#This Row],[SEMIGELATINA (N° CART.)]]*PE_SEMIGEL_65[PE],"")</f>
        <v/>
      </c>
      <c r="AU369" s="348" t="str">
        <f>+IF(BD_MO[N° VALE]&lt;&gt;"",BD_MO[[#This Row],[KG EXPLO SEMIGEL]]+BD_MO[[#This Row],[KG EXPLO PULVE]]+BD_MO[[#This Row],[KG EXPLO EMULN 3000]]+BD_MO[[#This Row],[KG EXPLO EMULN 1000]],"")</f>
        <v/>
      </c>
      <c r="AV369" s="345"/>
      <c r="AW369" s="345"/>
      <c r="AX369" s="345" t="str">
        <f>+IF(BD_MO[[#This Row],[MINERAL (U-35)]]&lt;&gt;"",BD_MO[[#This Row],[MINERAL (U-35)]]*1.45,"-")</f>
        <v>-</v>
      </c>
      <c r="AY369" s="345" t="str">
        <f>+IF(BD_MO[[#This Row],[DESMONTE (U-35)]]&lt;&gt;"",BD_MO[[#This Row],[DESMONTE (U-35)]]*1.23,"-")</f>
        <v>-</v>
      </c>
      <c r="AZ369" s="345"/>
      <c r="BA369" s="345"/>
      <c r="BB369" s="345"/>
      <c r="BC369" s="345"/>
      <c r="BD369" s="345"/>
      <c r="BE369" s="345"/>
      <c r="BF369" s="345"/>
      <c r="BG369" s="345"/>
      <c r="BH369" s="345"/>
      <c r="BI369" s="345"/>
      <c r="BJ369" s="345"/>
      <c r="BK369" s="345"/>
      <c r="BL369" s="345"/>
      <c r="BM369" s="345"/>
      <c r="BN369" s="344"/>
      <c r="BO369" s="345"/>
      <c r="BP369" s="345"/>
      <c r="BQ369" s="344"/>
      <c r="BR369" s="345"/>
      <c r="BS369" s="344"/>
      <c r="BT369" s="348"/>
      <c r="BU369" s="345"/>
      <c r="BV369" s="345"/>
      <c r="BW369" s="345"/>
      <c r="BX369" s="345"/>
      <c r="BY369" s="345"/>
      <c r="BZ369" s="345"/>
      <c r="CA369" s="345"/>
      <c r="CB369" s="345"/>
      <c r="CC369" s="345"/>
      <c r="CD369" s="345"/>
      <c r="CE369" s="345"/>
      <c r="CF369" s="345"/>
      <c r="CG369" s="345"/>
      <c r="CH369" s="345"/>
      <c r="CI369" s="345"/>
      <c r="CJ369" s="345"/>
      <c r="CK369" s="345"/>
      <c r="CL369" s="345"/>
      <c r="CM369" s="345"/>
      <c r="CN369" s="345"/>
      <c r="CO369" s="345"/>
      <c r="CP369" s="348">
        <f>+IF(BD_MO[[#This Row],[FECHA]]&lt;&gt;"",BD_MO[[#This Row],[PUNTAL 4"]]+BD_MO[[#This Row],[PUNTAL 5"]]+BD_MO[[#This Row],[PUNTAL 6"]]+BD_MO[[#This Row],[PUNTAL 7"]]+BD_MO[[#This Row],[PUNTAL 8"]],"")</f>
        <v>0</v>
      </c>
      <c r="CQ369" s="345"/>
      <c r="CR369" s="345"/>
      <c r="CS369" s="345"/>
      <c r="CT369" s="345"/>
      <c r="CU369" s="345"/>
      <c r="CV369" s="345"/>
      <c r="CW369" s="345"/>
      <c r="CX369" s="345"/>
      <c r="CY369" s="348"/>
      <c r="CZ369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69" s="348">
        <f>+IF(BD_MO[[#This Row],[FECHA]]&lt;&gt;"",BD_MO[[#This Row],[DURMIENTE2]]*6.561+BD_MO[[#This Row],[LISTONES]]*4.921+BD_MO[[#This Row],[TABLA 1"x8"x3m]]*6.561+BD_MO[[#This Row],[TABLA 2"x8"x3m]]*13.122,"")</f>
        <v>0</v>
      </c>
      <c r="DB369" s="348">
        <f>+IF(BD_MO[[#This Row],[FECHA]]&lt;&gt;"",BD_MO[[#This Row],[PIE2 MADERA ASERRADA]]*1.95,"")</f>
        <v>0</v>
      </c>
      <c r="DC369" s="348">
        <f>+IF(BD_MO[[#This Row],[FECHA]]&lt;&gt;"",BD_MO[[#This Row],[KG. MADERA REDONDA]]+BD_MO[[#This Row],[KG MADERA ASERRADA]],"")</f>
        <v>0</v>
      </c>
      <c r="DD369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69" s="345"/>
      <c r="DF369" s="345"/>
      <c r="DG369" s="345" t="s">
        <v>12238</v>
      </c>
      <c r="DH369" s="345">
        <v>8</v>
      </c>
      <c r="DI369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69" s="351"/>
      <c r="DK369" s="351"/>
      <c r="DL369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69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69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69" s="367"/>
      <c r="DP369" s="351" t="str">
        <f>+IF(BD_MO[[#This Row],[M o D]]&lt;&gt;"",IF(BD_MO[[#This Row],[M o D]]="M",BD_MO[[#This Row],[ROTURA TMH]]/2.65,BD_MO[[#This Row],[ROTURA TMH]]/2.4),"")</f>
        <v/>
      </c>
      <c r="DQ369" s="351"/>
      <c r="DR369" s="116" t="str">
        <f>IF(BD_MO[[#This Row],[TIPO AVANCE]]="Avance",((BD_MO[[#This Row],[AVANCE (m)]]/BD_MO[[#This Row],[AVANCE TEÓRICO]]))," ")</f>
        <v xml:space="preserve"> </v>
      </c>
      <c r="DS369" s="134"/>
      <c r="DT369" s="134"/>
      <c r="DU369" s="134"/>
      <c r="DV369" s="134"/>
      <c r="DW369" s="134"/>
      <c r="DX369" s="135"/>
      <c r="DY369" s="135"/>
      <c r="DZ369" s="135"/>
    </row>
    <row r="370" spans="1:130" s="136" customFormat="1" ht="18" customHeight="1" x14ac:dyDescent="0.25">
      <c r="A370" s="328">
        <v>44672</v>
      </c>
      <c r="B370" s="329" t="s">
        <v>10655</v>
      </c>
      <c r="C370" s="329" t="s">
        <v>10672</v>
      </c>
      <c r="D370" s="94" t="s">
        <v>10952</v>
      </c>
      <c r="E370" s="344" t="str">
        <f>LEFT(BD_MO[[#This Row],[LABOR]],2)</f>
        <v>In</v>
      </c>
      <c r="F370" s="345"/>
      <c r="G370" s="345" t="s">
        <v>10669</v>
      </c>
      <c r="H370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70" s="344" t="str">
        <f>IF(BD_MO[FECHA]&lt;&gt;"",VLOOKUP(BD_MO[LABOR],TB_CECO[[LABOR]:[CECO_T]],3,FALSE),"")</f>
        <v>VANESSA</v>
      </c>
      <c r="J370" s="344" t="str">
        <f>IF(BD_MO[FECHA]&lt;&gt;"",VLOOKUP(BD_MO[LABOR],D_CECO!B:H,7,FALSE),"")</f>
        <v>LINEAL</v>
      </c>
      <c r="K370" s="344" t="str">
        <f>IF(BD_MO[FECHA]&lt;&gt;"",VLOOKUP(BD_MO[LABOR],D_CECO!B:H,4,FALSE),"")</f>
        <v>EXPLORACION</v>
      </c>
      <c r="L370" s="344"/>
      <c r="M370" s="329"/>
      <c r="N370" s="345"/>
      <c r="O370" s="333" t="s">
        <v>12198</v>
      </c>
      <c r="P370" s="333" t="s">
        <v>12234</v>
      </c>
      <c r="Q370" s="333"/>
      <c r="R370" s="346"/>
      <c r="S370" s="347" t="str">
        <f>IFERROR(VLOOKUP(BD_MO[DNI 4],#REF!,2,FALSE)," ")</f>
        <v xml:space="preserve"> </v>
      </c>
      <c r="T370" s="348">
        <f>+IF(BD_MO[[#This Row],[FECHA]]&lt;&gt;"",COUNTA(BD_MO[[#This Row],[DNI]],BD_MO[[#This Row],[DNI 2]],BD_MO[[#This Row],[DNI 3]],BD_MO[[#This Row],[DNI 4]]),"")</f>
        <v>2</v>
      </c>
      <c r="U370" s="348"/>
      <c r="V370" s="348"/>
      <c r="W370" s="348"/>
      <c r="X370" s="348">
        <v>2</v>
      </c>
      <c r="Y370" s="337">
        <f>SUM(BD_MO[[#This Row],[LIMP]:[SERV]])</f>
        <v>2</v>
      </c>
      <c r="Z370" s="345"/>
      <c r="AA370" s="345" t="str">
        <f>+IF(BD_MO[[#This Row],[N° VALE]]&lt;&gt;"",1,"")</f>
        <v/>
      </c>
      <c r="AB370" s="329"/>
      <c r="AC370" s="345"/>
      <c r="AD370" s="345" t="str">
        <f>+IF(BD_MO[[#This Row],[N° VALE]]&lt;&gt;"",BD_MO[[#This Row],[FULMINANTE N° 08]]+BD_MO[CARMEX 7''],"")</f>
        <v/>
      </c>
      <c r="AE370" s="345"/>
      <c r="AF370" s="345" t="str">
        <f>+IF(BD_MO[[#This Row],[N° VALE]]&lt;&gt;"",BD_MO[[#This Row],[N° TALADROS]]+BD_MO[[#This Row],[N° TAL. VACIOS]],"")</f>
        <v/>
      </c>
      <c r="AG370" s="349"/>
      <c r="AH370" s="349"/>
      <c r="AI370" s="349"/>
      <c r="AJ370" s="349"/>
      <c r="AK370" s="349"/>
      <c r="AL370" s="349"/>
      <c r="AM370" s="344"/>
      <c r="AN370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70" s="345" t="str">
        <f>+IF(BD_MO[[#This Row],[N° VALE]]&lt;&gt;"",IF(BD_MO[[#This Row],[FULMINANTE N° 08]]&lt;&gt;"",BD_MO[[#This Row],[FULMINANTE N° 08]],IF(BD_MO[[#This Row],[CARMEX 7'']]&lt;&gt;0,0,"")),"")</f>
        <v/>
      </c>
      <c r="AP370" s="348" t="str">
        <f>+IF(BD_MO[[#This Row],[N° VALE]]&lt;&gt;"",BD_MO[[#This Row],[N°  TOTAL TALADROS]]*BD_MO[[#This Row],[BARRA]]*0.95,"")</f>
        <v/>
      </c>
      <c r="AQ370" s="348" t="str">
        <f>+IF(BD_MO[[#This Row],[N° VALE]]&lt;&gt;"",BD_MO[[#This Row],[EMULNOR 1000 (N° CART.)]]*PE_EMUL_1000[PE],"")</f>
        <v/>
      </c>
      <c r="AR370" s="348" t="str">
        <f>+IF(BD_MO[[#This Row],[N° VALE]]&lt;&gt;"",BD_MO[[#This Row],[EMULNOR 3000 (N° CART.)]]*PE_EMUL_3000[PE],"")</f>
        <v/>
      </c>
      <c r="AS370" s="348" t="str">
        <f>+IF(BD_MO[[#This Row],[N° VALE]]&lt;&gt;"",BD_MO[[#This Row],[PULVERULENTA (N° CART.)]]*PE_PULV_65[PE],"")</f>
        <v/>
      </c>
      <c r="AT370" s="348" t="str">
        <f>+IF(BD_MO[[#This Row],[N° DISP]]&lt;&gt;"",BD_MO[[#This Row],[SEMIGELATINA (N° CART.)]]*PE_SEMIGEL_65[PE],"")</f>
        <v/>
      </c>
      <c r="AU370" s="348" t="str">
        <f>+IF(BD_MO[N° VALE]&lt;&gt;"",BD_MO[[#This Row],[KG EXPLO SEMIGEL]]+BD_MO[[#This Row],[KG EXPLO PULVE]]+BD_MO[[#This Row],[KG EXPLO EMULN 3000]]+BD_MO[[#This Row],[KG EXPLO EMULN 1000]],"")</f>
        <v/>
      </c>
      <c r="AV370" s="345"/>
      <c r="AW370" s="345"/>
      <c r="AX370" s="345" t="str">
        <f>+IF(BD_MO[[#This Row],[MINERAL (U-35)]]&lt;&gt;"",BD_MO[[#This Row],[MINERAL (U-35)]]*1.45,"-")</f>
        <v>-</v>
      </c>
      <c r="AY370" s="345" t="str">
        <f>+IF(BD_MO[[#This Row],[DESMONTE (U-35)]]&lt;&gt;"",BD_MO[[#This Row],[DESMONTE (U-35)]]*1.23,"-")</f>
        <v>-</v>
      </c>
      <c r="AZ370" s="345"/>
      <c r="BA370" s="345"/>
      <c r="BB370" s="345"/>
      <c r="BC370" s="345"/>
      <c r="BD370" s="345"/>
      <c r="BE370" s="345"/>
      <c r="BF370" s="345"/>
      <c r="BG370" s="345"/>
      <c r="BH370" s="345"/>
      <c r="BI370" s="345"/>
      <c r="BJ370" s="345"/>
      <c r="BK370" s="345"/>
      <c r="BL370" s="345"/>
      <c r="BM370" s="345"/>
      <c r="BN370" s="344"/>
      <c r="BO370" s="345"/>
      <c r="BP370" s="345"/>
      <c r="BQ370" s="344"/>
      <c r="BR370" s="345"/>
      <c r="BS370" s="344"/>
      <c r="BT370" s="348"/>
      <c r="BU370" s="345"/>
      <c r="BV370" s="345"/>
      <c r="BW370" s="345"/>
      <c r="BX370" s="345"/>
      <c r="BY370" s="345"/>
      <c r="BZ370" s="345"/>
      <c r="CA370" s="345"/>
      <c r="CB370" s="345"/>
      <c r="CC370" s="345"/>
      <c r="CD370" s="345"/>
      <c r="CE370" s="345"/>
      <c r="CF370" s="345"/>
      <c r="CG370" s="345"/>
      <c r="CH370" s="345"/>
      <c r="CI370" s="345"/>
      <c r="CJ370" s="345"/>
      <c r="CK370" s="345"/>
      <c r="CL370" s="345"/>
      <c r="CM370" s="345"/>
      <c r="CN370" s="345"/>
      <c r="CO370" s="345"/>
      <c r="CP370" s="348">
        <f>+IF(BD_MO[[#This Row],[FECHA]]&lt;&gt;"",BD_MO[[#This Row],[PUNTAL 4"]]+BD_MO[[#This Row],[PUNTAL 5"]]+BD_MO[[#This Row],[PUNTAL 6"]]+BD_MO[[#This Row],[PUNTAL 7"]]+BD_MO[[#This Row],[PUNTAL 8"]],"")</f>
        <v>0</v>
      </c>
      <c r="CQ370" s="345"/>
      <c r="CR370" s="345"/>
      <c r="CS370" s="345"/>
      <c r="CT370" s="345"/>
      <c r="CU370" s="345"/>
      <c r="CV370" s="345"/>
      <c r="CW370" s="345"/>
      <c r="CX370" s="345"/>
      <c r="CY370" s="348"/>
      <c r="CZ370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70" s="348">
        <f>+IF(BD_MO[[#This Row],[FECHA]]&lt;&gt;"",BD_MO[[#This Row],[DURMIENTE2]]*6.561+BD_MO[[#This Row],[LISTONES]]*4.921+BD_MO[[#This Row],[TABLA 1"x8"x3m]]*6.561+BD_MO[[#This Row],[TABLA 2"x8"x3m]]*13.122,"")</f>
        <v>0</v>
      </c>
      <c r="DB370" s="348">
        <f>+IF(BD_MO[[#This Row],[FECHA]]&lt;&gt;"",BD_MO[[#This Row],[PIE2 MADERA ASERRADA]]*1.95,"")</f>
        <v>0</v>
      </c>
      <c r="DC370" s="348">
        <f>+IF(BD_MO[[#This Row],[FECHA]]&lt;&gt;"",BD_MO[[#This Row],[KG. MADERA REDONDA]]+BD_MO[[#This Row],[KG MADERA ASERRADA]],"")</f>
        <v>0</v>
      </c>
      <c r="DD370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70" s="345"/>
      <c r="DF370" s="345"/>
      <c r="DG370" s="345" t="s">
        <v>12239</v>
      </c>
      <c r="DH370" s="345">
        <v>8</v>
      </c>
      <c r="DI370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70" s="351"/>
      <c r="DK370" s="351"/>
      <c r="DL370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70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70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70" s="367"/>
      <c r="DP370" s="351" t="str">
        <f>+IF(BD_MO[[#This Row],[M o D]]&lt;&gt;"",IF(BD_MO[[#This Row],[M o D]]="M",BD_MO[[#This Row],[ROTURA TMH]]/2.65,BD_MO[[#This Row],[ROTURA TMH]]/2.4),"")</f>
        <v/>
      </c>
      <c r="DQ370" s="351"/>
      <c r="DR370" s="116" t="str">
        <f>IF(BD_MO[[#This Row],[TIPO AVANCE]]="Avance",((BD_MO[[#This Row],[AVANCE (m)]]/BD_MO[[#This Row],[AVANCE TEÓRICO]]))," ")</f>
        <v xml:space="preserve"> </v>
      </c>
      <c r="DS370" s="134"/>
      <c r="DT370" s="134"/>
      <c r="DU370" s="134"/>
      <c r="DV370" s="134"/>
      <c r="DW370" s="134"/>
      <c r="DX370" s="135"/>
      <c r="DY370" s="135"/>
      <c r="DZ370" s="135"/>
    </row>
    <row r="371" spans="1:130" s="136" customFormat="1" ht="18" customHeight="1" x14ac:dyDescent="0.25">
      <c r="A371" s="328">
        <v>44672</v>
      </c>
      <c r="B371" s="329" t="s">
        <v>10655</v>
      </c>
      <c r="C371" s="329" t="s">
        <v>10672</v>
      </c>
      <c r="D371" s="343" t="s">
        <v>10954</v>
      </c>
      <c r="E371" s="344" t="str">
        <f>LEFT(BD_MO[[#This Row],[LABOR]],2)</f>
        <v>MO</v>
      </c>
      <c r="F371" s="345"/>
      <c r="G371" s="345" t="s">
        <v>10669</v>
      </c>
      <c r="H371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71" s="344" t="str">
        <f>IF(BD_MO[FECHA]&lt;&gt;"",VLOOKUP(BD_MO[LABOR],TB_CECO[[LABOR]:[CECO_T]],3,FALSE),"")</f>
        <v>INCA</v>
      </c>
      <c r="J371" s="344" t="str">
        <f>IF(BD_MO[FECHA]&lt;&gt;"",VLOOKUP(BD_MO[LABOR],D_CECO!B:H,7,FALSE),"")</f>
        <v>SERVICIOS</v>
      </c>
      <c r="K371" s="344" t="str">
        <f>IF(BD_MO[FECHA]&lt;&gt;"",VLOOKUP(BD_MO[LABOR],D_CECO!B:H,4,FALSE),"")</f>
        <v>SERVICIOS</v>
      </c>
      <c r="L371" s="344"/>
      <c r="M371" s="329"/>
      <c r="N371" s="345"/>
      <c r="O371" s="333" t="s">
        <v>12345</v>
      </c>
      <c r="P371" s="333" t="s">
        <v>12209</v>
      </c>
      <c r="Q371" s="333"/>
      <c r="R371" s="346"/>
      <c r="S371" s="347" t="str">
        <f>IFERROR(VLOOKUP(BD_MO[DNI 4],#REF!,2,FALSE)," ")</f>
        <v xml:space="preserve"> </v>
      </c>
      <c r="T371" s="348">
        <f>+IF(BD_MO[[#This Row],[FECHA]]&lt;&gt;"",COUNTA(BD_MO[[#This Row],[DNI]],BD_MO[[#This Row],[DNI 2]],BD_MO[[#This Row],[DNI 3]],BD_MO[[#This Row],[DNI 4]]),"")</f>
        <v>2</v>
      </c>
      <c r="U371" s="348"/>
      <c r="V371" s="348"/>
      <c r="W371" s="348"/>
      <c r="X371" s="348">
        <v>2</v>
      </c>
      <c r="Y371" s="337">
        <f>SUM(BD_MO[[#This Row],[LIMP]:[SERV]])</f>
        <v>2</v>
      </c>
      <c r="Z371" s="345"/>
      <c r="AA371" s="345" t="str">
        <f>+IF(BD_MO[[#This Row],[N° VALE]]&lt;&gt;"",1,"")</f>
        <v/>
      </c>
      <c r="AB371" s="329"/>
      <c r="AC371" s="345"/>
      <c r="AD371" s="345" t="str">
        <f>+IF(BD_MO[[#This Row],[N° VALE]]&lt;&gt;"",BD_MO[[#This Row],[FULMINANTE N° 08]]+BD_MO[CARMEX 7''],"")</f>
        <v/>
      </c>
      <c r="AE371" s="345"/>
      <c r="AF371" s="345" t="str">
        <f>+IF(BD_MO[[#This Row],[N° VALE]]&lt;&gt;"",BD_MO[[#This Row],[N° TALADROS]]+BD_MO[[#This Row],[N° TAL. VACIOS]],"")</f>
        <v/>
      </c>
      <c r="AG371" s="349"/>
      <c r="AH371" s="349"/>
      <c r="AI371" s="349"/>
      <c r="AJ371" s="349"/>
      <c r="AK371" s="349"/>
      <c r="AL371" s="349"/>
      <c r="AM371" s="344"/>
      <c r="AN371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71" s="345" t="str">
        <f>+IF(BD_MO[[#This Row],[N° VALE]]&lt;&gt;"",IF(BD_MO[[#This Row],[FULMINANTE N° 08]]&lt;&gt;"",BD_MO[[#This Row],[FULMINANTE N° 08]],IF(BD_MO[[#This Row],[CARMEX 7'']]&lt;&gt;0,0,"")),"")</f>
        <v/>
      </c>
      <c r="AP371" s="348" t="str">
        <f>+IF(BD_MO[[#This Row],[N° VALE]]&lt;&gt;"",BD_MO[[#This Row],[N°  TOTAL TALADROS]]*BD_MO[[#This Row],[BARRA]]*0.95,"")</f>
        <v/>
      </c>
      <c r="AQ371" s="348" t="str">
        <f>+IF(BD_MO[[#This Row],[N° VALE]]&lt;&gt;"",BD_MO[[#This Row],[EMULNOR 1000 (N° CART.)]]*PE_EMUL_1000[PE],"")</f>
        <v/>
      </c>
      <c r="AR371" s="348" t="str">
        <f>+IF(BD_MO[[#This Row],[N° VALE]]&lt;&gt;"",BD_MO[[#This Row],[EMULNOR 3000 (N° CART.)]]*PE_EMUL_3000[PE],"")</f>
        <v/>
      </c>
      <c r="AS371" s="348" t="str">
        <f>+IF(BD_MO[[#This Row],[N° VALE]]&lt;&gt;"",BD_MO[[#This Row],[PULVERULENTA (N° CART.)]]*PE_PULV_65[PE],"")</f>
        <v/>
      </c>
      <c r="AT371" s="348" t="str">
        <f>+IF(BD_MO[[#This Row],[N° DISP]]&lt;&gt;"",BD_MO[[#This Row],[SEMIGELATINA (N° CART.)]]*PE_SEMIGEL_65[PE],"")</f>
        <v/>
      </c>
      <c r="AU371" s="348" t="str">
        <f>+IF(BD_MO[N° VALE]&lt;&gt;"",BD_MO[[#This Row],[KG EXPLO SEMIGEL]]+BD_MO[[#This Row],[KG EXPLO PULVE]]+BD_MO[[#This Row],[KG EXPLO EMULN 3000]]+BD_MO[[#This Row],[KG EXPLO EMULN 1000]],"")</f>
        <v/>
      </c>
      <c r="AV371" s="345"/>
      <c r="AW371" s="345"/>
      <c r="AX371" s="345" t="str">
        <f>+IF(BD_MO[[#This Row],[MINERAL (U-35)]]&lt;&gt;"",BD_MO[[#This Row],[MINERAL (U-35)]]*1.45,"-")</f>
        <v>-</v>
      </c>
      <c r="AY371" s="345" t="str">
        <f>+IF(BD_MO[[#This Row],[DESMONTE (U-35)]]&lt;&gt;"",BD_MO[[#This Row],[DESMONTE (U-35)]]*1.23,"-")</f>
        <v>-</v>
      </c>
      <c r="AZ371" s="345"/>
      <c r="BA371" s="345"/>
      <c r="BB371" s="345"/>
      <c r="BC371" s="345"/>
      <c r="BD371" s="345"/>
      <c r="BE371" s="345"/>
      <c r="BF371" s="345"/>
      <c r="BG371" s="345"/>
      <c r="BH371" s="345"/>
      <c r="BI371" s="345"/>
      <c r="BJ371" s="345"/>
      <c r="BK371" s="345"/>
      <c r="BL371" s="345"/>
      <c r="BM371" s="345"/>
      <c r="BN371" s="344"/>
      <c r="BO371" s="345"/>
      <c r="BP371" s="345"/>
      <c r="BQ371" s="344"/>
      <c r="BR371" s="345"/>
      <c r="BS371" s="344"/>
      <c r="BT371" s="348"/>
      <c r="BU371" s="345"/>
      <c r="BV371" s="345"/>
      <c r="BW371" s="345"/>
      <c r="BX371" s="345"/>
      <c r="BY371" s="345"/>
      <c r="BZ371" s="345"/>
      <c r="CA371" s="345"/>
      <c r="CB371" s="345"/>
      <c r="CC371" s="345"/>
      <c r="CD371" s="345"/>
      <c r="CE371" s="345"/>
      <c r="CF371" s="345"/>
      <c r="CG371" s="345"/>
      <c r="CH371" s="345"/>
      <c r="CI371" s="345"/>
      <c r="CJ371" s="345"/>
      <c r="CK371" s="345"/>
      <c r="CL371" s="345"/>
      <c r="CM371" s="345"/>
      <c r="CN371" s="345"/>
      <c r="CO371" s="345"/>
      <c r="CP371" s="348">
        <f>+IF(BD_MO[[#This Row],[FECHA]]&lt;&gt;"",BD_MO[[#This Row],[PUNTAL 4"]]+BD_MO[[#This Row],[PUNTAL 5"]]+BD_MO[[#This Row],[PUNTAL 6"]]+BD_MO[[#This Row],[PUNTAL 7"]]+BD_MO[[#This Row],[PUNTAL 8"]],"")</f>
        <v>0</v>
      </c>
      <c r="CQ371" s="345"/>
      <c r="CR371" s="345"/>
      <c r="CS371" s="345"/>
      <c r="CT371" s="345"/>
      <c r="CU371" s="345"/>
      <c r="CV371" s="345"/>
      <c r="CW371" s="345"/>
      <c r="CX371" s="345"/>
      <c r="CY371" s="348"/>
      <c r="CZ371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71" s="348">
        <f>+IF(BD_MO[[#This Row],[FECHA]]&lt;&gt;"",BD_MO[[#This Row],[DURMIENTE2]]*6.561+BD_MO[[#This Row],[LISTONES]]*4.921+BD_MO[[#This Row],[TABLA 1"x8"x3m]]*6.561+BD_MO[[#This Row],[TABLA 2"x8"x3m]]*13.122,"")</f>
        <v>0</v>
      </c>
      <c r="DB371" s="348">
        <f>+IF(BD_MO[[#This Row],[FECHA]]&lt;&gt;"",BD_MO[[#This Row],[PIE2 MADERA ASERRADA]]*1.95,"")</f>
        <v>0</v>
      </c>
      <c r="DC371" s="348">
        <f>+IF(BD_MO[[#This Row],[FECHA]]&lt;&gt;"",BD_MO[[#This Row],[KG. MADERA REDONDA]]+BD_MO[[#This Row],[KG MADERA ASERRADA]],"")</f>
        <v>0</v>
      </c>
      <c r="DD371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71" s="345"/>
      <c r="DF371" s="345"/>
      <c r="DG371" s="345"/>
      <c r="DH371" s="345"/>
      <c r="DI371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71" s="351"/>
      <c r="DK371" s="351"/>
      <c r="DL371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71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71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71" s="367"/>
      <c r="DP371" s="351" t="str">
        <f>+IF(BD_MO[[#This Row],[M o D]]&lt;&gt;"",IF(BD_MO[[#This Row],[M o D]]="M",BD_MO[[#This Row],[ROTURA TMH]]/2.65,BD_MO[[#This Row],[ROTURA TMH]]/2.4),"")</f>
        <v/>
      </c>
      <c r="DQ371" s="351"/>
      <c r="DR371" s="116" t="str">
        <f>IF(BD_MO[[#This Row],[TIPO AVANCE]]="Avance",((BD_MO[[#This Row],[AVANCE (m)]]/BD_MO[[#This Row],[AVANCE TEÓRICO]]))," ")</f>
        <v xml:space="preserve"> </v>
      </c>
      <c r="DS371" s="134"/>
      <c r="DT371" s="134"/>
      <c r="DU371" s="134"/>
      <c r="DV371" s="134"/>
      <c r="DW371" s="134"/>
      <c r="DX371" s="135"/>
      <c r="DY371" s="135"/>
      <c r="DZ371" s="135"/>
    </row>
    <row r="372" spans="1:130" s="136" customFormat="1" ht="18" customHeight="1" x14ac:dyDescent="0.25">
      <c r="A372" s="328">
        <v>44672</v>
      </c>
      <c r="B372" s="329" t="s">
        <v>10655</v>
      </c>
      <c r="C372" s="329" t="s">
        <v>10672</v>
      </c>
      <c r="D372" s="343" t="s">
        <v>10717</v>
      </c>
      <c r="E372" s="344" t="str">
        <f>LEFT(BD_MO[[#This Row],[LABOR]],2)</f>
        <v>BO</v>
      </c>
      <c r="F372" s="345"/>
      <c r="G372" s="345" t="s">
        <v>10669</v>
      </c>
      <c r="H372" s="34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72" s="344" t="str">
        <f>IF(BD_MO[FECHA]&lt;&gt;"",VLOOKUP(BD_MO[LABOR],TB_CECO[[LABOR]:[CECO_T]],3,FALSE),"")</f>
        <v>CACHORRO</v>
      </c>
      <c r="J372" s="344" t="str">
        <f>IF(BD_MO[FECHA]&lt;&gt;"",VLOOKUP(BD_MO[LABOR],D_CECO!B:H,7,FALSE),"")</f>
        <v>SERVICIOS</v>
      </c>
      <c r="K372" s="344" t="str">
        <f>IF(BD_MO[FECHA]&lt;&gt;"",VLOOKUP(BD_MO[LABOR],D_CECO!B:H,4,FALSE),"")</f>
        <v>SERVICIOS</v>
      </c>
      <c r="L372" s="344"/>
      <c r="M372" s="329"/>
      <c r="N372" s="345"/>
      <c r="O372" s="333" t="s">
        <v>12196</v>
      </c>
      <c r="P372" s="333"/>
      <c r="Q372" s="333"/>
      <c r="R372" s="346"/>
      <c r="S372" s="347" t="str">
        <f>IFERROR(VLOOKUP(BD_MO[DNI 4],#REF!,2,FALSE)," ")</f>
        <v xml:space="preserve"> </v>
      </c>
      <c r="T372" s="348">
        <f>+IF(BD_MO[[#This Row],[FECHA]]&lt;&gt;"",COUNTA(BD_MO[[#This Row],[DNI]],BD_MO[[#This Row],[DNI 2]],BD_MO[[#This Row],[DNI 3]],BD_MO[[#This Row],[DNI 4]]),"")</f>
        <v>1</v>
      </c>
      <c r="U372" s="348"/>
      <c r="V372" s="348"/>
      <c r="W372" s="348"/>
      <c r="X372" s="348">
        <v>1</v>
      </c>
      <c r="Y372" s="337">
        <f>SUM(BD_MO[[#This Row],[LIMP]:[SERV]])</f>
        <v>1</v>
      </c>
      <c r="Z372" s="345"/>
      <c r="AA372" s="345" t="str">
        <f>+IF(BD_MO[[#This Row],[N° VALE]]&lt;&gt;"",1,"")</f>
        <v/>
      </c>
      <c r="AB372" s="329"/>
      <c r="AC372" s="345"/>
      <c r="AD372" s="345" t="str">
        <f>+IF(BD_MO[[#This Row],[N° VALE]]&lt;&gt;"",BD_MO[[#This Row],[FULMINANTE N° 08]]+BD_MO[CARMEX 7''],"")</f>
        <v/>
      </c>
      <c r="AE372" s="345"/>
      <c r="AF372" s="345" t="str">
        <f>+IF(BD_MO[[#This Row],[N° VALE]]&lt;&gt;"",BD_MO[[#This Row],[N° TALADROS]]+BD_MO[[#This Row],[N° TAL. VACIOS]],"")</f>
        <v/>
      </c>
      <c r="AG372" s="349"/>
      <c r="AH372" s="349"/>
      <c r="AI372" s="349"/>
      <c r="AJ372" s="349"/>
      <c r="AK372" s="349"/>
      <c r="AL372" s="349"/>
      <c r="AM372" s="344"/>
      <c r="AN372" s="345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72" s="345" t="str">
        <f>+IF(BD_MO[[#This Row],[N° VALE]]&lt;&gt;"",IF(BD_MO[[#This Row],[FULMINANTE N° 08]]&lt;&gt;"",BD_MO[[#This Row],[FULMINANTE N° 08]],IF(BD_MO[[#This Row],[CARMEX 7'']]&lt;&gt;0,0,"")),"")</f>
        <v/>
      </c>
      <c r="AP372" s="348" t="str">
        <f>+IF(BD_MO[[#This Row],[N° VALE]]&lt;&gt;"",BD_MO[[#This Row],[N°  TOTAL TALADROS]]*BD_MO[[#This Row],[BARRA]]*0.95,"")</f>
        <v/>
      </c>
      <c r="AQ372" s="348" t="str">
        <f>+IF(BD_MO[[#This Row],[N° VALE]]&lt;&gt;"",BD_MO[[#This Row],[EMULNOR 1000 (N° CART.)]]*PE_EMUL_1000[PE],"")</f>
        <v/>
      </c>
      <c r="AR372" s="348" t="str">
        <f>+IF(BD_MO[[#This Row],[N° VALE]]&lt;&gt;"",BD_MO[[#This Row],[EMULNOR 3000 (N° CART.)]]*PE_EMUL_3000[PE],"")</f>
        <v/>
      </c>
      <c r="AS372" s="348" t="str">
        <f>+IF(BD_MO[[#This Row],[N° VALE]]&lt;&gt;"",BD_MO[[#This Row],[PULVERULENTA (N° CART.)]]*PE_PULV_65[PE],"")</f>
        <v/>
      </c>
      <c r="AT372" s="348" t="str">
        <f>+IF(BD_MO[[#This Row],[N° DISP]]&lt;&gt;"",BD_MO[[#This Row],[SEMIGELATINA (N° CART.)]]*PE_SEMIGEL_65[PE],"")</f>
        <v/>
      </c>
      <c r="AU372" s="348" t="str">
        <f>+IF(BD_MO[N° VALE]&lt;&gt;"",BD_MO[[#This Row],[KG EXPLO SEMIGEL]]+BD_MO[[#This Row],[KG EXPLO PULVE]]+BD_MO[[#This Row],[KG EXPLO EMULN 3000]]+BD_MO[[#This Row],[KG EXPLO EMULN 1000]],"")</f>
        <v/>
      </c>
      <c r="AV372" s="345"/>
      <c r="AW372" s="345"/>
      <c r="AX372" s="345" t="str">
        <f>+IF(BD_MO[[#This Row],[MINERAL (U-35)]]&lt;&gt;"",BD_MO[[#This Row],[MINERAL (U-35)]]*1.45,"-")</f>
        <v>-</v>
      </c>
      <c r="AY372" s="345" t="str">
        <f>+IF(BD_MO[[#This Row],[DESMONTE (U-35)]]&lt;&gt;"",BD_MO[[#This Row],[DESMONTE (U-35)]]*1.23,"-")</f>
        <v>-</v>
      </c>
      <c r="AZ372" s="345"/>
      <c r="BA372" s="345"/>
      <c r="BB372" s="345"/>
      <c r="BC372" s="345"/>
      <c r="BD372" s="345"/>
      <c r="BE372" s="345"/>
      <c r="BF372" s="345"/>
      <c r="BG372" s="345"/>
      <c r="BH372" s="345"/>
      <c r="BI372" s="345"/>
      <c r="BJ372" s="345"/>
      <c r="BK372" s="345"/>
      <c r="BL372" s="345"/>
      <c r="BM372" s="345"/>
      <c r="BN372" s="344"/>
      <c r="BO372" s="345"/>
      <c r="BP372" s="345"/>
      <c r="BQ372" s="344"/>
      <c r="BR372" s="345"/>
      <c r="BS372" s="344"/>
      <c r="BT372" s="348"/>
      <c r="BU372" s="345"/>
      <c r="BV372" s="345"/>
      <c r="BW372" s="345"/>
      <c r="BX372" s="345"/>
      <c r="BY372" s="345"/>
      <c r="BZ372" s="345"/>
      <c r="CA372" s="345"/>
      <c r="CB372" s="345"/>
      <c r="CC372" s="345"/>
      <c r="CD372" s="345"/>
      <c r="CE372" s="345"/>
      <c r="CF372" s="345"/>
      <c r="CG372" s="345"/>
      <c r="CH372" s="345"/>
      <c r="CI372" s="345"/>
      <c r="CJ372" s="345"/>
      <c r="CK372" s="345"/>
      <c r="CL372" s="345"/>
      <c r="CM372" s="345"/>
      <c r="CN372" s="345"/>
      <c r="CO372" s="345"/>
      <c r="CP372" s="348">
        <f>+IF(BD_MO[[#This Row],[FECHA]]&lt;&gt;"",BD_MO[[#This Row],[PUNTAL 4"]]+BD_MO[[#This Row],[PUNTAL 5"]]+BD_MO[[#This Row],[PUNTAL 6"]]+BD_MO[[#This Row],[PUNTAL 7"]]+BD_MO[[#This Row],[PUNTAL 8"]],"")</f>
        <v>0</v>
      </c>
      <c r="CQ372" s="345"/>
      <c r="CR372" s="345"/>
      <c r="CS372" s="345"/>
      <c r="CT372" s="345"/>
      <c r="CU372" s="345"/>
      <c r="CV372" s="345"/>
      <c r="CW372" s="345"/>
      <c r="CX372" s="345"/>
      <c r="CY372" s="348"/>
      <c r="CZ372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72" s="348">
        <f>+IF(BD_MO[[#This Row],[FECHA]]&lt;&gt;"",BD_MO[[#This Row],[DURMIENTE2]]*6.561+BD_MO[[#This Row],[LISTONES]]*4.921+BD_MO[[#This Row],[TABLA 1"x8"x3m]]*6.561+BD_MO[[#This Row],[TABLA 2"x8"x3m]]*13.122,"")</f>
        <v>0</v>
      </c>
      <c r="DB372" s="348">
        <f>+IF(BD_MO[[#This Row],[FECHA]]&lt;&gt;"",BD_MO[[#This Row],[PIE2 MADERA ASERRADA]]*1.95,"")</f>
        <v>0</v>
      </c>
      <c r="DC372" s="348">
        <f>+IF(BD_MO[[#This Row],[FECHA]]&lt;&gt;"",BD_MO[[#This Row],[KG. MADERA REDONDA]]+BD_MO[[#This Row],[KG MADERA ASERRADA]],"")</f>
        <v>0</v>
      </c>
      <c r="DD372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72" s="345"/>
      <c r="DF372" s="345"/>
      <c r="DG372" s="345"/>
      <c r="DH372" s="345"/>
      <c r="DI372" s="35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72" s="351"/>
      <c r="DK372" s="351"/>
      <c r="DL372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72" s="35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72" s="35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72" s="367"/>
      <c r="DP372" s="351" t="str">
        <f>+IF(BD_MO[[#This Row],[M o D]]&lt;&gt;"",IF(BD_MO[[#This Row],[M o D]]="M",BD_MO[[#This Row],[ROTURA TMH]]/2.65,BD_MO[[#This Row],[ROTURA TMH]]/2.4),"")</f>
        <v/>
      </c>
      <c r="DQ372" s="351"/>
      <c r="DR372" s="116" t="str">
        <f>IF(BD_MO[[#This Row],[TIPO AVANCE]]="Avance",((BD_MO[[#This Row],[AVANCE (m)]]/BD_MO[[#This Row],[AVANCE TEÓRICO]]))," ")</f>
        <v xml:space="preserve"> </v>
      </c>
      <c r="DS372" s="134"/>
      <c r="DT372" s="134"/>
      <c r="DU372" s="134"/>
      <c r="DV372" s="134"/>
      <c r="DW372" s="134"/>
      <c r="DX372" s="135"/>
      <c r="DY372" s="135"/>
      <c r="DZ372" s="135"/>
    </row>
    <row r="373" spans="1:130" s="112" customFormat="1" ht="18" customHeight="1" thickBot="1" x14ac:dyDescent="0.3">
      <c r="A373" s="369">
        <v>44672</v>
      </c>
      <c r="B373" s="353" t="s">
        <v>10655</v>
      </c>
      <c r="C373" s="353" t="s">
        <v>10672</v>
      </c>
      <c r="D373" s="390" t="s">
        <v>12339</v>
      </c>
      <c r="E373" s="372" t="str">
        <f>LEFT(BD_MO[[#This Row],[LABOR]],2)</f>
        <v>Tj</v>
      </c>
      <c r="F373" s="373"/>
      <c r="G373" s="373" t="s">
        <v>10669</v>
      </c>
      <c r="H373" s="37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73" s="372" t="s">
        <v>12254</v>
      </c>
      <c r="J373" s="372" t="s">
        <v>10502</v>
      </c>
      <c r="K373" s="372" t="s">
        <v>12249</v>
      </c>
      <c r="L373" s="372"/>
      <c r="M373" s="370"/>
      <c r="N373" s="373"/>
      <c r="O373" s="374" t="s">
        <v>12333</v>
      </c>
      <c r="P373" s="374" t="s">
        <v>12201</v>
      </c>
      <c r="Q373" s="374"/>
      <c r="R373" s="375"/>
      <c r="S373" s="376" t="str">
        <f>IFERROR(VLOOKUP(BD_MO[DNI 4],#REF!,2,FALSE)," ")</f>
        <v xml:space="preserve"> </v>
      </c>
      <c r="T373" s="377">
        <f>+IF(BD_MO[[#This Row],[FECHA]]&lt;&gt;"",COUNTA(BD_MO[[#This Row],[DNI]],BD_MO[[#This Row],[DNI 2]],BD_MO[[#This Row],[DNI 3]],BD_MO[[#This Row],[DNI 4]]),"")</f>
        <v>2</v>
      </c>
      <c r="U373" s="377"/>
      <c r="V373" s="377"/>
      <c r="W373" s="377"/>
      <c r="X373" s="377">
        <v>2</v>
      </c>
      <c r="Y373" s="378">
        <f>SUM(BD_MO[[#This Row],[LIMP]:[SERV]])</f>
        <v>2</v>
      </c>
      <c r="Z373" s="373"/>
      <c r="AA373" s="373" t="str">
        <f>+IF(BD_MO[[#This Row],[N° VALE]]&lt;&gt;"",1,"")</f>
        <v/>
      </c>
      <c r="AB373" s="370"/>
      <c r="AC373" s="373"/>
      <c r="AD373" s="373" t="str">
        <f>+IF(BD_MO[[#This Row],[N° VALE]]&lt;&gt;"",BD_MO[[#This Row],[FULMINANTE N° 08]]+BD_MO[CARMEX 7''],"")</f>
        <v/>
      </c>
      <c r="AE373" s="373"/>
      <c r="AF373" s="373" t="str">
        <f>+IF(BD_MO[[#This Row],[N° VALE]]&lt;&gt;"",BD_MO[[#This Row],[N° TALADROS]]+BD_MO[[#This Row],[N° TAL. VACIOS]],"")</f>
        <v/>
      </c>
      <c r="AG373" s="379"/>
      <c r="AH373" s="379"/>
      <c r="AI373" s="379"/>
      <c r="AJ373" s="379"/>
      <c r="AK373" s="379"/>
      <c r="AL373" s="379"/>
      <c r="AM373" s="372"/>
      <c r="AN373" s="373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73" s="373" t="str">
        <f>+IF(BD_MO[[#This Row],[N° VALE]]&lt;&gt;"",IF(BD_MO[[#This Row],[FULMINANTE N° 08]]&lt;&gt;"",BD_MO[[#This Row],[FULMINANTE N° 08]],IF(BD_MO[[#This Row],[CARMEX 7'']]&lt;&gt;0,0,"")),"")</f>
        <v/>
      </c>
      <c r="AP373" s="377" t="str">
        <f>+IF(BD_MO[[#This Row],[N° VALE]]&lt;&gt;"",BD_MO[[#This Row],[N°  TOTAL TALADROS]]*BD_MO[[#This Row],[BARRA]]*0.95,"")</f>
        <v/>
      </c>
      <c r="AQ373" s="377" t="str">
        <f>+IF(BD_MO[[#This Row],[N° VALE]]&lt;&gt;"",BD_MO[[#This Row],[EMULNOR 1000 (N° CART.)]]*PE_EMUL_1000[PE],"")</f>
        <v/>
      </c>
      <c r="AR373" s="377" t="str">
        <f>+IF(BD_MO[[#This Row],[N° VALE]]&lt;&gt;"",BD_MO[[#This Row],[EMULNOR 3000 (N° CART.)]]*PE_EMUL_3000[PE],"")</f>
        <v/>
      </c>
      <c r="AS373" s="377" t="str">
        <f>+IF(BD_MO[[#This Row],[N° VALE]]&lt;&gt;"",BD_MO[[#This Row],[PULVERULENTA (N° CART.)]]*PE_PULV_65[PE],"")</f>
        <v/>
      </c>
      <c r="AT373" s="377" t="str">
        <f>+IF(BD_MO[[#This Row],[N° DISP]]&lt;&gt;"",BD_MO[[#This Row],[SEMIGELATINA (N° CART.)]]*PE_SEMIGEL_65[PE],"")</f>
        <v/>
      </c>
      <c r="AU373" s="377" t="str">
        <f>+IF(BD_MO[N° VALE]&lt;&gt;"",BD_MO[[#This Row],[KG EXPLO SEMIGEL]]+BD_MO[[#This Row],[KG EXPLO PULVE]]+BD_MO[[#This Row],[KG EXPLO EMULN 3000]]+BD_MO[[#This Row],[KG EXPLO EMULN 1000]],"")</f>
        <v/>
      </c>
      <c r="AV373" s="373"/>
      <c r="AW373" s="373"/>
      <c r="AX373" s="373" t="str">
        <f>+IF(BD_MO[[#This Row],[MINERAL (U-35)]]&lt;&gt;"",BD_MO[[#This Row],[MINERAL (U-35)]]*1.45,"-")</f>
        <v>-</v>
      </c>
      <c r="AY373" s="373" t="str">
        <f>+IF(BD_MO[[#This Row],[DESMONTE (U-35)]]&lt;&gt;"",BD_MO[[#This Row],[DESMONTE (U-35)]]*1.23,"-")</f>
        <v>-</v>
      </c>
      <c r="AZ373" s="373"/>
      <c r="BA373" s="373"/>
      <c r="BB373" s="373"/>
      <c r="BC373" s="373"/>
      <c r="BD373" s="373"/>
      <c r="BE373" s="373"/>
      <c r="BF373" s="373"/>
      <c r="BG373" s="373"/>
      <c r="BH373" s="373"/>
      <c r="BI373" s="373"/>
      <c r="BJ373" s="373"/>
      <c r="BK373" s="373"/>
      <c r="BL373" s="373"/>
      <c r="BM373" s="373"/>
      <c r="BN373" s="372"/>
      <c r="BO373" s="373"/>
      <c r="BP373" s="373"/>
      <c r="BQ373" s="372"/>
      <c r="BR373" s="373"/>
      <c r="BS373" s="372"/>
      <c r="BT373" s="377"/>
      <c r="BU373" s="373"/>
      <c r="BV373" s="373"/>
      <c r="BW373" s="373"/>
      <c r="BX373" s="373"/>
      <c r="BY373" s="373"/>
      <c r="BZ373" s="373"/>
      <c r="CA373" s="373"/>
      <c r="CB373" s="373"/>
      <c r="CC373" s="373"/>
      <c r="CD373" s="373"/>
      <c r="CE373" s="373"/>
      <c r="CF373" s="373"/>
      <c r="CG373" s="373"/>
      <c r="CH373" s="373"/>
      <c r="CI373" s="373"/>
      <c r="CJ373" s="373"/>
      <c r="CK373" s="373"/>
      <c r="CL373" s="373"/>
      <c r="CM373" s="373"/>
      <c r="CN373" s="373"/>
      <c r="CO373" s="373"/>
      <c r="CP373" s="377">
        <f>+IF(BD_MO[[#This Row],[FECHA]]&lt;&gt;"",BD_MO[[#This Row],[PUNTAL 4"]]+BD_MO[[#This Row],[PUNTAL 5"]]+BD_MO[[#This Row],[PUNTAL 6"]]+BD_MO[[#This Row],[PUNTAL 7"]]+BD_MO[[#This Row],[PUNTAL 8"]],"")</f>
        <v>0</v>
      </c>
      <c r="CQ373" s="373"/>
      <c r="CR373" s="373"/>
      <c r="CS373" s="373"/>
      <c r="CT373" s="373"/>
      <c r="CU373" s="373"/>
      <c r="CV373" s="373"/>
      <c r="CW373" s="373"/>
      <c r="CX373" s="373"/>
      <c r="CY373" s="377"/>
      <c r="CZ373" s="377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73" s="377">
        <f>+IF(BD_MO[[#This Row],[FECHA]]&lt;&gt;"",BD_MO[[#This Row],[DURMIENTE2]]*6.561+BD_MO[[#This Row],[LISTONES]]*4.921+BD_MO[[#This Row],[TABLA 1"x8"x3m]]*6.561+BD_MO[[#This Row],[TABLA 2"x8"x3m]]*13.122,"")</f>
        <v>0</v>
      </c>
      <c r="DB373" s="377">
        <f>+IF(BD_MO[[#This Row],[FECHA]]&lt;&gt;"",BD_MO[[#This Row],[PIE2 MADERA ASERRADA]]*1.95,"")</f>
        <v>0</v>
      </c>
      <c r="DC373" s="377">
        <f>+IF(BD_MO[[#This Row],[FECHA]]&lt;&gt;"",BD_MO[[#This Row],[KG. MADERA REDONDA]]+BD_MO[[#This Row],[KG MADERA ASERRADA]],"")</f>
        <v>0</v>
      </c>
      <c r="DD373" s="38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73" s="373"/>
      <c r="DF373" s="373"/>
      <c r="DG373" s="373"/>
      <c r="DH373" s="373"/>
      <c r="DI373" s="38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73" s="381"/>
      <c r="DK373" s="381"/>
      <c r="DL373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73" s="38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73" s="38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73" s="382">
        <v>14</v>
      </c>
      <c r="DP373" s="381" t="str">
        <f>+IF(BD_MO[[#This Row],[M o D]]&lt;&gt;"",IF(BD_MO[[#This Row],[M o D]]="M",BD_MO[[#This Row],[ROTURA TMH]]/2.65,BD_MO[[#This Row],[ROTURA TMH]]/2.4),"")</f>
        <v/>
      </c>
      <c r="DQ373" s="381"/>
      <c r="DR373" s="116" t="str">
        <f>IF(BD_MO[[#This Row],[TIPO AVANCE]]="Avance",((BD_MO[[#This Row],[AVANCE (m)]]/BD_MO[[#This Row],[AVANCE TEÓRICO]]))," ")</f>
        <v xml:space="preserve"> </v>
      </c>
      <c r="DS373" s="110"/>
      <c r="DT373" s="110"/>
      <c r="DU373" s="110"/>
      <c r="DV373" s="110"/>
      <c r="DW373" s="110"/>
      <c r="DX373" s="111"/>
      <c r="DY373" s="111"/>
      <c r="DZ373" s="111"/>
    </row>
    <row r="374" spans="1:130" s="136" customFormat="1" ht="18" customHeight="1" x14ac:dyDescent="0.25">
      <c r="A374" s="92">
        <v>44673</v>
      </c>
      <c r="B374" s="40" t="s">
        <v>10647</v>
      </c>
      <c r="C374" s="40" t="s">
        <v>10668</v>
      </c>
      <c r="D374" s="94" t="s">
        <v>11827</v>
      </c>
      <c r="E374" s="383" t="str">
        <f>LEFT(BD_MO[[#This Row],[LABOR]],2)</f>
        <v>Tj</v>
      </c>
      <c r="F374" s="212" t="s">
        <v>10950</v>
      </c>
      <c r="G374" s="212" t="s">
        <v>10648</v>
      </c>
      <c r="H374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74" s="383" t="str">
        <f>IF(BD_MO[FECHA]&lt;&gt;"",VLOOKUP(BD_MO[LABOR],TB_CECO[[LABOR]:[CECO_T]],3,FALSE),"")</f>
        <v>VANESSA</v>
      </c>
      <c r="J374" s="383" t="str">
        <f>IF(BD_MO[FECHA]&lt;&gt;"",VLOOKUP(BD_MO[LABOR],D_CECO!B:H,7,FALSE),"")</f>
        <v>TAJO</v>
      </c>
      <c r="K374" s="383" t="str">
        <f>IF(BD_MO[FECHA]&lt;&gt;"",VLOOKUP(BD_MO[LABOR],D_CECO!B:H,4,FALSE),"")</f>
        <v>EXPLOTACION</v>
      </c>
      <c r="L374" s="383"/>
      <c r="M374" s="40" t="s">
        <v>10661</v>
      </c>
      <c r="N374" s="212"/>
      <c r="O374" s="93" t="s">
        <v>12095</v>
      </c>
      <c r="P374" s="93"/>
      <c r="Q374" s="93"/>
      <c r="R374" s="384"/>
      <c r="S374" s="385" t="str">
        <f>IFERROR(VLOOKUP(BD_MO[DNI 4],#REF!,2,FALSE)," ")</f>
        <v xml:space="preserve"> </v>
      </c>
      <c r="T374" s="386">
        <f>+IF(BD_MO[[#This Row],[FECHA]]&lt;&gt;"",COUNTA(BD_MO[[#This Row],[DNI]],BD_MO[[#This Row],[DNI 2]],BD_MO[[#This Row],[DNI 3]],BD_MO[[#This Row],[DNI 4]]),"")</f>
        <v>1</v>
      </c>
      <c r="U374" s="386">
        <v>0.15</v>
      </c>
      <c r="V374" s="386">
        <v>0.2</v>
      </c>
      <c r="W374" s="386">
        <v>0.45</v>
      </c>
      <c r="X374" s="386">
        <v>0.2</v>
      </c>
      <c r="Y374" s="86">
        <f>SUM(BD_MO[[#This Row],[LIMP]:[SERV]])</f>
        <v>1</v>
      </c>
      <c r="Z374" s="212" t="s">
        <v>12350</v>
      </c>
      <c r="AA374" s="212">
        <f>+IF(BD_MO[[#This Row],[N° VALE]]&lt;&gt;"",1,"")</f>
        <v>1</v>
      </c>
      <c r="AB374" s="40" t="s">
        <v>10691</v>
      </c>
      <c r="AC374" s="212">
        <v>4</v>
      </c>
      <c r="AD374" s="212">
        <f>+IF(BD_MO[[#This Row],[N° VALE]]&lt;&gt;"",BD_MO[[#This Row],[FULMINANTE N° 08]]+BD_MO[CARMEX 7''],"")</f>
        <v>8</v>
      </c>
      <c r="AE374" s="212"/>
      <c r="AF374" s="212">
        <f>+IF(BD_MO[[#This Row],[N° VALE]]&lt;&gt;"",BD_MO[[#This Row],[N° TALADROS]]+BD_MO[[#This Row],[N° TAL. VACIOS]],"")</f>
        <v>8</v>
      </c>
      <c r="AG374" s="387">
        <v>1</v>
      </c>
      <c r="AH374" s="387">
        <v>32</v>
      </c>
      <c r="AI374" s="387"/>
      <c r="AJ374" s="387"/>
      <c r="AK374" s="387">
        <v>8</v>
      </c>
      <c r="AL374" s="387">
        <v>2</v>
      </c>
      <c r="AM374" s="383"/>
      <c r="AN374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74" s="212">
        <f>+IF(BD_MO[[#This Row],[N° VALE]]&lt;&gt;"",IF(BD_MO[[#This Row],[FULMINANTE N° 08]]&lt;&gt;"",BD_MO[[#This Row],[FULMINANTE N° 08]],IF(BD_MO[[#This Row],[CARMEX 7'']]&lt;&gt;0,0,"")),"")</f>
        <v>0</v>
      </c>
      <c r="AP374" s="386">
        <f>+IF(BD_MO[[#This Row],[N° VALE]]&lt;&gt;"",BD_MO[[#This Row],[N°  TOTAL TALADROS]]*BD_MO[[#This Row],[BARRA]]*0.95,"")</f>
        <v>30.4</v>
      </c>
      <c r="AQ374" s="386">
        <f>+IF(BD_MO[[#This Row],[N° VALE]]&lt;&gt;"",BD_MO[[#This Row],[EMULNOR 1000 (N° CART.)]]*PE_EMUL_1000[PE],"")</f>
        <v>3.0304000000000002</v>
      </c>
      <c r="AR374" s="386">
        <f>+IF(BD_MO[[#This Row],[N° VALE]]&lt;&gt;"",BD_MO[[#This Row],[EMULNOR 3000 (N° CART.)]]*PE_EMUL_3000[PE],"")</f>
        <v>9.6153846153846201E-2</v>
      </c>
      <c r="AS374" s="386">
        <f>+IF(BD_MO[[#This Row],[N° VALE]]&lt;&gt;"",BD_MO[[#This Row],[PULVERULENTA (N° CART.)]]*PE_PULV_65[PE],"")</f>
        <v>0</v>
      </c>
      <c r="AT374" s="386">
        <f>+IF(BD_MO[[#This Row],[N° DISP]]&lt;&gt;"",BD_MO[[#This Row],[SEMIGELATINA (N° CART.)]]*PE_SEMIGEL_65[PE],"")</f>
        <v>0</v>
      </c>
      <c r="AU374" s="386">
        <f>+IF(BD_MO[N° VALE]&lt;&gt;"",BD_MO[[#This Row],[KG EXPLO SEMIGEL]]+BD_MO[[#This Row],[KG EXPLO PULVE]]+BD_MO[[#This Row],[KG EXPLO EMULN 3000]]+BD_MO[[#This Row],[KG EXPLO EMULN 1000]],"")</f>
        <v>3.1265538461538465</v>
      </c>
      <c r="AV374" s="212"/>
      <c r="AW374" s="212"/>
      <c r="AX374" s="212" t="str">
        <f>+IF(BD_MO[[#This Row],[MINERAL (U-35)]]&lt;&gt;"",BD_MO[[#This Row],[MINERAL (U-35)]]*1.45,"-")</f>
        <v>-</v>
      </c>
      <c r="AY374" s="212" t="str">
        <f>+IF(BD_MO[[#This Row],[DESMONTE (U-35)]]&lt;&gt;"",BD_MO[[#This Row],[DESMONTE (U-35)]]*1.23,"-")</f>
        <v>-</v>
      </c>
      <c r="AZ374" s="212"/>
      <c r="BA374" s="212"/>
      <c r="BB374" s="212"/>
      <c r="BC374" s="212"/>
      <c r="BD374" s="212"/>
      <c r="BE374" s="212"/>
      <c r="BF374" s="212"/>
      <c r="BG374" s="212"/>
      <c r="BH374" s="212"/>
      <c r="BI374" s="212">
        <v>1</v>
      </c>
      <c r="BJ374" s="212"/>
      <c r="BK374" s="212"/>
      <c r="BL374" s="212">
        <v>1</v>
      </c>
      <c r="BM374" s="212"/>
      <c r="BN374" s="383"/>
      <c r="BO374" s="212"/>
      <c r="BP374" s="212"/>
      <c r="BQ374" s="383"/>
      <c r="BR374" s="212"/>
      <c r="BS374" s="383"/>
      <c r="BT374" s="386"/>
      <c r="BU374" s="212"/>
      <c r="BV374" s="212"/>
      <c r="BW374" s="212"/>
      <c r="BX374" s="212">
        <v>4</v>
      </c>
      <c r="BY374" s="212"/>
      <c r="BZ374" s="212"/>
      <c r="CA374" s="212"/>
      <c r="CB374" s="212"/>
      <c r="CC374" s="212"/>
      <c r="CD374" s="212"/>
      <c r="CE374" s="212"/>
      <c r="CF374" s="212"/>
      <c r="CG374" s="212"/>
      <c r="CH374" s="212"/>
      <c r="CI374" s="212"/>
      <c r="CJ374" s="212"/>
      <c r="CK374" s="212"/>
      <c r="CL374" s="212"/>
      <c r="CM374" s="212"/>
      <c r="CN374" s="212"/>
      <c r="CO374" s="212">
        <v>1</v>
      </c>
      <c r="CP374" s="386">
        <f>+IF(BD_MO[[#This Row],[FECHA]]&lt;&gt;"",BD_MO[[#This Row],[PUNTAL 4"]]+BD_MO[[#This Row],[PUNTAL 5"]]+BD_MO[[#This Row],[PUNTAL 6"]]+BD_MO[[#This Row],[PUNTAL 7"]]+BD_MO[[#This Row],[PUNTAL 8"]],"")</f>
        <v>1</v>
      </c>
      <c r="CQ374" s="212"/>
      <c r="CR374" s="212"/>
      <c r="CS374" s="212"/>
      <c r="CT374" s="212"/>
      <c r="CU374" s="212"/>
      <c r="CV374" s="212"/>
      <c r="CW374" s="212"/>
      <c r="CX374" s="212"/>
      <c r="CY374" s="386"/>
      <c r="CZ374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79.775999999999996</v>
      </c>
      <c r="DA374" s="386">
        <f>+IF(BD_MO[[#This Row],[FECHA]]&lt;&gt;"",BD_MO[[#This Row],[DURMIENTE2]]*6.561+BD_MO[[#This Row],[LISTONES]]*4.921+BD_MO[[#This Row],[TABLA 1"x8"x3m]]*6.561+BD_MO[[#This Row],[TABLA 2"x8"x3m]]*13.122,"")</f>
        <v>0</v>
      </c>
      <c r="DB374" s="386">
        <f>+IF(BD_MO[[#This Row],[FECHA]]&lt;&gt;"",BD_MO[[#This Row],[PIE2 MADERA ASERRADA]]*1.95,"")</f>
        <v>0</v>
      </c>
      <c r="DC374" s="386">
        <f>+IF(BD_MO[[#This Row],[FECHA]]&lt;&gt;"",BD_MO[[#This Row],[KG. MADERA REDONDA]]+BD_MO[[#This Row],[KG MADERA ASERRADA]],"")</f>
        <v>79.775999999999996</v>
      </c>
      <c r="DD374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374" s="212"/>
      <c r="DF374" s="212"/>
      <c r="DG374" s="212"/>
      <c r="DH374" s="212"/>
      <c r="DI374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74" s="228"/>
      <c r="DK374" s="228"/>
      <c r="DL374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1.87</v>
      </c>
      <c r="DM374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1.9448000000000001</v>
      </c>
      <c r="DN374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74" s="50"/>
      <c r="DP374" s="228"/>
      <c r="DQ374" s="228"/>
      <c r="DR374" s="116" t="str">
        <f>IF(BD_MO[[#This Row],[TIPO AVANCE]]="Avance",((BD_MO[[#This Row],[AVANCE (m)]]/BD_MO[[#This Row],[AVANCE TEÓRICO]]))," ")</f>
        <v xml:space="preserve"> </v>
      </c>
      <c r="DS374" s="134"/>
      <c r="DT374" s="134"/>
      <c r="DU374" s="134"/>
      <c r="DV374" s="134"/>
      <c r="DW374" s="134"/>
      <c r="DX374" s="135"/>
      <c r="DY374" s="135"/>
      <c r="DZ374" s="135"/>
    </row>
    <row r="375" spans="1:130" s="136" customFormat="1" ht="18" customHeight="1" x14ac:dyDescent="0.25">
      <c r="A375" s="92">
        <v>44673</v>
      </c>
      <c r="B375" s="40" t="s">
        <v>10647</v>
      </c>
      <c r="C375" s="40" t="s">
        <v>10668</v>
      </c>
      <c r="D375" s="94" t="s">
        <v>11827</v>
      </c>
      <c r="E375" s="383" t="str">
        <f>LEFT(BD_MO[[#This Row],[LABOR]],2)</f>
        <v>Tj</v>
      </c>
      <c r="F375" s="212" t="s">
        <v>10950</v>
      </c>
      <c r="G375" s="212" t="s">
        <v>10648</v>
      </c>
      <c r="H375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75" s="383" t="str">
        <f>IF(BD_MO[FECHA]&lt;&gt;"",VLOOKUP(BD_MO[LABOR],TB_CECO[[LABOR]:[CECO_T]],3,FALSE),"")</f>
        <v>VANESSA</v>
      </c>
      <c r="J375" s="383" t="str">
        <f>IF(BD_MO[FECHA]&lt;&gt;"",VLOOKUP(BD_MO[LABOR],D_CECO!B:H,7,FALSE),"")</f>
        <v>TAJO</v>
      </c>
      <c r="K375" s="383" t="str">
        <f>IF(BD_MO[FECHA]&lt;&gt;"",VLOOKUP(BD_MO[LABOR],D_CECO!B:H,4,FALSE),"")</f>
        <v>EXPLOTACION</v>
      </c>
      <c r="L375" s="383"/>
      <c r="M375" s="40" t="s">
        <v>10661</v>
      </c>
      <c r="N375" s="212"/>
      <c r="O375" s="93" t="s">
        <v>12088</v>
      </c>
      <c r="P375" s="93"/>
      <c r="Q375" s="93"/>
      <c r="R375" s="384"/>
      <c r="S375" s="385" t="str">
        <f>IFERROR(VLOOKUP(BD_MO[DNI 4],#REF!,2,FALSE)," ")</f>
        <v xml:space="preserve"> </v>
      </c>
      <c r="T375" s="386">
        <f>+IF(BD_MO[[#This Row],[FECHA]]&lt;&gt;"",COUNTA(BD_MO[[#This Row],[DNI]],BD_MO[[#This Row],[DNI 2]],BD_MO[[#This Row],[DNI 3]],BD_MO[[#This Row],[DNI 4]]),"")</f>
        <v>1</v>
      </c>
      <c r="U375" s="386">
        <v>0.15</v>
      </c>
      <c r="V375" s="386">
        <v>0.2</v>
      </c>
      <c r="W375" s="386">
        <v>0.45</v>
      </c>
      <c r="X375" s="386">
        <v>0.2</v>
      </c>
      <c r="Y375" s="86">
        <f>SUM(BD_MO[[#This Row],[LIMP]:[SERV]])</f>
        <v>1</v>
      </c>
      <c r="Z375" s="212" t="s">
        <v>12351</v>
      </c>
      <c r="AA375" s="212">
        <f>+IF(BD_MO[[#This Row],[N° VALE]]&lt;&gt;"",1,"")</f>
        <v>1</v>
      </c>
      <c r="AB375" s="40" t="s">
        <v>10691</v>
      </c>
      <c r="AC375" s="212">
        <v>4</v>
      </c>
      <c r="AD375" s="212">
        <f>+IF(BD_MO[[#This Row],[N° VALE]]&lt;&gt;"",BD_MO[[#This Row],[FULMINANTE N° 08]]+BD_MO[CARMEX 7''],"")</f>
        <v>12</v>
      </c>
      <c r="AE375" s="212"/>
      <c r="AF375" s="212">
        <f>+IF(BD_MO[[#This Row],[N° VALE]]&lt;&gt;"",BD_MO[[#This Row],[N° TALADROS]]+BD_MO[[#This Row],[N° TAL. VACIOS]],"")</f>
        <v>12</v>
      </c>
      <c r="AG375" s="387">
        <v>10</v>
      </c>
      <c r="AH375" s="387">
        <v>38</v>
      </c>
      <c r="AI375" s="387"/>
      <c r="AJ375" s="387"/>
      <c r="AK375" s="387">
        <v>12</v>
      </c>
      <c r="AL375" s="387">
        <v>3</v>
      </c>
      <c r="AM375" s="383"/>
      <c r="AN375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75" s="212">
        <f>+IF(BD_MO[[#This Row],[N° VALE]]&lt;&gt;"",IF(BD_MO[[#This Row],[FULMINANTE N° 08]]&lt;&gt;"",BD_MO[[#This Row],[FULMINANTE N° 08]],IF(BD_MO[[#This Row],[CARMEX 7'']]&lt;&gt;0,0,"")),"")</f>
        <v>0</v>
      </c>
      <c r="AP375" s="386">
        <f>+IF(BD_MO[[#This Row],[N° VALE]]&lt;&gt;"",BD_MO[[#This Row],[N°  TOTAL TALADROS]]*BD_MO[[#This Row],[BARRA]]*0.95,"")</f>
        <v>45.599999999999994</v>
      </c>
      <c r="AQ375" s="386">
        <f>+IF(BD_MO[[#This Row],[N° VALE]]&lt;&gt;"",BD_MO[[#This Row],[EMULNOR 1000 (N° CART.)]]*PE_EMUL_1000[PE],"")</f>
        <v>3.5986000000000002</v>
      </c>
      <c r="AR375" s="386">
        <f>+IF(BD_MO[[#This Row],[N° VALE]]&lt;&gt;"",BD_MO[[#This Row],[EMULNOR 3000 (N° CART.)]]*PE_EMUL_3000[PE],"")</f>
        <v>0.96153846153846201</v>
      </c>
      <c r="AS375" s="386">
        <f>+IF(BD_MO[[#This Row],[N° VALE]]&lt;&gt;"",BD_MO[[#This Row],[PULVERULENTA (N° CART.)]]*PE_PULV_65[PE],"")</f>
        <v>0</v>
      </c>
      <c r="AT375" s="386">
        <f>+IF(BD_MO[[#This Row],[N° DISP]]&lt;&gt;"",BD_MO[[#This Row],[SEMIGELATINA (N° CART.)]]*PE_SEMIGEL_65[PE],"")</f>
        <v>0</v>
      </c>
      <c r="AU375" s="386">
        <f>+IF(BD_MO[N° VALE]&lt;&gt;"",BD_MO[[#This Row],[KG EXPLO SEMIGEL]]+BD_MO[[#This Row],[KG EXPLO PULVE]]+BD_MO[[#This Row],[KG EXPLO EMULN 3000]]+BD_MO[[#This Row],[KG EXPLO EMULN 1000]],"")</f>
        <v>4.5601384615384619</v>
      </c>
      <c r="AV375" s="212">
        <v>14</v>
      </c>
      <c r="AW375" s="212"/>
      <c r="AX375" s="212">
        <f>+IF(BD_MO[[#This Row],[MINERAL (U-35)]]&lt;&gt;"",BD_MO[[#This Row],[MINERAL (U-35)]]*1.45,"-")</f>
        <v>20.3</v>
      </c>
      <c r="AY375" s="212" t="str">
        <f>+IF(BD_MO[[#This Row],[DESMONTE (U-35)]]&lt;&gt;"",BD_MO[[#This Row],[DESMONTE (U-35)]]*1.23,"-")</f>
        <v>-</v>
      </c>
      <c r="AZ375" s="212"/>
      <c r="BA375" s="212"/>
      <c r="BB375" s="212"/>
      <c r="BC375" s="212"/>
      <c r="BD375" s="212"/>
      <c r="BE375" s="212"/>
      <c r="BF375" s="212"/>
      <c r="BG375" s="212"/>
      <c r="BH375" s="212"/>
      <c r="BI375" s="212"/>
      <c r="BJ375" s="212"/>
      <c r="BK375" s="212"/>
      <c r="BL375" s="212"/>
      <c r="BM375" s="212"/>
      <c r="BN375" s="383"/>
      <c r="BO375" s="212"/>
      <c r="BP375" s="212"/>
      <c r="BQ375" s="383"/>
      <c r="BR375" s="212"/>
      <c r="BS375" s="383"/>
      <c r="BT375" s="386"/>
      <c r="BU375" s="212"/>
      <c r="BV375" s="212"/>
      <c r="BW375" s="212"/>
      <c r="BX375" s="212"/>
      <c r="BY375" s="212"/>
      <c r="BZ375" s="212"/>
      <c r="CA375" s="212"/>
      <c r="CB375" s="212"/>
      <c r="CC375" s="212"/>
      <c r="CD375" s="212"/>
      <c r="CE375" s="212"/>
      <c r="CF375" s="212"/>
      <c r="CG375" s="212"/>
      <c r="CH375" s="212"/>
      <c r="CI375" s="212"/>
      <c r="CJ375" s="212"/>
      <c r="CK375" s="212"/>
      <c r="CL375" s="212"/>
      <c r="CM375" s="212"/>
      <c r="CN375" s="212"/>
      <c r="CO375" s="212"/>
      <c r="CP375" s="386">
        <f>+IF(BD_MO[[#This Row],[FECHA]]&lt;&gt;"",BD_MO[[#This Row],[PUNTAL 4"]]+BD_MO[[#This Row],[PUNTAL 5"]]+BD_MO[[#This Row],[PUNTAL 6"]]+BD_MO[[#This Row],[PUNTAL 7"]]+BD_MO[[#This Row],[PUNTAL 8"]],"")</f>
        <v>0</v>
      </c>
      <c r="CQ375" s="212"/>
      <c r="CR375" s="212"/>
      <c r="CS375" s="212"/>
      <c r="CT375" s="212"/>
      <c r="CU375" s="212"/>
      <c r="CV375" s="212"/>
      <c r="CW375" s="212"/>
      <c r="CX375" s="212"/>
      <c r="CY375" s="386"/>
      <c r="CZ375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75" s="386">
        <f>+IF(BD_MO[[#This Row],[FECHA]]&lt;&gt;"",BD_MO[[#This Row],[DURMIENTE2]]*6.561+BD_MO[[#This Row],[LISTONES]]*4.921+BD_MO[[#This Row],[TABLA 1"x8"x3m]]*6.561+BD_MO[[#This Row],[TABLA 2"x8"x3m]]*13.122,"")</f>
        <v>0</v>
      </c>
      <c r="DB375" s="386">
        <f>+IF(BD_MO[[#This Row],[FECHA]]&lt;&gt;"",BD_MO[[#This Row],[PIE2 MADERA ASERRADA]]*1.95,"")</f>
        <v>0</v>
      </c>
      <c r="DC375" s="386">
        <f>+IF(BD_MO[[#This Row],[FECHA]]&lt;&gt;"",BD_MO[[#This Row],[KG. MADERA REDONDA]]+BD_MO[[#This Row],[KG MADERA ASERRADA]],"")</f>
        <v>0</v>
      </c>
      <c r="DD375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75" s="212"/>
      <c r="DF375" s="212"/>
      <c r="DG375" s="212"/>
      <c r="DH375" s="212"/>
      <c r="DI375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75" s="228"/>
      <c r="DK375" s="228"/>
      <c r="DL375" s="351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2.8</v>
      </c>
      <c r="DM375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2.9119999999999999</v>
      </c>
      <c r="DN375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75" s="50">
        <f>12*0.4873</f>
        <v>5.8475999999999999</v>
      </c>
      <c r="DP375" s="228">
        <f>+IF(BD_MO[[#This Row],[M o D]]&lt;&gt;"",IF(BD_MO[[#This Row],[M o D]]="M",BD_MO[[#This Row],[ROTURA TMH]]/2.65,BD_MO[[#This Row],[ROTURA TMH]]/2.4),"")</f>
        <v>2.2066415094339624</v>
      </c>
      <c r="DQ375" s="228"/>
      <c r="DR375" s="116" t="str">
        <f>IF(BD_MO[[#This Row],[TIPO AVANCE]]="Avance",((BD_MO[[#This Row],[AVANCE (m)]]/BD_MO[[#This Row],[AVANCE TEÓRICO]]))," ")</f>
        <v xml:space="preserve"> </v>
      </c>
      <c r="DS375" s="134"/>
      <c r="DT375" s="134"/>
      <c r="DU375" s="134"/>
      <c r="DV375" s="134"/>
      <c r="DW375" s="134"/>
      <c r="DX375" s="135"/>
      <c r="DY375" s="135"/>
      <c r="DZ375" s="135"/>
    </row>
    <row r="376" spans="1:130" s="136" customFormat="1" ht="18" customHeight="1" x14ac:dyDescent="0.25">
      <c r="A376" s="92">
        <v>44673</v>
      </c>
      <c r="B376" s="40" t="s">
        <v>10647</v>
      </c>
      <c r="C376" s="40" t="s">
        <v>10668</v>
      </c>
      <c r="D376" s="94" t="s">
        <v>12317</v>
      </c>
      <c r="E376" s="383" t="str">
        <f>LEFT(BD_MO[[#This Row],[LABOR]],2)</f>
        <v>Sn</v>
      </c>
      <c r="F376" s="212" t="s">
        <v>10687</v>
      </c>
      <c r="G376" s="212" t="s">
        <v>10648</v>
      </c>
      <c r="H376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76" s="383" t="s">
        <v>12254</v>
      </c>
      <c r="J376" s="383" t="s">
        <v>10525</v>
      </c>
      <c r="K376" s="383" t="s">
        <v>12247</v>
      </c>
      <c r="L376" s="383"/>
      <c r="M376" s="40" t="s">
        <v>10646</v>
      </c>
      <c r="N376" s="212"/>
      <c r="O376" s="93" t="s">
        <v>12101</v>
      </c>
      <c r="P376" s="93" t="s">
        <v>12305</v>
      </c>
      <c r="Q376" s="93"/>
      <c r="R376" s="384"/>
      <c r="S376" s="385" t="str">
        <f>IFERROR(VLOOKUP(BD_MO[DNI 4],#REF!,2,FALSE)," ")</f>
        <v xml:space="preserve"> </v>
      </c>
      <c r="T376" s="386">
        <f>+IF(BD_MO[[#This Row],[FECHA]]&lt;&gt;"",COUNTA(BD_MO[[#This Row],[DNI]],BD_MO[[#This Row],[DNI 2]],BD_MO[[#This Row],[DNI 3]],BD_MO[[#This Row],[DNI 4]]),"")</f>
        <v>2</v>
      </c>
      <c r="U376" s="386">
        <v>0.9</v>
      </c>
      <c r="V376" s="386">
        <v>0.4</v>
      </c>
      <c r="W376" s="386">
        <v>0.3</v>
      </c>
      <c r="X376" s="386">
        <v>0.4</v>
      </c>
      <c r="Y376" s="86">
        <f>SUM(BD_MO[[#This Row],[LIMP]:[SERV]])</f>
        <v>2</v>
      </c>
      <c r="Z376" s="212" t="s">
        <v>12352</v>
      </c>
      <c r="AA376" s="212">
        <f>+IF(BD_MO[[#This Row],[N° VALE]]&lt;&gt;"",1,"")</f>
        <v>1</v>
      </c>
      <c r="AB376" s="40" t="s">
        <v>10659</v>
      </c>
      <c r="AC376" s="212">
        <v>5</v>
      </c>
      <c r="AD376" s="212">
        <f>+IF(BD_MO[[#This Row],[N° VALE]]&lt;&gt;"",BD_MO[[#This Row],[FULMINANTE N° 08]]+BD_MO[CARMEX 7''],"")</f>
        <v>20</v>
      </c>
      <c r="AE376" s="212"/>
      <c r="AF376" s="212">
        <f>+IF(BD_MO[[#This Row],[N° VALE]]&lt;&gt;"",BD_MO[[#This Row],[N° TALADROS]]+BD_MO[[#This Row],[N° TAL. VACIOS]],"")</f>
        <v>20</v>
      </c>
      <c r="AG376" s="387">
        <v>50</v>
      </c>
      <c r="AH376" s="387">
        <v>60</v>
      </c>
      <c r="AI376" s="387"/>
      <c r="AJ376" s="387"/>
      <c r="AK376" s="387">
        <v>20</v>
      </c>
      <c r="AL376" s="387">
        <v>4</v>
      </c>
      <c r="AM376" s="383"/>
      <c r="AN376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76" s="212">
        <f>+IF(BD_MO[[#This Row],[N° VALE]]&lt;&gt;"",IF(BD_MO[[#This Row],[FULMINANTE N° 08]]&lt;&gt;"",BD_MO[[#This Row],[FULMINANTE N° 08]],IF(BD_MO[[#This Row],[CARMEX 7'']]&lt;&gt;0,0,"")),"")</f>
        <v>0</v>
      </c>
      <c r="AP376" s="386">
        <f>+IF(BD_MO[[#This Row],[N° VALE]]&lt;&gt;"",BD_MO[[#This Row],[N°  TOTAL TALADROS]]*BD_MO[[#This Row],[BARRA]]*0.95,"")</f>
        <v>95</v>
      </c>
      <c r="AQ376" s="386">
        <f>+IF(BD_MO[[#This Row],[N° VALE]]&lt;&gt;"",BD_MO[[#This Row],[EMULNOR 1000 (N° CART.)]]*PE_EMUL_1000[PE],"")</f>
        <v>5.6820000000000004</v>
      </c>
      <c r="AR376" s="386">
        <f>+IF(BD_MO[[#This Row],[N° VALE]]&lt;&gt;"",BD_MO[[#This Row],[EMULNOR 3000 (N° CART.)]]*PE_EMUL_3000[PE],"")</f>
        <v>4.8076923076923102</v>
      </c>
      <c r="AS376" s="386">
        <f>+IF(BD_MO[[#This Row],[N° VALE]]&lt;&gt;"",BD_MO[[#This Row],[PULVERULENTA (N° CART.)]]*PE_PULV_65[PE],"")</f>
        <v>0</v>
      </c>
      <c r="AT376" s="386">
        <f>+IF(BD_MO[[#This Row],[N° DISP]]&lt;&gt;"",BD_MO[[#This Row],[SEMIGELATINA (N° CART.)]]*PE_SEMIGEL_65[PE],"")</f>
        <v>0</v>
      </c>
      <c r="AU376" s="386">
        <f>+IF(BD_MO[N° VALE]&lt;&gt;"",BD_MO[[#This Row],[KG EXPLO SEMIGEL]]+BD_MO[[#This Row],[KG EXPLO PULVE]]+BD_MO[[#This Row],[KG EXPLO EMULN 3000]]+BD_MO[[#This Row],[KG EXPLO EMULN 1000]],"")</f>
        <v>10.489692307692311</v>
      </c>
      <c r="AV376" s="212">
        <v>6</v>
      </c>
      <c r="AW376" s="212"/>
      <c r="AX376" s="212">
        <f>+IF(BD_MO[[#This Row],[MINERAL (U-35)]]&lt;&gt;"",BD_MO[[#This Row],[MINERAL (U-35)]]*1.45,"-")</f>
        <v>8.6999999999999993</v>
      </c>
      <c r="AY376" s="212" t="str">
        <f>+IF(BD_MO[[#This Row],[DESMONTE (U-35)]]&lt;&gt;"",BD_MO[[#This Row],[DESMONTE (U-35)]]*1.23,"-")</f>
        <v>-</v>
      </c>
      <c r="AZ376" s="212"/>
      <c r="BA376" s="212">
        <v>1</v>
      </c>
      <c r="BB376" s="212"/>
      <c r="BC376" s="212"/>
      <c r="BD376" s="212"/>
      <c r="BE376" s="212"/>
      <c r="BF376" s="212"/>
      <c r="BG376" s="212"/>
      <c r="BH376" s="212"/>
      <c r="BI376" s="212">
        <v>1</v>
      </c>
      <c r="BJ376" s="212"/>
      <c r="BK376" s="212"/>
      <c r="BL376" s="212"/>
      <c r="BM376" s="212"/>
      <c r="BN376" s="383"/>
      <c r="BO376" s="212">
        <v>2</v>
      </c>
      <c r="BP376" s="212"/>
      <c r="BQ376" s="383"/>
      <c r="BR376" s="212"/>
      <c r="BS376" s="383"/>
      <c r="BT376" s="386">
        <v>4.5</v>
      </c>
      <c r="BU376" s="212"/>
      <c r="BV376" s="212"/>
      <c r="BW376" s="212"/>
      <c r="BX376" s="212"/>
      <c r="BY376" s="212"/>
      <c r="BZ376" s="212"/>
      <c r="CA376" s="212"/>
      <c r="CB376" s="212"/>
      <c r="CC376" s="212"/>
      <c r="CD376" s="212"/>
      <c r="CE376" s="212"/>
      <c r="CF376" s="212"/>
      <c r="CG376" s="212"/>
      <c r="CH376" s="212"/>
      <c r="CI376" s="212"/>
      <c r="CJ376" s="212"/>
      <c r="CK376" s="212"/>
      <c r="CL376" s="212">
        <v>2</v>
      </c>
      <c r="CM376" s="212">
        <v>2</v>
      </c>
      <c r="CN376" s="212">
        <v>3</v>
      </c>
      <c r="CO376" s="212">
        <v>1</v>
      </c>
      <c r="CP376" s="386">
        <f>+IF(BD_MO[[#This Row],[FECHA]]&lt;&gt;"",BD_MO[[#This Row],[PUNTAL 4"]]+BD_MO[[#This Row],[PUNTAL 5"]]+BD_MO[[#This Row],[PUNTAL 6"]]+BD_MO[[#This Row],[PUNTAL 7"]]+BD_MO[[#This Row],[PUNTAL 8"]],"")</f>
        <v>8</v>
      </c>
      <c r="CQ376" s="212"/>
      <c r="CR376" s="212"/>
      <c r="CS376" s="212">
        <v>12</v>
      </c>
      <c r="CT376" s="212"/>
      <c r="CU376" s="212"/>
      <c r="CV376" s="212"/>
      <c r="CW376" s="212"/>
      <c r="CX376" s="212"/>
      <c r="CY376" s="386"/>
      <c r="CZ376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710.28700000000003</v>
      </c>
      <c r="DA376" s="386">
        <f>+IF(BD_MO[[#This Row],[FECHA]]&lt;&gt;"",BD_MO[[#This Row],[DURMIENTE2]]*6.561+BD_MO[[#This Row],[LISTONES]]*4.921+BD_MO[[#This Row],[TABLA 1"x8"x3m]]*6.561+BD_MO[[#This Row],[TABLA 2"x8"x3m]]*13.122,"")</f>
        <v>0</v>
      </c>
      <c r="DB376" s="386">
        <f>+IF(BD_MO[[#This Row],[FECHA]]&lt;&gt;"",BD_MO[[#This Row],[PIE2 MADERA ASERRADA]]*1.95,"")</f>
        <v>0</v>
      </c>
      <c r="DC376" s="386">
        <f>+IF(BD_MO[[#This Row],[FECHA]]&lt;&gt;"",BD_MO[[#This Row],[KG. MADERA REDONDA]]+BD_MO[[#This Row],[KG MADERA ASERRADA]],"")</f>
        <v>710.28700000000003</v>
      </c>
      <c r="DD376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289.88</v>
      </c>
      <c r="DE376" s="212"/>
      <c r="DF376" s="212"/>
      <c r="DG376" s="212"/>
      <c r="DH376" s="212"/>
      <c r="DI376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376" s="228"/>
      <c r="DK376" s="228"/>
      <c r="DL376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76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76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76" s="389">
        <f>0.84333*20</f>
        <v>16.866600000000002</v>
      </c>
      <c r="DP376" s="228">
        <f>+IF(BD_MO[[#This Row],[M o D]]&lt;&gt;"",IF(BD_MO[[#This Row],[M o D]]="M",BD_MO[[#This Row],[ROTURA TMH]]/2.65,BD_MO[[#This Row],[ROTURA TMH]]/2.4),"")</f>
        <v>7.0277500000000011</v>
      </c>
      <c r="DQ376" s="228">
        <v>1.25</v>
      </c>
      <c r="DR376" s="116">
        <f>IF(BD_MO[[#This Row],[TIPO AVANCE]]="Avance",((BD_MO[[#This Row],[AVANCE (m)]]/BD_MO[[#This Row],[AVANCE TEÓRICO]]))," ")</f>
        <v>0.92592592592592582</v>
      </c>
      <c r="DS376" s="134"/>
      <c r="DT376" s="134"/>
      <c r="DU376" s="134"/>
      <c r="DV376" s="134"/>
      <c r="DW376" s="134"/>
      <c r="DX376" s="135"/>
      <c r="DY376" s="135"/>
      <c r="DZ376" s="135"/>
    </row>
    <row r="377" spans="1:130" s="136" customFormat="1" ht="18" customHeight="1" x14ac:dyDescent="0.25">
      <c r="A377" s="92">
        <v>44673</v>
      </c>
      <c r="B377" s="40" t="s">
        <v>10647</v>
      </c>
      <c r="C377" s="40" t="s">
        <v>10668</v>
      </c>
      <c r="D377" s="94" t="s">
        <v>11851</v>
      </c>
      <c r="E377" s="383" t="str">
        <f>LEFT(BD_MO[[#This Row],[LABOR]],2)</f>
        <v>Es</v>
      </c>
      <c r="F377" s="212" t="s">
        <v>10687</v>
      </c>
      <c r="G377" s="212" t="s">
        <v>10648</v>
      </c>
      <c r="H377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77" s="383" t="str">
        <f>IF(BD_MO[FECHA]&lt;&gt;"",VLOOKUP(BD_MO[LABOR],TB_CECO[[LABOR]:[CECO_T]],3,FALSE),"")</f>
        <v>VANESSA</v>
      </c>
      <c r="J377" s="383" t="str">
        <f>IF(BD_MO[FECHA]&lt;&gt;"",VLOOKUP(BD_MO[LABOR],D_CECO!B:H,7,FALSE),"")</f>
        <v>LINEAL</v>
      </c>
      <c r="K377" s="383" t="str">
        <f>IF(BD_MO[FECHA]&lt;&gt;"",VLOOKUP(BD_MO[LABOR],D_CECO!B:H,4,FALSE),"")</f>
        <v>DESARROLLO</v>
      </c>
      <c r="L377" s="383"/>
      <c r="M377" s="40" t="s">
        <v>10646</v>
      </c>
      <c r="N377" s="212"/>
      <c r="O377" s="93" t="s">
        <v>12159</v>
      </c>
      <c r="P377" s="93"/>
      <c r="Q377" s="93"/>
      <c r="R377" s="384"/>
      <c r="S377" s="385" t="str">
        <f>IFERROR(VLOOKUP(BD_MO[DNI 4],#REF!,2,FALSE)," ")</f>
        <v xml:space="preserve"> </v>
      </c>
      <c r="T377" s="386">
        <f>+IF(BD_MO[[#This Row],[FECHA]]&lt;&gt;"",COUNTA(BD_MO[[#This Row],[DNI]],BD_MO[[#This Row],[DNI 2]],BD_MO[[#This Row],[DNI 3]],BD_MO[[#This Row],[DNI 4]]),"")</f>
        <v>1</v>
      </c>
      <c r="U377" s="386"/>
      <c r="V377" s="386"/>
      <c r="W377" s="386"/>
      <c r="X377" s="386">
        <v>1</v>
      </c>
      <c r="Y377" s="86">
        <f>SUM(BD_MO[[#This Row],[LIMP]:[SERV]])</f>
        <v>1</v>
      </c>
      <c r="Z377" s="212" t="s">
        <v>12353</v>
      </c>
      <c r="AA377" s="212">
        <f>+IF(BD_MO[[#This Row],[N° VALE]]&lt;&gt;"",1,"")</f>
        <v>1</v>
      </c>
      <c r="AB377" s="40" t="s">
        <v>10705</v>
      </c>
      <c r="AC377" s="212">
        <v>5</v>
      </c>
      <c r="AD377" s="212">
        <v>20</v>
      </c>
      <c r="AE377" s="212">
        <v>3</v>
      </c>
      <c r="AF377" s="212">
        <f>+IF(BD_MO[[#This Row],[N° VALE]]&lt;&gt;"",BD_MO[[#This Row],[N° TALADROS]]+BD_MO[[#This Row],[N° TAL. VACIOS]],"")</f>
        <v>23</v>
      </c>
      <c r="AG377" s="387">
        <v>50</v>
      </c>
      <c r="AH377" s="387">
        <v>48</v>
      </c>
      <c r="AI377" s="387"/>
      <c r="AJ377" s="387"/>
      <c r="AK377" s="387">
        <v>23</v>
      </c>
      <c r="AL377" s="387">
        <v>3</v>
      </c>
      <c r="AM377" s="383"/>
      <c r="AN377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77" s="212">
        <f>+IF(BD_MO[[#This Row],[N° VALE]]&lt;&gt;"",IF(BD_MO[[#This Row],[FULMINANTE N° 08]]&lt;&gt;"",BD_MO[[#This Row],[FULMINANTE N° 08]],IF(BD_MO[[#This Row],[CARMEX 7'']]&lt;&gt;0,0,"")),"")</f>
        <v>0</v>
      </c>
      <c r="AP377" s="386">
        <f>+IF(BD_MO[[#This Row],[N° VALE]]&lt;&gt;"",BD_MO[[#This Row],[N°  TOTAL TALADROS]]*BD_MO[[#This Row],[BARRA]]*0.95,"")</f>
        <v>109.25</v>
      </c>
      <c r="AQ377" s="386">
        <f>+IF(BD_MO[[#This Row],[N° VALE]]&lt;&gt;"",BD_MO[[#This Row],[EMULNOR 1000 (N° CART.)]]*PE_EMUL_1000[PE],"")</f>
        <v>4.5456000000000003</v>
      </c>
      <c r="AR377" s="386">
        <f>+IF(BD_MO[[#This Row],[N° VALE]]&lt;&gt;"",BD_MO[[#This Row],[EMULNOR 3000 (N° CART.)]]*PE_EMUL_3000[PE],"")</f>
        <v>4.8076923076923102</v>
      </c>
      <c r="AS377" s="386">
        <f>+IF(BD_MO[[#This Row],[N° VALE]]&lt;&gt;"",BD_MO[[#This Row],[PULVERULENTA (N° CART.)]]*PE_PULV_65[PE],"")</f>
        <v>0</v>
      </c>
      <c r="AT377" s="386">
        <f>+IF(BD_MO[[#This Row],[N° DISP]]&lt;&gt;"",BD_MO[[#This Row],[SEMIGELATINA (N° CART.)]]*PE_SEMIGEL_65[PE],"")</f>
        <v>0</v>
      </c>
      <c r="AU377" s="386">
        <f>+IF(BD_MO[N° VALE]&lt;&gt;"",BD_MO[[#This Row],[KG EXPLO SEMIGEL]]+BD_MO[[#This Row],[KG EXPLO PULVE]]+BD_MO[[#This Row],[KG EXPLO EMULN 3000]]+BD_MO[[#This Row],[KG EXPLO EMULN 1000]],"")</f>
        <v>9.3532923076923105</v>
      </c>
      <c r="AV377" s="212"/>
      <c r="AW377" s="212">
        <v>3</v>
      </c>
      <c r="AX377" s="212" t="str">
        <f>+IF(BD_MO[[#This Row],[MINERAL (U-35)]]&lt;&gt;"",BD_MO[[#This Row],[MINERAL (U-35)]]*1.45,"-")</f>
        <v>-</v>
      </c>
      <c r="AY377" s="212">
        <f>+IF(BD_MO[[#This Row],[DESMONTE (U-35)]]&lt;&gt;"",BD_MO[[#This Row],[DESMONTE (U-35)]]*1.23,"-")</f>
        <v>3.69</v>
      </c>
      <c r="AZ377" s="212"/>
      <c r="BA377" s="212"/>
      <c r="BB377" s="212"/>
      <c r="BC377" s="212"/>
      <c r="BD377" s="212"/>
      <c r="BE377" s="212"/>
      <c r="BF377" s="212"/>
      <c r="BG377" s="212"/>
      <c r="BH377" s="212"/>
      <c r="BI377" s="212"/>
      <c r="BJ377" s="212"/>
      <c r="BK377" s="212"/>
      <c r="BL377" s="212"/>
      <c r="BM377" s="212"/>
      <c r="BN377" s="383"/>
      <c r="BO377" s="212"/>
      <c r="BP377" s="212"/>
      <c r="BQ377" s="383"/>
      <c r="BR377" s="212"/>
      <c r="BS377" s="383"/>
      <c r="BT377" s="386"/>
      <c r="BU377" s="212"/>
      <c r="BV377" s="212"/>
      <c r="BW377" s="212"/>
      <c r="BX377" s="212"/>
      <c r="BY377" s="212"/>
      <c r="BZ377" s="212"/>
      <c r="CA377" s="212"/>
      <c r="CB377" s="212"/>
      <c r="CC377" s="212"/>
      <c r="CD377" s="212"/>
      <c r="CE377" s="212"/>
      <c r="CF377" s="212"/>
      <c r="CG377" s="212"/>
      <c r="CH377" s="212"/>
      <c r="CI377" s="212"/>
      <c r="CJ377" s="212"/>
      <c r="CK377" s="212"/>
      <c r="CL377" s="212"/>
      <c r="CM377" s="212"/>
      <c r="CN377" s="212"/>
      <c r="CO377" s="212"/>
      <c r="CP377" s="386">
        <f>+IF(BD_MO[[#This Row],[FECHA]]&lt;&gt;"",BD_MO[[#This Row],[PUNTAL 4"]]+BD_MO[[#This Row],[PUNTAL 5"]]+BD_MO[[#This Row],[PUNTAL 6"]]+BD_MO[[#This Row],[PUNTAL 7"]]+BD_MO[[#This Row],[PUNTAL 8"]],"")</f>
        <v>0</v>
      </c>
      <c r="CQ377" s="212"/>
      <c r="CR377" s="212"/>
      <c r="CS377" s="212"/>
      <c r="CT377" s="212"/>
      <c r="CU377" s="212"/>
      <c r="CV377" s="212"/>
      <c r="CW377" s="212"/>
      <c r="CX377" s="212"/>
      <c r="CY377" s="386"/>
      <c r="CZ377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77" s="386">
        <f>+IF(BD_MO[[#This Row],[FECHA]]&lt;&gt;"",BD_MO[[#This Row],[DURMIENTE2]]*6.561+BD_MO[[#This Row],[LISTONES]]*4.921+BD_MO[[#This Row],[TABLA 1"x8"x3m]]*6.561+BD_MO[[#This Row],[TABLA 2"x8"x3m]]*13.122,"")</f>
        <v>0</v>
      </c>
      <c r="DB377" s="386">
        <f>+IF(BD_MO[[#This Row],[FECHA]]&lt;&gt;"",BD_MO[[#This Row],[PIE2 MADERA ASERRADA]]*1.95,"")</f>
        <v>0</v>
      </c>
      <c r="DC377" s="386">
        <f>+IF(BD_MO[[#This Row],[FECHA]]&lt;&gt;"",BD_MO[[#This Row],[KG. MADERA REDONDA]]+BD_MO[[#This Row],[KG MADERA ASERRADA]],"")</f>
        <v>0</v>
      </c>
      <c r="DD377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77" s="212"/>
      <c r="DF377" s="212"/>
      <c r="DG377" s="212"/>
      <c r="DH377" s="212"/>
      <c r="DI377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377" s="228"/>
      <c r="DK377" s="228"/>
      <c r="DL377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77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77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77" s="389">
        <v>13.54</v>
      </c>
      <c r="DP377" s="228">
        <f>+IF(BD_MO[[#This Row],[M o D]]&lt;&gt;"",IF(BD_MO[[#This Row],[M o D]]="M",BD_MO[[#This Row],[ROTURA TMH]]/2.65,BD_MO[[#This Row],[ROTURA TMH]]/2.4),"")</f>
        <v>5.6416666666666666</v>
      </c>
      <c r="DQ377" s="228">
        <v>1.27</v>
      </c>
      <c r="DR377" s="116">
        <f>IF(BD_MO[[#This Row],[TIPO AVANCE]]="Avance",((BD_MO[[#This Row],[AVANCE (m)]]/BD_MO[[#This Row],[AVANCE TEÓRICO]]))," ")</f>
        <v>0.94074074074074066</v>
      </c>
      <c r="DS377" s="134"/>
      <c r="DT377" s="134"/>
      <c r="DU377" s="134"/>
      <c r="DV377" s="134"/>
      <c r="DW377" s="134"/>
      <c r="DX377" s="135"/>
      <c r="DY377" s="135"/>
      <c r="DZ377" s="135"/>
    </row>
    <row r="378" spans="1:130" s="136" customFormat="1" ht="18" customHeight="1" x14ac:dyDescent="0.25">
      <c r="A378" s="92">
        <v>44673</v>
      </c>
      <c r="B378" s="40" t="s">
        <v>10647</v>
      </c>
      <c r="C378" s="40" t="s">
        <v>10668</v>
      </c>
      <c r="D378" s="94" t="s">
        <v>12339</v>
      </c>
      <c r="E378" s="383" t="str">
        <f>LEFT(BD_MO[[#This Row],[LABOR]],2)</f>
        <v>Tj</v>
      </c>
      <c r="F378" s="212" t="s">
        <v>10950</v>
      </c>
      <c r="G378" s="212" t="s">
        <v>10648</v>
      </c>
      <c r="H378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78" s="383" t="s">
        <v>12254</v>
      </c>
      <c r="J378" s="383" t="s">
        <v>10502</v>
      </c>
      <c r="K378" s="383" t="s">
        <v>12249</v>
      </c>
      <c r="L378" s="383"/>
      <c r="M378" s="40" t="s">
        <v>10661</v>
      </c>
      <c r="N378" s="212"/>
      <c r="O378" s="93" t="s">
        <v>12306</v>
      </c>
      <c r="P378" s="93" t="s">
        <v>12093</v>
      </c>
      <c r="Q378" s="93"/>
      <c r="R378" s="384"/>
      <c r="S378" s="385" t="str">
        <f>IFERROR(VLOOKUP(BD_MO[DNI 4],#REF!,2,FALSE)," ")</f>
        <v xml:space="preserve"> </v>
      </c>
      <c r="T378" s="386">
        <f>+IF(BD_MO[[#This Row],[FECHA]]&lt;&gt;"",COUNTA(BD_MO[[#This Row],[DNI]],BD_MO[[#This Row],[DNI 2]],BD_MO[[#This Row],[DNI 3]],BD_MO[[#This Row],[DNI 4]]),"")</f>
        <v>2</v>
      </c>
      <c r="U378" s="386"/>
      <c r="V378" s="386"/>
      <c r="W378" s="386"/>
      <c r="X378" s="386">
        <v>2</v>
      </c>
      <c r="Y378" s="86">
        <f>SUM(BD_MO[[#This Row],[LIMP]:[SERV]])</f>
        <v>2</v>
      </c>
      <c r="Z378" s="212" t="s">
        <v>12354</v>
      </c>
      <c r="AA378" s="212">
        <f>+IF(BD_MO[[#This Row],[N° VALE]]&lt;&gt;"",1,"")</f>
        <v>1</v>
      </c>
      <c r="AB378" s="40" t="s">
        <v>10710</v>
      </c>
      <c r="AC378" s="212">
        <v>4</v>
      </c>
      <c r="AD378" s="212">
        <f>+IF(BD_MO[[#This Row],[N° VALE]]&lt;&gt;"",BD_MO[[#This Row],[FULMINANTE N° 08]]+BD_MO[CARMEX 7''],"")</f>
        <v>8</v>
      </c>
      <c r="AE378" s="212"/>
      <c r="AF378" s="212">
        <f>+IF(BD_MO[[#This Row],[N° VALE]]&lt;&gt;"",BD_MO[[#This Row],[N° TALADROS]]+BD_MO[[#This Row],[N° TAL. VACIOS]],"")</f>
        <v>8</v>
      </c>
      <c r="AG378" s="387">
        <v>10</v>
      </c>
      <c r="AH378" s="387">
        <v>32</v>
      </c>
      <c r="AI378" s="387"/>
      <c r="AJ378" s="387"/>
      <c r="AK378" s="387">
        <v>8</v>
      </c>
      <c r="AL378" s="387">
        <v>1</v>
      </c>
      <c r="AM378" s="383"/>
      <c r="AN378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78" s="212">
        <f>+IF(BD_MO[[#This Row],[N° VALE]]&lt;&gt;"",IF(BD_MO[[#This Row],[FULMINANTE N° 08]]&lt;&gt;"",BD_MO[[#This Row],[FULMINANTE N° 08]],IF(BD_MO[[#This Row],[CARMEX 7'']]&lt;&gt;0,0,"")),"")</f>
        <v>0</v>
      </c>
      <c r="AP378" s="386">
        <f>+IF(BD_MO[[#This Row],[N° VALE]]&lt;&gt;"",BD_MO[[#This Row],[N°  TOTAL TALADROS]]*BD_MO[[#This Row],[BARRA]]*0.95,"")</f>
        <v>30.4</v>
      </c>
      <c r="AQ378" s="386">
        <f>+IF(BD_MO[[#This Row],[N° VALE]]&lt;&gt;"",BD_MO[[#This Row],[EMULNOR 1000 (N° CART.)]]*PE_EMUL_1000[PE],"")</f>
        <v>3.0304000000000002</v>
      </c>
      <c r="AR378" s="386">
        <f>+IF(BD_MO[[#This Row],[N° VALE]]&lt;&gt;"",BD_MO[[#This Row],[EMULNOR 3000 (N° CART.)]]*PE_EMUL_3000[PE],"")</f>
        <v>0.96153846153846201</v>
      </c>
      <c r="AS378" s="386">
        <f>+IF(BD_MO[[#This Row],[N° VALE]]&lt;&gt;"",BD_MO[[#This Row],[PULVERULENTA (N° CART.)]]*PE_PULV_65[PE],"")</f>
        <v>0</v>
      </c>
      <c r="AT378" s="386">
        <f>+IF(BD_MO[[#This Row],[N° DISP]]&lt;&gt;"",BD_MO[[#This Row],[SEMIGELATINA (N° CART.)]]*PE_SEMIGEL_65[PE],"")</f>
        <v>0</v>
      </c>
      <c r="AU378" s="386">
        <f>+IF(BD_MO[N° VALE]&lt;&gt;"",BD_MO[[#This Row],[KG EXPLO SEMIGEL]]+BD_MO[[#This Row],[KG EXPLO PULVE]]+BD_MO[[#This Row],[KG EXPLO EMULN 3000]]+BD_MO[[#This Row],[KG EXPLO EMULN 1000]],"")</f>
        <v>3.9919384615384623</v>
      </c>
      <c r="AV378" s="212"/>
      <c r="AW378" s="212"/>
      <c r="AX378" s="212" t="str">
        <f>+IF(BD_MO[[#This Row],[MINERAL (U-35)]]&lt;&gt;"",BD_MO[[#This Row],[MINERAL (U-35)]]*1.45,"-")</f>
        <v>-</v>
      </c>
      <c r="AY378" s="212" t="str">
        <f>+IF(BD_MO[[#This Row],[DESMONTE (U-35)]]&lt;&gt;"",BD_MO[[#This Row],[DESMONTE (U-35)]]*1.23,"-")</f>
        <v>-</v>
      </c>
      <c r="AZ378" s="212"/>
      <c r="BA378" s="212"/>
      <c r="BB378" s="212"/>
      <c r="BC378" s="212"/>
      <c r="BD378" s="212"/>
      <c r="BE378" s="212"/>
      <c r="BF378" s="212"/>
      <c r="BG378" s="212"/>
      <c r="BH378" s="212"/>
      <c r="BI378" s="212"/>
      <c r="BJ378" s="212"/>
      <c r="BK378" s="212"/>
      <c r="BL378" s="212"/>
      <c r="BM378" s="212"/>
      <c r="BN378" s="383"/>
      <c r="BO378" s="212">
        <v>1</v>
      </c>
      <c r="BP378" s="212"/>
      <c r="BQ378" s="383"/>
      <c r="BR378" s="212"/>
      <c r="BS378" s="383"/>
      <c r="BT378" s="386"/>
      <c r="BU378" s="212"/>
      <c r="BV378" s="212"/>
      <c r="BW378" s="212"/>
      <c r="BX378" s="212"/>
      <c r="BY378" s="212"/>
      <c r="BZ378" s="212"/>
      <c r="CA378" s="212"/>
      <c r="CB378" s="212"/>
      <c r="CC378" s="212"/>
      <c r="CD378" s="212"/>
      <c r="CE378" s="212"/>
      <c r="CF378" s="212"/>
      <c r="CG378" s="212"/>
      <c r="CH378" s="212"/>
      <c r="CI378" s="212"/>
      <c r="CJ378" s="212"/>
      <c r="CK378" s="212"/>
      <c r="CL378" s="212"/>
      <c r="CM378" s="212"/>
      <c r="CN378" s="212"/>
      <c r="CO378" s="212"/>
      <c r="CP378" s="386">
        <f>+IF(BD_MO[[#This Row],[FECHA]]&lt;&gt;"",BD_MO[[#This Row],[PUNTAL 4"]]+BD_MO[[#This Row],[PUNTAL 5"]]+BD_MO[[#This Row],[PUNTAL 6"]]+BD_MO[[#This Row],[PUNTAL 7"]]+BD_MO[[#This Row],[PUNTAL 8"]],"")</f>
        <v>0</v>
      </c>
      <c r="CQ378" s="212"/>
      <c r="CR378" s="212"/>
      <c r="CS378" s="212"/>
      <c r="CT378" s="212"/>
      <c r="CU378" s="212"/>
      <c r="CV378" s="212"/>
      <c r="CW378" s="212"/>
      <c r="CX378" s="212"/>
      <c r="CY378" s="386"/>
      <c r="CZ378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78" s="386">
        <f>+IF(BD_MO[[#This Row],[FECHA]]&lt;&gt;"",BD_MO[[#This Row],[DURMIENTE2]]*6.561+BD_MO[[#This Row],[LISTONES]]*4.921+BD_MO[[#This Row],[TABLA 1"x8"x3m]]*6.561+BD_MO[[#This Row],[TABLA 2"x8"x3m]]*13.122,"")</f>
        <v>0</v>
      </c>
      <c r="DB378" s="386">
        <f>+IF(BD_MO[[#This Row],[FECHA]]&lt;&gt;"",BD_MO[[#This Row],[PIE2 MADERA ASERRADA]]*1.95,"")</f>
        <v>0</v>
      </c>
      <c r="DC378" s="386">
        <f>+IF(BD_MO[[#This Row],[FECHA]]&lt;&gt;"",BD_MO[[#This Row],[KG. MADERA REDONDA]]+BD_MO[[#This Row],[KG MADERA ASERRADA]],"")</f>
        <v>0</v>
      </c>
      <c r="DD378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78" s="212"/>
      <c r="DF378" s="212"/>
      <c r="DG378" s="212"/>
      <c r="DH378" s="212"/>
      <c r="DI378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78" s="228"/>
      <c r="DK378" s="228"/>
      <c r="DL378" s="228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1.87</v>
      </c>
      <c r="DM378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1.9448000000000001</v>
      </c>
      <c r="DN378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78" s="367"/>
      <c r="DP378" s="228"/>
      <c r="DQ378" s="228"/>
      <c r="DR378" s="116" t="str">
        <f>IF(BD_MO[[#This Row],[TIPO AVANCE]]="Avance",((BD_MO[[#This Row],[AVANCE (m)]]/BD_MO[[#This Row],[AVANCE TEÓRICO]]))," ")</f>
        <v xml:space="preserve"> </v>
      </c>
      <c r="DS378" s="134"/>
      <c r="DT378" s="134"/>
      <c r="DU378" s="134"/>
      <c r="DV378" s="134"/>
      <c r="DW378" s="134"/>
      <c r="DX378" s="135"/>
      <c r="DY378" s="135"/>
      <c r="DZ378" s="135"/>
    </row>
    <row r="379" spans="1:130" s="136" customFormat="1" ht="18" customHeight="1" x14ac:dyDescent="0.25">
      <c r="A379" s="92">
        <v>44673</v>
      </c>
      <c r="B379" s="40" t="s">
        <v>10647</v>
      </c>
      <c r="C379" s="40" t="s">
        <v>10668</v>
      </c>
      <c r="D379" s="94" t="s">
        <v>10952</v>
      </c>
      <c r="E379" s="383" t="str">
        <f>LEFT(BD_MO[[#This Row],[LABOR]],2)</f>
        <v>In</v>
      </c>
      <c r="F379" s="212"/>
      <c r="G379" s="212" t="s">
        <v>10669</v>
      </c>
      <c r="H379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79" s="383" t="str">
        <f>IF(BD_MO[FECHA]&lt;&gt;"",VLOOKUP(BD_MO[LABOR],TB_CECO[[LABOR]:[CECO_T]],3,FALSE),"")</f>
        <v>VANESSA</v>
      </c>
      <c r="J379" s="383" t="str">
        <f>IF(BD_MO[FECHA]&lt;&gt;"",VLOOKUP(BD_MO[LABOR],D_CECO!B:H,7,FALSE),"")</f>
        <v>LINEAL</v>
      </c>
      <c r="K379" s="383" t="str">
        <f>IF(BD_MO[FECHA]&lt;&gt;"",VLOOKUP(BD_MO[LABOR],D_CECO!B:H,4,FALSE),"")</f>
        <v>EXPLORACION</v>
      </c>
      <c r="L379" s="383"/>
      <c r="M379" s="40"/>
      <c r="N379" s="212"/>
      <c r="O379" s="93" t="s">
        <v>12092</v>
      </c>
      <c r="P379" s="93" t="s">
        <v>12099</v>
      </c>
      <c r="Q379" s="93"/>
      <c r="R379" s="384"/>
      <c r="S379" s="385" t="str">
        <f>IFERROR(VLOOKUP(BD_MO[DNI 4],#REF!,2,FALSE)," ")</f>
        <v xml:space="preserve"> </v>
      </c>
      <c r="T379" s="386">
        <f>+IF(BD_MO[[#This Row],[FECHA]]&lt;&gt;"",COUNTA(BD_MO[[#This Row],[DNI]],BD_MO[[#This Row],[DNI 2]],BD_MO[[#This Row],[DNI 3]],BD_MO[[#This Row],[DNI 4]]),"")</f>
        <v>2</v>
      </c>
      <c r="U379" s="386"/>
      <c r="V379" s="386"/>
      <c r="W379" s="386"/>
      <c r="X379" s="386">
        <v>2</v>
      </c>
      <c r="Y379" s="86">
        <f>SUM(BD_MO[[#This Row],[LIMP]:[SERV]])</f>
        <v>2</v>
      </c>
      <c r="Z379" s="212"/>
      <c r="AA379" s="212" t="str">
        <f>+IF(BD_MO[[#This Row],[N° VALE]]&lt;&gt;"",1,"")</f>
        <v/>
      </c>
      <c r="AB379" s="40"/>
      <c r="AC379" s="212"/>
      <c r="AD379" s="212" t="str">
        <f>+IF(BD_MO[[#This Row],[N° VALE]]&lt;&gt;"",BD_MO[[#This Row],[FULMINANTE N° 08]]+BD_MO[CARMEX 7''],"")</f>
        <v/>
      </c>
      <c r="AE379" s="212"/>
      <c r="AF379" s="212" t="str">
        <f>+IF(BD_MO[[#This Row],[N° VALE]]&lt;&gt;"",BD_MO[[#This Row],[N° TALADROS]]+BD_MO[[#This Row],[N° TAL. VACIOS]],"")</f>
        <v/>
      </c>
      <c r="AG379" s="387"/>
      <c r="AH379" s="387"/>
      <c r="AI379" s="387"/>
      <c r="AJ379" s="387"/>
      <c r="AK379" s="387"/>
      <c r="AL379" s="387"/>
      <c r="AM379" s="383"/>
      <c r="AN379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79" s="212" t="str">
        <f>+IF(BD_MO[[#This Row],[N° VALE]]&lt;&gt;"",IF(BD_MO[[#This Row],[FULMINANTE N° 08]]&lt;&gt;"",BD_MO[[#This Row],[FULMINANTE N° 08]],IF(BD_MO[[#This Row],[CARMEX 7'']]&lt;&gt;0,0,"")),"")</f>
        <v/>
      </c>
      <c r="AP379" s="386" t="str">
        <f>+IF(BD_MO[[#This Row],[N° VALE]]&lt;&gt;"",BD_MO[[#This Row],[N°  TOTAL TALADROS]]*BD_MO[[#This Row],[BARRA]]*0.95,"")</f>
        <v/>
      </c>
      <c r="AQ379" s="386" t="str">
        <f>+IF(BD_MO[[#This Row],[N° VALE]]&lt;&gt;"",BD_MO[[#This Row],[EMULNOR 1000 (N° CART.)]]*PE_EMUL_1000[PE],"")</f>
        <v/>
      </c>
      <c r="AR379" s="386" t="str">
        <f>+IF(BD_MO[[#This Row],[N° VALE]]&lt;&gt;"",BD_MO[[#This Row],[EMULNOR 3000 (N° CART.)]]*PE_EMUL_3000[PE],"")</f>
        <v/>
      </c>
      <c r="AS379" s="386" t="str">
        <f>+IF(BD_MO[[#This Row],[N° VALE]]&lt;&gt;"",BD_MO[[#This Row],[PULVERULENTA (N° CART.)]]*PE_PULV_65[PE],"")</f>
        <v/>
      </c>
      <c r="AT379" s="386" t="str">
        <f>+IF(BD_MO[[#This Row],[N° DISP]]&lt;&gt;"",BD_MO[[#This Row],[SEMIGELATINA (N° CART.)]]*PE_SEMIGEL_65[PE],"")</f>
        <v/>
      </c>
      <c r="AU379" s="386" t="str">
        <f>+IF(BD_MO[N° VALE]&lt;&gt;"",BD_MO[[#This Row],[KG EXPLO SEMIGEL]]+BD_MO[[#This Row],[KG EXPLO PULVE]]+BD_MO[[#This Row],[KG EXPLO EMULN 3000]]+BD_MO[[#This Row],[KG EXPLO EMULN 1000]],"")</f>
        <v/>
      </c>
      <c r="AV379" s="212"/>
      <c r="AW379" s="212"/>
      <c r="AX379" s="212" t="str">
        <f>+IF(BD_MO[[#This Row],[MINERAL (U-35)]]&lt;&gt;"",BD_MO[[#This Row],[MINERAL (U-35)]]*1.45,"-")</f>
        <v>-</v>
      </c>
      <c r="AY379" s="212" t="str">
        <f>+IF(BD_MO[[#This Row],[DESMONTE (U-35)]]&lt;&gt;"",BD_MO[[#This Row],[DESMONTE (U-35)]]*1.23,"-")</f>
        <v>-</v>
      </c>
      <c r="AZ379" s="212"/>
      <c r="BA379" s="212"/>
      <c r="BB379" s="212"/>
      <c r="BC379" s="212"/>
      <c r="BD379" s="212"/>
      <c r="BE379" s="212"/>
      <c r="BF379" s="212"/>
      <c r="BG379" s="212"/>
      <c r="BH379" s="212"/>
      <c r="BI379" s="212"/>
      <c r="BJ379" s="212"/>
      <c r="BK379" s="212"/>
      <c r="BL379" s="212"/>
      <c r="BM379" s="212"/>
      <c r="BN379" s="383"/>
      <c r="BO379" s="212"/>
      <c r="BP379" s="212"/>
      <c r="BQ379" s="383"/>
      <c r="BR379" s="212"/>
      <c r="BS379" s="383"/>
      <c r="BT379" s="386"/>
      <c r="BU379" s="212"/>
      <c r="BV379" s="212"/>
      <c r="BW379" s="212"/>
      <c r="BX379" s="212"/>
      <c r="BY379" s="212"/>
      <c r="BZ379" s="212"/>
      <c r="CA379" s="212"/>
      <c r="CB379" s="212"/>
      <c r="CC379" s="212"/>
      <c r="CD379" s="212"/>
      <c r="CE379" s="212"/>
      <c r="CF379" s="212"/>
      <c r="CG379" s="212"/>
      <c r="CH379" s="212"/>
      <c r="CI379" s="212"/>
      <c r="CJ379" s="212"/>
      <c r="CK379" s="212"/>
      <c r="CL379" s="212"/>
      <c r="CM379" s="212"/>
      <c r="CN379" s="212"/>
      <c r="CO379" s="212"/>
      <c r="CP379" s="386">
        <f>+IF(BD_MO[[#This Row],[FECHA]]&lt;&gt;"",BD_MO[[#This Row],[PUNTAL 4"]]+BD_MO[[#This Row],[PUNTAL 5"]]+BD_MO[[#This Row],[PUNTAL 6"]]+BD_MO[[#This Row],[PUNTAL 7"]]+BD_MO[[#This Row],[PUNTAL 8"]],"")</f>
        <v>0</v>
      </c>
      <c r="CQ379" s="212"/>
      <c r="CR379" s="212"/>
      <c r="CS379" s="212"/>
      <c r="CT379" s="212"/>
      <c r="CU379" s="212"/>
      <c r="CV379" s="212"/>
      <c r="CW379" s="212"/>
      <c r="CX379" s="212"/>
      <c r="CY379" s="386"/>
      <c r="CZ379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79" s="386">
        <f>+IF(BD_MO[[#This Row],[FECHA]]&lt;&gt;"",BD_MO[[#This Row],[DURMIENTE2]]*6.561+BD_MO[[#This Row],[LISTONES]]*4.921+BD_MO[[#This Row],[TABLA 1"x8"x3m]]*6.561+BD_MO[[#This Row],[TABLA 2"x8"x3m]]*13.122,"")</f>
        <v>0</v>
      </c>
      <c r="DB379" s="386">
        <f>+IF(BD_MO[[#This Row],[FECHA]]&lt;&gt;"",BD_MO[[#This Row],[PIE2 MADERA ASERRADA]]*1.95,"")</f>
        <v>0</v>
      </c>
      <c r="DC379" s="386">
        <f>+IF(BD_MO[[#This Row],[FECHA]]&lt;&gt;"",BD_MO[[#This Row],[KG. MADERA REDONDA]]+BD_MO[[#This Row],[KG MADERA ASERRADA]],"")</f>
        <v>0</v>
      </c>
      <c r="DD379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79" s="212"/>
      <c r="DF379" s="212"/>
      <c r="DG379" s="212"/>
      <c r="DH379" s="212"/>
      <c r="DI379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79" s="228"/>
      <c r="DK379" s="228"/>
      <c r="DL379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79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79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79" s="389"/>
      <c r="DP379" s="228" t="str">
        <f>+IF(BD_MO[[#This Row],[M o D]]&lt;&gt;"",IF(BD_MO[[#This Row],[M o D]]="M",BD_MO[[#This Row],[ROTURA TMH]]/2.65,BD_MO[[#This Row],[ROTURA TMH]]/2.4),"")</f>
        <v/>
      </c>
      <c r="DQ379" s="228"/>
      <c r="DR379" s="116" t="str">
        <f>IF(BD_MO[[#This Row],[TIPO AVANCE]]="Avance",((BD_MO[[#This Row],[AVANCE (m)]]/BD_MO[[#This Row],[AVANCE TEÓRICO]]))," ")</f>
        <v xml:space="preserve"> </v>
      </c>
      <c r="DS379" s="134"/>
      <c r="DT379" s="134"/>
      <c r="DU379" s="134"/>
      <c r="DV379" s="134"/>
      <c r="DW379" s="134"/>
      <c r="DX379" s="135"/>
      <c r="DY379" s="135"/>
      <c r="DZ379" s="135"/>
    </row>
    <row r="380" spans="1:130" s="136" customFormat="1" ht="18" customHeight="1" x14ac:dyDescent="0.25">
      <c r="A380" s="92">
        <v>44673</v>
      </c>
      <c r="B380" s="40" t="s">
        <v>10647</v>
      </c>
      <c r="C380" s="40" t="s">
        <v>10668</v>
      </c>
      <c r="D380" s="94" t="s">
        <v>11872</v>
      </c>
      <c r="E380" s="383" t="str">
        <f>LEFT(BD_MO[[#This Row],[LABOR]],2)</f>
        <v>PQ</v>
      </c>
      <c r="F380" s="212"/>
      <c r="G380" s="212" t="s">
        <v>10669</v>
      </c>
      <c r="H380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80" s="383" t="str">
        <f>IF(BD_MO[FECHA]&lt;&gt;"",VLOOKUP(BD_MO[LABOR],TB_CECO[[LABOR]:[CECO_T]],3,FALSE),"")</f>
        <v>ANDREA</v>
      </c>
      <c r="J380" s="383" t="str">
        <f>IF(BD_MO[FECHA]&lt;&gt;"",VLOOKUP(BD_MO[LABOR],D_CECO!B:H,7,FALSE),"")</f>
        <v>LINEAL</v>
      </c>
      <c r="K380" s="383" t="str">
        <f>IF(BD_MO[FECHA]&lt;&gt;"",VLOOKUP(BD_MO[LABOR],D_CECO!B:H,4,FALSE),"")</f>
        <v>EXPLOTACION</v>
      </c>
      <c r="L380" s="383"/>
      <c r="M380" s="40"/>
      <c r="N380" s="212"/>
      <c r="O380" s="93" t="s">
        <v>12097</v>
      </c>
      <c r="P380" s="93" t="s">
        <v>12090</v>
      </c>
      <c r="Q380" s="93" t="s">
        <v>12089</v>
      </c>
      <c r="R380" s="384"/>
      <c r="S380" s="385" t="str">
        <f>IFERROR(VLOOKUP(BD_MO[DNI 4],#REF!,2,FALSE)," ")</f>
        <v xml:space="preserve"> </v>
      </c>
      <c r="T380" s="386">
        <f>+IF(BD_MO[[#This Row],[FECHA]]&lt;&gt;"",COUNTA(BD_MO[[#This Row],[DNI]],BD_MO[[#This Row],[DNI 2]],BD_MO[[#This Row],[DNI 3]],BD_MO[[#This Row],[DNI 4]]),"")</f>
        <v>3</v>
      </c>
      <c r="U380" s="386"/>
      <c r="V380" s="386"/>
      <c r="W380" s="386"/>
      <c r="X380" s="386">
        <v>3</v>
      </c>
      <c r="Y380" s="86">
        <f>SUM(BD_MO[[#This Row],[LIMP]:[SERV]])</f>
        <v>3</v>
      </c>
      <c r="Z380" s="212"/>
      <c r="AA380" s="212" t="str">
        <f>+IF(BD_MO[[#This Row],[N° VALE]]&lt;&gt;"",1,"")</f>
        <v/>
      </c>
      <c r="AB380" s="40"/>
      <c r="AC380" s="212"/>
      <c r="AD380" s="212" t="str">
        <f>+IF(BD_MO[[#This Row],[N° VALE]]&lt;&gt;"",BD_MO[[#This Row],[FULMINANTE N° 08]]+BD_MO[CARMEX 7''],"")</f>
        <v/>
      </c>
      <c r="AE380" s="212"/>
      <c r="AF380" s="212" t="str">
        <f>+IF(BD_MO[[#This Row],[N° VALE]]&lt;&gt;"",BD_MO[[#This Row],[N° TALADROS]]+BD_MO[[#This Row],[N° TAL. VACIOS]],"")</f>
        <v/>
      </c>
      <c r="AG380" s="387"/>
      <c r="AH380" s="387"/>
      <c r="AI380" s="387"/>
      <c r="AJ380" s="387"/>
      <c r="AK380" s="387"/>
      <c r="AL380" s="387"/>
      <c r="AM380" s="383"/>
      <c r="AN380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80" s="212" t="str">
        <f>+IF(BD_MO[[#This Row],[N° VALE]]&lt;&gt;"",IF(BD_MO[[#This Row],[FULMINANTE N° 08]]&lt;&gt;"",BD_MO[[#This Row],[FULMINANTE N° 08]],IF(BD_MO[[#This Row],[CARMEX 7'']]&lt;&gt;0,0,"")),"")</f>
        <v/>
      </c>
      <c r="AP380" s="386" t="str">
        <f>+IF(BD_MO[[#This Row],[N° VALE]]&lt;&gt;"",BD_MO[[#This Row],[N°  TOTAL TALADROS]]*BD_MO[[#This Row],[BARRA]]*0.95,"")</f>
        <v/>
      </c>
      <c r="AQ380" s="386" t="str">
        <f>+IF(BD_MO[[#This Row],[N° VALE]]&lt;&gt;"",BD_MO[[#This Row],[EMULNOR 1000 (N° CART.)]]*PE_EMUL_1000[PE],"")</f>
        <v/>
      </c>
      <c r="AR380" s="386" t="str">
        <f>+IF(BD_MO[[#This Row],[N° VALE]]&lt;&gt;"",BD_MO[[#This Row],[EMULNOR 3000 (N° CART.)]]*PE_EMUL_3000[PE],"")</f>
        <v/>
      </c>
      <c r="AS380" s="386" t="str">
        <f>+IF(BD_MO[[#This Row],[N° VALE]]&lt;&gt;"",BD_MO[[#This Row],[PULVERULENTA (N° CART.)]]*PE_PULV_65[PE],"")</f>
        <v/>
      </c>
      <c r="AT380" s="386" t="str">
        <f>+IF(BD_MO[[#This Row],[N° DISP]]&lt;&gt;"",BD_MO[[#This Row],[SEMIGELATINA (N° CART.)]]*PE_SEMIGEL_65[PE],"")</f>
        <v/>
      </c>
      <c r="AU380" s="386" t="str">
        <f>+IF(BD_MO[N° VALE]&lt;&gt;"",BD_MO[[#This Row],[KG EXPLO SEMIGEL]]+BD_MO[[#This Row],[KG EXPLO PULVE]]+BD_MO[[#This Row],[KG EXPLO EMULN 3000]]+BD_MO[[#This Row],[KG EXPLO EMULN 1000]],"")</f>
        <v/>
      </c>
      <c r="AV380" s="212"/>
      <c r="AW380" s="212"/>
      <c r="AX380" s="212" t="str">
        <f>+IF(BD_MO[[#This Row],[MINERAL (U-35)]]&lt;&gt;"",BD_MO[[#This Row],[MINERAL (U-35)]]*1.45,"-")</f>
        <v>-</v>
      </c>
      <c r="AY380" s="212" t="str">
        <f>+IF(BD_MO[[#This Row],[DESMONTE (U-35)]]&lt;&gt;"",BD_MO[[#This Row],[DESMONTE (U-35)]]*1.23,"-")</f>
        <v>-</v>
      </c>
      <c r="AZ380" s="212"/>
      <c r="BA380" s="212"/>
      <c r="BB380" s="212"/>
      <c r="BC380" s="212"/>
      <c r="BD380" s="212"/>
      <c r="BE380" s="212"/>
      <c r="BF380" s="212"/>
      <c r="BG380" s="212"/>
      <c r="BH380" s="212"/>
      <c r="BI380" s="212"/>
      <c r="BJ380" s="212"/>
      <c r="BK380" s="212"/>
      <c r="BL380" s="212"/>
      <c r="BM380" s="212"/>
      <c r="BN380" s="383"/>
      <c r="BO380" s="212"/>
      <c r="BP380" s="212"/>
      <c r="BQ380" s="383"/>
      <c r="BR380" s="212"/>
      <c r="BS380" s="383"/>
      <c r="BT380" s="386"/>
      <c r="BU380" s="212"/>
      <c r="BV380" s="212"/>
      <c r="BW380" s="212"/>
      <c r="BX380" s="212"/>
      <c r="BY380" s="212"/>
      <c r="BZ380" s="212"/>
      <c r="CA380" s="212"/>
      <c r="CB380" s="212"/>
      <c r="CC380" s="212"/>
      <c r="CD380" s="212"/>
      <c r="CE380" s="212"/>
      <c r="CF380" s="212"/>
      <c r="CG380" s="212"/>
      <c r="CH380" s="212"/>
      <c r="CI380" s="212"/>
      <c r="CJ380" s="212"/>
      <c r="CK380" s="212"/>
      <c r="CL380" s="212"/>
      <c r="CM380" s="212"/>
      <c r="CN380" s="212"/>
      <c r="CO380" s="212"/>
      <c r="CP380" s="386">
        <f>+IF(BD_MO[[#This Row],[FECHA]]&lt;&gt;"",BD_MO[[#This Row],[PUNTAL 4"]]+BD_MO[[#This Row],[PUNTAL 5"]]+BD_MO[[#This Row],[PUNTAL 6"]]+BD_MO[[#This Row],[PUNTAL 7"]]+BD_MO[[#This Row],[PUNTAL 8"]],"")</f>
        <v>0</v>
      </c>
      <c r="CQ380" s="212"/>
      <c r="CR380" s="212"/>
      <c r="CS380" s="212"/>
      <c r="CT380" s="212"/>
      <c r="CU380" s="212"/>
      <c r="CV380" s="212"/>
      <c r="CW380" s="212"/>
      <c r="CX380" s="212"/>
      <c r="CY380" s="386"/>
      <c r="CZ380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80" s="386">
        <f>+IF(BD_MO[[#This Row],[FECHA]]&lt;&gt;"",BD_MO[[#This Row],[DURMIENTE2]]*6.561+BD_MO[[#This Row],[LISTONES]]*4.921+BD_MO[[#This Row],[TABLA 1"x8"x3m]]*6.561+BD_MO[[#This Row],[TABLA 2"x8"x3m]]*13.122,"")</f>
        <v>0</v>
      </c>
      <c r="DB380" s="386">
        <f>+IF(BD_MO[[#This Row],[FECHA]]&lt;&gt;"",BD_MO[[#This Row],[PIE2 MADERA ASERRADA]]*1.95,"")</f>
        <v>0</v>
      </c>
      <c r="DC380" s="386">
        <f>+IF(BD_MO[[#This Row],[FECHA]]&lt;&gt;"",BD_MO[[#This Row],[KG. MADERA REDONDA]]+BD_MO[[#This Row],[KG MADERA ASERRADA]],"")</f>
        <v>0</v>
      </c>
      <c r="DD380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80" s="212"/>
      <c r="DF380" s="212"/>
      <c r="DG380" s="212"/>
      <c r="DH380" s="212"/>
      <c r="DI380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80" s="228"/>
      <c r="DK380" s="228"/>
      <c r="DL380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80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80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80" s="389"/>
      <c r="DP380" s="228" t="str">
        <f>+IF(BD_MO[[#This Row],[M o D]]&lt;&gt;"",IF(BD_MO[[#This Row],[M o D]]="M",BD_MO[[#This Row],[ROTURA TMH]]/2.65,BD_MO[[#This Row],[ROTURA TMH]]/2.4),"")</f>
        <v/>
      </c>
      <c r="DQ380" s="228"/>
      <c r="DR380" s="116" t="str">
        <f>IF(BD_MO[[#This Row],[TIPO AVANCE]]="Avance",((BD_MO[[#This Row],[AVANCE (m)]]/BD_MO[[#This Row],[AVANCE TEÓRICO]]))," ")</f>
        <v xml:space="preserve"> </v>
      </c>
      <c r="DS380" s="134"/>
      <c r="DT380" s="134"/>
      <c r="DU380" s="134"/>
      <c r="DV380" s="134"/>
      <c r="DW380" s="134"/>
      <c r="DX380" s="135"/>
      <c r="DY380" s="135"/>
      <c r="DZ380" s="135"/>
    </row>
    <row r="381" spans="1:130" s="136" customFormat="1" ht="18" customHeight="1" x14ac:dyDescent="0.25">
      <c r="A381" s="92">
        <v>44673</v>
      </c>
      <c r="B381" s="40" t="s">
        <v>10647</v>
      </c>
      <c r="C381" s="40" t="s">
        <v>10668</v>
      </c>
      <c r="D381" s="94" t="s">
        <v>10954</v>
      </c>
      <c r="E381" s="383" t="str">
        <f>LEFT(BD_MO[[#This Row],[LABOR]],2)</f>
        <v>MO</v>
      </c>
      <c r="F381" s="212"/>
      <c r="G381" s="212" t="s">
        <v>10669</v>
      </c>
      <c r="H381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81" s="383" t="str">
        <f>IF(BD_MO[FECHA]&lt;&gt;"",VLOOKUP(BD_MO[LABOR],TB_CECO[[LABOR]:[CECO_T]],3,FALSE),"")</f>
        <v>INCA</v>
      </c>
      <c r="J381" s="383" t="str">
        <f>IF(BD_MO[FECHA]&lt;&gt;"",VLOOKUP(BD_MO[LABOR],D_CECO!B:H,7,FALSE),"")</f>
        <v>SERVICIOS</v>
      </c>
      <c r="K381" s="383" t="str">
        <f>IF(BD_MO[FECHA]&lt;&gt;"",VLOOKUP(BD_MO[LABOR],D_CECO!B:H,4,FALSE),"")</f>
        <v>SERVICIOS</v>
      </c>
      <c r="L381" s="383"/>
      <c r="M381" s="40"/>
      <c r="N381" s="212"/>
      <c r="O381" s="93" t="s">
        <v>12098</v>
      </c>
      <c r="P381" s="93" t="s">
        <v>12162</v>
      </c>
      <c r="Q381" s="93"/>
      <c r="R381" s="384"/>
      <c r="S381" s="385" t="str">
        <f>IFERROR(VLOOKUP(BD_MO[DNI 4],#REF!,2,FALSE)," ")</f>
        <v xml:space="preserve"> </v>
      </c>
      <c r="T381" s="386">
        <f>+IF(BD_MO[[#This Row],[FECHA]]&lt;&gt;"",COUNTA(BD_MO[[#This Row],[DNI]],BD_MO[[#This Row],[DNI 2]],BD_MO[[#This Row],[DNI 3]],BD_MO[[#This Row],[DNI 4]]),"")</f>
        <v>2</v>
      </c>
      <c r="U381" s="386"/>
      <c r="V381" s="386"/>
      <c r="W381" s="386"/>
      <c r="X381" s="386">
        <v>2</v>
      </c>
      <c r="Y381" s="86">
        <f>SUM(BD_MO[[#This Row],[LIMP]:[SERV]])</f>
        <v>2</v>
      </c>
      <c r="Z381" s="212"/>
      <c r="AA381" s="212" t="str">
        <f>+IF(BD_MO[[#This Row],[N° VALE]]&lt;&gt;"",1,"")</f>
        <v/>
      </c>
      <c r="AB381" s="40"/>
      <c r="AC381" s="212"/>
      <c r="AD381" s="212" t="str">
        <f>+IF(BD_MO[[#This Row],[N° VALE]]&lt;&gt;"",BD_MO[[#This Row],[FULMINANTE N° 08]]+BD_MO[CARMEX 7''],"")</f>
        <v/>
      </c>
      <c r="AE381" s="212"/>
      <c r="AF381" s="212" t="str">
        <f>+IF(BD_MO[[#This Row],[N° VALE]]&lt;&gt;"",BD_MO[[#This Row],[N° TALADROS]]+BD_MO[[#This Row],[N° TAL. VACIOS]],"")</f>
        <v/>
      </c>
      <c r="AG381" s="387"/>
      <c r="AH381" s="387"/>
      <c r="AI381" s="387"/>
      <c r="AJ381" s="387"/>
      <c r="AK381" s="387"/>
      <c r="AL381" s="387"/>
      <c r="AM381" s="383"/>
      <c r="AN381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81" s="212" t="str">
        <f>+IF(BD_MO[[#This Row],[N° VALE]]&lt;&gt;"",IF(BD_MO[[#This Row],[FULMINANTE N° 08]]&lt;&gt;"",BD_MO[[#This Row],[FULMINANTE N° 08]],IF(BD_MO[[#This Row],[CARMEX 7'']]&lt;&gt;0,0,"")),"")</f>
        <v/>
      </c>
      <c r="AP381" s="386" t="str">
        <f>+IF(BD_MO[[#This Row],[N° VALE]]&lt;&gt;"",BD_MO[[#This Row],[N°  TOTAL TALADROS]]*BD_MO[[#This Row],[BARRA]]*0.95,"")</f>
        <v/>
      </c>
      <c r="AQ381" s="386" t="str">
        <f>+IF(BD_MO[[#This Row],[N° VALE]]&lt;&gt;"",BD_MO[[#This Row],[EMULNOR 1000 (N° CART.)]]*PE_EMUL_1000[PE],"")</f>
        <v/>
      </c>
      <c r="AR381" s="386" t="str">
        <f>+IF(BD_MO[[#This Row],[N° VALE]]&lt;&gt;"",BD_MO[[#This Row],[EMULNOR 3000 (N° CART.)]]*PE_EMUL_3000[PE],"")</f>
        <v/>
      </c>
      <c r="AS381" s="386" t="str">
        <f>+IF(BD_MO[[#This Row],[N° VALE]]&lt;&gt;"",BD_MO[[#This Row],[PULVERULENTA (N° CART.)]]*PE_PULV_65[PE],"")</f>
        <v/>
      </c>
      <c r="AT381" s="386" t="str">
        <f>+IF(BD_MO[[#This Row],[N° DISP]]&lt;&gt;"",BD_MO[[#This Row],[SEMIGELATINA (N° CART.)]]*PE_SEMIGEL_65[PE],"")</f>
        <v/>
      </c>
      <c r="AU381" s="386" t="str">
        <f>+IF(BD_MO[N° VALE]&lt;&gt;"",BD_MO[[#This Row],[KG EXPLO SEMIGEL]]+BD_MO[[#This Row],[KG EXPLO PULVE]]+BD_MO[[#This Row],[KG EXPLO EMULN 3000]]+BD_MO[[#This Row],[KG EXPLO EMULN 1000]],"")</f>
        <v/>
      </c>
      <c r="AV381" s="212"/>
      <c r="AW381" s="212"/>
      <c r="AX381" s="212" t="str">
        <f>+IF(BD_MO[[#This Row],[MINERAL (U-35)]]&lt;&gt;"",BD_MO[[#This Row],[MINERAL (U-35)]]*1.45,"-")</f>
        <v>-</v>
      </c>
      <c r="AY381" s="212" t="str">
        <f>+IF(BD_MO[[#This Row],[DESMONTE (U-35)]]&lt;&gt;"",BD_MO[[#This Row],[DESMONTE (U-35)]]*1.23,"-")</f>
        <v>-</v>
      </c>
      <c r="AZ381" s="212"/>
      <c r="BA381" s="212"/>
      <c r="BB381" s="212"/>
      <c r="BC381" s="212"/>
      <c r="BD381" s="212"/>
      <c r="BE381" s="212"/>
      <c r="BF381" s="212"/>
      <c r="BG381" s="212"/>
      <c r="BH381" s="212"/>
      <c r="BI381" s="212"/>
      <c r="BJ381" s="212"/>
      <c r="BK381" s="212"/>
      <c r="BL381" s="212"/>
      <c r="BM381" s="212"/>
      <c r="BN381" s="383"/>
      <c r="BO381" s="212"/>
      <c r="BP381" s="212"/>
      <c r="BQ381" s="383"/>
      <c r="BR381" s="212"/>
      <c r="BS381" s="383"/>
      <c r="BT381" s="386"/>
      <c r="BU381" s="212"/>
      <c r="BV381" s="212"/>
      <c r="BW381" s="212"/>
      <c r="BX381" s="212"/>
      <c r="BY381" s="212"/>
      <c r="BZ381" s="212"/>
      <c r="CA381" s="212"/>
      <c r="CB381" s="212"/>
      <c r="CC381" s="212"/>
      <c r="CD381" s="212"/>
      <c r="CE381" s="212"/>
      <c r="CF381" s="212"/>
      <c r="CG381" s="212"/>
      <c r="CH381" s="212"/>
      <c r="CI381" s="212"/>
      <c r="CJ381" s="212"/>
      <c r="CK381" s="212"/>
      <c r="CL381" s="212"/>
      <c r="CM381" s="212"/>
      <c r="CN381" s="212"/>
      <c r="CO381" s="212"/>
      <c r="CP381" s="386">
        <f>+IF(BD_MO[[#This Row],[FECHA]]&lt;&gt;"",BD_MO[[#This Row],[PUNTAL 4"]]+BD_MO[[#This Row],[PUNTAL 5"]]+BD_MO[[#This Row],[PUNTAL 6"]]+BD_MO[[#This Row],[PUNTAL 7"]]+BD_MO[[#This Row],[PUNTAL 8"]],"")</f>
        <v>0</v>
      </c>
      <c r="CQ381" s="212"/>
      <c r="CR381" s="212"/>
      <c r="CS381" s="212"/>
      <c r="CT381" s="212"/>
      <c r="CU381" s="212"/>
      <c r="CV381" s="212"/>
      <c r="CW381" s="212"/>
      <c r="CX381" s="212"/>
      <c r="CY381" s="386"/>
      <c r="CZ381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81" s="386">
        <f>+IF(BD_MO[[#This Row],[FECHA]]&lt;&gt;"",BD_MO[[#This Row],[DURMIENTE2]]*6.561+BD_MO[[#This Row],[LISTONES]]*4.921+BD_MO[[#This Row],[TABLA 1"x8"x3m]]*6.561+BD_MO[[#This Row],[TABLA 2"x8"x3m]]*13.122,"")</f>
        <v>0</v>
      </c>
      <c r="DB381" s="386">
        <f>+IF(BD_MO[[#This Row],[FECHA]]&lt;&gt;"",BD_MO[[#This Row],[PIE2 MADERA ASERRADA]]*1.95,"")</f>
        <v>0</v>
      </c>
      <c r="DC381" s="386">
        <f>+IF(BD_MO[[#This Row],[FECHA]]&lt;&gt;"",BD_MO[[#This Row],[KG. MADERA REDONDA]]+BD_MO[[#This Row],[KG MADERA ASERRADA]],"")</f>
        <v>0</v>
      </c>
      <c r="DD381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81" s="212"/>
      <c r="DF381" s="212"/>
      <c r="DG381" s="212"/>
      <c r="DH381" s="212"/>
      <c r="DI381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81" s="228"/>
      <c r="DK381" s="228"/>
      <c r="DL381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81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81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81" s="389"/>
      <c r="DP381" s="228" t="str">
        <f>+IF(BD_MO[[#This Row],[M o D]]&lt;&gt;"",IF(BD_MO[[#This Row],[M o D]]="M",BD_MO[[#This Row],[ROTURA TMH]]/2.65,BD_MO[[#This Row],[ROTURA TMH]]/2.4),"")</f>
        <v/>
      </c>
      <c r="DQ381" s="228"/>
      <c r="DR381" s="116" t="str">
        <f>IF(BD_MO[[#This Row],[TIPO AVANCE]]="Avance",((BD_MO[[#This Row],[AVANCE (m)]]/BD_MO[[#This Row],[AVANCE TEÓRICO]]))," ")</f>
        <v xml:space="preserve"> </v>
      </c>
      <c r="DS381" s="134"/>
      <c r="DT381" s="134"/>
      <c r="DU381" s="134"/>
      <c r="DV381" s="134"/>
      <c r="DW381" s="134"/>
      <c r="DX381" s="135"/>
      <c r="DY381" s="135"/>
      <c r="DZ381" s="135"/>
    </row>
    <row r="382" spans="1:130" s="115" customFormat="1" ht="18" customHeight="1" thickBot="1" x14ac:dyDescent="0.3">
      <c r="A382" s="130">
        <v>44673</v>
      </c>
      <c r="B382" s="117" t="s">
        <v>10647</v>
      </c>
      <c r="C382" s="117" t="s">
        <v>10668</v>
      </c>
      <c r="D382" s="118" t="s">
        <v>10717</v>
      </c>
      <c r="E382" s="119" t="str">
        <f>LEFT(BD_MO[[#This Row],[LABOR]],2)</f>
        <v>BO</v>
      </c>
      <c r="F382" s="120"/>
      <c r="G382" s="120" t="s">
        <v>10669</v>
      </c>
      <c r="H382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82" s="119" t="str">
        <f>IF(BD_MO[FECHA]&lt;&gt;"",VLOOKUP(BD_MO[LABOR],TB_CECO[[LABOR]:[CECO_T]],3,FALSE),"")</f>
        <v>CACHORRO</v>
      </c>
      <c r="J382" s="119" t="str">
        <f>IF(BD_MO[FECHA]&lt;&gt;"",VLOOKUP(BD_MO[LABOR],D_CECO!B:H,7,FALSE),"")</f>
        <v>SERVICIOS</v>
      </c>
      <c r="K382" s="119" t="str">
        <f>IF(BD_MO[FECHA]&lt;&gt;"",VLOOKUP(BD_MO[LABOR],D_CECO!B:H,4,FALSE),"")</f>
        <v>SERVICIOS</v>
      </c>
      <c r="L382" s="119"/>
      <c r="M382" s="117"/>
      <c r="N382" s="120"/>
      <c r="O382" s="121" t="s">
        <v>12118</v>
      </c>
      <c r="P382" s="121"/>
      <c r="Q382" s="121"/>
      <c r="R382" s="122"/>
      <c r="S382" s="123" t="str">
        <f>IFERROR(VLOOKUP(BD_MO[DNI 4],#REF!,2,FALSE)," ")</f>
        <v xml:space="preserve"> </v>
      </c>
      <c r="T382" s="124">
        <f>+IF(BD_MO[[#This Row],[FECHA]]&lt;&gt;"",COUNTA(BD_MO[[#This Row],[DNI]],BD_MO[[#This Row],[DNI 2]],BD_MO[[#This Row],[DNI 3]],BD_MO[[#This Row],[DNI 4]]),"")</f>
        <v>1</v>
      </c>
      <c r="U382" s="124"/>
      <c r="V382" s="124"/>
      <c r="W382" s="124"/>
      <c r="X382" s="124">
        <v>1</v>
      </c>
      <c r="Y382" s="125">
        <f>SUM(BD_MO[[#This Row],[LIMP]:[SERV]])</f>
        <v>1</v>
      </c>
      <c r="Z382" s="120"/>
      <c r="AA382" s="120" t="str">
        <f>+IF(BD_MO[[#This Row],[N° VALE]]&lt;&gt;"",1,"")</f>
        <v/>
      </c>
      <c r="AB382" s="117"/>
      <c r="AC382" s="120"/>
      <c r="AD382" s="120" t="str">
        <f>+IF(BD_MO[[#This Row],[N° VALE]]&lt;&gt;"",BD_MO[[#This Row],[FULMINANTE N° 08]]+BD_MO[CARMEX 7''],"")</f>
        <v/>
      </c>
      <c r="AE382" s="120"/>
      <c r="AF382" s="120" t="str">
        <f>+IF(BD_MO[[#This Row],[N° VALE]]&lt;&gt;"",BD_MO[[#This Row],[N° TALADROS]]+BD_MO[[#This Row],[N° TAL. VACIOS]],"")</f>
        <v/>
      </c>
      <c r="AG382" s="126"/>
      <c r="AH382" s="126"/>
      <c r="AI382" s="126"/>
      <c r="AJ382" s="126"/>
      <c r="AK382" s="126"/>
      <c r="AL382" s="126"/>
      <c r="AM382" s="119"/>
      <c r="AN382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82" s="120" t="str">
        <f>+IF(BD_MO[[#This Row],[N° VALE]]&lt;&gt;"",IF(BD_MO[[#This Row],[FULMINANTE N° 08]]&lt;&gt;"",BD_MO[[#This Row],[FULMINANTE N° 08]],IF(BD_MO[[#This Row],[CARMEX 7'']]&lt;&gt;0,0,"")),"")</f>
        <v/>
      </c>
      <c r="AP382" s="124" t="str">
        <f>+IF(BD_MO[[#This Row],[N° VALE]]&lt;&gt;"",BD_MO[[#This Row],[N°  TOTAL TALADROS]]*BD_MO[[#This Row],[BARRA]]*0.95,"")</f>
        <v/>
      </c>
      <c r="AQ382" s="124" t="str">
        <f>+IF(BD_MO[[#This Row],[N° VALE]]&lt;&gt;"",BD_MO[[#This Row],[EMULNOR 1000 (N° CART.)]]*PE_EMUL_1000[PE],"")</f>
        <v/>
      </c>
      <c r="AR382" s="124" t="str">
        <f>+IF(BD_MO[[#This Row],[N° VALE]]&lt;&gt;"",BD_MO[[#This Row],[EMULNOR 3000 (N° CART.)]]*PE_EMUL_3000[PE],"")</f>
        <v/>
      </c>
      <c r="AS382" s="124" t="str">
        <f>+IF(BD_MO[[#This Row],[N° VALE]]&lt;&gt;"",BD_MO[[#This Row],[PULVERULENTA (N° CART.)]]*PE_PULV_65[PE],"")</f>
        <v/>
      </c>
      <c r="AT382" s="124" t="str">
        <f>+IF(BD_MO[[#This Row],[N° DISP]]&lt;&gt;"",BD_MO[[#This Row],[SEMIGELATINA (N° CART.)]]*PE_SEMIGEL_65[PE],"")</f>
        <v/>
      </c>
      <c r="AU382" s="124" t="str">
        <f>+IF(BD_MO[N° VALE]&lt;&gt;"",BD_MO[[#This Row],[KG EXPLO SEMIGEL]]+BD_MO[[#This Row],[KG EXPLO PULVE]]+BD_MO[[#This Row],[KG EXPLO EMULN 3000]]+BD_MO[[#This Row],[KG EXPLO EMULN 1000]],"")</f>
        <v/>
      </c>
      <c r="AV382" s="120"/>
      <c r="AW382" s="120"/>
      <c r="AX382" s="120" t="str">
        <f>+IF(BD_MO[[#This Row],[MINERAL (U-35)]]&lt;&gt;"",BD_MO[[#This Row],[MINERAL (U-35)]]*1.45,"-")</f>
        <v>-</v>
      </c>
      <c r="AY382" s="120" t="str">
        <f>+IF(BD_MO[[#This Row],[DESMONTE (U-35)]]&lt;&gt;"",BD_MO[[#This Row],[DESMONTE (U-35)]]*1.23,"-")</f>
        <v>-</v>
      </c>
      <c r="AZ382" s="120"/>
      <c r="BA382" s="120"/>
      <c r="BB382" s="120"/>
      <c r="BC382" s="120"/>
      <c r="BD382" s="120"/>
      <c r="BE382" s="120"/>
      <c r="BF382" s="120"/>
      <c r="BG382" s="120"/>
      <c r="BH382" s="120"/>
      <c r="BI382" s="120"/>
      <c r="BJ382" s="120"/>
      <c r="BK382" s="120"/>
      <c r="BL382" s="120"/>
      <c r="BM382" s="120"/>
      <c r="BN382" s="119"/>
      <c r="BO382" s="120"/>
      <c r="BP382" s="120"/>
      <c r="BQ382" s="119"/>
      <c r="BR382" s="120"/>
      <c r="BS382" s="119"/>
      <c r="BT382" s="124"/>
      <c r="BU382" s="120"/>
      <c r="BV382" s="120"/>
      <c r="BW382" s="120"/>
      <c r="BX382" s="120"/>
      <c r="BY382" s="120"/>
      <c r="BZ382" s="120"/>
      <c r="CA382" s="120"/>
      <c r="CB382" s="120"/>
      <c r="CC382" s="120"/>
      <c r="CD382" s="120"/>
      <c r="CE382" s="120"/>
      <c r="CF382" s="120"/>
      <c r="CG382" s="120"/>
      <c r="CH382" s="120"/>
      <c r="CI382" s="120"/>
      <c r="CJ382" s="120"/>
      <c r="CK382" s="120"/>
      <c r="CL382" s="120"/>
      <c r="CM382" s="120"/>
      <c r="CN382" s="120"/>
      <c r="CO382" s="120"/>
      <c r="CP382" s="124">
        <f>+IF(BD_MO[[#This Row],[FECHA]]&lt;&gt;"",BD_MO[[#This Row],[PUNTAL 4"]]+BD_MO[[#This Row],[PUNTAL 5"]]+BD_MO[[#This Row],[PUNTAL 6"]]+BD_MO[[#This Row],[PUNTAL 7"]]+BD_MO[[#This Row],[PUNTAL 8"]],"")</f>
        <v>0</v>
      </c>
      <c r="CQ382" s="120"/>
      <c r="CR382" s="120"/>
      <c r="CS382" s="120"/>
      <c r="CT382" s="120"/>
      <c r="CU382" s="120"/>
      <c r="CV382" s="120"/>
      <c r="CW382" s="120"/>
      <c r="CX382" s="120"/>
      <c r="CY382" s="124"/>
      <c r="CZ382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82" s="124">
        <f>+IF(BD_MO[[#This Row],[FECHA]]&lt;&gt;"",BD_MO[[#This Row],[DURMIENTE2]]*6.561+BD_MO[[#This Row],[LISTONES]]*4.921+BD_MO[[#This Row],[TABLA 1"x8"x3m]]*6.561+BD_MO[[#This Row],[TABLA 2"x8"x3m]]*13.122,"")</f>
        <v>0</v>
      </c>
      <c r="DB382" s="124">
        <f>+IF(BD_MO[[#This Row],[FECHA]]&lt;&gt;"",BD_MO[[#This Row],[PIE2 MADERA ASERRADA]]*1.95,"")</f>
        <v>0</v>
      </c>
      <c r="DC382" s="124">
        <f>+IF(BD_MO[[#This Row],[FECHA]]&lt;&gt;"",BD_MO[[#This Row],[KG. MADERA REDONDA]]+BD_MO[[#This Row],[KG MADERA ASERRADA]],"")</f>
        <v>0</v>
      </c>
      <c r="DD382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82" s="120"/>
      <c r="DF382" s="120"/>
      <c r="DG382" s="120"/>
      <c r="DH382" s="120"/>
      <c r="DI382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82" s="128"/>
      <c r="DK382" s="128"/>
      <c r="DL382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82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82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82" s="129"/>
      <c r="DP382" s="128" t="str">
        <f>+IF(BD_MO[[#This Row],[M o D]]&lt;&gt;"",IF(BD_MO[[#This Row],[M o D]]="M",BD_MO[[#This Row],[ROTURA TMH]]/2.65,BD_MO[[#This Row],[ROTURA TMH]]/2.4),"")</f>
        <v/>
      </c>
      <c r="DQ382" s="128"/>
      <c r="DR382" s="484" t="str">
        <f>IF(BD_MO[[#This Row],[TIPO AVANCE]]="Avance",((BD_MO[[#This Row],[AVANCE (m)]]/BD_MO[[#This Row],[AVANCE TEÓRICO]]))," ")</f>
        <v xml:space="preserve"> </v>
      </c>
      <c r="DS382" s="113"/>
      <c r="DT382" s="113"/>
      <c r="DU382" s="113"/>
      <c r="DV382" s="113"/>
      <c r="DW382" s="113"/>
      <c r="DX382" s="114"/>
      <c r="DY382" s="114"/>
      <c r="DZ382" s="114"/>
    </row>
    <row r="383" spans="1:130" s="136" customFormat="1" ht="18" customHeight="1" x14ac:dyDescent="0.25">
      <c r="A383" s="92">
        <v>44673</v>
      </c>
      <c r="B383" s="40" t="s">
        <v>10655</v>
      </c>
      <c r="C383" s="40" t="s">
        <v>10672</v>
      </c>
      <c r="D383" s="94" t="s">
        <v>11827</v>
      </c>
      <c r="E383" s="383" t="str">
        <f>LEFT(BD_MO[[#This Row],[LABOR]],2)</f>
        <v>Tj</v>
      </c>
      <c r="F383" s="212" t="s">
        <v>10950</v>
      </c>
      <c r="G383" s="212" t="s">
        <v>10648</v>
      </c>
      <c r="H383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83" s="383" t="str">
        <f>IF(BD_MO[FECHA]&lt;&gt;"",VLOOKUP(BD_MO[LABOR],TB_CECO[[LABOR]:[CECO_T]],3,FALSE),"")</f>
        <v>VANESSA</v>
      </c>
      <c r="J383" s="383" t="str">
        <f>IF(BD_MO[FECHA]&lt;&gt;"",VLOOKUP(BD_MO[LABOR],D_CECO!B:H,7,FALSE),"")</f>
        <v>TAJO</v>
      </c>
      <c r="K383" s="383" t="str">
        <f>IF(BD_MO[FECHA]&lt;&gt;"",VLOOKUP(BD_MO[LABOR],D_CECO!B:H,4,FALSE),"")</f>
        <v>EXPLOTACION</v>
      </c>
      <c r="L383" s="383"/>
      <c r="M383" s="40" t="s">
        <v>10654</v>
      </c>
      <c r="N383" s="212"/>
      <c r="O383" s="93" t="s">
        <v>12194</v>
      </c>
      <c r="P383" s="93"/>
      <c r="Q383" s="93"/>
      <c r="R383" s="384"/>
      <c r="S383" s="385" t="str">
        <f>IFERROR(VLOOKUP(BD_MO[DNI 4],#REF!,2,FALSE)," ")</f>
        <v xml:space="preserve"> </v>
      </c>
      <c r="T383" s="386">
        <f>+IF(BD_MO[[#This Row],[FECHA]]&lt;&gt;"",COUNTA(BD_MO[[#This Row],[DNI]],BD_MO[[#This Row],[DNI 2]],BD_MO[[#This Row],[DNI 3]],BD_MO[[#This Row],[DNI 4]]),"")</f>
        <v>1</v>
      </c>
      <c r="U383" s="386"/>
      <c r="V383" s="386">
        <v>0.48</v>
      </c>
      <c r="W383" s="386">
        <v>0.14000000000000001</v>
      </c>
      <c r="X383" s="386">
        <v>0.38</v>
      </c>
      <c r="Y383" s="86">
        <f>SUM(BD_MO[[#This Row],[LIMP]:[SERV]])</f>
        <v>1</v>
      </c>
      <c r="Z383" s="212" t="s">
        <v>12355</v>
      </c>
      <c r="AA383" s="212">
        <f>+IF(BD_MO[[#This Row],[N° VALE]]&lt;&gt;"",1,"")</f>
        <v>1</v>
      </c>
      <c r="AB383" s="40" t="s">
        <v>10691</v>
      </c>
      <c r="AC383" s="212">
        <v>4</v>
      </c>
      <c r="AD383" s="212">
        <f>+IF(BD_MO[[#This Row],[N° VALE]]&lt;&gt;"",BD_MO[[#This Row],[FULMINANTE N° 08]]+BD_MO[CARMEX 7''],"")</f>
        <v>14</v>
      </c>
      <c r="AE383" s="212"/>
      <c r="AF383" s="212">
        <f>+IF(BD_MO[[#This Row],[N° VALE]]&lt;&gt;"",BD_MO[[#This Row],[N° TALADROS]]+BD_MO[[#This Row],[N° TAL. VACIOS]],"")</f>
        <v>14</v>
      </c>
      <c r="AG383" s="387">
        <v>50</v>
      </c>
      <c r="AH383" s="387">
        <v>14</v>
      </c>
      <c r="AI383" s="387"/>
      <c r="AJ383" s="387"/>
      <c r="AK383" s="387">
        <v>14</v>
      </c>
      <c r="AL383" s="387">
        <v>5</v>
      </c>
      <c r="AM383" s="383"/>
      <c r="AN383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83" s="212">
        <f>+IF(BD_MO[[#This Row],[N° VALE]]&lt;&gt;"",IF(BD_MO[[#This Row],[FULMINANTE N° 08]]&lt;&gt;"",BD_MO[[#This Row],[FULMINANTE N° 08]],IF(BD_MO[[#This Row],[CARMEX 7'']]&lt;&gt;0,0,"")),"")</f>
        <v>0</v>
      </c>
      <c r="AP383" s="386">
        <f>+IF(BD_MO[[#This Row],[N° VALE]]&lt;&gt;"",BD_MO[[#This Row],[N°  TOTAL TALADROS]]*BD_MO[[#This Row],[BARRA]]*0.95,"")</f>
        <v>53.199999999999996</v>
      </c>
      <c r="AQ383" s="386">
        <f>+IF(BD_MO[[#This Row],[N° VALE]]&lt;&gt;"",BD_MO[[#This Row],[EMULNOR 1000 (N° CART.)]]*PE_EMUL_1000[PE],"")</f>
        <v>1.3258000000000001</v>
      </c>
      <c r="AR383" s="386">
        <f>+IF(BD_MO[[#This Row],[N° VALE]]&lt;&gt;"",BD_MO[[#This Row],[EMULNOR 3000 (N° CART.)]]*PE_EMUL_3000[PE],"")</f>
        <v>4.8076923076923102</v>
      </c>
      <c r="AS383" s="386">
        <f>+IF(BD_MO[[#This Row],[N° VALE]]&lt;&gt;"",BD_MO[[#This Row],[PULVERULENTA (N° CART.)]]*PE_PULV_65[PE],"")</f>
        <v>0</v>
      </c>
      <c r="AT383" s="386">
        <f>+IF(BD_MO[[#This Row],[N° DISP]]&lt;&gt;"",BD_MO[[#This Row],[SEMIGELATINA (N° CART.)]]*PE_SEMIGEL_65[PE],"")</f>
        <v>0</v>
      </c>
      <c r="AU383" s="386">
        <f>+IF(BD_MO[N° VALE]&lt;&gt;"",BD_MO[[#This Row],[KG EXPLO SEMIGEL]]+BD_MO[[#This Row],[KG EXPLO PULVE]]+BD_MO[[#This Row],[KG EXPLO EMULN 3000]]+BD_MO[[#This Row],[KG EXPLO EMULN 1000]],"")</f>
        <v>6.1334923076923102</v>
      </c>
      <c r="AV383" s="212"/>
      <c r="AW383" s="212"/>
      <c r="AX383" s="212" t="str">
        <f>+IF(BD_MO[[#This Row],[MINERAL (U-35)]]&lt;&gt;"",BD_MO[[#This Row],[MINERAL (U-35)]]*1.45,"-")</f>
        <v>-</v>
      </c>
      <c r="AY383" s="212" t="str">
        <f>+IF(BD_MO[[#This Row],[DESMONTE (U-35)]]&lt;&gt;"",BD_MO[[#This Row],[DESMONTE (U-35)]]*1.23,"-")</f>
        <v>-</v>
      </c>
      <c r="AZ383" s="212"/>
      <c r="BA383" s="212"/>
      <c r="BB383" s="212"/>
      <c r="BC383" s="212"/>
      <c r="BD383" s="212"/>
      <c r="BE383" s="212"/>
      <c r="BF383" s="212"/>
      <c r="BG383" s="212"/>
      <c r="BH383" s="212"/>
      <c r="BI383" s="212"/>
      <c r="BJ383" s="212"/>
      <c r="BK383" s="212"/>
      <c r="BL383" s="212"/>
      <c r="BM383" s="212"/>
      <c r="BN383" s="383">
        <v>6</v>
      </c>
      <c r="BO383" s="212"/>
      <c r="BP383" s="212"/>
      <c r="BQ383" s="383"/>
      <c r="BR383" s="212"/>
      <c r="BS383" s="383"/>
      <c r="BT383" s="386"/>
      <c r="BU383" s="212"/>
      <c r="BV383" s="212"/>
      <c r="BW383" s="212"/>
      <c r="BX383" s="212">
        <v>4</v>
      </c>
      <c r="BY383" s="212"/>
      <c r="BZ383" s="212"/>
      <c r="CA383" s="212"/>
      <c r="CB383" s="212"/>
      <c r="CC383" s="212"/>
      <c r="CD383" s="212"/>
      <c r="CE383" s="212"/>
      <c r="CF383" s="212"/>
      <c r="CG383" s="212"/>
      <c r="CH383" s="212"/>
      <c r="CI383" s="212"/>
      <c r="CJ383" s="212"/>
      <c r="CK383" s="212"/>
      <c r="CL383" s="212"/>
      <c r="CM383" s="212"/>
      <c r="CN383" s="212"/>
      <c r="CO383" s="212"/>
      <c r="CP383" s="386">
        <f>+IF(BD_MO[[#This Row],[FECHA]]&lt;&gt;"",BD_MO[[#This Row],[PUNTAL 4"]]+BD_MO[[#This Row],[PUNTAL 5"]]+BD_MO[[#This Row],[PUNTAL 6"]]+BD_MO[[#This Row],[PUNTAL 7"]]+BD_MO[[#This Row],[PUNTAL 8"]],"")</f>
        <v>0</v>
      </c>
      <c r="CQ383" s="212"/>
      <c r="CR383" s="212"/>
      <c r="CS383" s="212">
        <v>10</v>
      </c>
      <c r="CT383" s="212"/>
      <c r="CU383" s="212"/>
      <c r="CV383" s="212"/>
      <c r="CW383" s="212"/>
      <c r="CX383" s="212"/>
      <c r="CY383" s="386"/>
      <c r="CZ383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246</v>
      </c>
      <c r="DA383" s="386">
        <f>+IF(BD_MO[[#This Row],[FECHA]]&lt;&gt;"",BD_MO[[#This Row],[DURMIENTE2]]*6.561+BD_MO[[#This Row],[LISTONES]]*4.921+BD_MO[[#This Row],[TABLA 1"x8"x3m]]*6.561+BD_MO[[#This Row],[TABLA 2"x8"x3m]]*13.122,"")</f>
        <v>0</v>
      </c>
      <c r="DB383" s="386">
        <f>+IF(BD_MO[[#This Row],[FECHA]]&lt;&gt;"",BD_MO[[#This Row],[PIE2 MADERA ASERRADA]]*1.95,"")</f>
        <v>0</v>
      </c>
      <c r="DC383" s="386">
        <f>+IF(BD_MO[[#This Row],[FECHA]]&lt;&gt;"",BD_MO[[#This Row],[KG. MADERA REDONDA]]+BD_MO[[#This Row],[KG MADERA ASERRADA]],"")</f>
        <v>246</v>
      </c>
      <c r="DD383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122.89999999999999</v>
      </c>
      <c r="DE383" s="212"/>
      <c r="DF383" s="212"/>
      <c r="DG383" s="212"/>
      <c r="DH383" s="212"/>
      <c r="DI383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83" s="228"/>
      <c r="DK383" s="228"/>
      <c r="DL383" s="228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3.27</v>
      </c>
      <c r="DM383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3.4008000000000003</v>
      </c>
      <c r="DN383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83" s="50">
        <f>20*0.4973</f>
        <v>9.9459999999999997</v>
      </c>
      <c r="DP383" s="228">
        <f>+IF(BD_MO[[#This Row],[M o D]]&lt;&gt;"",IF(BD_MO[[#This Row],[M o D]]="M",BD_MO[[#This Row],[ROTURA TMH]]/2.65,BD_MO[[#This Row],[ROTURA TMH]]/2.4),"")</f>
        <v>3.7532075471698114</v>
      </c>
      <c r="DQ383" s="228"/>
      <c r="DR383" s="116" t="str">
        <f>IF(BD_MO[[#This Row],[TIPO AVANCE]]="Avance",((BD_MO[[#This Row],[AVANCE (m)]]/BD_MO[[#This Row],[AVANCE TEÓRICO]]))," ")</f>
        <v xml:space="preserve"> </v>
      </c>
      <c r="DS383" s="134"/>
      <c r="DT383" s="134"/>
      <c r="DU383" s="134"/>
      <c r="DV383" s="134"/>
      <c r="DW383" s="134"/>
      <c r="DX383" s="135"/>
      <c r="DY383" s="135"/>
      <c r="DZ383" s="135"/>
    </row>
    <row r="384" spans="1:130" s="136" customFormat="1" ht="18" customHeight="1" x14ac:dyDescent="0.25">
      <c r="A384" s="92">
        <v>44673</v>
      </c>
      <c r="B384" s="40" t="s">
        <v>10655</v>
      </c>
      <c r="C384" s="40" t="s">
        <v>10672</v>
      </c>
      <c r="D384" s="94" t="s">
        <v>11827</v>
      </c>
      <c r="E384" s="383" t="str">
        <f>LEFT(BD_MO[[#This Row],[LABOR]],2)</f>
        <v>Tj</v>
      </c>
      <c r="F384" s="212" t="s">
        <v>10950</v>
      </c>
      <c r="G384" s="212" t="s">
        <v>10648</v>
      </c>
      <c r="H384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84" s="383" t="str">
        <f>IF(BD_MO[FECHA]&lt;&gt;"",VLOOKUP(BD_MO[LABOR],TB_CECO[[LABOR]:[CECO_T]],3,FALSE),"")</f>
        <v>VANESSA</v>
      </c>
      <c r="J384" s="383" t="str">
        <f>IF(BD_MO[FECHA]&lt;&gt;"",VLOOKUP(BD_MO[LABOR],D_CECO!B:H,7,FALSE),"")</f>
        <v>TAJO</v>
      </c>
      <c r="K384" s="383" t="str">
        <f>IF(BD_MO[FECHA]&lt;&gt;"",VLOOKUP(BD_MO[LABOR],D_CECO!B:H,4,FALSE),"")</f>
        <v>EXPLOTACION</v>
      </c>
      <c r="L384" s="383"/>
      <c r="M384" s="40" t="s">
        <v>10661</v>
      </c>
      <c r="N384" s="212"/>
      <c r="O384" s="93" t="s">
        <v>12332</v>
      </c>
      <c r="P384" s="93"/>
      <c r="Q384" s="93"/>
      <c r="R384" s="384"/>
      <c r="S384" s="385" t="str">
        <f>IFERROR(VLOOKUP(BD_MO[DNI 4],#REF!,2,FALSE)," ")</f>
        <v xml:space="preserve"> </v>
      </c>
      <c r="T384" s="386">
        <f>+IF(BD_MO[[#This Row],[FECHA]]&lt;&gt;"",COUNTA(BD_MO[[#This Row],[DNI]],BD_MO[[#This Row],[DNI 2]],BD_MO[[#This Row],[DNI 3]],BD_MO[[#This Row],[DNI 4]]),"")</f>
        <v>1</v>
      </c>
      <c r="U384" s="386"/>
      <c r="V384" s="386">
        <v>0.48</v>
      </c>
      <c r="W384" s="386">
        <v>0.14000000000000001</v>
      </c>
      <c r="X384" s="386">
        <v>0.38</v>
      </c>
      <c r="Y384" s="86">
        <f>SUM(BD_MO[[#This Row],[LIMP]:[SERV]])</f>
        <v>1</v>
      </c>
      <c r="Z384" s="212" t="s">
        <v>12356</v>
      </c>
      <c r="AA384" s="212">
        <f>+IF(BD_MO[[#This Row],[N° VALE]]&lt;&gt;"",1,"")</f>
        <v>1</v>
      </c>
      <c r="AB384" s="40" t="s">
        <v>10691</v>
      </c>
      <c r="AC384" s="212">
        <v>4</v>
      </c>
      <c r="AD384" s="212">
        <f>+IF(BD_MO[[#This Row],[N° VALE]]&lt;&gt;"",BD_MO[[#This Row],[FULMINANTE N° 08]]+BD_MO[CARMEX 7''],"")</f>
        <v>10</v>
      </c>
      <c r="AE384" s="212"/>
      <c r="AF384" s="212">
        <f>+IF(BD_MO[[#This Row],[N° VALE]]&lt;&gt;"",BD_MO[[#This Row],[N° TALADROS]]+BD_MO[[#This Row],[N° TAL. VACIOS]],"")</f>
        <v>10</v>
      </c>
      <c r="AG384" s="387">
        <v>20</v>
      </c>
      <c r="AH384" s="387">
        <v>24</v>
      </c>
      <c r="AI384" s="387"/>
      <c r="AJ384" s="387"/>
      <c r="AK384" s="387">
        <v>10</v>
      </c>
      <c r="AL384" s="387">
        <v>3</v>
      </c>
      <c r="AM384" s="383"/>
      <c r="AN384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84" s="212">
        <f>+IF(BD_MO[[#This Row],[N° VALE]]&lt;&gt;"",IF(BD_MO[[#This Row],[FULMINANTE N° 08]]&lt;&gt;"",BD_MO[[#This Row],[FULMINANTE N° 08]],IF(BD_MO[[#This Row],[CARMEX 7'']]&lt;&gt;0,0,"")),"")</f>
        <v>0</v>
      </c>
      <c r="AP384" s="386">
        <f>+IF(BD_MO[[#This Row],[N° VALE]]&lt;&gt;"",BD_MO[[#This Row],[N°  TOTAL TALADROS]]*BD_MO[[#This Row],[BARRA]]*0.95,"")</f>
        <v>38</v>
      </c>
      <c r="AQ384" s="386">
        <f>+IF(BD_MO[[#This Row],[N° VALE]]&lt;&gt;"",BD_MO[[#This Row],[EMULNOR 1000 (N° CART.)]]*PE_EMUL_1000[PE],"")</f>
        <v>2.2728000000000002</v>
      </c>
      <c r="AR384" s="386">
        <f>+IF(BD_MO[[#This Row],[N° VALE]]&lt;&gt;"",BD_MO[[#This Row],[EMULNOR 3000 (N° CART.)]]*PE_EMUL_3000[PE],"")</f>
        <v>1.923076923076924</v>
      </c>
      <c r="AS384" s="386">
        <f>+IF(BD_MO[[#This Row],[N° VALE]]&lt;&gt;"",BD_MO[[#This Row],[PULVERULENTA (N° CART.)]]*PE_PULV_65[PE],"")</f>
        <v>0</v>
      </c>
      <c r="AT384" s="386">
        <f>+IF(BD_MO[[#This Row],[N° DISP]]&lt;&gt;"",BD_MO[[#This Row],[SEMIGELATINA (N° CART.)]]*PE_SEMIGEL_65[PE],"")</f>
        <v>0</v>
      </c>
      <c r="AU384" s="386">
        <f>+IF(BD_MO[N° VALE]&lt;&gt;"",BD_MO[[#This Row],[KG EXPLO SEMIGEL]]+BD_MO[[#This Row],[KG EXPLO PULVE]]+BD_MO[[#This Row],[KG EXPLO EMULN 3000]]+BD_MO[[#This Row],[KG EXPLO EMULN 1000]],"")</f>
        <v>4.1958769230769244</v>
      </c>
      <c r="AV384" s="212"/>
      <c r="AW384" s="212"/>
      <c r="AX384" s="212" t="str">
        <f>+IF(BD_MO[[#This Row],[MINERAL (U-35)]]&lt;&gt;"",BD_MO[[#This Row],[MINERAL (U-35)]]*1.45,"-")</f>
        <v>-</v>
      </c>
      <c r="AY384" s="212" t="str">
        <f>+IF(BD_MO[[#This Row],[DESMONTE (U-35)]]&lt;&gt;"",BD_MO[[#This Row],[DESMONTE (U-35)]]*1.23,"-")</f>
        <v>-</v>
      </c>
      <c r="AZ384" s="212"/>
      <c r="BA384" s="212"/>
      <c r="BB384" s="212"/>
      <c r="BC384" s="212"/>
      <c r="BD384" s="212"/>
      <c r="BE384" s="212"/>
      <c r="BF384" s="212"/>
      <c r="BG384" s="212"/>
      <c r="BH384" s="212"/>
      <c r="BI384" s="212"/>
      <c r="BJ384" s="212"/>
      <c r="BK384" s="212"/>
      <c r="BL384" s="212"/>
      <c r="BM384" s="212"/>
      <c r="BN384" s="383"/>
      <c r="BO384" s="212"/>
      <c r="BP384" s="212"/>
      <c r="BQ384" s="383"/>
      <c r="BR384" s="212"/>
      <c r="BS384" s="383"/>
      <c r="BT384" s="386"/>
      <c r="BU384" s="212"/>
      <c r="BV384" s="212"/>
      <c r="BW384" s="212"/>
      <c r="BX384" s="212"/>
      <c r="BY384" s="212"/>
      <c r="BZ384" s="212"/>
      <c r="CA384" s="212"/>
      <c r="CB384" s="212"/>
      <c r="CC384" s="212"/>
      <c r="CD384" s="212"/>
      <c r="CE384" s="212"/>
      <c r="CF384" s="212"/>
      <c r="CG384" s="212"/>
      <c r="CH384" s="212"/>
      <c r="CI384" s="212"/>
      <c r="CJ384" s="212"/>
      <c r="CK384" s="212"/>
      <c r="CL384" s="212"/>
      <c r="CM384" s="212"/>
      <c r="CN384" s="212"/>
      <c r="CO384" s="212"/>
      <c r="CP384" s="386">
        <f>+IF(BD_MO[[#This Row],[FECHA]]&lt;&gt;"",BD_MO[[#This Row],[PUNTAL 4"]]+BD_MO[[#This Row],[PUNTAL 5"]]+BD_MO[[#This Row],[PUNTAL 6"]]+BD_MO[[#This Row],[PUNTAL 7"]]+BD_MO[[#This Row],[PUNTAL 8"]],"")</f>
        <v>0</v>
      </c>
      <c r="CQ384" s="212"/>
      <c r="CR384" s="212"/>
      <c r="CS384" s="212"/>
      <c r="CT384" s="212"/>
      <c r="CU384" s="212"/>
      <c r="CV384" s="212"/>
      <c r="CW384" s="212"/>
      <c r="CX384" s="212"/>
      <c r="CY384" s="386"/>
      <c r="CZ384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84" s="386">
        <f>+IF(BD_MO[[#This Row],[FECHA]]&lt;&gt;"",BD_MO[[#This Row],[DURMIENTE2]]*6.561+BD_MO[[#This Row],[LISTONES]]*4.921+BD_MO[[#This Row],[TABLA 1"x8"x3m]]*6.561+BD_MO[[#This Row],[TABLA 2"x8"x3m]]*13.122,"")</f>
        <v>0</v>
      </c>
      <c r="DB384" s="386">
        <f>+IF(BD_MO[[#This Row],[FECHA]]&lt;&gt;"",BD_MO[[#This Row],[PIE2 MADERA ASERRADA]]*1.95,"")</f>
        <v>0</v>
      </c>
      <c r="DC384" s="386">
        <f>+IF(BD_MO[[#This Row],[FECHA]]&lt;&gt;"",BD_MO[[#This Row],[KG. MADERA REDONDA]]+BD_MO[[#This Row],[KG MADERA ASERRADA]],"")</f>
        <v>0</v>
      </c>
      <c r="DD384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84" s="212"/>
      <c r="DF384" s="212"/>
      <c r="DG384" s="212"/>
      <c r="DH384" s="212"/>
      <c r="DI384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384" s="228"/>
      <c r="DK384" s="228"/>
      <c r="DL384" s="228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384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384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84" s="50">
        <f>10*0.4874</f>
        <v>4.8739999999999997</v>
      </c>
      <c r="DP384" s="228">
        <f>+IF(BD_MO[[#This Row],[M o D]]&lt;&gt;"",IF(BD_MO[[#This Row],[M o D]]="M",BD_MO[[#This Row],[ROTURA TMH]]/2.65,BD_MO[[#This Row],[ROTURA TMH]]/2.4),"")</f>
        <v>1.8392452830188679</v>
      </c>
      <c r="DQ384" s="228"/>
      <c r="DR384" s="116" t="str">
        <f>IF(BD_MO[[#This Row],[TIPO AVANCE]]="Avance",((BD_MO[[#This Row],[AVANCE (m)]]/BD_MO[[#This Row],[AVANCE TEÓRICO]]))," ")</f>
        <v xml:space="preserve"> </v>
      </c>
      <c r="DS384" s="134"/>
      <c r="DT384" s="134"/>
      <c r="DU384" s="134"/>
      <c r="DV384" s="134"/>
      <c r="DW384" s="134"/>
      <c r="DX384" s="135"/>
      <c r="DY384" s="135"/>
      <c r="DZ384" s="135"/>
    </row>
    <row r="385" spans="1:130" s="136" customFormat="1" ht="18" customHeight="1" x14ac:dyDescent="0.25">
      <c r="A385" s="92">
        <v>44673</v>
      </c>
      <c r="B385" s="40" t="s">
        <v>10655</v>
      </c>
      <c r="C385" s="40" t="s">
        <v>10672</v>
      </c>
      <c r="D385" s="94" t="s">
        <v>11851</v>
      </c>
      <c r="E385" s="383" t="str">
        <f>LEFT(BD_MO[[#This Row],[LABOR]],2)</f>
        <v>Es</v>
      </c>
      <c r="F385" s="212" t="s">
        <v>10687</v>
      </c>
      <c r="G385" s="212" t="s">
        <v>10648</v>
      </c>
      <c r="H385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85" s="383" t="str">
        <f>IF(BD_MO[FECHA]&lt;&gt;"",VLOOKUP(BD_MO[LABOR],TB_CECO[[LABOR]:[CECO_T]],3,FALSE),"")</f>
        <v>VANESSA</v>
      </c>
      <c r="J385" s="383" t="str">
        <f>IF(BD_MO[FECHA]&lt;&gt;"",VLOOKUP(BD_MO[LABOR],D_CECO!B:H,7,FALSE),"")</f>
        <v>LINEAL</v>
      </c>
      <c r="K385" s="383" t="str">
        <f>IF(BD_MO[FECHA]&lt;&gt;"",VLOOKUP(BD_MO[LABOR],D_CECO!B:H,4,FALSE),"")</f>
        <v>DESARROLLO</v>
      </c>
      <c r="L385" s="383"/>
      <c r="M385" s="40" t="s">
        <v>10646</v>
      </c>
      <c r="N385" s="212"/>
      <c r="O385" s="93" t="s">
        <v>12205</v>
      </c>
      <c r="P385" s="93" t="s">
        <v>12195</v>
      </c>
      <c r="Q385" s="93"/>
      <c r="R385" s="384"/>
      <c r="S385" s="385" t="str">
        <f>IFERROR(VLOOKUP(BD_MO[DNI 4],#REF!,2,FALSE)," ")</f>
        <v xml:space="preserve"> </v>
      </c>
      <c r="T385" s="386">
        <f>+IF(BD_MO[[#This Row],[FECHA]]&lt;&gt;"",COUNTA(BD_MO[[#This Row],[DNI]],BD_MO[[#This Row],[DNI 2]],BD_MO[[#This Row],[DNI 3]],BD_MO[[#This Row],[DNI 4]]),"")</f>
        <v>2</v>
      </c>
      <c r="U385" s="386">
        <v>1.04</v>
      </c>
      <c r="V385" s="386">
        <v>0.88</v>
      </c>
      <c r="W385" s="386"/>
      <c r="X385" s="386">
        <v>0.57999999999999996</v>
      </c>
      <c r="Y385" s="86">
        <f>SUM(BD_MO[[#This Row],[LIMP]:[SERV]])</f>
        <v>2.5</v>
      </c>
      <c r="Z385" s="212" t="s">
        <v>12357</v>
      </c>
      <c r="AA385" s="212">
        <f>+IF(BD_MO[[#This Row],[N° VALE]]&lt;&gt;"",1,"")</f>
        <v>1</v>
      </c>
      <c r="AB385" s="40" t="s">
        <v>10705</v>
      </c>
      <c r="AC385" s="212">
        <v>4</v>
      </c>
      <c r="AD385" s="212">
        <f>+IF(BD_MO[[#This Row],[N° VALE]]&lt;&gt;"",BD_MO[[#This Row],[FULMINANTE N° 08]]+BD_MO[CARMEX 7''],"")</f>
        <v>22</v>
      </c>
      <c r="AE385" s="212">
        <v>4</v>
      </c>
      <c r="AF385" s="212">
        <f>+IF(BD_MO[[#This Row],[N° VALE]]&lt;&gt;"",BD_MO[[#This Row],[N° TALADROS]]+BD_MO[[#This Row],[N° TAL. VACIOS]],"")</f>
        <v>26</v>
      </c>
      <c r="AG385" s="387">
        <v>60</v>
      </c>
      <c r="AH385" s="387">
        <v>38</v>
      </c>
      <c r="AI385" s="387"/>
      <c r="AJ385" s="387"/>
      <c r="AK385" s="387">
        <v>22</v>
      </c>
      <c r="AL385" s="387">
        <v>3</v>
      </c>
      <c r="AM385" s="383"/>
      <c r="AN385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85" s="212">
        <f>+IF(BD_MO[[#This Row],[N° VALE]]&lt;&gt;"",IF(BD_MO[[#This Row],[FULMINANTE N° 08]]&lt;&gt;"",BD_MO[[#This Row],[FULMINANTE N° 08]],IF(BD_MO[[#This Row],[CARMEX 7'']]&lt;&gt;0,0,"")),"")</f>
        <v>0</v>
      </c>
      <c r="AP385" s="386">
        <f>+IF(BD_MO[[#This Row],[N° VALE]]&lt;&gt;"",BD_MO[[#This Row],[N°  TOTAL TALADROS]]*BD_MO[[#This Row],[BARRA]]*0.95,"")</f>
        <v>98.8</v>
      </c>
      <c r="AQ385" s="386">
        <f>+IF(BD_MO[[#This Row],[N° VALE]]&lt;&gt;"",BD_MO[[#This Row],[EMULNOR 1000 (N° CART.)]]*PE_EMUL_1000[PE],"")</f>
        <v>3.5986000000000002</v>
      </c>
      <c r="AR385" s="386">
        <f>+IF(BD_MO[[#This Row],[N° VALE]]&lt;&gt;"",BD_MO[[#This Row],[EMULNOR 3000 (N° CART.)]]*PE_EMUL_3000[PE],"")</f>
        <v>5.7692307692307718</v>
      </c>
      <c r="AS385" s="386">
        <f>+IF(BD_MO[[#This Row],[N° VALE]]&lt;&gt;"",BD_MO[[#This Row],[PULVERULENTA (N° CART.)]]*PE_PULV_65[PE],"")</f>
        <v>0</v>
      </c>
      <c r="AT385" s="386">
        <f>+IF(BD_MO[[#This Row],[N° DISP]]&lt;&gt;"",BD_MO[[#This Row],[SEMIGELATINA (N° CART.)]]*PE_SEMIGEL_65[PE],"")</f>
        <v>0</v>
      </c>
      <c r="AU385" s="386">
        <f>+IF(BD_MO[N° VALE]&lt;&gt;"",BD_MO[[#This Row],[KG EXPLO SEMIGEL]]+BD_MO[[#This Row],[KG EXPLO PULVE]]+BD_MO[[#This Row],[KG EXPLO EMULN 3000]]+BD_MO[[#This Row],[KG EXPLO EMULN 1000]],"")</f>
        <v>9.3678307692307712</v>
      </c>
      <c r="AV385" s="212">
        <v>3</v>
      </c>
      <c r="AW385" s="212">
        <v>3</v>
      </c>
      <c r="AX385" s="212">
        <f>+IF(BD_MO[[#This Row],[MINERAL (U-35)]]&lt;&gt;"",BD_MO[[#This Row],[MINERAL (U-35)]]*1.45,"-")</f>
        <v>4.3499999999999996</v>
      </c>
      <c r="AY385" s="212">
        <f>+IF(BD_MO[[#This Row],[DESMONTE (U-35)]]&lt;&gt;"",BD_MO[[#This Row],[DESMONTE (U-35)]]*1.23,"-")</f>
        <v>3.69</v>
      </c>
      <c r="AZ385" s="212"/>
      <c r="BA385" s="212"/>
      <c r="BB385" s="212"/>
      <c r="BC385" s="212"/>
      <c r="BD385" s="212"/>
      <c r="BE385" s="212"/>
      <c r="BF385" s="212"/>
      <c r="BG385" s="212"/>
      <c r="BH385" s="212"/>
      <c r="BI385" s="212"/>
      <c r="BJ385" s="212"/>
      <c r="BK385" s="212"/>
      <c r="BL385" s="212"/>
      <c r="BM385" s="212"/>
      <c r="BN385" s="383"/>
      <c r="BO385" s="212"/>
      <c r="BP385" s="212"/>
      <c r="BQ385" s="383"/>
      <c r="BR385" s="212"/>
      <c r="BS385" s="383"/>
      <c r="BT385" s="386"/>
      <c r="BU385" s="212"/>
      <c r="BV385" s="212"/>
      <c r="BW385" s="212"/>
      <c r="BX385" s="212"/>
      <c r="BY385" s="212"/>
      <c r="BZ385" s="212"/>
      <c r="CA385" s="212"/>
      <c r="CB385" s="212"/>
      <c r="CC385" s="212"/>
      <c r="CD385" s="212"/>
      <c r="CE385" s="212"/>
      <c r="CF385" s="212"/>
      <c r="CG385" s="212"/>
      <c r="CH385" s="212"/>
      <c r="CI385" s="212"/>
      <c r="CJ385" s="212"/>
      <c r="CK385" s="212"/>
      <c r="CL385" s="212"/>
      <c r="CM385" s="212"/>
      <c r="CN385" s="212"/>
      <c r="CO385" s="212"/>
      <c r="CP385" s="386">
        <f>+IF(BD_MO[[#This Row],[FECHA]]&lt;&gt;"",BD_MO[[#This Row],[PUNTAL 4"]]+BD_MO[[#This Row],[PUNTAL 5"]]+BD_MO[[#This Row],[PUNTAL 6"]]+BD_MO[[#This Row],[PUNTAL 7"]]+BD_MO[[#This Row],[PUNTAL 8"]],"")</f>
        <v>0</v>
      </c>
      <c r="CQ385" s="212"/>
      <c r="CR385" s="212"/>
      <c r="CS385" s="212"/>
      <c r="CT385" s="212"/>
      <c r="CU385" s="212"/>
      <c r="CV385" s="212"/>
      <c r="CW385" s="212"/>
      <c r="CX385" s="212"/>
      <c r="CY385" s="386"/>
      <c r="CZ385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85" s="386">
        <f>+IF(BD_MO[[#This Row],[FECHA]]&lt;&gt;"",BD_MO[[#This Row],[DURMIENTE2]]*6.561+BD_MO[[#This Row],[LISTONES]]*4.921+BD_MO[[#This Row],[TABLA 1"x8"x3m]]*6.561+BD_MO[[#This Row],[TABLA 2"x8"x3m]]*13.122,"")</f>
        <v>0</v>
      </c>
      <c r="DB385" s="386">
        <f>+IF(BD_MO[[#This Row],[FECHA]]&lt;&gt;"",BD_MO[[#This Row],[PIE2 MADERA ASERRADA]]*1.95,"")</f>
        <v>0</v>
      </c>
      <c r="DC385" s="386">
        <f>+IF(BD_MO[[#This Row],[FECHA]]&lt;&gt;"",BD_MO[[#This Row],[KG. MADERA REDONDA]]+BD_MO[[#This Row],[KG MADERA ASERRADA]],"")</f>
        <v>0</v>
      </c>
      <c r="DD385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85" s="212"/>
      <c r="DF385" s="212"/>
      <c r="DG385" s="212"/>
      <c r="DH385" s="212"/>
      <c r="DI385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85" s="228"/>
      <c r="DK385" s="228"/>
      <c r="DL385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85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85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85" s="389">
        <v>17.600000000000001</v>
      </c>
      <c r="DP385" s="228">
        <f>+IF(BD_MO[[#This Row],[M o D]]&lt;&gt;"",IF(BD_MO[[#This Row],[M o D]]="M",BD_MO[[#This Row],[ROTURA TMH]]/2.65,BD_MO[[#This Row],[ROTURA TMH]]/2.4),"")</f>
        <v>7.3333333333333339</v>
      </c>
      <c r="DQ385" s="228">
        <v>1.1499999999999999</v>
      </c>
      <c r="DR385" s="116">
        <f>IF(BD_MO[[#This Row],[TIPO AVANCE]]="Avance",((BD_MO[[#This Row],[AVANCE (m)]]/BD_MO[[#This Row],[AVANCE TEÓRICO]]))," ")</f>
        <v>1.0648148148148147</v>
      </c>
      <c r="DS385" s="134"/>
      <c r="DT385" s="134"/>
      <c r="DU385" s="134"/>
      <c r="DV385" s="134"/>
      <c r="DW385" s="134"/>
      <c r="DX385" s="135"/>
      <c r="DY385" s="135"/>
      <c r="DZ385" s="135"/>
    </row>
    <row r="386" spans="1:130" s="136" customFormat="1" ht="18" customHeight="1" x14ac:dyDescent="0.25">
      <c r="A386" s="92">
        <v>44673</v>
      </c>
      <c r="B386" s="40" t="s">
        <v>10655</v>
      </c>
      <c r="C386" s="40" t="s">
        <v>10672</v>
      </c>
      <c r="D386" s="94" t="s">
        <v>12317</v>
      </c>
      <c r="E386" s="383" t="str">
        <f>LEFT(BD_MO[[#This Row],[LABOR]],2)</f>
        <v>Sn</v>
      </c>
      <c r="F386" s="212" t="s">
        <v>10687</v>
      </c>
      <c r="G386" s="212" t="s">
        <v>10648</v>
      </c>
      <c r="H386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86" s="383" t="s">
        <v>12254</v>
      </c>
      <c r="J386" s="383" t="s">
        <v>10525</v>
      </c>
      <c r="K386" s="383" t="s">
        <v>12247</v>
      </c>
      <c r="L386" s="383"/>
      <c r="M386" s="40" t="s">
        <v>10646</v>
      </c>
      <c r="N386" s="212"/>
      <c r="O386" s="93" t="s">
        <v>12192</v>
      </c>
      <c r="P386" s="93" t="s">
        <v>12207</v>
      </c>
      <c r="Q386" s="93"/>
      <c r="R386" s="384"/>
      <c r="S386" s="385" t="str">
        <f>IFERROR(VLOOKUP(BD_MO[DNI 4],#REF!,2,FALSE)," ")</f>
        <v xml:space="preserve"> </v>
      </c>
      <c r="T386" s="386">
        <f>+IF(BD_MO[[#This Row],[FECHA]]&lt;&gt;"",COUNTA(BD_MO[[#This Row],[DNI]],BD_MO[[#This Row],[DNI 2]],BD_MO[[#This Row],[DNI 3]],BD_MO[[#This Row],[DNI 4]]),"")</f>
        <v>2</v>
      </c>
      <c r="U386" s="386">
        <v>0.76</v>
      </c>
      <c r="V386" s="386">
        <v>0.38</v>
      </c>
      <c r="W386" s="386">
        <v>0.28000000000000003</v>
      </c>
      <c r="X386" s="386">
        <v>0.57999999999999996</v>
      </c>
      <c r="Y386" s="86">
        <f>SUM(BD_MO[[#This Row],[LIMP]:[SERV]])</f>
        <v>2</v>
      </c>
      <c r="Z386" s="212" t="s">
        <v>12358</v>
      </c>
      <c r="AA386" s="212">
        <f>+IF(BD_MO[[#This Row],[N° VALE]]&lt;&gt;"",1,"")</f>
        <v>1</v>
      </c>
      <c r="AB386" s="40" t="s">
        <v>10659</v>
      </c>
      <c r="AC386" s="212">
        <v>4</v>
      </c>
      <c r="AD386" s="212">
        <f>+IF(BD_MO[[#This Row],[N° VALE]]&lt;&gt;"",BD_MO[[#This Row],[FULMINANTE N° 08]]+BD_MO[CARMEX 7''],"")</f>
        <v>20</v>
      </c>
      <c r="AE386" s="212">
        <v>4</v>
      </c>
      <c r="AF386" s="212">
        <f>+IF(BD_MO[[#This Row],[N° VALE]]&lt;&gt;"",BD_MO[[#This Row],[N° TALADROS]]+BD_MO[[#This Row],[N° TAL. VACIOS]],"")</f>
        <v>24</v>
      </c>
      <c r="AG386" s="387">
        <v>60</v>
      </c>
      <c r="AH386" s="387">
        <v>46</v>
      </c>
      <c r="AI386" s="387"/>
      <c r="AJ386" s="387"/>
      <c r="AK386" s="387">
        <v>20</v>
      </c>
      <c r="AL386" s="387">
        <v>4</v>
      </c>
      <c r="AM386" s="383"/>
      <c r="AN386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86" s="212">
        <f>+IF(BD_MO[[#This Row],[N° VALE]]&lt;&gt;"",IF(BD_MO[[#This Row],[FULMINANTE N° 08]]&lt;&gt;"",BD_MO[[#This Row],[FULMINANTE N° 08]],IF(BD_MO[[#This Row],[CARMEX 7'']]&lt;&gt;0,0,"")),"")</f>
        <v>0</v>
      </c>
      <c r="AP386" s="386">
        <f>+IF(BD_MO[[#This Row],[N° VALE]]&lt;&gt;"",BD_MO[[#This Row],[N°  TOTAL TALADROS]]*BD_MO[[#This Row],[BARRA]]*0.95,"")</f>
        <v>91.199999999999989</v>
      </c>
      <c r="AQ386" s="386">
        <f>+IF(BD_MO[[#This Row],[N° VALE]]&lt;&gt;"",BD_MO[[#This Row],[EMULNOR 1000 (N° CART.)]]*PE_EMUL_1000[PE],"")</f>
        <v>4.3562000000000003</v>
      </c>
      <c r="AR386" s="386">
        <f>+IF(BD_MO[[#This Row],[N° VALE]]&lt;&gt;"",BD_MO[[#This Row],[EMULNOR 3000 (N° CART.)]]*PE_EMUL_3000[PE],"")</f>
        <v>5.7692307692307718</v>
      </c>
      <c r="AS386" s="386">
        <f>+IF(BD_MO[[#This Row],[N° VALE]]&lt;&gt;"",BD_MO[[#This Row],[PULVERULENTA (N° CART.)]]*PE_PULV_65[PE],"")</f>
        <v>0</v>
      </c>
      <c r="AT386" s="386">
        <f>+IF(BD_MO[[#This Row],[N° DISP]]&lt;&gt;"",BD_MO[[#This Row],[SEMIGELATINA (N° CART.)]]*PE_SEMIGEL_65[PE],"")</f>
        <v>0</v>
      </c>
      <c r="AU386" s="386">
        <f>+IF(BD_MO[N° VALE]&lt;&gt;"",BD_MO[[#This Row],[KG EXPLO SEMIGEL]]+BD_MO[[#This Row],[KG EXPLO PULVE]]+BD_MO[[#This Row],[KG EXPLO EMULN 3000]]+BD_MO[[#This Row],[KG EXPLO EMULN 1000]],"")</f>
        <v>10.125430769230771</v>
      </c>
      <c r="AV386" s="212">
        <v>5</v>
      </c>
      <c r="AW386" s="212"/>
      <c r="AX386" s="212">
        <f>+IF(BD_MO[[#This Row],[MINERAL (U-35)]]&lt;&gt;"",BD_MO[[#This Row],[MINERAL (U-35)]]*1.45,"-")</f>
        <v>7.25</v>
      </c>
      <c r="AY386" s="212" t="str">
        <f>+IF(BD_MO[[#This Row],[DESMONTE (U-35)]]&lt;&gt;"",BD_MO[[#This Row],[DESMONTE (U-35)]]*1.23,"-")</f>
        <v>-</v>
      </c>
      <c r="AZ386" s="212"/>
      <c r="BA386" s="212"/>
      <c r="BB386" s="212"/>
      <c r="BC386" s="212"/>
      <c r="BD386" s="212"/>
      <c r="BE386" s="212"/>
      <c r="BF386" s="212"/>
      <c r="BG386" s="212"/>
      <c r="BH386" s="212"/>
      <c r="BI386" s="212"/>
      <c r="BJ386" s="212"/>
      <c r="BK386" s="212"/>
      <c r="BL386" s="212"/>
      <c r="BM386" s="212"/>
      <c r="BN386" s="383">
        <v>2.0499999999999998</v>
      </c>
      <c r="BO386" s="212"/>
      <c r="BP386" s="212"/>
      <c r="BQ386" s="383"/>
      <c r="BR386" s="212"/>
      <c r="BS386" s="383"/>
      <c r="BT386" s="386"/>
      <c r="BU386" s="212"/>
      <c r="BV386" s="212"/>
      <c r="BW386" s="212"/>
      <c r="BX386" s="212"/>
      <c r="BY386" s="212"/>
      <c r="BZ386" s="212"/>
      <c r="CA386" s="212"/>
      <c r="CB386" s="212"/>
      <c r="CC386" s="212"/>
      <c r="CD386" s="212"/>
      <c r="CE386" s="212"/>
      <c r="CF386" s="212"/>
      <c r="CG386" s="212"/>
      <c r="CH386" s="212"/>
      <c r="CI386" s="212"/>
      <c r="CJ386" s="212"/>
      <c r="CK386" s="212"/>
      <c r="CL386" s="212"/>
      <c r="CM386" s="212"/>
      <c r="CN386" s="212"/>
      <c r="CO386" s="212"/>
      <c r="CP386" s="386">
        <f>+IF(BD_MO[[#This Row],[FECHA]]&lt;&gt;"",BD_MO[[#This Row],[PUNTAL 4"]]+BD_MO[[#This Row],[PUNTAL 5"]]+BD_MO[[#This Row],[PUNTAL 6"]]+BD_MO[[#This Row],[PUNTAL 7"]]+BD_MO[[#This Row],[PUNTAL 8"]],"")</f>
        <v>0</v>
      </c>
      <c r="CQ386" s="212"/>
      <c r="CR386" s="212"/>
      <c r="CS386" s="212">
        <v>4</v>
      </c>
      <c r="CT386" s="212"/>
      <c r="CU386" s="212"/>
      <c r="CV386" s="212"/>
      <c r="CW386" s="212"/>
      <c r="CX386" s="212"/>
      <c r="CY386" s="386"/>
      <c r="CZ386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98.4</v>
      </c>
      <c r="DA386" s="386">
        <f>+IF(BD_MO[[#This Row],[FECHA]]&lt;&gt;"",BD_MO[[#This Row],[DURMIENTE2]]*6.561+BD_MO[[#This Row],[LISTONES]]*4.921+BD_MO[[#This Row],[TABLA 1"x8"x3m]]*6.561+BD_MO[[#This Row],[TABLA 2"x8"x3m]]*13.122,"")</f>
        <v>0</v>
      </c>
      <c r="DB386" s="386">
        <f>+IF(BD_MO[[#This Row],[FECHA]]&lt;&gt;"",BD_MO[[#This Row],[PIE2 MADERA ASERRADA]]*1.95,"")</f>
        <v>0</v>
      </c>
      <c r="DC386" s="386">
        <f>+IF(BD_MO[[#This Row],[FECHA]]&lt;&gt;"",BD_MO[[#This Row],[KG. MADERA REDONDA]]+BD_MO[[#This Row],[KG MADERA ASERRADA]],"")</f>
        <v>98.4</v>
      </c>
      <c r="DD386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49.16</v>
      </c>
      <c r="DE386" s="212"/>
      <c r="DF386" s="212"/>
      <c r="DG386" s="212"/>
      <c r="DH386" s="212"/>
      <c r="DI386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386" s="228"/>
      <c r="DK386" s="228"/>
      <c r="DL386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86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86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86" s="389">
        <f>20*0.84333</f>
        <v>16.866600000000002</v>
      </c>
      <c r="DP386" s="228">
        <f>+IF(BD_MO[[#This Row],[M o D]]&lt;&gt;"",IF(BD_MO[[#This Row],[M o D]]="M",BD_MO[[#This Row],[ROTURA TMH]]/2.65,BD_MO[[#This Row],[ROTURA TMH]]/2.4),"")</f>
        <v>7.0277500000000011</v>
      </c>
      <c r="DQ386" s="228">
        <v>0.8</v>
      </c>
      <c r="DR386" s="116">
        <f>IF(BD_MO[[#This Row],[TIPO AVANCE]]="Avance",((BD_MO[[#This Row],[AVANCE (m)]]/BD_MO[[#This Row],[AVANCE TEÓRICO]]))," ")</f>
        <v>0.7407407407407407</v>
      </c>
      <c r="DS386" s="134"/>
      <c r="DT386" s="134"/>
      <c r="DU386" s="134"/>
      <c r="DV386" s="134"/>
      <c r="DW386" s="134"/>
      <c r="DX386" s="135"/>
      <c r="DY386" s="135"/>
      <c r="DZ386" s="135"/>
    </row>
    <row r="387" spans="1:130" s="136" customFormat="1" ht="18" customHeight="1" x14ac:dyDescent="0.25">
      <c r="A387" s="92">
        <v>44673</v>
      </c>
      <c r="B387" s="40" t="s">
        <v>10655</v>
      </c>
      <c r="C387" s="40" t="s">
        <v>10672</v>
      </c>
      <c r="D387" s="94" t="s">
        <v>12339</v>
      </c>
      <c r="E387" s="383" t="str">
        <f>LEFT(BD_MO[[#This Row],[LABOR]],2)</f>
        <v>Tj</v>
      </c>
      <c r="F387" s="212"/>
      <c r="G387" s="212" t="s">
        <v>10656</v>
      </c>
      <c r="H387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387" s="383" t="s">
        <v>12254</v>
      </c>
      <c r="J387" s="383" t="s">
        <v>10502</v>
      </c>
      <c r="K387" s="383" t="s">
        <v>12249</v>
      </c>
      <c r="L387" s="383"/>
      <c r="M387" s="40"/>
      <c r="N387" s="212"/>
      <c r="O387" s="93" t="s">
        <v>12233</v>
      </c>
      <c r="P387" s="93" t="s">
        <v>12197</v>
      </c>
      <c r="Q387" s="93"/>
      <c r="R387" s="384"/>
      <c r="S387" s="385" t="str">
        <f>IFERROR(VLOOKUP(BD_MO[DNI 4],#REF!,2,FALSE)," ")</f>
        <v xml:space="preserve"> </v>
      </c>
      <c r="T387" s="386">
        <f>+IF(BD_MO[[#This Row],[FECHA]]&lt;&gt;"",COUNTA(BD_MO[[#This Row],[DNI]],BD_MO[[#This Row],[DNI 2]],BD_MO[[#This Row],[DNI 3]],BD_MO[[#This Row],[DNI 4]]),"")</f>
        <v>2</v>
      </c>
      <c r="U387" s="386">
        <v>0.76</v>
      </c>
      <c r="V387" s="386"/>
      <c r="W387" s="386">
        <v>0.66</v>
      </c>
      <c r="X387" s="386">
        <v>0.57999999999999996</v>
      </c>
      <c r="Y387" s="86">
        <f>SUM(BD_MO[[#This Row],[LIMP]:[SERV]])</f>
        <v>2</v>
      </c>
      <c r="Z387" s="212"/>
      <c r="AA387" s="212" t="str">
        <f>+IF(BD_MO[[#This Row],[N° VALE]]&lt;&gt;"",1,"")</f>
        <v/>
      </c>
      <c r="AB387" s="40"/>
      <c r="AC387" s="212"/>
      <c r="AD387" s="212" t="str">
        <f>+IF(BD_MO[[#This Row],[N° VALE]]&lt;&gt;"",BD_MO[[#This Row],[FULMINANTE N° 08]]+BD_MO[CARMEX 7''],"")</f>
        <v/>
      </c>
      <c r="AE387" s="212"/>
      <c r="AF387" s="212" t="str">
        <f>+IF(BD_MO[[#This Row],[N° VALE]]&lt;&gt;"",BD_MO[[#This Row],[N° TALADROS]]+BD_MO[[#This Row],[N° TAL. VACIOS]],"")</f>
        <v/>
      </c>
      <c r="AG387" s="387"/>
      <c r="AH387" s="387"/>
      <c r="AI387" s="387"/>
      <c r="AJ387" s="387"/>
      <c r="AK387" s="387"/>
      <c r="AL387" s="387"/>
      <c r="AM387" s="383"/>
      <c r="AN387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87" s="212" t="str">
        <f>+IF(BD_MO[[#This Row],[N° VALE]]&lt;&gt;"",IF(BD_MO[[#This Row],[FULMINANTE N° 08]]&lt;&gt;"",BD_MO[[#This Row],[FULMINANTE N° 08]],IF(BD_MO[[#This Row],[CARMEX 7'']]&lt;&gt;0,0,"")),"")</f>
        <v/>
      </c>
      <c r="AP387" s="386" t="str">
        <f>+IF(BD_MO[[#This Row],[N° VALE]]&lt;&gt;"",BD_MO[[#This Row],[N°  TOTAL TALADROS]]*BD_MO[[#This Row],[BARRA]]*0.95,"")</f>
        <v/>
      </c>
      <c r="AQ387" s="386" t="str">
        <f>+IF(BD_MO[[#This Row],[N° VALE]]&lt;&gt;"",BD_MO[[#This Row],[EMULNOR 1000 (N° CART.)]]*PE_EMUL_1000[PE],"")</f>
        <v/>
      </c>
      <c r="AR387" s="386" t="str">
        <f>+IF(BD_MO[[#This Row],[N° VALE]]&lt;&gt;"",BD_MO[[#This Row],[EMULNOR 3000 (N° CART.)]]*PE_EMUL_3000[PE],"")</f>
        <v/>
      </c>
      <c r="AS387" s="386" t="str">
        <f>+IF(BD_MO[[#This Row],[N° VALE]]&lt;&gt;"",BD_MO[[#This Row],[PULVERULENTA (N° CART.)]]*PE_PULV_65[PE],"")</f>
        <v/>
      </c>
      <c r="AT387" s="386" t="str">
        <f>+IF(BD_MO[[#This Row],[N° DISP]]&lt;&gt;"",BD_MO[[#This Row],[SEMIGELATINA (N° CART.)]]*PE_SEMIGEL_65[PE],"")</f>
        <v/>
      </c>
      <c r="AU387" s="386" t="str">
        <f>+IF(BD_MO[N° VALE]&lt;&gt;"",BD_MO[[#This Row],[KG EXPLO SEMIGEL]]+BD_MO[[#This Row],[KG EXPLO PULVE]]+BD_MO[[#This Row],[KG EXPLO EMULN 3000]]+BD_MO[[#This Row],[KG EXPLO EMULN 1000]],"")</f>
        <v/>
      </c>
      <c r="AV387" s="212">
        <v>13</v>
      </c>
      <c r="AW387" s="212"/>
      <c r="AX387" s="212">
        <f>+IF(BD_MO[[#This Row],[MINERAL (U-35)]]&lt;&gt;"",BD_MO[[#This Row],[MINERAL (U-35)]]*1.45,"-")</f>
        <v>18.849999999999998</v>
      </c>
      <c r="AY387" s="212" t="str">
        <f>+IF(BD_MO[[#This Row],[DESMONTE (U-35)]]&lt;&gt;"",BD_MO[[#This Row],[DESMONTE (U-35)]]*1.23,"-")</f>
        <v>-</v>
      </c>
      <c r="AZ387" s="212"/>
      <c r="BA387" s="212"/>
      <c r="BB387" s="212"/>
      <c r="BC387" s="212"/>
      <c r="BD387" s="212"/>
      <c r="BE387" s="212"/>
      <c r="BF387" s="212"/>
      <c r="BG387" s="212"/>
      <c r="BH387" s="212"/>
      <c r="BI387" s="212"/>
      <c r="BJ387" s="212">
        <v>1</v>
      </c>
      <c r="BK387" s="212"/>
      <c r="BL387" s="212"/>
      <c r="BM387" s="212"/>
      <c r="BN387" s="383"/>
      <c r="BO387" s="212">
        <v>1</v>
      </c>
      <c r="BP387" s="212"/>
      <c r="BQ387" s="383"/>
      <c r="BR387" s="212"/>
      <c r="BS387" s="383"/>
      <c r="BT387" s="386"/>
      <c r="BU387" s="212"/>
      <c r="BV387" s="212"/>
      <c r="BW387" s="212"/>
      <c r="BX387" s="212"/>
      <c r="BY387" s="212"/>
      <c r="BZ387" s="212"/>
      <c r="CA387" s="212"/>
      <c r="CB387" s="212"/>
      <c r="CC387" s="212"/>
      <c r="CD387" s="212"/>
      <c r="CE387" s="212"/>
      <c r="CF387" s="212"/>
      <c r="CG387" s="212"/>
      <c r="CH387" s="212"/>
      <c r="CI387" s="212"/>
      <c r="CJ387" s="212"/>
      <c r="CK387" s="212"/>
      <c r="CL387" s="212"/>
      <c r="CM387" s="212">
        <v>3</v>
      </c>
      <c r="CN387" s="212"/>
      <c r="CO387" s="212"/>
      <c r="CP387" s="386">
        <f>+IF(BD_MO[[#This Row],[FECHA]]&lt;&gt;"",BD_MO[[#This Row],[PUNTAL 4"]]+BD_MO[[#This Row],[PUNTAL 5"]]+BD_MO[[#This Row],[PUNTAL 6"]]+BD_MO[[#This Row],[PUNTAL 7"]]+BD_MO[[#This Row],[PUNTAL 8"]],"")</f>
        <v>3</v>
      </c>
      <c r="CQ387" s="212"/>
      <c r="CR387" s="212"/>
      <c r="CS387" s="212">
        <v>5</v>
      </c>
      <c r="CT387" s="212"/>
      <c r="CU387" s="212"/>
      <c r="CV387" s="212"/>
      <c r="CW387" s="212"/>
      <c r="CX387" s="212"/>
      <c r="CY387" s="386"/>
      <c r="CZ387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257.62200000000001</v>
      </c>
      <c r="DA387" s="386">
        <f>+IF(BD_MO[[#This Row],[FECHA]]&lt;&gt;"",BD_MO[[#This Row],[DURMIENTE2]]*6.561+BD_MO[[#This Row],[LISTONES]]*4.921+BD_MO[[#This Row],[TABLA 1"x8"x3m]]*6.561+BD_MO[[#This Row],[TABLA 2"x8"x3m]]*13.122,"")</f>
        <v>0</v>
      </c>
      <c r="DB387" s="386">
        <f>+IF(BD_MO[[#This Row],[FECHA]]&lt;&gt;"",BD_MO[[#This Row],[PIE2 MADERA ASERRADA]]*1.95,"")</f>
        <v>0</v>
      </c>
      <c r="DC387" s="386">
        <f>+IF(BD_MO[[#This Row],[FECHA]]&lt;&gt;"",BD_MO[[#This Row],[KG. MADERA REDONDA]]+BD_MO[[#This Row],[KG MADERA ASERRADA]],"")</f>
        <v>257.62200000000001</v>
      </c>
      <c r="DD387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114.85</v>
      </c>
      <c r="DE387" s="212"/>
      <c r="DF387" s="212"/>
      <c r="DG387" s="212"/>
      <c r="DH387" s="212"/>
      <c r="DI387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87" s="228"/>
      <c r="DK387" s="228"/>
      <c r="DL387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87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87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87" s="389"/>
      <c r="DP387" s="228" t="str">
        <f>+IF(BD_MO[[#This Row],[M o D]]&lt;&gt;"",IF(BD_MO[[#This Row],[M o D]]="M",BD_MO[[#This Row],[ROTURA TMH]]/2.65,BD_MO[[#This Row],[ROTURA TMH]]/2.4),"")</f>
        <v/>
      </c>
      <c r="DQ387" s="228"/>
      <c r="DR387" s="116" t="str">
        <f>IF(BD_MO[[#This Row],[TIPO AVANCE]]="Avance",((BD_MO[[#This Row],[AVANCE (m)]]/BD_MO[[#This Row],[AVANCE TEÓRICO]]))," ")</f>
        <v xml:space="preserve"> </v>
      </c>
      <c r="DS387" s="134"/>
      <c r="DT387" s="134"/>
      <c r="DU387" s="134"/>
      <c r="DV387" s="134"/>
      <c r="DW387" s="134"/>
      <c r="DX387" s="135"/>
      <c r="DY387" s="135"/>
      <c r="DZ387" s="135"/>
    </row>
    <row r="388" spans="1:130" s="136" customFormat="1" ht="18" customHeight="1" x14ac:dyDescent="0.25">
      <c r="A388" s="92">
        <v>44673</v>
      </c>
      <c r="B388" s="40" t="s">
        <v>10655</v>
      </c>
      <c r="C388" s="40" t="s">
        <v>10672</v>
      </c>
      <c r="D388" s="94" t="s">
        <v>11872</v>
      </c>
      <c r="E388" s="383" t="str">
        <f>LEFT(BD_MO[[#This Row],[LABOR]],2)</f>
        <v>PQ</v>
      </c>
      <c r="F388" s="212"/>
      <c r="G388" s="212" t="s">
        <v>10669</v>
      </c>
      <c r="H388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88" s="383" t="str">
        <f>IF(BD_MO[FECHA]&lt;&gt;"",VLOOKUP(BD_MO[LABOR],TB_CECO[[LABOR]:[CECO_T]],3,FALSE),"")</f>
        <v>ANDREA</v>
      </c>
      <c r="J388" s="383" t="str">
        <f>IF(BD_MO[FECHA]&lt;&gt;"",VLOOKUP(BD_MO[LABOR],D_CECO!B:H,7,FALSE),"")</f>
        <v>LINEAL</v>
      </c>
      <c r="K388" s="383" t="str">
        <f>IF(BD_MO[FECHA]&lt;&gt;"",VLOOKUP(BD_MO[LABOR],D_CECO!B:H,4,FALSE),"")</f>
        <v>EXPLOTACION</v>
      </c>
      <c r="L388" s="383"/>
      <c r="M388" s="40"/>
      <c r="N388" s="212"/>
      <c r="O388" s="93" t="s">
        <v>12199</v>
      </c>
      <c r="P388" s="93" t="s">
        <v>12220</v>
      </c>
      <c r="Q388" s="93" t="s">
        <v>12323</v>
      </c>
      <c r="R388" s="384"/>
      <c r="S388" s="385" t="str">
        <f>IFERROR(VLOOKUP(BD_MO[DNI 4],#REF!,2,FALSE)," ")</f>
        <v xml:space="preserve"> </v>
      </c>
      <c r="T388" s="386">
        <f>+IF(BD_MO[[#This Row],[FECHA]]&lt;&gt;"",COUNTA(BD_MO[[#This Row],[DNI]],BD_MO[[#This Row],[DNI 2]],BD_MO[[#This Row],[DNI 3]],BD_MO[[#This Row],[DNI 4]]),"")</f>
        <v>3</v>
      </c>
      <c r="U388" s="386"/>
      <c r="V388" s="386"/>
      <c r="W388" s="386"/>
      <c r="X388" s="386">
        <v>3</v>
      </c>
      <c r="Y388" s="86">
        <f>SUM(BD_MO[[#This Row],[LIMP]:[SERV]])</f>
        <v>3</v>
      </c>
      <c r="Z388" s="212"/>
      <c r="AA388" s="212" t="str">
        <f>+IF(BD_MO[[#This Row],[N° VALE]]&lt;&gt;"",1,"")</f>
        <v/>
      </c>
      <c r="AB388" s="40"/>
      <c r="AC388" s="212"/>
      <c r="AD388" s="212" t="str">
        <f>+IF(BD_MO[[#This Row],[N° VALE]]&lt;&gt;"",BD_MO[[#This Row],[FULMINANTE N° 08]]+BD_MO[CARMEX 7''],"")</f>
        <v/>
      </c>
      <c r="AE388" s="212"/>
      <c r="AF388" s="212" t="str">
        <f>+IF(BD_MO[[#This Row],[N° VALE]]&lt;&gt;"",BD_MO[[#This Row],[N° TALADROS]]+BD_MO[[#This Row],[N° TAL. VACIOS]],"")</f>
        <v/>
      </c>
      <c r="AG388" s="387"/>
      <c r="AH388" s="387"/>
      <c r="AI388" s="387"/>
      <c r="AJ388" s="387"/>
      <c r="AK388" s="387"/>
      <c r="AL388" s="387"/>
      <c r="AM388" s="383"/>
      <c r="AN388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88" s="212" t="str">
        <f>+IF(BD_MO[[#This Row],[N° VALE]]&lt;&gt;"",IF(BD_MO[[#This Row],[FULMINANTE N° 08]]&lt;&gt;"",BD_MO[[#This Row],[FULMINANTE N° 08]],IF(BD_MO[[#This Row],[CARMEX 7'']]&lt;&gt;0,0,"")),"")</f>
        <v/>
      </c>
      <c r="AP388" s="386" t="str">
        <f>+IF(BD_MO[[#This Row],[N° VALE]]&lt;&gt;"",BD_MO[[#This Row],[N°  TOTAL TALADROS]]*BD_MO[[#This Row],[BARRA]]*0.95,"")</f>
        <v/>
      </c>
      <c r="AQ388" s="386" t="str">
        <f>+IF(BD_MO[[#This Row],[N° VALE]]&lt;&gt;"",BD_MO[[#This Row],[EMULNOR 1000 (N° CART.)]]*PE_EMUL_1000[PE],"")</f>
        <v/>
      </c>
      <c r="AR388" s="386" t="str">
        <f>+IF(BD_MO[[#This Row],[N° VALE]]&lt;&gt;"",BD_MO[[#This Row],[EMULNOR 3000 (N° CART.)]]*PE_EMUL_3000[PE],"")</f>
        <v/>
      </c>
      <c r="AS388" s="386" t="str">
        <f>+IF(BD_MO[[#This Row],[N° VALE]]&lt;&gt;"",BD_MO[[#This Row],[PULVERULENTA (N° CART.)]]*PE_PULV_65[PE],"")</f>
        <v/>
      </c>
      <c r="AT388" s="386" t="str">
        <f>+IF(BD_MO[[#This Row],[N° DISP]]&lt;&gt;"",BD_MO[[#This Row],[SEMIGELATINA (N° CART.)]]*PE_SEMIGEL_65[PE],"")</f>
        <v/>
      </c>
      <c r="AU388" s="386" t="str">
        <f>+IF(BD_MO[N° VALE]&lt;&gt;"",BD_MO[[#This Row],[KG EXPLO SEMIGEL]]+BD_MO[[#This Row],[KG EXPLO PULVE]]+BD_MO[[#This Row],[KG EXPLO EMULN 3000]]+BD_MO[[#This Row],[KG EXPLO EMULN 1000]],"")</f>
        <v/>
      </c>
      <c r="AV388" s="212"/>
      <c r="AW388" s="212"/>
      <c r="AX388" s="212" t="str">
        <f>+IF(BD_MO[[#This Row],[MINERAL (U-35)]]&lt;&gt;"",BD_MO[[#This Row],[MINERAL (U-35)]]*1.45,"-")</f>
        <v>-</v>
      </c>
      <c r="AY388" s="212" t="str">
        <f>+IF(BD_MO[[#This Row],[DESMONTE (U-35)]]&lt;&gt;"",BD_MO[[#This Row],[DESMONTE (U-35)]]*1.23,"-")</f>
        <v>-</v>
      </c>
      <c r="AZ388" s="212"/>
      <c r="BA388" s="212"/>
      <c r="BB388" s="212"/>
      <c r="BC388" s="212"/>
      <c r="BD388" s="212"/>
      <c r="BE388" s="212"/>
      <c r="BF388" s="212"/>
      <c r="BG388" s="212"/>
      <c r="BH388" s="212"/>
      <c r="BI388" s="212"/>
      <c r="BJ388" s="212"/>
      <c r="BK388" s="212"/>
      <c r="BL388" s="212"/>
      <c r="BM388" s="212"/>
      <c r="BN388" s="383"/>
      <c r="BO388" s="212"/>
      <c r="BP388" s="212"/>
      <c r="BQ388" s="383"/>
      <c r="BR388" s="212"/>
      <c r="BS388" s="383"/>
      <c r="BT388" s="386"/>
      <c r="BU388" s="212"/>
      <c r="BV388" s="212"/>
      <c r="BW388" s="212"/>
      <c r="BX388" s="212"/>
      <c r="BY388" s="212"/>
      <c r="BZ388" s="212"/>
      <c r="CA388" s="212"/>
      <c r="CB388" s="212"/>
      <c r="CC388" s="212"/>
      <c r="CD388" s="212"/>
      <c r="CE388" s="212"/>
      <c r="CF388" s="212"/>
      <c r="CG388" s="212"/>
      <c r="CH388" s="212"/>
      <c r="CI388" s="212"/>
      <c r="CJ388" s="212"/>
      <c r="CK388" s="212"/>
      <c r="CL388" s="212"/>
      <c r="CM388" s="212"/>
      <c r="CN388" s="212"/>
      <c r="CO388" s="212"/>
      <c r="CP388" s="386">
        <f>+IF(BD_MO[[#This Row],[FECHA]]&lt;&gt;"",BD_MO[[#This Row],[PUNTAL 4"]]+BD_MO[[#This Row],[PUNTAL 5"]]+BD_MO[[#This Row],[PUNTAL 6"]]+BD_MO[[#This Row],[PUNTAL 7"]]+BD_MO[[#This Row],[PUNTAL 8"]],"")</f>
        <v>0</v>
      </c>
      <c r="CQ388" s="212"/>
      <c r="CR388" s="212"/>
      <c r="CS388" s="212"/>
      <c r="CT388" s="212"/>
      <c r="CU388" s="212"/>
      <c r="CV388" s="212"/>
      <c r="CW388" s="212"/>
      <c r="CX388" s="212"/>
      <c r="CY388" s="386"/>
      <c r="CZ388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88" s="386">
        <f>+IF(BD_MO[[#This Row],[FECHA]]&lt;&gt;"",BD_MO[[#This Row],[DURMIENTE2]]*6.561+BD_MO[[#This Row],[LISTONES]]*4.921+BD_MO[[#This Row],[TABLA 1"x8"x3m]]*6.561+BD_MO[[#This Row],[TABLA 2"x8"x3m]]*13.122,"")</f>
        <v>0</v>
      </c>
      <c r="DB388" s="386">
        <f>+IF(BD_MO[[#This Row],[FECHA]]&lt;&gt;"",BD_MO[[#This Row],[PIE2 MADERA ASERRADA]]*1.95,"")</f>
        <v>0</v>
      </c>
      <c r="DC388" s="386">
        <f>+IF(BD_MO[[#This Row],[FECHA]]&lt;&gt;"",BD_MO[[#This Row],[KG. MADERA REDONDA]]+BD_MO[[#This Row],[KG MADERA ASERRADA]],"")</f>
        <v>0</v>
      </c>
      <c r="DD388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88" s="212"/>
      <c r="DF388" s="212"/>
      <c r="DG388" s="212" t="s">
        <v>12238</v>
      </c>
      <c r="DH388" s="212">
        <v>8</v>
      </c>
      <c r="DI388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88" s="228"/>
      <c r="DK388" s="228"/>
      <c r="DL388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88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88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88" s="389"/>
      <c r="DP388" s="228" t="str">
        <f>+IF(BD_MO[[#This Row],[M o D]]&lt;&gt;"",IF(BD_MO[[#This Row],[M o D]]="M",BD_MO[[#This Row],[ROTURA TMH]]/2.65,BD_MO[[#This Row],[ROTURA TMH]]/2.4),"")</f>
        <v/>
      </c>
      <c r="DQ388" s="228"/>
      <c r="DR388" s="116" t="str">
        <f>IF(BD_MO[[#This Row],[TIPO AVANCE]]="Avance",((BD_MO[[#This Row],[AVANCE (m)]]/BD_MO[[#This Row],[AVANCE TEÓRICO]]))," ")</f>
        <v xml:space="preserve"> </v>
      </c>
      <c r="DS388" s="134"/>
      <c r="DT388" s="134"/>
      <c r="DU388" s="134"/>
      <c r="DV388" s="134"/>
      <c r="DW388" s="134"/>
      <c r="DX388" s="135"/>
      <c r="DY388" s="135"/>
      <c r="DZ388" s="135"/>
    </row>
    <row r="389" spans="1:130" s="136" customFormat="1" ht="18" customHeight="1" x14ac:dyDescent="0.25">
      <c r="A389" s="92">
        <v>44673</v>
      </c>
      <c r="B389" s="40" t="s">
        <v>10655</v>
      </c>
      <c r="C389" s="40" t="s">
        <v>10672</v>
      </c>
      <c r="D389" s="94" t="s">
        <v>10952</v>
      </c>
      <c r="E389" s="383" t="str">
        <f>LEFT(BD_MO[[#This Row],[LABOR]],2)</f>
        <v>In</v>
      </c>
      <c r="F389" s="212"/>
      <c r="G389" s="212" t="s">
        <v>10669</v>
      </c>
      <c r="H389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89" s="383" t="str">
        <f>IF(BD_MO[FECHA]&lt;&gt;"",VLOOKUP(BD_MO[LABOR],TB_CECO[[LABOR]:[CECO_T]],3,FALSE),"")</f>
        <v>VANESSA</v>
      </c>
      <c r="J389" s="383" t="str">
        <f>IF(BD_MO[FECHA]&lt;&gt;"",VLOOKUP(BD_MO[LABOR],D_CECO!B:H,7,FALSE),"")</f>
        <v>LINEAL</v>
      </c>
      <c r="K389" s="383" t="str">
        <f>IF(BD_MO[FECHA]&lt;&gt;"",VLOOKUP(BD_MO[LABOR],D_CECO!B:H,4,FALSE),"")</f>
        <v>EXPLORACION</v>
      </c>
      <c r="L389" s="383"/>
      <c r="M389" s="40"/>
      <c r="N389" s="212"/>
      <c r="O389" s="93" t="s">
        <v>12198</v>
      </c>
      <c r="P389" s="93" t="s">
        <v>12234</v>
      </c>
      <c r="Q389" s="93"/>
      <c r="R389" s="384"/>
      <c r="S389" s="385" t="str">
        <f>IFERROR(VLOOKUP(BD_MO[DNI 4],#REF!,2,FALSE)," ")</f>
        <v xml:space="preserve"> </v>
      </c>
      <c r="T389" s="386">
        <f>+IF(BD_MO[[#This Row],[FECHA]]&lt;&gt;"",COUNTA(BD_MO[[#This Row],[DNI]],BD_MO[[#This Row],[DNI 2]],BD_MO[[#This Row],[DNI 3]],BD_MO[[#This Row],[DNI 4]]),"")</f>
        <v>2</v>
      </c>
      <c r="U389" s="386"/>
      <c r="V389" s="386"/>
      <c r="W389" s="386"/>
      <c r="X389" s="386">
        <v>2</v>
      </c>
      <c r="Y389" s="86">
        <f>SUM(BD_MO[[#This Row],[LIMP]:[SERV]])</f>
        <v>2</v>
      </c>
      <c r="Z389" s="212"/>
      <c r="AA389" s="212" t="str">
        <f>+IF(BD_MO[[#This Row],[N° VALE]]&lt;&gt;"",1,"")</f>
        <v/>
      </c>
      <c r="AB389" s="40"/>
      <c r="AC389" s="212"/>
      <c r="AD389" s="212" t="str">
        <f>+IF(BD_MO[[#This Row],[N° VALE]]&lt;&gt;"",BD_MO[[#This Row],[FULMINANTE N° 08]]+BD_MO[CARMEX 7''],"")</f>
        <v/>
      </c>
      <c r="AE389" s="212"/>
      <c r="AF389" s="212" t="str">
        <f>+IF(BD_MO[[#This Row],[N° VALE]]&lt;&gt;"",BD_MO[[#This Row],[N° TALADROS]]+BD_MO[[#This Row],[N° TAL. VACIOS]],"")</f>
        <v/>
      </c>
      <c r="AG389" s="387"/>
      <c r="AH389" s="387"/>
      <c r="AI389" s="387"/>
      <c r="AJ389" s="387"/>
      <c r="AK389" s="387"/>
      <c r="AL389" s="387"/>
      <c r="AM389" s="383"/>
      <c r="AN389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89" s="212" t="str">
        <f>+IF(BD_MO[[#This Row],[N° VALE]]&lt;&gt;"",IF(BD_MO[[#This Row],[FULMINANTE N° 08]]&lt;&gt;"",BD_MO[[#This Row],[FULMINANTE N° 08]],IF(BD_MO[[#This Row],[CARMEX 7'']]&lt;&gt;0,0,"")),"")</f>
        <v/>
      </c>
      <c r="AP389" s="386" t="str">
        <f>+IF(BD_MO[[#This Row],[N° VALE]]&lt;&gt;"",BD_MO[[#This Row],[N°  TOTAL TALADROS]]*BD_MO[[#This Row],[BARRA]]*0.95,"")</f>
        <v/>
      </c>
      <c r="AQ389" s="386" t="str">
        <f>+IF(BD_MO[[#This Row],[N° VALE]]&lt;&gt;"",BD_MO[[#This Row],[EMULNOR 1000 (N° CART.)]]*PE_EMUL_1000[PE],"")</f>
        <v/>
      </c>
      <c r="AR389" s="386" t="str">
        <f>+IF(BD_MO[[#This Row],[N° VALE]]&lt;&gt;"",BD_MO[[#This Row],[EMULNOR 3000 (N° CART.)]]*PE_EMUL_3000[PE],"")</f>
        <v/>
      </c>
      <c r="AS389" s="386" t="str">
        <f>+IF(BD_MO[[#This Row],[N° VALE]]&lt;&gt;"",BD_MO[[#This Row],[PULVERULENTA (N° CART.)]]*PE_PULV_65[PE],"")</f>
        <v/>
      </c>
      <c r="AT389" s="386" t="str">
        <f>+IF(BD_MO[[#This Row],[N° DISP]]&lt;&gt;"",BD_MO[[#This Row],[SEMIGELATINA (N° CART.)]]*PE_SEMIGEL_65[PE],"")</f>
        <v/>
      </c>
      <c r="AU389" s="386" t="str">
        <f>+IF(BD_MO[N° VALE]&lt;&gt;"",BD_MO[[#This Row],[KG EXPLO SEMIGEL]]+BD_MO[[#This Row],[KG EXPLO PULVE]]+BD_MO[[#This Row],[KG EXPLO EMULN 3000]]+BD_MO[[#This Row],[KG EXPLO EMULN 1000]],"")</f>
        <v/>
      </c>
      <c r="AV389" s="212"/>
      <c r="AW389" s="212"/>
      <c r="AX389" s="212" t="str">
        <f>+IF(BD_MO[[#This Row],[MINERAL (U-35)]]&lt;&gt;"",BD_MO[[#This Row],[MINERAL (U-35)]]*1.45,"-")</f>
        <v>-</v>
      </c>
      <c r="AY389" s="212" t="str">
        <f>+IF(BD_MO[[#This Row],[DESMONTE (U-35)]]&lt;&gt;"",BD_MO[[#This Row],[DESMONTE (U-35)]]*1.23,"-")</f>
        <v>-</v>
      </c>
      <c r="AZ389" s="212"/>
      <c r="BA389" s="212"/>
      <c r="BB389" s="212"/>
      <c r="BC389" s="212"/>
      <c r="BD389" s="212"/>
      <c r="BE389" s="212"/>
      <c r="BF389" s="212"/>
      <c r="BG389" s="212"/>
      <c r="BH389" s="212"/>
      <c r="BI389" s="212"/>
      <c r="BJ389" s="212"/>
      <c r="BK389" s="212"/>
      <c r="BL389" s="212"/>
      <c r="BM389" s="212"/>
      <c r="BN389" s="383"/>
      <c r="BO389" s="212"/>
      <c r="BP389" s="212"/>
      <c r="BQ389" s="383"/>
      <c r="BR389" s="212"/>
      <c r="BS389" s="383"/>
      <c r="BT389" s="386"/>
      <c r="BU389" s="212"/>
      <c r="BV389" s="212"/>
      <c r="BW389" s="212"/>
      <c r="BX389" s="212"/>
      <c r="BY389" s="212"/>
      <c r="BZ389" s="212"/>
      <c r="CA389" s="212"/>
      <c r="CB389" s="212"/>
      <c r="CC389" s="212"/>
      <c r="CD389" s="212"/>
      <c r="CE389" s="212"/>
      <c r="CF389" s="212"/>
      <c r="CG389" s="212"/>
      <c r="CH389" s="212"/>
      <c r="CI389" s="212"/>
      <c r="CJ389" s="212"/>
      <c r="CK389" s="212"/>
      <c r="CL389" s="212"/>
      <c r="CM389" s="212"/>
      <c r="CN389" s="212"/>
      <c r="CO389" s="212"/>
      <c r="CP389" s="386">
        <f>+IF(BD_MO[[#This Row],[FECHA]]&lt;&gt;"",BD_MO[[#This Row],[PUNTAL 4"]]+BD_MO[[#This Row],[PUNTAL 5"]]+BD_MO[[#This Row],[PUNTAL 6"]]+BD_MO[[#This Row],[PUNTAL 7"]]+BD_MO[[#This Row],[PUNTAL 8"]],"")</f>
        <v>0</v>
      </c>
      <c r="CQ389" s="212"/>
      <c r="CR389" s="212"/>
      <c r="CS389" s="212"/>
      <c r="CT389" s="212"/>
      <c r="CU389" s="212"/>
      <c r="CV389" s="212"/>
      <c r="CW389" s="212"/>
      <c r="CX389" s="212"/>
      <c r="CY389" s="386"/>
      <c r="CZ389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89" s="386">
        <f>+IF(BD_MO[[#This Row],[FECHA]]&lt;&gt;"",BD_MO[[#This Row],[DURMIENTE2]]*6.561+BD_MO[[#This Row],[LISTONES]]*4.921+BD_MO[[#This Row],[TABLA 1"x8"x3m]]*6.561+BD_MO[[#This Row],[TABLA 2"x8"x3m]]*13.122,"")</f>
        <v>0</v>
      </c>
      <c r="DB389" s="386">
        <f>+IF(BD_MO[[#This Row],[FECHA]]&lt;&gt;"",BD_MO[[#This Row],[PIE2 MADERA ASERRADA]]*1.95,"")</f>
        <v>0</v>
      </c>
      <c r="DC389" s="386">
        <f>+IF(BD_MO[[#This Row],[FECHA]]&lt;&gt;"",BD_MO[[#This Row],[KG. MADERA REDONDA]]+BD_MO[[#This Row],[KG MADERA ASERRADA]],"")</f>
        <v>0</v>
      </c>
      <c r="DD389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89" s="212"/>
      <c r="DF389" s="212"/>
      <c r="DG389" s="212" t="s">
        <v>12239</v>
      </c>
      <c r="DH389" s="212">
        <v>8</v>
      </c>
      <c r="DI389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89" s="228"/>
      <c r="DK389" s="228"/>
      <c r="DL389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89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89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89" s="389"/>
      <c r="DP389" s="228" t="str">
        <f>+IF(BD_MO[[#This Row],[M o D]]&lt;&gt;"",IF(BD_MO[[#This Row],[M o D]]="M",BD_MO[[#This Row],[ROTURA TMH]]/2.65,BD_MO[[#This Row],[ROTURA TMH]]/2.4),"")</f>
        <v/>
      </c>
      <c r="DQ389" s="228"/>
      <c r="DR389" s="116" t="str">
        <f>IF(BD_MO[[#This Row],[TIPO AVANCE]]="Avance",((BD_MO[[#This Row],[AVANCE (m)]]/BD_MO[[#This Row],[AVANCE TEÓRICO]]))," ")</f>
        <v xml:space="preserve"> </v>
      </c>
      <c r="DS389" s="134"/>
      <c r="DT389" s="134"/>
      <c r="DU389" s="134"/>
      <c r="DV389" s="134"/>
      <c r="DW389" s="134"/>
      <c r="DX389" s="135"/>
      <c r="DY389" s="135"/>
      <c r="DZ389" s="135"/>
    </row>
    <row r="390" spans="1:130" s="136" customFormat="1" ht="18" customHeight="1" x14ac:dyDescent="0.25">
      <c r="A390" s="92">
        <v>44673</v>
      </c>
      <c r="B390" s="40" t="s">
        <v>10655</v>
      </c>
      <c r="C390" s="40" t="s">
        <v>10672</v>
      </c>
      <c r="D390" s="94" t="s">
        <v>10954</v>
      </c>
      <c r="E390" s="383" t="str">
        <f>LEFT(BD_MO[[#This Row],[LABOR]],2)</f>
        <v>MO</v>
      </c>
      <c r="F390" s="212"/>
      <c r="G390" s="212" t="s">
        <v>10669</v>
      </c>
      <c r="H390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90" s="383" t="str">
        <f>IF(BD_MO[FECHA]&lt;&gt;"",VLOOKUP(BD_MO[LABOR],TB_CECO[[LABOR]:[CECO_T]],3,FALSE),"")</f>
        <v>INCA</v>
      </c>
      <c r="J390" s="383" t="str">
        <f>IF(BD_MO[FECHA]&lt;&gt;"",VLOOKUP(BD_MO[LABOR],D_CECO!B:H,7,FALSE),"")</f>
        <v>SERVICIOS</v>
      </c>
      <c r="K390" s="383" t="str">
        <f>IF(BD_MO[FECHA]&lt;&gt;"",VLOOKUP(BD_MO[LABOR],D_CECO!B:H,4,FALSE),"")</f>
        <v>SERVICIOS</v>
      </c>
      <c r="L390" s="383"/>
      <c r="M390" s="40"/>
      <c r="N390" s="212"/>
      <c r="O390" s="93" t="s">
        <v>12221</v>
      </c>
      <c r="P390" s="93" t="s">
        <v>12209</v>
      </c>
      <c r="Q390" s="93"/>
      <c r="R390" s="384"/>
      <c r="S390" s="385" t="str">
        <f>IFERROR(VLOOKUP(BD_MO[DNI 4],#REF!,2,FALSE)," ")</f>
        <v xml:space="preserve"> </v>
      </c>
      <c r="T390" s="386">
        <f>+IF(BD_MO[[#This Row],[FECHA]]&lt;&gt;"",COUNTA(BD_MO[[#This Row],[DNI]],BD_MO[[#This Row],[DNI 2]],BD_MO[[#This Row],[DNI 3]],BD_MO[[#This Row],[DNI 4]]),"")</f>
        <v>2</v>
      </c>
      <c r="U390" s="386"/>
      <c r="V390" s="386"/>
      <c r="W390" s="386"/>
      <c r="X390" s="386">
        <v>2</v>
      </c>
      <c r="Y390" s="86">
        <f>SUM(BD_MO[[#This Row],[LIMP]:[SERV]])</f>
        <v>2</v>
      </c>
      <c r="Z390" s="212"/>
      <c r="AA390" s="212" t="str">
        <f>+IF(BD_MO[[#This Row],[N° VALE]]&lt;&gt;"",1,"")</f>
        <v/>
      </c>
      <c r="AB390" s="40"/>
      <c r="AC390" s="212"/>
      <c r="AD390" s="212" t="str">
        <f>+IF(BD_MO[[#This Row],[N° VALE]]&lt;&gt;"",BD_MO[[#This Row],[FULMINANTE N° 08]]+BD_MO[CARMEX 7''],"")</f>
        <v/>
      </c>
      <c r="AE390" s="212"/>
      <c r="AF390" s="212" t="str">
        <f>+IF(BD_MO[[#This Row],[N° VALE]]&lt;&gt;"",BD_MO[[#This Row],[N° TALADROS]]+BD_MO[[#This Row],[N° TAL. VACIOS]],"")</f>
        <v/>
      </c>
      <c r="AG390" s="387"/>
      <c r="AH390" s="387"/>
      <c r="AI390" s="387"/>
      <c r="AJ390" s="387"/>
      <c r="AK390" s="387"/>
      <c r="AL390" s="387"/>
      <c r="AM390" s="383"/>
      <c r="AN390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90" s="212" t="str">
        <f>+IF(BD_MO[[#This Row],[N° VALE]]&lt;&gt;"",IF(BD_MO[[#This Row],[FULMINANTE N° 08]]&lt;&gt;"",BD_MO[[#This Row],[FULMINANTE N° 08]],IF(BD_MO[[#This Row],[CARMEX 7'']]&lt;&gt;0,0,"")),"")</f>
        <v/>
      </c>
      <c r="AP390" s="386" t="str">
        <f>+IF(BD_MO[[#This Row],[N° VALE]]&lt;&gt;"",BD_MO[[#This Row],[N°  TOTAL TALADROS]]*BD_MO[[#This Row],[BARRA]]*0.95,"")</f>
        <v/>
      </c>
      <c r="AQ390" s="386" t="str">
        <f>+IF(BD_MO[[#This Row],[N° VALE]]&lt;&gt;"",BD_MO[[#This Row],[EMULNOR 1000 (N° CART.)]]*PE_EMUL_1000[PE],"")</f>
        <v/>
      </c>
      <c r="AR390" s="386" t="str">
        <f>+IF(BD_MO[[#This Row],[N° VALE]]&lt;&gt;"",BD_MO[[#This Row],[EMULNOR 3000 (N° CART.)]]*PE_EMUL_3000[PE],"")</f>
        <v/>
      </c>
      <c r="AS390" s="386" t="str">
        <f>+IF(BD_MO[[#This Row],[N° VALE]]&lt;&gt;"",BD_MO[[#This Row],[PULVERULENTA (N° CART.)]]*PE_PULV_65[PE],"")</f>
        <v/>
      </c>
      <c r="AT390" s="386" t="str">
        <f>+IF(BD_MO[[#This Row],[N° DISP]]&lt;&gt;"",BD_MO[[#This Row],[SEMIGELATINA (N° CART.)]]*PE_SEMIGEL_65[PE],"")</f>
        <v/>
      </c>
      <c r="AU390" s="386" t="str">
        <f>+IF(BD_MO[N° VALE]&lt;&gt;"",BD_MO[[#This Row],[KG EXPLO SEMIGEL]]+BD_MO[[#This Row],[KG EXPLO PULVE]]+BD_MO[[#This Row],[KG EXPLO EMULN 3000]]+BD_MO[[#This Row],[KG EXPLO EMULN 1000]],"")</f>
        <v/>
      </c>
      <c r="AV390" s="212"/>
      <c r="AW390" s="212"/>
      <c r="AX390" s="212" t="str">
        <f>+IF(BD_MO[[#This Row],[MINERAL (U-35)]]&lt;&gt;"",BD_MO[[#This Row],[MINERAL (U-35)]]*1.45,"-")</f>
        <v>-</v>
      </c>
      <c r="AY390" s="212" t="str">
        <f>+IF(BD_MO[[#This Row],[DESMONTE (U-35)]]&lt;&gt;"",BD_MO[[#This Row],[DESMONTE (U-35)]]*1.23,"-")</f>
        <v>-</v>
      </c>
      <c r="AZ390" s="212"/>
      <c r="BA390" s="212"/>
      <c r="BB390" s="212"/>
      <c r="BC390" s="212"/>
      <c r="BD390" s="212"/>
      <c r="BE390" s="212"/>
      <c r="BF390" s="212"/>
      <c r="BG390" s="212"/>
      <c r="BH390" s="212"/>
      <c r="BI390" s="212"/>
      <c r="BJ390" s="212"/>
      <c r="BK390" s="212"/>
      <c r="BL390" s="212"/>
      <c r="BM390" s="212"/>
      <c r="BN390" s="383"/>
      <c r="BO390" s="212"/>
      <c r="BP390" s="212"/>
      <c r="BQ390" s="383"/>
      <c r="BR390" s="212"/>
      <c r="BS390" s="383"/>
      <c r="BT390" s="386"/>
      <c r="BU390" s="212"/>
      <c r="BV390" s="212"/>
      <c r="BW390" s="212"/>
      <c r="BX390" s="212"/>
      <c r="BY390" s="212"/>
      <c r="BZ390" s="212"/>
      <c r="CA390" s="212"/>
      <c r="CB390" s="212"/>
      <c r="CC390" s="212"/>
      <c r="CD390" s="212"/>
      <c r="CE390" s="212"/>
      <c r="CF390" s="212"/>
      <c r="CG390" s="212"/>
      <c r="CH390" s="212"/>
      <c r="CI390" s="212"/>
      <c r="CJ390" s="212"/>
      <c r="CK390" s="212"/>
      <c r="CL390" s="212"/>
      <c r="CM390" s="212"/>
      <c r="CN390" s="212"/>
      <c r="CO390" s="212"/>
      <c r="CP390" s="386">
        <f>+IF(BD_MO[[#This Row],[FECHA]]&lt;&gt;"",BD_MO[[#This Row],[PUNTAL 4"]]+BD_MO[[#This Row],[PUNTAL 5"]]+BD_MO[[#This Row],[PUNTAL 6"]]+BD_MO[[#This Row],[PUNTAL 7"]]+BD_MO[[#This Row],[PUNTAL 8"]],"")</f>
        <v>0</v>
      </c>
      <c r="CQ390" s="212"/>
      <c r="CR390" s="212"/>
      <c r="CS390" s="212"/>
      <c r="CT390" s="212"/>
      <c r="CU390" s="212"/>
      <c r="CV390" s="212"/>
      <c r="CW390" s="212"/>
      <c r="CX390" s="212"/>
      <c r="CY390" s="386"/>
      <c r="CZ390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90" s="386">
        <f>+IF(BD_MO[[#This Row],[FECHA]]&lt;&gt;"",BD_MO[[#This Row],[DURMIENTE2]]*6.561+BD_MO[[#This Row],[LISTONES]]*4.921+BD_MO[[#This Row],[TABLA 1"x8"x3m]]*6.561+BD_MO[[#This Row],[TABLA 2"x8"x3m]]*13.122,"")</f>
        <v>0</v>
      </c>
      <c r="DB390" s="386">
        <f>+IF(BD_MO[[#This Row],[FECHA]]&lt;&gt;"",BD_MO[[#This Row],[PIE2 MADERA ASERRADA]]*1.95,"")</f>
        <v>0</v>
      </c>
      <c r="DC390" s="386">
        <f>+IF(BD_MO[[#This Row],[FECHA]]&lt;&gt;"",BD_MO[[#This Row],[KG. MADERA REDONDA]]+BD_MO[[#This Row],[KG MADERA ASERRADA]],"")</f>
        <v>0</v>
      </c>
      <c r="DD390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90" s="212"/>
      <c r="DF390" s="212"/>
      <c r="DG390" s="212"/>
      <c r="DH390" s="212"/>
      <c r="DI390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90" s="228"/>
      <c r="DK390" s="228"/>
      <c r="DL390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90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90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90" s="389"/>
      <c r="DP390" s="228" t="str">
        <f>+IF(BD_MO[[#This Row],[M o D]]&lt;&gt;"",IF(BD_MO[[#This Row],[M o D]]="M",BD_MO[[#This Row],[ROTURA TMH]]/2.65,BD_MO[[#This Row],[ROTURA TMH]]/2.4),"")</f>
        <v/>
      </c>
      <c r="DQ390" s="228"/>
      <c r="DR390" s="116" t="str">
        <f>IF(BD_MO[[#This Row],[TIPO AVANCE]]="Avance",((BD_MO[[#This Row],[AVANCE (m)]]/BD_MO[[#This Row],[AVANCE TEÓRICO]]))," ")</f>
        <v xml:space="preserve"> </v>
      </c>
      <c r="DS390" s="134"/>
      <c r="DT390" s="134"/>
      <c r="DU390" s="134"/>
      <c r="DV390" s="134"/>
      <c r="DW390" s="134"/>
      <c r="DX390" s="135"/>
      <c r="DY390" s="135"/>
      <c r="DZ390" s="135"/>
    </row>
    <row r="391" spans="1:130" s="136" customFormat="1" ht="18" customHeight="1" x14ac:dyDescent="0.25">
      <c r="A391" s="92">
        <v>44673</v>
      </c>
      <c r="B391" s="40" t="s">
        <v>10655</v>
      </c>
      <c r="C391" s="40" t="s">
        <v>10672</v>
      </c>
      <c r="D391" s="94" t="s">
        <v>10717</v>
      </c>
      <c r="E391" s="383" t="str">
        <f>LEFT(BD_MO[[#This Row],[LABOR]],2)</f>
        <v>BO</v>
      </c>
      <c r="F391" s="212"/>
      <c r="G391" s="212" t="s">
        <v>10669</v>
      </c>
      <c r="H391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91" s="383" t="str">
        <f>IF(BD_MO[FECHA]&lt;&gt;"",VLOOKUP(BD_MO[LABOR],TB_CECO[[LABOR]:[CECO_T]],3,FALSE),"")</f>
        <v>CACHORRO</v>
      </c>
      <c r="J391" s="383" t="str">
        <f>IF(BD_MO[FECHA]&lt;&gt;"",VLOOKUP(BD_MO[LABOR],D_CECO!B:H,7,FALSE),"")</f>
        <v>SERVICIOS</v>
      </c>
      <c r="K391" s="383" t="str">
        <f>IF(BD_MO[FECHA]&lt;&gt;"",VLOOKUP(BD_MO[LABOR],D_CECO!B:H,4,FALSE),"")</f>
        <v>SERVICIOS</v>
      </c>
      <c r="L391" s="383"/>
      <c r="M391" s="40"/>
      <c r="N391" s="212"/>
      <c r="O391" s="93" t="s">
        <v>12196</v>
      </c>
      <c r="P391" s="93"/>
      <c r="Q391" s="93"/>
      <c r="R391" s="384"/>
      <c r="S391" s="385" t="str">
        <f>IFERROR(VLOOKUP(BD_MO[DNI 4],#REF!,2,FALSE)," ")</f>
        <v xml:space="preserve"> </v>
      </c>
      <c r="T391" s="386">
        <f>+IF(BD_MO[[#This Row],[FECHA]]&lt;&gt;"",COUNTA(BD_MO[[#This Row],[DNI]],BD_MO[[#This Row],[DNI 2]],BD_MO[[#This Row],[DNI 3]],BD_MO[[#This Row],[DNI 4]]),"")</f>
        <v>1</v>
      </c>
      <c r="U391" s="386"/>
      <c r="V391" s="386"/>
      <c r="W391" s="386"/>
      <c r="X391" s="386">
        <v>1</v>
      </c>
      <c r="Y391" s="86">
        <f>SUM(BD_MO[[#This Row],[LIMP]:[SERV]])</f>
        <v>1</v>
      </c>
      <c r="Z391" s="212"/>
      <c r="AA391" s="212" t="str">
        <f>+IF(BD_MO[[#This Row],[N° VALE]]&lt;&gt;"",1,"")</f>
        <v/>
      </c>
      <c r="AB391" s="40"/>
      <c r="AC391" s="212"/>
      <c r="AD391" s="212" t="str">
        <f>+IF(BD_MO[[#This Row],[N° VALE]]&lt;&gt;"",BD_MO[[#This Row],[FULMINANTE N° 08]]+BD_MO[CARMEX 7''],"")</f>
        <v/>
      </c>
      <c r="AE391" s="212"/>
      <c r="AF391" s="212" t="str">
        <f>+IF(BD_MO[[#This Row],[N° VALE]]&lt;&gt;"",BD_MO[[#This Row],[N° TALADROS]]+BD_MO[[#This Row],[N° TAL. VACIOS]],"")</f>
        <v/>
      </c>
      <c r="AG391" s="387"/>
      <c r="AH391" s="387"/>
      <c r="AI391" s="387"/>
      <c r="AJ391" s="387"/>
      <c r="AK391" s="387"/>
      <c r="AL391" s="387"/>
      <c r="AM391" s="383"/>
      <c r="AN391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91" s="212" t="str">
        <f>+IF(BD_MO[[#This Row],[N° VALE]]&lt;&gt;"",IF(BD_MO[[#This Row],[FULMINANTE N° 08]]&lt;&gt;"",BD_MO[[#This Row],[FULMINANTE N° 08]],IF(BD_MO[[#This Row],[CARMEX 7'']]&lt;&gt;0,0,"")),"")</f>
        <v/>
      </c>
      <c r="AP391" s="386" t="str">
        <f>+IF(BD_MO[[#This Row],[N° VALE]]&lt;&gt;"",BD_MO[[#This Row],[N°  TOTAL TALADROS]]*BD_MO[[#This Row],[BARRA]]*0.95,"")</f>
        <v/>
      </c>
      <c r="AQ391" s="386" t="str">
        <f>+IF(BD_MO[[#This Row],[N° VALE]]&lt;&gt;"",BD_MO[[#This Row],[EMULNOR 1000 (N° CART.)]]*PE_EMUL_1000[PE],"")</f>
        <v/>
      </c>
      <c r="AR391" s="386" t="str">
        <f>+IF(BD_MO[[#This Row],[N° VALE]]&lt;&gt;"",BD_MO[[#This Row],[EMULNOR 3000 (N° CART.)]]*PE_EMUL_3000[PE],"")</f>
        <v/>
      </c>
      <c r="AS391" s="386" t="str">
        <f>+IF(BD_MO[[#This Row],[N° VALE]]&lt;&gt;"",BD_MO[[#This Row],[PULVERULENTA (N° CART.)]]*PE_PULV_65[PE],"")</f>
        <v/>
      </c>
      <c r="AT391" s="386" t="str">
        <f>+IF(BD_MO[[#This Row],[N° DISP]]&lt;&gt;"",BD_MO[[#This Row],[SEMIGELATINA (N° CART.)]]*PE_SEMIGEL_65[PE],"")</f>
        <v/>
      </c>
      <c r="AU391" s="386" t="str">
        <f>+IF(BD_MO[N° VALE]&lt;&gt;"",BD_MO[[#This Row],[KG EXPLO SEMIGEL]]+BD_MO[[#This Row],[KG EXPLO PULVE]]+BD_MO[[#This Row],[KG EXPLO EMULN 3000]]+BD_MO[[#This Row],[KG EXPLO EMULN 1000]],"")</f>
        <v/>
      </c>
      <c r="AV391" s="212"/>
      <c r="AW391" s="212"/>
      <c r="AX391" s="212" t="str">
        <f>+IF(BD_MO[[#This Row],[MINERAL (U-35)]]&lt;&gt;"",BD_MO[[#This Row],[MINERAL (U-35)]]*1.45,"-")</f>
        <v>-</v>
      </c>
      <c r="AY391" s="212" t="str">
        <f>+IF(BD_MO[[#This Row],[DESMONTE (U-35)]]&lt;&gt;"",BD_MO[[#This Row],[DESMONTE (U-35)]]*1.23,"-")</f>
        <v>-</v>
      </c>
      <c r="AZ391" s="212"/>
      <c r="BA391" s="212"/>
      <c r="BB391" s="212"/>
      <c r="BC391" s="212"/>
      <c r="BD391" s="212"/>
      <c r="BE391" s="212"/>
      <c r="BF391" s="212"/>
      <c r="BG391" s="212"/>
      <c r="BH391" s="212"/>
      <c r="BI391" s="212"/>
      <c r="BJ391" s="212"/>
      <c r="BK391" s="212"/>
      <c r="BL391" s="212"/>
      <c r="BM391" s="212"/>
      <c r="BN391" s="383"/>
      <c r="BO391" s="212"/>
      <c r="BP391" s="212"/>
      <c r="BQ391" s="383"/>
      <c r="BR391" s="212"/>
      <c r="BS391" s="383"/>
      <c r="BT391" s="386"/>
      <c r="BU391" s="212"/>
      <c r="BV391" s="212"/>
      <c r="BW391" s="212"/>
      <c r="BX391" s="212"/>
      <c r="BY391" s="212"/>
      <c r="BZ391" s="212"/>
      <c r="CA391" s="212"/>
      <c r="CB391" s="212"/>
      <c r="CC391" s="212"/>
      <c r="CD391" s="212"/>
      <c r="CE391" s="212"/>
      <c r="CF391" s="212"/>
      <c r="CG391" s="212"/>
      <c r="CH391" s="212"/>
      <c r="CI391" s="212"/>
      <c r="CJ391" s="212"/>
      <c r="CK391" s="212"/>
      <c r="CL391" s="212"/>
      <c r="CM391" s="212"/>
      <c r="CN391" s="212"/>
      <c r="CO391" s="212"/>
      <c r="CP391" s="386">
        <f>+IF(BD_MO[[#This Row],[FECHA]]&lt;&gt;"",BD_MO[[#This Row],[PUNTAL 4"]]+BD_MO[[#This Row],[PUNTAL 5"]]+BD_MO[[#This Row],[PUNTAL 6"]]+BD_MO[[#This Row],[PUNTAL 7"]]+BD_MO[[#This Row],[PUNTAL 8"]],"")</f>
        <v>0</v>
      </c>
      <c r="CQ391" s="212"/>
      <c r="CR391" s="212"/>
      <c r="CS391" s="212"/>
      <c r="CT391" s="212"/>
      <c r="CU391" s="212"/>
      <c r="CV391" s="212"/>
      <c r="CW391" s="212"/>
      <c r="CX391" s="212"/>
      <c r="CY391" s="386"/>
      <c r="CZ391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91" s="386">
        <f>+IF(BD_MO[[#This Row],[FECHA]]&lt;&gt;"",BD_MO[[#This Row],[DURMIENTE2]]*6.561+BD_MO[[#This Row],[LISTONES]]*4.921+BD_MO[[#This Row],[TABLA 1"x8"x3m]]*6.561+BD_MO[[#This Row],[TABLA 2"x8"x3m]]*13.122,"")</f>
        <v>0</v>
      </c>
      <c r="DB391" s="386">
        <f>+IF(BD_MO[[#This Row],[FECHA]]&lt;&gt;"",BD_MO[[#This Row],[PIE2 MADERA ASERRADA]]*1.95,"")</f>
        <v>0</v>
      </c>
      <c r="DC391" s="386">
        <f>+IF(BD_MO[[#This Row],[FECHA]]&lt;&gt;"",BD_MO[[#This Row],[KG. MADERA REDONDA]]+BD_MO[[#This Row],[KG MADERA ASERRADA]],"")</f>
        <v>0</v>
      </c>
      <c r="DD391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91" s="212"/>
      <c r="DF391" s="212"/>
      <c r="DG391" s="212"/>
      <c r="DH391" s="212"/>
      <c r="DI391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91" s="228"/>
      <c r="DK391" s="228"/>
      <c r="DL391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91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91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91" s="389"/>
      <c r="DP391" s="228" t="str">
        <f>+IF(BD_MO[[#This Row],[M o D]]&lt;&gt;"",IF(BD_MO[[#This Row],[M o D]]="M",BD_MO[[#This Row],[ROTURA TMH]]/2.65,BD_MO[[#This Row],[ROTURA TMH]]/2.4),"")</f>
        <v/>
      </c>
      <c r="DQ391" s="228"/>
      <c r="DR391" s="116" t="str">
        <f>IF(BD_MO[[#This Row],[TIPO AVANCE]]="Avance",((BD_MO[[#This Row],[AVANCE (m)]]/BD_MO[[#This Row],[AVANCE TEÓRICO]]))," ")</f>
        <v xml:space="preserve"> </v>
      </c>
      <c r="DS391" s="134"/>
      <c r="DT391" s="134"/>
      <c r="DU391" s="134"/>
      <c r="DV391" s="134"/>
      <c r="DW391" s="134"/>
      <c r="DX391" s="135"/>
      <c r="DY391" s="135"/>
      <c r="DZ391" s="135"/>
    </row>
    <row r="392" spans="1:130" s="115" customFormat="1" ht="18" customHeight="1" thickBot="1" x14ac:dyDescent="0.3">
      <c r="A392" s="130">
        <v>44673</v>
      </c>
      <c r="B392" s="117" t="s">
        <v>10655</v>
      </c>
      <c r="C392" s="117" t="s">
        <v>10672</v>
      </c>
      <c r="D392" s="118" t="s">
        <v>12339</v>
      </c>
      <c r="E392" s="119" t="str">
        <f>LEFT(BD_MO[[#This Row],[LABOR]],2)</f>
        <v>Tj</v>
      </c>
      <c r="F392" s="120"/>
      <c r="G392" s="120" t="s">
        <v>10669</v>
      </c>
      <c r="H392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92" s="119" t="s">
        <v>12254</v>
      </c>
      <c r="J392" s="119" t="s">
        <v>10502</v>
      </c>
      <c r="K392" s="119" t="s">
        <v>12249</v>
      </c>
      <c r="L392" s="119"/>
      <c r="M392" s="117"/>
      <c r="N392" s="120"/>
      <c r="O392" s="121" t="s">
        <v>12333</v>
      </c>
      <c r="P392" s="121" t="s">
        <v>12201</v>
      </c>
      <c r="Q392" s="121"/>
      <c r="R392" s="122"/>
      <c r="S392" s="123" t="str">
        <f>IFERROR(VLOOKUP(BD_MO[DNI 4],#REF!,2,FALSE)," ")</f>
        <v xml:space="preserve"> </v>
      </c>
      <c r="T392" s="124">
        <f>+IF(BD_MO[[#This Row],[FECHA]]&lt;&gt;"",COUNTA(BD_MO[[#This Row],[DNI]],BD_MO[[#This Row],[DNI 2]],BD_MO[[#This Row],[DNI 3]],BD_MO[[#This Row],[DNI 4]]),"")</f>
        <v>2</v>
      </c>
      <c r="U392" s="124"/>
      <c r="V392" s="124"/>
      <c r="W392" s="124"/>
      <c r="X392" s="124">
        <v>2</v>
      </c>
      <c r="Y392" s="125">
        <f>SUM(BD_MO[[#This Row],[LIMP]:[SERV]])</f>
        <v>2</v>
      </c>
      <c r="Z392" s="120"/>
      <c r="AA392" s="120" t="str">
        <f>+IF(BD_MO[[#This Row],[N° VALE]]&lt;&gt;"",1,"")</f>
        <v/>
      </c>
      <c r="AB392" s="117"/>
      <c r="AC392" s="120"/>
      <c r="AD392" s="120" t="str">
        <f>+IF(BD_MO[[#This Row],[N° VALE]]&lt;&gt;"",BD_MO[[#This Row],[FULMINANTE N° 08]]+BD_MO[CARMEX 7''],"")</f>
        <v/>
      </c>
      <c r="AE392" s="120"/>
      <c r="AF392" s="120" t="str">
        <f>+IF(BD_MO[[#This Row],[N° VALE]]&lt;&gt;"",BD_MO[[#This Row],[N° TALADROS]]+BD_MO[[#This Row],[N° TAL. VACIOS]],"")</f>
        <v/>
      </c>
      <c r="AG392" s="126"/>
      <c r="AH392" s="126"/>
      <c r="AI392" s="126"/>
      <c r="AJ392" s="126"/>
      <c r="AK392" s="126"/>
      <c r="AL392" s="126"/>
      <c r="AM392" s="119"/>
      <c r="AN392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92" s="120" t="str">
        <f>+IF(BD_MO[[#This Row],[N° VALE]]&lt;&gt;"",IF(BD_MO[[#This Row],[FULMINANTE N° 08]]&lt;&gt;"",BD_MO[[#This Row],[FULMINANTE N° 08]],IF(BD_MO[[#This Row],[CARMEX 7'']]&lt;&gt;0,0,"")),"")</f>
        <v/>
      </c>
      <c r="AP392" s="124" t="str">
        <f>+IF(BD_MO[[#This Row],[N° VALE]]&lt;&gt;"",BD_MO[[#This Row],[N°  TOTAL TALADROS]]*BD_MO[[#This Row],[BARRA]]*0.95,"")</f>
        <v/>
      </c>
      <c r="AQ392" s="124" t="str">
        <f>+IF(BD_MO[[#This Row],[N° VALE]]&lt;&gt;"",BD_MO[[#This Row],[EMULNOR 1000 (N° CART.)]]*PE_EMUL_1000[PE],"")</f>
        <v/>
      </c>
      <c r="AR392" s="124" t="str">
        <f>+IF(BD_MO[[#This Row],[N° VALE]]&lt;&gt;"",BD_MO[[#This Row],[EMULNOR 3000 (N° CART.)]]*PE_EMUL_3000[PE],"")</f>
        <v/>
      </c>
      <c r="AS392" s="124" t="str">
        <f>+IF(BD_MO[[#This Row],[N° VALE]]&lt;&gt;"",BD_MO[[#This Row],[PULVERULENTA (N° CART.)]]*PE_PULV_65[PE],"")</f>
        <v/>
      </c>
      <c r="AT392" s="124" t="str">
        <f>+IF(BD_MO[[#This Row],[N° DISP]]&lt;&gt;"",BD_MO[[#This Row],[SEMIGELATINA (N° CART.)]]*PE_SEMIGEL_65[PE],"")</f>
        <v/>
      </c>
      <c r="AU392" s="124" t="str">
        <f>+IF(BD_MO[N° VALE]&lt;&gt;"",BD_MO[[#This Row],[KG EXPLO SEMIGEL]]+BD_MO[[#This Row],[KG EXPLO PULVE]]+BD_MO[[#This Row],[KG EXPLO EMULN 3000]]+BD_MO[[#This Row],[KG EXPLO EMULN 1000]],"")</f>
        <v/>
      </c>
      <c r="AV392" s="120"/>
      <c r="AW392" s="120"/>
      <c r="AX392" s="120" t="str">
        <f>+IF(BD_MO[[#This Row],[MINERAL (U-35)]]&lt;&gt;"",BD_MO[[#This Row],[MINERAL (U-35)]]*1.45,"-")</f>
        <v>-</v>
      </c>
      <c r="AY392" s="120" t="str">
        <f>+IF(BD_MO[[#This Row],[DESMONTE (U-35)]]&lt;&gt;"",BD_MO[[#This Row],[DESMONTE (U-35)]]*1.23,"-")</f>
        <v>-</v>
      </c>
      <c r="AZ392" s="120"/>
      <c r="BA392" s="120"/>
      <c r="BB392" s="120"/>
      <c r="BC392" s="120"/>
      <c r="BD392" s="120"/>
      <c r="BE392" s="120"/>
      <c r="BF392" s="120"/>
      <c r="BG392" s="120"/>
      <c r="BH392" s="120"/>
      <c r="BI392" s="120"/>
      <c r="BJ392" s="120"/>
      <c r="BK392" s="120"/>
      <c r="BL392" s="120"/>
      <c r="BM392" s="120"/>
      <c r="BN392" s="119"/>
      <c r="BO392" s="120"/>
      <c r="BP392" s="120"/>
      <c r="BQ392" s="119"/>
      <c r="BR392" s="120"/>
      <c r="BS392" s="119"/>
      <c r="BT392" s="124"/>
      <c r="BU392" s="120"/>
      <c r="BV392" s="120"/>
      <c r="BW392" s="120"/>
      <c r="BX392" s="120"/>
      <c r="BY392" s="120"/>
      <c r="BZ392" s="120"/>
      <c r="CA392" s="120"/>
      <c r="CB392" s="120"/>
      <c r="CC392" s="120"/>
      <c r="CD392" s="120"/>
      <c r="CE392" s="120"/>
      <c r="CF392" s="120"/>
      <c r="CG392" s="120"/>
      <c r="CH392" s="120"/>
      <c r="CI392" s="120"/>
      <c r="CJ392" s="120"/>
      <c r="CK392" s="120"/>
      <c r="CL392" s="120"/>
      <c r="CM392" s="120"/>
      <c r="CN392" s="120"/>
      <c r="CO392" s="120"/>
      <c r="CP392" s="124">
        <f>+IF(BD_MO[[#This Row],[FECHA]]&lt;&gt;"",BD_MO[[#This Row],[PUNTAL 4"]]+BD_MO[[#This Row],[PUNTAL 5"]]+BD_MO[[#This Row],[PUNTAL 6"]]+BD_MO[[#This Row],[PUNTAL 7"]]+BD_MO[[#This Row],[PUNTAL 8"]],"")</f>
        <v>0</v>
      </c>
      <c r="CQ392" s="120"/>
      <c r="CR392" s="120"/>
      <c r="CS392" s="120"/>
      <c r="CT392" s="120"/>
      <c r="CU392" s="120"/>
      <c r="CV392" s="120"/>
      <c r="CW392" s="120"/>
      <c r="CX392" s="120"/>
      <c r="CY392" s="124"/>
      <c r="CZ392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92" s="124">
        <f>+IF(BD_MO[[#This Row],[FECHA]]&lt;&gt;"",BD_MO[[#This Row],[DURMIENTE2]]*6.561+BD_MO[[#This Row],[LISTONES]]*4.921+BD_MO[[#This Row],[TABLA 1"x8"x3m]]*6.561+BD_MO[[#This Row],[TABLA 2"x8"x3m]]*13.122,"")</f>
        <v>0</v>
      </c>
      <c r="DB392" s="124">
        <f>+IF(BD_MO[[#This Row],[FECHA]]&lt;&gt;"",BD_MO[[#This Row],[PIE2 MADERA ASERRADA]]*1.95,"")</f>
        <v>0</v>
      </c>
      <c r="DC392" s="124">
        <f>+IF(BD_MO[[#This Row],[FECHA]]&lt;&gt;"",BD_MO[[#This Row],[KG. MADERA REDONDA]]+BD_MO[[#This Row],[KG MADERA ASERRADA]],"")</f>
        <v>0</v>
      </c>
      <c r="DD392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92" s="120"/>
      <c r="DF392" s="120"/>
      <c r="DG392" s="120"/>
      <c r="DH392" s="120"/>
      <c r="DI392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92" s="128"/>
      <c r="DK392" s="128"/>
      <c r="DL392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92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92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92" s="129"/>
      <c r="DP392" s="128" t="str">
        <f>+IF(BD_MO[[#This Row],[M o D]]&lt;&gt;"",IF(BD_MO[[#This Row],[M o D]]="M",BD_MO[[#This Row],[ROTURA TMH]]/2.65,BD_MO[[#This Row],[ROTURA TMH]]/2.4),"")</f>
        <v/>
      </c>
      <c r="DQ392" s="128"/>
      <c r="DR392" s="116" t="str">
        <f>IF(BD_MO[[#This Row],[TIPO AVANCE]]="Avance",((BD_MO[[#This Row],[AVANCE (m)]]/BD_MO[[#This Row],[AVANCE TEÓRICO]]))," ")</f>
        <v xml:space="preserve"> </v>
      </c>
      <c r="DS392" s="113"/>
      <c r="DT392" s="113"/>
      <c r="DU392" s="113"/>
      <c r="DV392" s="113"/>
      <c r="DW392" s="113"/>
      <c r="DX392" s="114"/>
      <c r="DY392" s="114"/>
      <c r="DZ392" s="114"/>
    </row>
    <row r="393" spans="1:130" s="136" customFormat="1" ht="18" customHeight="1" x14ac:dyDescent="0.25">
      <c r="A393" s="92">
        <v>44674</v>
      </c>
      <c r="B393" s="40" t="s">
        <v>10647</v>
      </c>
      <c r="C393" s="40" t="s">
        <v>10668</v>
      </c>
      <c r="D393" s="94" t="s">
        <v>11827</v>
      </c>
      <c r="E393" s="383" t="str">
        <f>LEFT(BD_MO[[#This Row],[LABOR]],2)</f>
        <v>Tj</v>
      </c>
      <c r="F393" s="212"/>
      <c r="G393" s="212" t="s">
        <v>10662</v>
      </c>
      <c r="H393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393" s="383" t="str">
        <f>IF(BD_MO[FECHA]&lt;&gt;"",VLOOKUP(BD_MO[LABOR],TB_CECO[[LABOR]:[CECO_T]],3,FALSE),"")</f>
        <v>VANESSA</v>
      </c>
      <c r="J393" s="383" t="str">
        <f>IF(BD_MO[FECHA]&lt;&gt;"",VLOOKUP(BD_MO[LABOR],D_CECO!B:H,7,FALSE),"")</f>
        <v>TAJO</v>
      </c>
      <c r="K393" s="383" t="str">
        <f>IF(BD_MO[FECHA]&lt;&gt;"",VLOOKUP(BD_MO[LABOR],D_CECO!B:H,4,FALSE),"")</f>
        <v>EXPLOTACION</v>
      </c>
      <c r="L393" s="383"/>
      <c r="M393" s="40"/>
      <c r="N393" s="212"/>
      <c r="O393" s="93" t="s">
        <v>12095</v>
      </c>
      <c r="P393" s="93" t="s">
        <v>12360</v>
      </c>
      <c r="Q393" s="93"/>
      <c r="R393" s="384"/>
      <c r="S393" s="385" t="str">
        <f>IFERROR(VLOOKUP(BD_MO[DNI 4],#REF!,2,FALSE)," ")</f>
        <v xml:space="preserve"> </v>
      </c>
      <c r="T393" s="386">
        <f>+IF(BD_MO[[#This Row],[FECHA]]&lt;&gt;"",COUNTA(BD_MO[[#This Row],[DNI]],BD_MO[[#This Row],[DNI 2]],BD_MO[[#This Row],[DNI 3]],BD_MO[[#This Row],[DNI 4]]),"")</f>
        <v>2</v>
      </c>
      <c r="U393" s="386">
        <v>0.7</v>
      </c>
      <c r="V393" s="386"/>
      <c r="W393" s="386">
        <v>0.9</v>
      </c>
      <c r="X393" s="386">
        <v>0.4</v>
      </c>
      <c r="Y393" s="86">
        <f>SUM(BD_MO[[#This Row],[LIMP]:[SERV]])</f>
        <v>2</v>
      </c>
      <c r="Z393" s="212"/>
      <c r="AA393" s="212" t="str">
        <f>+IF(BD_MO[[#This Row],[N° VALE]]&lt;&gt;"",1,"")</f>
        <v/>
      </c>
      <c r="AB393" s="40"/>
      <c r="AC393" s="212"/>
      <c r="AD393" s="212" t="str">
        <f>+IF(BD_MO[[#This Row],[N° VALE]]&lt;&gt;"",BD_MO[[#This Row],[FULMINANTE N° 08]]+BD_MO[CARMEX 7''],"")</f>
        <v/>
      </c>
      <c r="AE393" s="212"/>
      <c r="AF393" s="212" t="str">
        <f>+IF(BD_MO[[#This Row],[N° VALE]]&lt;&gt;"",BD_MO[[#This Row],[N° TALADROS]]+BD_MO[[#This Row],[N° TAL. VACIOS]],"")</f>
        <v/>
      </c>
      <c r="AG393" s="387"/>
      <c r="AH393" s="387"/>
      <c r="AI393" s="387"/>
      <c r="AJ393" s="387"/>
      <c r="AK393" s="387"/>
      <c r="AL393" s="387"/>
      <c r="AM393" s="383"/>
      <c r="AN393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93" s="212" t="str">
        <f>+IF(BD_MO[[#This Row],[N° VALE]]&lt;&gt;"",IF(BD_MO[[#This Row],[FULMINANTE N° 08]]&lt;&gt;"",BD_MO[[#This Row],[FULMINANTE N° 08]],IF(BD_MO[[#This Row],[CARMEX 7'']]&lt;&gt;0,0,"")),"")</f>
        <v/>
      </c>
      <c r="AP393" s="386" t="str">
        <f>+IF(BD_MO[[#This Row],[N° VALE]]&lt;&gt;"",BD_MO[[#This Row],[N°  TOTAL TALADROS]]*BD_MO[[#This Row],[BARRA]]*0.95,"")</f>
        <v/>
      </c>
      <c r="AQ393" s="386" t="str">
        <f>+IF(BD_MO[[#This Row],[N° VALE]]&lt;&gt;"",BD_MO[[#This Row],[EMULNOR 1000 (N° CART.)]]*PE_EMUL_1000[PE],"")</f>
        <v/>
      </c>
      <c r="AR393" s="386" t="str">
        <f>+IF(BD_MO[[#This Row],[N° VALE]]&lt;&gt;"",BD_MO[[#This Row],[EMULNOR 3000 (N° CART.)]]*PE_EMUL_3000[PE],"")</f>
        <v/>
      </c>
      <c r="AS393" s="386" t="str">
        <f>+IF(BD_MO[[#This Row],[N° VALE]]&lt;&gt;"",BD_MO[[#This Row],[PULVERULENTA (N° CART.)]]*PE_PULV_65[PE],"")</f>
        <v/>
      </c>
      <c r="AT393" s="386" t="str">
        <f>+IF(BD_MO[[#This Row],[N° DISP]]&lt;&gt;"",BD_MO[[#This Row],[SEMIGELATINA (N° CART.)]]*PE_SEMIGEL_65[PE],"")</f>
        <v/>
      </c>
      <c r="AU393" s="386" t="str">
        <f>+IF(BD_MO[N° VALE]&lt;&gt;"",BD_MO[[#This Row],[KG EXPLO SEMIGEL]]+BD_MO[[#This Row],[KG EXPLO PULVE]]+BD_MO[[#This Row],[KG EXPLO EMULN 3000]]+BD_MO[[#This Row],[KG EXPLO EMULN 1000]],"")</f>
        <v/>
      </c>
      <c r="AV393" s="212">
        <v>10</v>
      </c>
      <c r="AW393" s="212"/>
      <c r="AX393" s="212">
        <f>+IF(BD_MO[[#This Row],[MINERAL (U-35)]]&lt;&gt;"",BD_MO[[#This Row],[MINERAL (U-35)]]*1.45,"-")</f>
        <v>14.5</v>
      </c>
      <c r="AY393" s="212" t="str">
        <f>+IF(BD_MO[[#This Row],[DESMONTE (U-35)]]&lt;&gt;"",BD_MO[[#This Row],[DESMONTE (U-35)]]*1.23,"-")</f>
        <v>-</v>
      </c>
      <c r="AZ393" s="212"/>
      <c r="BA393" s="212"/>
      <c r="BB393" s="212"/>
      <c r="BC393" s="212"/>
      <c r="BD393" s="212"/>
      <c r="BE393" s="212"/>
      <c r="BF393" s="212"/>
      <c r="BG393" s="212"/>
      <c r="BH393" s="212"/>
      <c r="BI393" s="212"/>
      <c r="BJ393" s="212"/>
      <c r="BK393" s="212"/>
      <c r="BL393" s="212">
        <v>1</v>
      </c>
      <c r="BM393" s="212"/>
      <c r="BN393" s="383">
        <v>5.7</v>
      </c>
      <c r="BO393" s="212"/>
      <c r="BP393" s="212"/>
      <c r="BQ393" s="383"/>
      <c r="BR393" s="212"/>
      <c r="BS393" s="383"/>
      <c r="BT393" s="386"/>
      <c r="BU393" s="212"/>
      <c r="BV393" s="212"/>
      <c r="BW393" s="212"/>
      <c r="BX393" s="212">
        <v>2</v>
      </c>
      <c r="BY393" s="212"/>
      <c r="BZ393" s="212"/>
      <c r="CA393" s="212"/>
      <c r="CB393" s="212"/>
      <c r="CC393" s="212"/>
      <c r="CD393" s="212"/>
      <c r="CE393" s="212"/>
      <c r="CF393" s="212"/>
      <c r="CG393" s="212"/>
      <c r="CH393" s="212"/>
      <c r="CI393" s="212"/>
      <c r="CJ393" s="212"/>
      <c r="CK393" s="212"/>
      <c r="CL393" s="212"/>
      <c r="CM393" s="212">
        <v>1</v>
      </c>
      <c r="CN393" s="212"/>
      <c r="CO393" s="212"/>
      <c r="CP393" s="386">
        <f>+IF(BD_MO[[#This Row],[FECHA]]&lt;&gt;"",BD_MO[[#This Row],[PUNTAL 4"]]+BD_MO[[#This Row],[PUNTAL 5"]]+BD_MO[[#This Row],[PUNTAL 6"]]+BD_MO[[#This Row],[PUNTAL 7"]]+BD_MO[[#This Row],[PUNTAL 8"]],"")</f>
        <v>1</v>
      </c>
      <c r="CQ393" s="212"/>
      <c r="CR393" s="212"/>
      <c r="CS393" s="212"/>
      <c r="CT393" s="212"/>
      <c r="CU393" s="212"/>
      <c r="CV393" s="212"/>
      <c r="CW393" s="212"/>
      <c r="CX393" s="212"/>
      <c r="CY393" s="386"/>
      <c r="CZ393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44.874000000000002</v>
      </c>
      <c r="DA393" s="386">
        <f>+IF(BD_MO[[#This Row],[FECHA]]&lt;&gt;"",BD_MO[[#This Row],[DURMIENTE2]]*6.561+BD_MO[[#This Row],[LISTONES]]*4.921+BD_MO[[#This Row],[TABLA 1"x8"x3m]]*6.561+BD_MO[[#This Row],[TABLA 2"x8"x3m]]*13.122,"")</f>
        <v>0</v>
      </c>
      <c r="DB393" s="386">
        <f>+IF(BD_MO[[#This Row],[FECHA]]&lt;&gt;"",BD_MO[[#This Row],[PIE2 MADERA ASERRADA]]*1.95,"")</f>
        <v>0</v>
      </c>
      <c r="DC393" s="386">
        <f>+IF(BD_MO[[#This Row],[FECHA]]&lt;&gt;"",BD_MO[[#This Row],[KG. MADERA REDONDA]]+BD_MO[[#This Row],[KG MADERA ASERRADA]],"")</f>
        <v>44.874000000000002</v>
      </c>
      <c r="DD393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393" s="212"/>
      <c r="DF393" s="212"/>
      <c r="DG393" s="212"/>
      <c r="DH393" s="212"/>
      <c r="DI393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93" s="228"/>
      <c r="DK393" s="228"/>
      <c r="DL393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93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93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93" s="389"/>
      <c r="DP393" s="228" t="str">
        <f>+IF(BD_MO[[#This Row],[M o D]]&lt;&gt;"",IF(BD_MO[[#This Row],[M o D]]="M",BD_MO[[#This Row],[ROTURA TMH]]/2.65,BD_MO[[#This Row],[ROTURA TMH]]/2.4),"")</f>
        <v/>
      </c>
      <c r="DQ393" s="228"/>
      <c r="DR393" s="116" t="str">
        <f>IF(BD_MO[[#This Row],[TIPO AVANCE]]="Avance",((BD_MO[[#This Row],[AVANCE (m)]]/BD_MO[[#This Row],[AVANCE TEÓRICO]]))," ")</f>
        <v xml:space="preserve"> </v>
      </c>
      <c r="DS393" s="134"/>
      <c r="DT393" s="134"/>
      <c r="DU393" s="134"/>
      <c r="DV393" s="134"/>
      <c r="DW393" s="134"/>
      <c r="DX393" s="135"/>
      <c r="DY393" s="135"/>
      <c r="DZ393" s="135"/>
    </row>
    <row r="394" spans="1:130" s="136" customFormat="1" ht="18" customHeight="1" x14ac:dyDescent="0.25">
      <c r="A394" s="92">
        <v>44674</v>
      </c>
      <c r="B394" s="40" t="s">
        <v>10647</v>
      </c>
      <c r="C394" s="40" t="s">
        <v>10668</v>
      </c>
      <c r="D394" s="94" t="s">
        <v>12464</v>
      </c>
      <c r="E394" s="383" t="str">
        <f>LEFT(BD_MO[[#This Row],[LABOR]],2)</f>
        <v>Sn</v>
      </c>
      <c r="F394" s="212" t="s">
        <v>10950</v>
      </c>
      <c r="G394" s="212" t="s">
        <v>10648</v>
      </c>
      <c r="H394" s="38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94" s="387" t="str">
        <f>IF(BD_MO[FECHA]&lt;&gt;"",VLOOKUP(BD_MO[LABOR],TB_CECO[[LABOR]:[CECO_T]],3,FALSE),"")</f>
        <v>CACHORRO</v>
      </c>
      <c r="J394" s="387" t="str">
        <f>IF(BD_MO[FECHA]&lt;&gt;"",VLOOKUP(BD_MO[LABOR],D_CECO!B:H,7,FALSE),"")</f>
        <v>LINEAL</v>
      </c>
      <c r="K394" s="387" t="str">
        <f>IF(BD_MO[FECHA]&lt;&gt;"",VLOOKUP(BD_MO[LABOR],D_CECO!B:H,4,FALSE),"")</f>
        <v>PREPARACION</v>
      </c>
      <c r="L394" s="387"/>
      <c r="M394" s="40" t="s">
        <v>10646</v>
      </c>
      <c r="N394" s="212"/>
      <c r="O394" s="93" t="s">
        <v>12101</v>
      </c>
      <c r="P394" s="93" t="s">
        <v>12305</v>
      </c>
      <c r="Q394" s="93"/>
      <c r="R394" s="384"/>
      <c r="S394" s="385" t="str">
        <f>IFERROR(VLOOKUP(BD_MO[DNI 4],#REF!,2,FALSE)," ")</f>
        <v xml:space="preserve"> </v>
      </c>
      <c r="T394" s="386">
        <f>+IF(BD_MO[[#This Row],[FECHA]]&lt;&gt;"",COUNTA(BD_MO[[#This Row],[DNI]],BD_MO[[#This Row],[DNI 2]],BD_MO[[#This Row],[DNI 3]],BD_MO[[#This Row],[DNI 4]]),"")</f>
        <v>2</v>
      </c>
      <c r="U394" s="386">
        <v>0.9</v>
      </c>
      <c r="V394" s="386">
        <v>0.4</v>
      </c>
      <c r="W394" s="386">
        <v>0.4</v>
      </c>
      <c r="X394" s="386">
        <v>0.3</v>
      </c>
      <c r="Y394" s="86">
        <f>SUM(BD_MO[[#This Row],[LIMP]:[SERV]])</f>
        <v>2</v>
      </c>
      <c r="Z394" s="212" t="s">
        <v>12362</v>
      </c>
      <c r="AA394" s="212">
        <f>+IF(BD_MO[[#This Row],[N° VALE]]&lt;&gt;"",1,"")</f>
        <v>1</v>
      </c>
      <c r="AB394" s="40" t="s">
        <v>10709</v>
      </c>
      <c r="AC394" s="212">
        <v>5</v>
      </c>
      <c r="AD394" s="212">
        <f>+IF(BD_MO[[#This Row],[N° VALE]]&lt;&gt;"",BD_MO[[#This Row],[FULMINANTE N° 08]]+BD_MO[CARMEX 7''],"")</f>
        <v>23</v>
      </c>
      <c r="AE394" s="212">
        <v>3</v>
      </c>
      <c r="AF394" s="212">
        <f>+IF(BD_MO[[#This Row],[N° VALE]]&lt;&gt;"",BD_MO[[#This Row],[N° TALADROS]]+BD_MO[[#This Row],[N° TAL. VACIOS]],"")</f>
        <v>26</v>
      </c>
      <c r="AG394" s="387">
        <v>60</v>
      </c>
      <c r="AH394" s="387">
        <v>65</v>
      </c>
      <c r="AI394" s="387"/>
      <c r="AJ394" s="387"/>
      <c r="AK394" s="387">
        <v>23</v>
      </c>
      <c r="AL394" s="387">
        <v>5</v>
      </c>
      <c r="AM394" s="383"/>
      <c r="AN394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94" s="212">
        <f>+IF(BD_MO[[#This Row],[N° VALE]]&lt;&gt;"",IF(BD_MO[[#This Row],[FULMINANTE N° 08]]&lt;&gt;"",BD_MO[[#This Row],[FULMINANTE N° 08]],IF(BD_MO[[#This Row],[CARMEX 7'']]&lt;&gt;0,0,"")),"")</f>
        <v>0</v>
      </c>
      <c r="AP394" s="386">
        <f>+IF(BD_MO[[#This Row],[N° VALE]]&lt;&gt;"",BD_MO[[#This Row],[N°  TOTAL TALADROS]]*BD_MO[[#This Row],[BARRA]]*0.95,"")</f>
        <v>123.5</v>
      </c>
      <c r="AQ394" s="386">
        <f>+IF(BD_MO[[#This Row],[N° VALE]]&lt;&gt;"",BD_MO[[#This Row],[EMULNOR 1000 (N° CART.)]]*PE_EMUL_1000[PE],"")</f>
        <v>6.1555</v>
      </c>
      <c r="AR394" s="386">
        <f>+IF(BD_MO[[#This Row],[N° VALE]]&lt;&gt;"",BD_MO[[#This Row],[EMULNOR 3000 (N° CART.)]]*PE_EMUL_3000[PE],"")</f>
        <v>5.7692307692307718</v>
      </c>
      <c r="AS394" s="386">
        <f>+IF(BD_MO[[#This Row],[N° VALE]]&lt;&gt;"",BD_MO[[#This Row],[PULVERULENTA (N° CART.)]]*PE_PULV_65[PE],"")</f>
        <v>0</v>
      </c>
      <c r="AT394" s="386">
        <f>+IF(BD_MO[[#This Row],[N° DISP]]&lt;&gt;"",BD_MO[[#This Row],[SEMIGELATINA (N° CART.)]]*PE_SEMIGEL_65[PE],"")</f>
        <v>0</v>
      </c>
      <c r="AU394" s="386">
        <f>+IF(BD_MO[N° VALE]&lt;&gt;"",BD_MO[[#This Row],[KG EXPLO SEMIGEL]]+BD_MO[[#This Row],[KG EXPLO PULVE]]+BD_MO[[#This Row],[KG EXPLO EMULN 3000]]+BD_MO[[#This Row],[KG EXPLO EMULN 1000]],"")</f>
        <v>11.924730769230772</v>
      </c>
      <c r="AV394" s="212"/>
      <c r="AW394" s="212"/>
      <c r="AX394" s="212" t="str">
        <f>+IF(BD_MO[[#This Row],[MINERAL (U-35)]]&lt;&gt;"",BD_MO[[#This Row],[MINERAL (U-35)]]*1.45,"-")</f>
        <v>-</v>
      </c>
      <c r="AY394" s="212" t="str">
        <f>+IF(BD_MO[[#This Row],[DESMONTE (U-35)]]&lt;&gt;"",BD_MO[[#This Row],[DESMONTE (U-35)]]*1.23,"-")</f>
        <v>-</v>
      </c>
      <c r="AZ394" s="212"/>
      <c r="BA394" s="212"/>
      <c r="BB394" s="212"/>
      <c r="BC394" s="212"/>
      <c r="BD394" s="212"/>
      <c r="BE394" s="212"/>
      <c r="BF394" s="212"/>
      <c r="BG394" s="212"/>
      <c r="BH394" s="212"/>
      <c r="BI394" s="212"/>
      <c r="BJ394" s="212"/>
      <c r="BK394" s="212">
        <v>2.7</v>
      </c>
      <c r="BL394" s="212"/>
      <c r="BM394" s="212"/>
      <c r="BN394" s="383"/>
      <c r="BO394" s="212"/>
      <c r="BP394" s="212"/>
      <c r="BQ394" s="383"/>
      <c r="BR394" s="212"/>
      <c r="BS394" s="383"/>
      <c r="BT394" s="386"/>
      <c r="BU394" s="212"/>
      <c r="BV394" s="212"/>
      <c r="BW394" s="212"/>
      <c r="BX394" s="212"/>
      <c r="BY394" s="212"/>
      <c r="BZ394" s="212"/>
      <c r="CA394" s="212"/>
      <c r="CB394" s="212"/>
      <c r="CC394" s="212"/>
      <c r="CD394" s="212"/>
      <c r="CE394" s="212"/>
      <c r="CF394" s="212"/>
      <c r="CG394" s="212"/>
      <c r="CH394" s="212"/>
      <c r="CI394" s="212"/>
      <c r="CJ394" s="212"/>
      <c r="CK394" s="212"/>
      <c r="CL394" s="212">
        <v>4</v>
      </c>
      <c r="CM394" s="212">
        <v>2</v>
      </c>
      <c r="CN394" s="212"/>
      <c r="CO394" s="212"/>
      <c r="CP394" s="386">
        <f>+IF(BD_MO[[#This Row],[FECHA]]&lt;&gt;"",BD_MO[[#This Row],[PUNTAL 4"]]+BD_MO[[#This Row],[PUNTAL 5"]]+BD_MO[[#This Row],[PUNTAL 6"]]+BD_MO[[#This Row],[PUNTAL 7"]]+BD_MO[[#This Row],[PUNTAL 8"]],"")</f>
        <v>6</v>
      </c>
      <c r="CQ394" s="212"/>
      <c r="CR394" s="212"/>
      <c r="CS394" s="212">
        <v>10</v>
      </c>
      <c r="CT394" s="212"/>
      <c r="CU394" s="212"/>
      <c r="CV394" s="212"/>
      <c r="CW394" s="212"/>
      <c r="CX394" s="212"/>
      <c r="CY394" s="386"/>
      <c r="CZ394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460.4</v>
      </c>
      <c r="DA394" s="386">
        <f>+IF(BD_MO[[#This Row],[FECHA]]&lt;&gt;"",BD_MO[[#This Row],[DURMIENTE2]]*6.561+BD_MO[[#This Row],[LISTONES]]*4.921+BD_MO[[#This Row],[TABLA 1"x8"x3m]]*6.561+BD_MO[[#This Row],[TABLA 2"x8"x3m]]*13.122,"")</f>
        <v>0</v>
      </c>
      <c r="DB394" s="386">
        <f>+IF(BD_MO[[#This Row],[FECHA]]&lt;&gt;"",BD_MO[[#This Row],[PIE2 MADERA ASERRADA]]*1.95,"")</f>
        <v>0</v>
      </c>
      <c r="DC394" s="386">
        <f>+IF(BD_MO[[#This Row],[FECHA]]&lt;&gt;"",BD_MO[[#This Row],[KG. MADERA REDONDA]]+BD_MO[[#This Row],[KG MADERA ASERRADA]],"")</f>
        <v>460.4</v>
      </c>
      <c r="DD394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229.7</v>
      </c>
      <c r="DE394" s="212"/>
      <c r="DF394" s="212"/>
      <c r="DG394" s="212"/>
      <c r="DH394" s="212"/>
      <c r="DI394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394" s="228"/>
      <c r="DK394" s="228"/>
      <c r="DL394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94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94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94" s="389">
        <v>10.074</v>
      </c>
      <c r="DP394" s="228">
        <f>+IF(BD_MO[[#This Row],[M o D]]&lt;&gt;"",IF(BD_MO[[#This Row],[M o D]]="M",BD_MO[[#This Row],[ROTURA TMH]]/2.65,BD_MO[[#This Row],[ROTURA TMH]]/2.4),"")</f>
        <v>3.8015094339622642</v>
      </c>
      <c r="DQ394" s="228">
        <v>1.0900000000000001</v>
      </c>
      <c r="DR394" s="116">
        <f>IF(BD_MO[[#This Row],[TIPO AVANCE]]="Avance",((BD_MO[[#This Row],[AVANCE (m)]]/BD_MO[[#This Row],[AVANCE TEÓRICO]]))," ")</f>
        <v>0.80740740740740746</v>
      </c>
      <c r="DS394" s="134"/>
      <c r="DT394" s="134"/>
      <c r="DU394" s="134"/>
      <c r="DV394" s="134"/>
      <c r="DW394" s="134"/>
      <c r="DX394" s="135"/>
      <c r="DY394" s="135"/>
      <c r="DZ394" s="135"/>
    </row>
    <row r="395" spans="1:130" s="136" customFormat="1" ht="18" customHeight="1" x14ac:dyDescent="0.25">
      <c r="A395" s="92">
        <v>44674</v>
      </c>
      <c r="B395" s="40" t="s">
        <v>10647</v>
      </c>
      <c r="C395" s="40" t="s">
        <v>10668</v>
      </c>
      <c r="D395" s="94" t="s">
        <v>11851</v>
      </c>
      <c r="E395" s="383" t="str">
        <f>LEFT(BD_MO[[#This Row],[LABOR]],2)</f>
        <v>Es</v>
      </c>
      <c r="F395" s="212" t="s">
        <v>10950</v>
      </c>
      <c r="G395" s="212" t="s">
        <v>10648</v>
      </c>
      <c r="H395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395" s="383" t="str">
        <f>IF(BD_MO[FECHA]&lt;&gt;"",VLOOKUP(BD_MO[LABOR],TB_CECO[[LABOR]:[CECO_T]],3,FALSE),"")</f>
        <v>VANESSA</v>
      </c>
      <c r="J395" s="383" t="str">
        <f>IF(BD_MO[FECHA]&lt;&gt;"",VLOOKUP(BD_MO[LABOR],D_CECO!B:H,7,FALSE),"")</f>
        <v>LINEAL</v>
      </c>
      <c r="K395" s="383" t="str">
        <f>IF(BD_MO[FECHA]&lt;&gt;"",VLOOKUP(BD_MO[LABOR],D_CECO!B:H,4,FALSE),"")</f>
        <v>DESARROLLO</v>
      </c>
      <c r="L395" s="383"/>
      <c r="M395" s="40" t="s">
        <v>10646</v>
      </c>
      <c r="N395" s="212"/>
      <c r="O395" s="93" t="s">
        <v>12091</v>
      </c>
      <c r="P395" s="93" t="s">
        <v>12159</v>
      </c>
      <c r="Q395" s="93" t="s">
        <v>12361</v>
      </c>
      <c r="R395" s="384"/>
      <c r="S395" s="385" t="str">
        <f>IFERROR(VLOOKUP(BD_MO[DNI 4],#REF!,2,FALSE)," ")</f>
        <v xml:space="preserve"> </v>
      </c>
      <c r="T395" s="386">
        <f>+IF(BD_MO[[#This Row],[FECHA]]&lt;&gt;"",COUNTA(BD_MO[[#This Row],[DNI]],BD_MO[[#This Row],[DNI 2]],BD_MO[[#This Row],[DNI 3]],BD_MO[[#This Row],[DNI 4]]),"")</f>
        <v>3</v>
      </c>
      <c r="U395" s="386">
        <v>1.1000000000000001</v>
      </c>
      <c r="V395" s="386">
        <v>0.8</v>
      </c>
      <c r="W395" s="386">
        <v>0.5</v>
      </c>
      <c r="X395" s="386">
        <v>0.6</v>
      </c>
      <c r="Y395" s="86">
        <f>SUM(BD_MO[[#This Row],[LIMP]:[SERV]])</f>
        <v>3.0000000000000004</v>
      </c>
      <c r="Z395" s="212" t="s">
        <v>12363</v>
      </c>
      <c r="AA395" s="212">
        <f>+IF(BD_MO[[#This Row],[N° VALE]]&lt;&gt;"",1,"")</f>
        <v>1</v>
      </c>
      <c r="AB395" s="40" t="s">
        <v>10659</v>
      </c>
      <c r="AC395" s="212">
        <v>5</v>
      </c>
      <c r="AD395" s="212">
        <f>+IF(BD_MO[[#This Row],[N° VALE]]&lt;&gt;"",BD_MO[[#This Row],[FULMINANTE N° 08]]+BD_MO[CARMEX 7''],"")</f>
        <v>13</v>
      </c>
      <c r="AE395" s="212">
        <v>3</v>
      </c>
      <c r="AF395" s="212">
        <f>+IF(BD_MO[[#This Row],[N° VALE]]&lt;&gt;"",BD_MO[[#This Row],[N° TALADROS]]+BD_MO[[#This Row],[N° TAL. VACIOS]],"")</f>
        <v>16</v>
      </c>
      <c r="AG395" s="387">
        <v>50</v>
      </c>
      <c r="AH395" s="387">
        <v>26</v>
      </c>
      <c r="AI395" s="387"/>
      <c r="AJ395" s="387"/>
      <c r="AK395" s="387">
        <v>13</v>
      </c>
      <c r="AL395" s="387">
        <v>5</v>
      </c>
      <c r="AM395" s="383"/>
      <c r="AN395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395" s="212">
        <f>+IF(BD_MO[[#This Row],[N° VALE]]&lt;&gt;"",IF(BD_MO[[#This Row],[FULMINANTE N° 08]]&lt;&gt;"",BD_MO[[#This Row],[FULMINANTE N° 08]],IF(BD_MO[[#This Row],[CARMEX 7'']]&lt;&gt;0,0,"")),"")</f>
        <v>0</v>
      </c>
      <c r="AP395" s="386">
        <f>+IF(BD_MO[[#This Row],[N° VALE]]&lt;&gt;"",BD_MO[[#This Row],[N°  TOTAL TALADROS]]*BD_MO[[#This Row],[BARRA]]*0.95,"")</f>
        <v>76</v>
      </c>
      <c r="AQ395" s="386">
        <f>+IF(BD_MO[[#This Row],[N° VALE]]&lt;&gt;"",BD_MO[[#This Row],[EMULNOR 1000 (N° CART.)]]*PE_EMUL_1000[PE],"")</f>
        <v>2.4622000000000002</v>
      </c>
      <c r="AR395" s="386">
        <f>+IF(BD_MO[[#This Row],[N° VALE]]&lt;&gt;"",BD_MO[[#This Row],[EMULNOR 3000 (N° CART.)]]*PE_EMUL_3000[PE],"")</f>
        <v>4.8076923076923102</v>
      </c>
      <c r="AS395" s="386">
        <f>+IF(BD_MO[[#This Row],[N° VALE]]&lt;&gt;"",BD_MO[[#This Row],[PULVERULENTA (N° CART.)]]*PE_PULV_65[PE],"")</f>
        <v>0</v>
      </c>
      <c r="AT395" s="386">
        <f>+IF(BD_MO[[#This Row],[N° DISP]]&lt;&gt;"",BD_MO[[#This Row],[SEMIGELATINA (N° CART.)]]*PE_SEMIGEL_65[PE],"")</f>
        <v>0</v>
      </c>
      <c r="AU395" s="386">
        <f>+IF(BD_MO[N° VALE]&lt;&gt;"",BD_MO[[#This Row],[KG EXPLO SEMIGEL]]+BD_MO[[#This Row],[KG EXPLO PULVE]]+BD_MO[[#This Row],[KG EXPLO EMULN 3000]]+BD_MO[[#This Row],[KG EXPLO EMULN 1000]],"")</f>
        <v>7.2698923076923103</v>
      </c>
      <c r="AV395" s="212">
        <v>9</v>
      </c>
      <c r="AW395" s="212"/>
      <c r="AX395" s="212">
        <f>+IF(BD_MO[[#This Row],[MINERAL (U-35)]]&lt;&gt;"",BD_MO[[#This Row],[MINERAL (U-35)]]*1.45,"-")</f>
        <v>13.049999999999999</v>
      </c>
      <c r="AY395" s="212" t="str">
        <f>+IF(BD_MO[[#This Row],[DESMONTE (U-35)]]&lt;&gt;"",BD_MO[[#This Row],[DESMONTE (U-35)]]*1.23,"-")</f>
        <v>-</v>
      </c>
      <c r="AZ395" s="212"/>
      <c r="BA395" s="212"/>
      <c r="BB395" s="212"/>
      <c r="BC395" s="212"/>
      <c r="BD395" s="212"/>
      <c r="BE395" s="212"/>
      <c r="BF395" s="212"/>
      <c r="BG395" s="212"/>
      <c r="BH395" s="212"/>
      <c r="BI395" s="212"/>
      <c r="BJ395" s="212"/>
      <c r="BK395" s="212"/>
      <c r="BL395" s="212"/>
      <c r="BM395" s="212"/>
      <c r="BN395" s="383"/>
      <c r="BO395" s="212"/>
      <c r="BP395" s="212"/>
      <c r="BQ395" s="383"/>
      <c r="BR395" s="212"/>
      <c r="BS395" s="383"/>
      <c r="BT395" s="386"/>
      <c r="BU395" s="212"/>
      <c r="BV395" s="212"/>
      <c r="BW395" s="212"/>
      <c r="BX395" s="212">
        <v>4</v>
      </c>
      <c r="BY395" s="212"/>
      <c r="BZ395" s="212"/>
      <c r="CA395" s="212"/>
      <c r="CB395" s="212"/>
      <c r="CC395" s="212"/>
      <c r="CD395" s="212"/>
      <c r="CE395" s="212"/>
      <c r="CF395" s="212"/>
      <c r="CG395" s="212"/>
      <c r="CH395" s="212"/>
      <c r="CI395" s="212"/>
      <c r="CJ395" s="212"/>
      <c r="CK395" s="212"/>
      <c r="CL395" s="212"/>
      <c r="CM395" s="212"/>
      <c r="CN395" s="212"/>
      <c r="CO395" s="212"/>
      <c r="CP395" s="386">
        <f>+IF(BD_MO[[#This Row],[FECHA]]&lt;&gt;"",BD_MO[[#This Row],[PUNTAL 4"]]+BD_MO[[#This Row],[PUNTAL 5"]]+BD_MO[[#This Row],[PUNTAL 6"]]+BD_MO[[#This Row],[PUNTAL 7"]]+BD_MO[[#This Row],[PUNTAL 8"]],"")</f>
        <v>0</v>
      </c>
      <c r="CQ395" s="212"/>
      <c r="CR395" s="212"/>
      <c r="CS395" s="212"/>
      <c r="CT395" s="212"/>
      <c r="CU395" s="212"/>
      <c r="CV395" s="212"/>
      <c r="CW395" s="212"/>
      <c r="CX395" s="212"/>
      <c r="CY395" s="386"/>
      <c r="CZ395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95" s="386">
        <f>+IF(BD_MO[[#This Row],[FECHA]]&lt;&gt;"",BD_MO[[#This Row],[DURMIENTE2]]*6.561+BD_MO[[#This Row],[LISTONES]]*4.921+BD_MO[[#This Row],[TABLA 1"x8"x3m]]*6.561+BD_MO[[#This Row],[TABLA 2"x8"x3m]]*13.122,"")</f>
        <v>0</v>
      </c>
      <c r="DB395" s="386">
        <f>+IF(BD_MO[[#This Row],[FECHA]]&lt;&gt;"",BD_MO[[#This Row],[PIE2 MADERA ASERRADA]]*1.95,"")</f>
        <v>0</v>
      </c>
      <c r="DC395" s="386">
        <f>+IF(BD_MO[[#This Row],[FECHA]]&lt;&gt;"",BD_MO[[#This Row],[KG. MADERA REDONDA]]+BD_MO[[#This Row],[KG MADERA ASERRADA]],"")</f>
        <v>0</v>
      </c>
      <c r="DD395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95" s="212"/>
      <c r="DF395" s="212"/>
      <c r="DG395" s="212"/>
      <c r="DH395" s="212"/>
      <c r="DI395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395" s="228"/>
      <c r="DK395" s="228"/>
      <c r="DL395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95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395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395" s="389">
        <v>2.5</v>
      </c>
      <c r="DP395" s="228">
        <f>+IF(BD_MO[[#This Row],[M o D]]&lt;&gt;"",IF(BD_MO[[#This Row],[M o D]]="M",BD_MO[[#This Row],[ROTURA TMH]]/2.65,BD_MO[[#This Row],[ROTURA TMH]]/2.4),"")</f>
        <v>0.94339622641509435</v>
      </c>
      <c r="DQ395" s="228">
        <v>1.8</v>
      </c>
      <c r="DR395" s="116">
        <f>IF(BD_MO[[#This Row],[TIPO AVANCE]]="Avance",((BD_MO[[#This Row],[AVANCE (m)]]/BD_MO[[#This Row],[AVANCE TEÓRICO]]))," ")</f>
        <v>1.3333333333333333</v>
      </c>
      <c r="DS395" s="134"/>
      <c r="DT395" s="134"/>
      <c r="DU395" s="134"/>
      <c r="DV395" s="134"/>
      <c r="DW395" s="134"/>
      <c r="DX395" s="135"/>
      <c r="DY395" s="135"/>
      <c r="DZ395" s="135"/>
    </row>
    <row r="396" spans="1:130" s="136" customFormat="1" ht="18" customHeight="1" x14ac:dyDescent="0.25">
      <c r="A396" s="92">
        <v>44674</v>
      </c>
      <c r="B396" s="40" t="s">
        <v>10647</v>
      </c>
      <c r="C396" s="40" t="s">
        <v>10668</v>
      </c>
      <c r="D396" s="94" t="s">
        <v>12359</v>
      </c>
      <c r="E396" s="383" t="str">
        <f>LEFT(BD_MO[[#This Row],[LABOR]],2)</f>
        <v>Sn</v>
      </c>
      <c r="F396" s="212"/>
      <c r="G396" s="212" t="s">
        <v>10662</v>
      </c>
      <c r="H396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396" s="383" t="str">
        <f>IF(BD_MO[FECHA]&lt;&gt;"",VLOOKUP(BD_MO[LABOR],TB_CECO[[LABOR]:[CECO_T]],3,FALSE),"")</f>
        <v>ANDREA</v>
      </c>
      <c r="J396" s="383" t="str">
        <f>IF(BD_MO[FECHA]&lt;&gt;"",VLOOKUP(BD_MO[LABOR],D_CECO!B:H,7,FALSE),"")</f>
        <v>LINEAL</v>
      </c>
      <c r="K396" s="383" t="str">
        <f>IF(BD_MO[FECHA]&lt;&gt;"",VLOOKUP(BD_MO[LABOR],D_CECO!B:H,4,FALSE),"")</f>
        <v>PREPARACION</v>
      </c>
      <c r="L396" s="383"/>
      <c r="M396" s="40"/>
      <c r="N396" s="212"/>
      <c r="O396" s="93" t="s">
        <v>12306</v>
      </c>
      <c r="P396" s="93" t="s">
        <v>12093</v>
      </c>
      <c r="Q396" s="93"/>
      <c r="R396" s="384"/>
      <c r="S396" s="385" t="str">
        <f>IFERROR(VLOOKUP(BD_MO[DNI 4],#REF!,2,FALSE)," ")</f>
        <v xml:space="preserve"> </v>
      </c>
      <c r="T396" s="386">
        <f>+IF(BD_MO[[#This Row],[FECHA]]&lt;&gt;"",COUNTA(BD_MO[[#This Row],[DNI]],BD_MO[[#This Row],[DNI 2]],BD_MO[[#This Row],[DNI 3]],BD_MO[[#This Row],[DNI 4]]),"")</f>
        <v>2</v>
      </c>
      <c r="U396" s="386">
        <v>0.8</v>
      </c>
      <c r="V396" s="386"/>
      <c r="W396" s="386">
        <v>0.6</v>
      </c>
      <c r="X396" s="386">
        <v>0.6</v>
      </c>
      <c r="Y396" s="86">
        <f>SUM(BD_MO[[#This Row],[LIMP]:[SERV]])</f>
        <v>2</v>
      </c>
      <c r="Z396" s="212"/>
      <c r="AA396" s="212" t="str">
        <f>+IF(BD_MO[[#This Row],[N° VALE]]&lt;&gt;"",1,"")</f>
        <v/>
      </c>
      <c r="AB396" s="40"/>
      <c r="AC396" s="212"/>
      <c r="AD396" s="212" t="str">
        <f>+IF(BD_MO[[#This Row],[N° VALE]]&lt;&gt;"",BD_MO[[#This Row],[FULMINANTE N° 08]]+BD_MO[CARMEX 7''],"")</f>
        <v/>
      </c>
      <c r="AE396" s="212"/>
      <c r="AF396" s="212" t="str">
        <f>+IF(BD_MO[[#This Row],[N° VALE]]&lt;&gt;"",BD_MO[[#This Row],[N° TALADROS]]+BD_MO[[#This Row],[N° TAL. VACIOS]],"")</f>
        <v/>
      </c>
      <c r="AG396" s="387"/>
      <c r="AH396" s="387"/>
      <c r="AI396" s="387"/>
      <c r="AJ396" s="387"/>
      <c r="AK396" s="387"/>
      <c r="AL396" s="387"/>
      <c r="AM396" s="383"/>
      <c r="AN396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96" s="212" t="str">
        <f>+IF(BD_MO[[#This Row],[N° VALE]]&lt;&gt;"",IF(BD_MO[[#This Row],[FULMINANTE N° 08]]&lt;&gt;"",BD_MO[[#This Row],[FULMINANTE N° 08]],IF(BD_MO[[#This Row],[CARMEX 7'']]&lt;&gt;0,0,"")),"")</f>
        <v/>
      </c>
      <c r="AP396" s="386" t="str">
        <f>+IF(BD_MO[[#This Row],[N° VALE]]&lt;&gt;"",BD_MO[[#This Row],[N°  TOTAL TALADROS]]*BD_MO[[#This Row],[BARRA]]*0.95,"")</f>
        <v/>
      </c>
      <c r="AQ396" s="386" t="str">
        <f>+IF(BD_MO[[#This Row],[N° VALE]]&lt;&gt;"",BD_MO[[#This Row],[EMULNOR 1000 (N° CART.)]]*PE_EMUL_1000[PE],"")</f>
        <v/>
      </c>
      <c r="AR396" s="386" t="str">
        <f>+IF(BD_MO[[#This Row],[N° VALE]]&lt;&gt;"",BD_MO[[#This Row],[EMULNOR 3000 (N° CART.)]]*PE_EMUL_3000[PE],"")</f>
        <v/>
      </c>
      <c r="AS396" s="386" t="str">
        <f>+IF(BD_MO[[#This Row],[N° VALE]]&lt;&gt;"",BD_MO[[#This Row],[PULVERULENTA (N° CART.)]]*PE_PULV_65[PE],"")</f>
        <v/>
      </c>
      <c r="AT396" s="386" t="str">
        <f>+IF(BD_MO[[#This Row],[N° DISP]]&lt;&gt;"",BD_MO[[#This Row],[SEMIGELATINA (N° CART.)]]*PE_SEMIGEL_65[PE],"")</f>
        <v/>
      </c>
      <c r="AU396" s="386" t="str">
        <f>+IF(BD_MO[N° VALE]&lt;&gt;"",BD_MO[[#This Row],[KG EXPLO SEMIGEL]]+BD_MO[[#This Row],[KG EXPLO PULVE]]+BD_MO[[#This Row],[KG EXPLO EMULN 3000]]+BD_MO[[#This Row],[KG EXPLO EMULN 1000]],"")</f>
        <v/>
      </c>
      <c r="AV396" s="212"/>
      <c r="AW396" s="212"/>
      <c r="AX396" s="212" t="str">
        <f>+IF(BD_MO[[#This Row],[MINERAL (U-35)]]&lt;&gt;"",BD_MO[[#This Row],[MINERAL (U-35)]]*1.45,"-")</f>
        <v>-</v>
      </c>
      <c r="AY396" s="212" t="str">
        <f>+IF(BD_MO[[#This Row],[DESMONTE (U-35)]]&lt;&gt;"",BD_MO[[#This Row],[DESMONTE (U-35)]]*1.23,"-")</f>
        <v>-</v>
      </c>
      <c r="AZ396" s="212"/>
      <c r="BA396" s="212">
        <v>1</v>
      </c>
      <c r="BB396" s="212"/>
      <c r="BC396" s="212"/>
      <c r="BD396" s="212"/>
      <c r="BE396" s="212"/>
      <c r="BF396" s="212"/>
      <c r="BG396" s="212"/>
      <c r="BH396" s="212"/>
      <c r="BI396" s="212"/>
      <c r="BJ396" s="212"/>
      <c r="BK396" s="212"/>
      <c r="BL396" s="212"/>
      <c r="BM396" s="212"/>
      <c r="BN396" s="383"/>
      <c r="BO396" s="212"/>
      <c r="BP396" s="212"/>
      <c r="BQ396" s="383"/>
      <c r="BR396" s="212"/>
      <c r="BS396" s="383"/>
      <c r="BT396" s="386"/>
      <c r="BU396" s="212"/>
      <c r="BV396" s="212"/>
      <c r="BW396" s="212"/>
      <c r="BX396" s="212"/>
      <c r="BY396" s="212"/>
      <c r="BZ396" s="212"/>
      <c r="CA396" s="212"/>
      <c r="CB396" s="212"/>
      <c r="CC396" s="212"/>
      <c r="CD396" s="212"/>
      <c r="CE396" s="212"/>
      <c r="CF396" s="212"/>
      <c r="CG396" s="212"/>
      <c r="CH396" s="212"/>
      <c r="CI396" s="212"/>
      <c r="CJ396" s="212"/>
      <c r="CK396" s="212"/>
      <c r="CL396" s="212"/>
      <c r="CM396" s="212"/>
      <c r="CN396" s="212"/>
      <c r="CO396" s="212">
        <v>2</v>
      </c>
      <c r="CP396" s="386">
        <f>+IF(BD_MO[[#This Row],[FECHA]]&lt;&gt;"",BD_MO[[#This Row],[PUNTAL 4"]]+BD_MO[[#This Row],[PUNTAL 5"]]+BD_MO[[#This Row],[PUNTAL 6"]]+BD_MO[[#This Row],[PUNTAL 7"]]+BD_MO[[#This Row],[PUNTAL 8"]],"")</f>
        <v>2</v>
      </c>
      <c r="CQ396" s="212"/>
      <c r="CR396" s="212"/>
      <c r="CS396" s="212"/>
      <c r="CT396" s="212"/>
      <c r="CU396" s="212"/>
      <c r="CV396" s="212"/>
      <c r="CW396" s="212"/>
      <c r="CX396" s="212"/>
      <c r="CY396" s="386"/>
      <c r="CZ396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159.55199999999999</v>
      </c>
      <c r="DA396" s="386">
        <f>+IF(BD_MO[[#This Row],[FECHA]]&lt;&gt;"",BD_MO[[#This Row],[DURMIENTE2]]*6.561+BD_MO[[#This Row],[LISTONES]]*4.921+BD_MO[[#This Row],[TABLA 1"x8"x3m]]*6.561+BD_MO[[#This Row],[TABLA 2"x8"x3m]]*13.122,"")</f>
        <v>0</v>
      </c>
      <c r="DB396" s="386">
        <f>+IF(BD_MO[[#This Row],[FECHA]]&lt;&gt;"",BD_MO[[#This Row],[PIE2 MADERA ASERRADA]]*1.95,"")</f>
        <v>0</v>
      </c>
      <c r="DC396" s="386">
        <f>+IF(BD_MO[[#This Row],[FECHA]]&lt;&gt;"",BD_MO[[#This Row],[KG. MADERA REDONDA]]+BD_MO[[#This Row],[KG MADERA ASERRADA]],"")</f>
        <v>159.55199999999999</v>
      </c>
      <c r="DD396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35.6</v>
      </c>
      <c r="DE396" s="212"/>
      <c r="DF396" s="212"/>
      <c r="DG396" s="212"/>
      <c r="DH396" s="212"/>
      <c r="DI396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96" s="228"/>
      <c r="DK396" s="228"/>
      <c r="DL396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96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96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96" s="389"/>
      <c r="DP396" s="228" t="str">
        <f>+IF(BD_MO[[#This Row],[M o D]]&lt;&gt;"",IF(BD_MO[[#This Row],[M o D]]="M",BD_MO[[#This Row],[ROTURA TMH]]/2.65,BD_MO[[#This Row],[ROTURA TMH]]/2.4),"")</f>
        <v/>
      </c>
      <c r="DQ396" s="228"/>
      <c r="DR396" s="116" t="str">
        <f>IF(BD_MO[[#This Row],[TIPO AVANCE]]="Avance",((BD_MO[[#This Row],[AVANCE (m)]]/BD_MO[[#This Row],[AVANCE TEÓRICO]]))," ")</f>
        <v xml:space="preserve"> </v>
      </c>
      <c r="DS396" s="134"/>
      <c r="DT396" s="134"/>
      <c r="DU396" s="134"/>
      <c r="DV396" s="134"/>
      <c r="DW396" s="134"/>
      <c r="DX396" s="135"/>
      <c r="DY396" s="135"/>
      <c r="DZ396" s="135"/>
    </row>
    <row r="397" spans="1:130" s="136" customFormat="1" ht="18" customHeight="1" x14ac:dyDescent="0.25">
      <c r="A397" s="92">
        <v>44674</v>
      </c>
      <c r="B397" s="40" t="s">
        <v>10647</v>
      </c>
      <c r="C397" s="40" t="s">
        <v>10668</v>
      </c>
      <c r="D397" s="94" t="s">
        <v>10952</v>
      </c>
      <c r="E397" s="383" t="str">
        <f>LEFT(BD_MO[[#This Row],[LABOR]],2)</f>
        <v>In</v>
      </c>
      <c r="F397" s="212"/>
      <c r="G397" s="212" t="s">
        <v>10669</v>
      </c>
      <c r="H397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97" s="383" t="str">
        <f>IF(BD_MO[FECHA]&lt;&gt;"",VLOOKUP(BD_MO[LABOR],TB_CECO[[LABOR]:[CECO_T]],3,FALSE),"")</f>
        <v>VANESSA</v>
      </c>
      <c r="J397" s="383" t="str">
        <f>IF(BD_MO[FECHA]&lt;&gt;"",VLOOKUP(BD_MO[LABOR],D_CECO!B:H,7,FALSE),"")</f>
        <v>LINEAL</v>
      </c>
      <c r="K397" s="383" t="str">
        <f>IF(BD_MO[FECHA]&lt;&gt;"",VLOOKUP(BD_MO[LABOR],D_CECO!B:H,4,FALSE),"")</f>
        <v>EXPLORACION</v>
      </c>
      <c r="L397" s="383"/>
      <c r="M397" s="40"/>
      <c r="N397" s="212"/>
      <c r="O397" s="93" t="s">
        <v>12092</v>
      </c>
      <c r="P397" s="93" t="s">
        <v>12099</v>
      </c>
      <c r="Q397" s="93"/>
      <c r="R397" s="384"/>
      <c r="S397" s="385" t="str">
        <f>IFERROR(VLOOKUP(BD_MO[DNI 4],#REF!,2,FALSE)," ")</f>
        <v xml:space="preserve"> </v>
      </c>
      <c r="T397" s="386">
        <f>+IF(BD_MO[[#This Row],[FECHA]]&lt;&gt;"",COUNTA(BD_MO[[#This Row],[DNI]],BD_MO[[#This Row],[DNI 2]],BD_MO[[#This Row],[DNI 3]],BD_MO[[#This Row],[DNI 4]]),"")</f>
        <v>2</v>
      </c>
      <c r="U397" s="386"/>
      <c r="V397" s="386"/>
      <c r="W397" s="386"/>
      <c r="X397" s="386">
        <v>2</v>
      </c>
      <c r="Y397" s="86">
        <f>SUM(BD_MO[[#This Row],[LIMP]:[SERV]])</f>
        <v>2</v>
      </c>
      <c r="Z397" s="212"/>
      <c r="AA397" s="212" t="str">
        <f>+IF(BD_MO[[#This Row],[N° VALE]]&lt;&gt;"",1,"")</f>
        <v/>
      </c>
      <c r="AB397" s="40"/>
      <c r="AC397" s="212"/>
      <c r="AD397" s="212" t="str">
        <f>+IF(BD_MO[[#This Row],[N° VALE]]&lt;&gt;"",BD_MO[[#This Row],[FULMINANTE N° 08]]+BD_MO[CARMEX 7''],"")</f>
        <v/>
      </c>
      <c r="AE397" s="212"/>
      <c r="AF397" s="212" t="str">
        <f>+IF(BD_MO[[#This Row],[N° VALE]]&lt;&gt;"",BD_MO[[#This Row],[N° TALADROS]]+BD_MO[[#This Row],[N° TAL. VACIOS]],"")</f>
        <v/>
      </c>
      <c r="AG397" s="387"/>
      <c r="AH397" s="387"/>
      <c r="AI397" s="387"/>
      <c r="AJ397" s="387"/>
      <c r="AK397" s="387"/>
      <c r="AL397" s="387"/>
      <c r="AM397" s="383"/>
      <c r="AN397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97" s="212" t="str">
        <f>+IF(BD_MO[[#This Row],[N° VALE]]&lt;&gt;"",IF(BD_MO[[#This Row],[FULMINANTE N° 08]]&lt;&gt;"",BD_MO[[#This Row],[FULMINANTE N° 08]],IF(BD_MO[[#This Row],[CARMEX 7'']]&lt;&gt;0,0,"")),"")</f>
        <v/>
      </c>
      <c r="AP397" s="386" t="str">
        <f>+IF(BD_MO[[#This Row],[N° VALE]]&lt;&gt;"",BD_MO[[#This Row],[N°  TOTAL TALADROS]]*BD_MO[[#This Row],[BARRA]]*0.95,"")</f>
        <v/>
      </c>
      <c r="AQ397" s="386" t="str">
        <f>+IF(BD_MO[[#This Row],[N° VALE]]&lt;&gt;"",BD_MO[[#This Row],[EMULNOR 1000 (N° CART.)]]*PE_EMUL_1000[PE],"")</f>
        <v/>
      </c>
      <c r="AR397" s="386" t="str">
        <f>+IF(BD_MO[[#This Row],[N° VALE]]&lt;&gt;"",BD_MO[[#This Row],[EMULNOR 3000 (N° CART.)]]*PE_EMUL_3000[PE],"")</f>
        <v/>
      </c>
      <c r="AS397" s="386" t="str">
        <f>+IF(BD_MO[[#This Row],[N° VALE]]&lt;&gt;"",BD_MO[[#This Row],[PULVERULENTA (N° CART.)]]*PE_PULV_65[PE],"")</f>
        <v/>
      </c>
      <c r="AT397" s="386" t="str">
        <f>+IF(BD_MO[[#This Row],[N° DISP]]&lt;&gt;"",BD_MO[[#This Row],[SEMIGELATINA (N° CART.)]]*PE_SEMIGEL_65[PE],"")</f>
        <v/>
      </c>
      <c r="AU397" s="386" t="str">
        <f>+IF(BD_MO[N° VALE]&lt;&gt;"",BD_MO[[#This Row],[KG EXPLO SEMIGEL]]+BD_MO[[#This Row],[KG EXPLO PULVE]]+BD_MO[[#This Row],[KG EXPLO EMULN 3000]]+BD_MO[[#This Row],[KG EXPLO EMULN 1000]],"")</f>
        <v/>
      </c>
      <c r="AV397" s="212"/>
      <c r="AW397" s="212"/>
      <c r="AX397" s="212" t="str">
        <f>+IF(BD_MO[[#This Row],[MINERAL (U-35)]]&lt;&gt;"",BD_MO[[#This Row],[MINERAL (U-35)]]*1.45,"-")</f>
        <v>-</v>
      </c>
      <c r="AY397" s="212" t="str">
        <f>+IF(BD_MO[[#This Row],[DESMONTE (U-35)]]&lt;&gt;"",BD_MO[[#This Row],[DESMONTE (U-35)]]*1.23,"-")</f>
        <v>-</v>
      </c>
      <c r="AZ397" s="212"/>
      <c r="BA397" s="212"/>
      <c r="BB397" s="212"/>
      <c r="BC397" s="212"/>
      <c r="BD397" s="212"/>
      <c r="BE397" s="212"/>
      <c r="BF397" s="212"/>
      <c r="BG397" s="212"/>
      <c r="BH397" s="212"/>
      <c r="BI397" s="212"/>
      <c r="BJ397" s="212"/>
      <c r="BK397" s="212"/>
      <c r="BL397" s="212"/>
      <c r="BM397" s="212"/>
      <c r="BN397" s="383"/>
      <c r="BO397" s="212"/>
      <c r="BP397" s="212"/>
      <c r="BQ397" s="383"/>
      <c r="BR397" s="212"/>
      <c r="BS397" s="383"/>
      <c r="BT397" s="386"/>
      <c r="BU397" s="212"/>
      <c r="BV397" s="212"/>
      <c r="BW397" s="212"/>
      <c r="BX397" s="212"/>
      <c r="BY397" s="212"/>
      <c r="BZ397" s="212"/>
      <c r="CA397" s="212"/>
      <c r="CB397" s="212"/>
      <c r="CC397" s="212"/>
      <c r="CD397" s="212"/>
      <c r="CE397" s="212"/>
      <c r="CF397" s="212"/>
      <c r="CG397" s="212"/>
      <c r="CH397" s="212"/>
      <c r="CI397" s="212"/>
      <c r="CJ397" s="212"/>
      <c r="CK397" s="212"/>
      <c r="CL397" s="212"/>
      <c r="CM397" s="212"/>
      <c r="CN397" s="212"/>
      <c r="CO397" s="212"/>
      <c r="CP397" s="386">
        <f>+IF(BD_MO[[#This Row],[FECHA]]&lt;&gt;"",BD_MO[[#This Row],[PUNTAL 4"]]+BD_MO[[#This Row],[PUNTAL 5"]]+BD_MO[[#This Row],[PUNTAL 6"]]+BD_MO[[#This Row],[PUNTAL 7"]]+BD_MO[[#This Row],[PUNTAL 8"]],"")</f>
        <v>0</v>
      </c>
      <c r="CQ397" s="212"/>
      <c r="CR397" s="212"/>
      <c r="CS397" s="212"/>
      <c r="CT397" s="212"/>
      <c r="CU397" s="212"/>
      <c r="CV397" s="212"/>
      <c r="CW397" s="212"/>
      <c r="CX397" s="212"/>
      <c r="CY397" s="386"/>
      <c r="CZ397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97" s="386">
        <f>+IF(BD_MO[[#This Row],[FECHA]]&lt;&gt;"",BD_MO[[#This Row],[DURMIENTE2]]*6.561+BD_MO[[#This Row],[LISTONES]]*4.921+BD_MO[[#This Row],[TABLA 1"x8"x3m]]*6.561+BD_MO[[#This Row],[TABLA 2"x8"x3m]]*13.122,"")</f>
        <v>0</v>
      </c>
      <c r="DB397" s="386">
        <f>+IF(BD_MO[[#This Row],[FECHA]]&lt;&gt;"",BD_MO[[#This Row],[PIE2 MADERA ASERRADA]]*1.95,"")</f>
        <v>0</v>
      </c>
      <c r="DC397" s="386">
        <f>+IF(BD_MO[[#This Row],[FECHA]]&lt;&gt;"",BD_MO[[#This Row],[KG. MADERA REDONDA]]+BD_MO[[#This Row],[KG MADERA ASERRADA]],"")</f>
        <v>0</v>
      </c>
      <c r="DD397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97" s="212"/>
      <c r="DF397" s="212"/>
      <c r="DG397" s="212"/>
      <c r="DH397" s="212"/>
      <c r="DI397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97" s="228"/>
      <c r="DK397" s="228"/>
      <c r="DL397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97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97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97" s="389"/>
      <c r="DP397" s="228" t="str">
        <f>+IF(BD_MO[[#This Row],[M o D]]&lt;&gt;"",IF(BD_MO[[#This Row],[M o D]]="M",BD_MO[[#This Row],[ROTURA TMH]]/2.65,BD_MO[[#This Row],[ROTURA TMH]]/2.4),"")</f>
        <v/>
      </c>
      <c r="DQ397" s="228"/>
      <c r="DR397" s="116" t="str">
        <f>IF(BD_MO[[#This Row],[TIPO AVANCE]]="Avance",((BD_MO[[#This Row],[AVANCE (m)]]/BD_MO[[#This Row],[AVANCE TEÓRICO]]))," ")</f>
        <v xml:space="preserve"> </v>
      </c>
      <c r="DS397" s="134"/>
      <c r="DT397" s="134"/>
      <c r="DU397" s="134"/>
      <c r="DV397" s="134"/>
      <c r="DW397" s="134"/>
      <c r="DX397" s="135"/>
      <c r="DY397" s="135"/>
      <c r="DZ397" s="135"/>
    </row>
    <row r="398" spans="1:130" s="136" customFormat="1" ht="18" customHeight="1" x14ac:dyDescent="0.25">
      <c r="A398" s="92">
        <v>44674</v>
      </c>
      <c r="B398" s="40" t="s">
        <v>10647</v>
      </c>
      <c r="C398" s="40" t="s">
        <v>10668</v>
      </c>
      <c r="D398" s="94" t="s">
        <v>11872</v>
      </c>
      <c r="E398" s="383" t="str">
        <f>LEFT(BD_MO[[#This Row],[LABOR]],2)</f>
        <v>PQ</v>
      </c>
      <c r="F398" s="212"/>
      <c r="G398" s="212" t="s">
        <v>10669</v>
      </c>
      <c r="H398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98" s="383" t="str">
        <f>IF(BD_MO[FECHA]&lt;&gt;"",VLOOKUP(BD_MO[LABOR],TB_CECO[[LABOR]:[CECO_T]],3,FALSE),"")</f>
        <v>ANDREA</v>
      </c>
      <c r="J398" s="383" t="str">
        <f>IF(BD_MO[FECHA]&lt;&gt;"",VLOOKUP(BD_MO[LABOR],D_CECO!B:H,7,FALSE),"")</f>
        <v>LINEAL</v>
      </c>
      <c r="K398" s="383" t="str">
        <f>IF(BD_MO[FECHA]&lt;&gt;"",VLOOKUP(BD_MO[LABOR],D_CECO!B:H,4,FALSE),"")</f>
        <v>EXPLOTACION</v>
      </c>
      <c r="L398" s="383"/>
      <c r="M398" s="40"/>
      <c r="N398" s="212"/>
      <c r="O398" s="93" t="s">
        <v>12097</v>
      </c>
      <c r="P398" s="93" t="s">
        <v>12090</v>
      </c>
      <c r="Q398" s="93" t="s">
        <v>12089</v>
      </c>
      <c r="R398" s="384"/>
      <c r="S398" s="385" t="str">
        <f>IFERROR(VLOOKUP(BD_MO[DNI 4],#REF!,2,FALSE)," ")</f>
        <v xml:space="preserve"> </v>
      </c>
      <c r="T398" s="386">
        <f>+IF(BD_MO[[#This Row],[FECHA]]&lt;&gt;"",COUNTA(BD_MO[[#This Row],[DNI]],BD_MO[[#This Row],[DNI 2]],BD_MO[[#This Row],[DNI 3]],BD_MO[[#This Row],[DNI 4]]),"")</f>
        <v>3</v>
      </c>
      <c r="U398" s="386"/>
      <c r="V398" s="386"/>
      <c r="W398" s="386"/>
      <c r="X398" s="386">
        <v>3</v>
      </c>
      <c r="Y398" s="86">
        <f>SUM(BD_MO[[#This Row],[LIMP]:[SERV]])</f>
        <v>3</v>
      </c>
      <c r="Z398" s="212"/>
      <c r="AA398" s="212" t="str">
        <f>+IF(BD_MO[[#This Row],[N° VALE]]&lt;&gt;"",1,"")</f>
        <v/>
      </c>
      <c r="AB398" s="40"/>
      <c r="AC398" s="212"/>
      <c r="AD398" s="212" t="str">
        <f>+IF(BD_MO[[#This Row],[N° VALE]]&lt;&gt;"",BD_MO[[#This Row],[FULMINANTE N° 08]]+BD_MO[CARMEX 7''],"")</f>
        <v/>
      </c>
      <c r="AE398" s="212"/>
      <c r="AF398" s="212" t="str">
        <f>+IF(BD_MO[[#This Row],[N° VALE]]&lt;&gt;"",BD_MO[[#This Row],[N° TALADROS]]+BD_MO[[#This Row],[N° TAL. VACIOS]],"")</f>
        <v/>
      </c>
      <c r="AG398" s="387"/>
      <c r="AH398" s="387"/>
      <c r="AI398" s="387"/>
      <c r="AJ398" s="387"/>
      <c r="AK398" s="387"/>
      <c r="AL398" s="387"/>
      <c r="AM398" s="383"/>
      <c r="AN398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98" s="212" t="str">
        <f>+IF(BD_MO[[#This Row],[N° VALE]]&lt;&gt;"",IF(BD_MO[[#This Row],[FULMINANTE N° 08]]&lt;&gt;"",BD_MO[[#This Row],[FULMINANTE N° 08]],IF(BD_MO[[#This Row],[CARMEX 7'']]&lt;&gt;0,0,"")),"")</f>
        <v/>
      </c>
      <c r="AP398" s="386" t="str">
        <f>+IF(BD_MO[[#This Row],[N° VALE]]&lt;&gt;"",BD_MO[[#This Row],[N°  TOTAL TALADROS]]*BD_MO[[#This Row],[BARRA]]*0.95,"")</f>
        <v/>
      </c>
      <c r="AQ398" s="386" t="str">
        <f>+IF(BD_MO[[#This Row],[N° VALE]]&lt;&gt;"",BD_MO[[#This Row],[EMULNOR 1000 (N° CART.)]]*PE_EMUL_1000[PE],"")</f>
        <v/>
      </c>
      <c r="AR398" s="386" t="str">
        <f>+IF(BD_MO[[#This Row],[N° VALE]]&lt;&gt;"",BD_MO[[#This Row],[EMULNOR 3000 (N° CART.)]]*PE_EMUL_3000[PE],"")</f>
        <v/>
      </c>
      <c r="AS398" s="386" t="str">
        <f>+IF(BD_MO[[#This Row],[N° VALE]]&lt;&gt;"",BD_MO[[#This Row],[PULVERULENTA (N° CART.)]]*PE_PULV_65[PE],"")</f>
        <v/>
      </c>
      <c r="AT398" s="386" t="str">
        <f>+IF(BD_MO[[#This Row],[N° DISP]]&lt;&gt;"",BD_MO[[#This Row],[SEMIGELATINA (N° CART.)]]*PE_SEMIGEL_65[PE],"")</f>
        <v/>
      </c>
      <c r="AU398" s="386" t="str">
        <f>+IF(BD_MO[N° VALE]&lt;&gt;"",BD_MO[[#This Row],[KG EXPLO SEMIGEL]]+BD_MO[[#This Row],[KG EXPLO PULVE]]+BD_MO[[#This Row],[KG EXPLO EMULN 3000]]+BD_MO[[#This Row],[KG EXPLO EMULN 1000]],"")</f>
        <v/>
      </c>
      <c r="AV398" s="212"/>
      <c r="AW398" s="212"/>
      <c r="AX398" s="212" t="str">
        <f>+IF(BD_MO[[#This Row],[MINERAL (U-35)]]&lt;&gt;"",BD_MO[[#This Row],[MINERAL (U-35)]]*1.45,"-")</f>
        <v>-</v>
      </c>
      <c r="AY398" s="212" t="str">
        <f>+IF(BD_MO[[#This Row],[DESMONTE (U-35)]]&lt;&gt;"",BD_MO[[#This Row],[DESMONTE (U-35)]]*1.23,"-")</f>
        <v>-</v>
      </c>
      <c r="AZ398" s="212"/>
      <c r="BA398" s="212"/>
      <c r="BB398" s="212"/>
      <c r="BC398" s="212"/>
      <c r="BD398" s="212"/>
      <c r="BE398" s="212"/>
      <c r="BF398" s="212"/>
      <c r="BG398" s="212"/>
      <c r="BH398" s="212"/>
      <c r="BI398" s="212"/>
      <c r="BJ398" s="212"/>
      <c r="BK398" s="212"/>
      <c r="BL398" s="212"/>
      <c r="BM398" s="212"/>
      <c r="BN398" s="383"/>
      <c r="BO398" s="212"/>
      <c r="BP398" s="212"/>
      <c r="BQ398" s="383"/>
      <c r="BR398" s="212"/>
      <c r="BS398" s="383"/>
      <c r="BT398" s="386"/>
      <c r="BU398" s="212"/>
      <c r="BV398" s="212"/>
      <c r="BW398" s="212"/>
      <c r="BX398" s="212"/>
      <c r="BY398" s="212"/>
      <c r="BZ398" s="212"/>
      <c r="CA398" s="212"/>
      <c r="CB398" s="212"/>
      <c r="CC398" s="212"/>
      <c r="CD398" s="212"/>
      <c r="CE398" s="212"/>
      <c r="CF398" s="212"/>
      <c r="CG398" s="212"/>
      <c r="CH398" s="212"/>
      <c r="CI398" s="212"/>
      <c r="CJ398" s="212"/>
      <c r="CK398" s="212"/>
      <c r="CL398" s="212"/>
      <c r="CM398" s="212"/>
      <c r="CN398" s="212"/>
      <c r="CO398" s="212"/>
      <c r="CP398" s="386">
        <f>+IF(BD_MO[[#This Row],[FECHA]]&lt;&gt;"",BD_MO[[#This Row],[PUNTAL 4"]]+BD_MO[[#This Row],[PUNTAL 5"]]+BD_MO[[#This Row],[PUNTAL 6"]]+BD_MO[[#This Row],[PUNTAL 7"]]+BD_MO[[#This Row],[PUNTAL 8"]],"")</f>
        <v>0</v>
      </c>
      <c r="CQ398" s="212"/>
      <c r="CR398" s="212"/>
      <c r="CS398" s="212"/>
      <c r="CT398" s="212"/>
      <c r="CU398" s="212"/>
      <c r="CV398" s="212"/>
      <c r="CW398" s="212"/>
      <c r="CX398" s="212"/>
      <c r="CY398" s="386"/>
      <c r="CZ398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98" s="386">
        <f>+IF(BD_MO[[#This Row],[FECHA]]&lt;&gt;"",BD_MO[[#This Row],[DURMIENTE2]]*6.561+BD_MO[[#This Row],[LISTONES]]*4.921+BD_MO[[#This Row],[TABLA 1"x8"x3m]]*6.561+BD_MO[[#This Row],[TABLA 2"x8"x3m]]*13.122,"")</f>
        <v>0</v>
      </c>
      <c r="DB398" s="386">
        <f>+IF(BD_MO[[#This Row],[FECHA]]&lt;&gt;"",BD_MO[[#This Row],[PIE2 MADERA ASERRADA]]*1.95,"")</f>
        <v>0</v>
      </c>
      <c r="DC398" s="386">
        <f>+IF(BD_MO[[#This Row],[FECHA]]&lt;&gt;"",BD_MO[[#This Row],[KG. MADERA REDONDA]]+BD_MO[[#This Row],[KG MADERA ASERRADA]],"")</f>
        <v>0</v>
      </c>
      <c r="DD398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98" s="212"/>
      <c r="DF398" s="212"/>
      <c r="DG398" s="212"/>
      <c r="DH398" s="212"/>
      <c r="DI398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98" s="228"/>
      <c r="DK398" s="228"/>
      <c r="DL398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98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98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98" s="389"/>
      <c r="DP398" s="228" t="str">
        <f>+IF(BD_MO[[#This Row],[M o D]]&lt;&gt;"",IF(BD_MO[[#This Row],[M o D]]="M",BD_MO[[#This Row],[ROTURA TMH]]/2.65,BD_MO[[#This Row],[ROTURA TMH]]/2.4),"")</f>
        <v/>
      </c>
      <c r="DQ398" s="228"/>
      <c r="DR398" s="116" t="str">
        <f>IF(BD_MO[[#This Row],[TIPO AVANCE]]="Avance",((BD_MO[[#This Row],[AVANCE (m)]]/BD_MO[[#This Row],[AVANCE TEÓRICO]]))," ")</f>
        <v xml:space="preserve"> </v>
      </c>
      <c r="DS398" s="134"/>
      <c r="DT398" s="134"/>
      <c r="DU398" s="134"/>
      <c r="DV398" s="134"/>
      <c r="DW398" s="134"/>
      <c r="DX398" s="135"/>
      <c r="DY398" s="135"/>
      <c r="DZ398" s="135"/>
    </row>
    <row r="399" spans="1:130" s="136" customFormat="1" ht="18" customHeight="1" x14ac:dyDescent="0.25">
      <c r="A399" s="92">
        <v>44674</v>
      </c>
      <c r="B399" s="40" t="s">
        <v>10647</v>
      </c>
      <c r="C399" s="40" t="s">
        <v>10668</v>
      </c>
      <c r="D399" s="94" t="s">
        <v>10954</v>
      </c>
      <c r="E399" s="383" t="str">
        <f>LEFT(BD_MO[[#This Row],[LABOR]],2)</f>
        <v>MO</v>
      </c>
      <c r="F399" s="212"/>
      <c r="G399" s="212" t="s">
        <v>10669</v>
      </c>
      <c r="H399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399" s="383" t="str">
        <f>IF(BD_MO[FECHA]&lt;&gt;"",VLOOKUP(BD_MO[LABOR],TB_CECO[[LABOR]:[CECO_T]],3,FALSE),"")</f>
        <v>INCA</v>
      </c>
      <c r="J399" s="383" t="str">
        <f>IF(BD_MO[FECHA]&lt;&gt;"",VLOOKUP(BD_MO[LABOR],D_CECO!B:H,7,FALSE),"")</f>
        <v>SERVICIOS</v>
      </c>
      <c r="K399" s="383" t="str">
        <f>IF(BD_MO[FECHA]&lt;&gt;"",VLOOKUP(BD_MO[LABOR],D_CECO!B:H,4,FALSE),"")</f>
        <v>SERVICIOS</v>
      </c>
      <c r="L399" s="383"/>
      <c r="M399" s="40"/>
      <c r="N399" s="212"/>
      <c r="O399" s="93" t="s">
        <v>12098</v>
      </c>
      <c r="P399" s="93" t="s">
        <v>12162</v>
      </c>
      <c r="Q399" s="93"/>
      <c r="R399" s="384"/>
      <c r="S399" s="385" t="str">
        <f>IFERROR(VLOOKUP(BD_MO[DNI 4],#REF!,2,FALSE)," ")</f>
        <v xml:space="preserve"> </v>
      </c>
      <c r="T399" s="386">
        <f>+IF(BD_MO[[#This Row],[FECHA]]&lt;&gt;"",COUNTA(BD_MO[[#This Row],[DNI]],BD_MO[[#This Row],[DNI 2]],BD_MO[[#This Row],[DNI 3]],BD_MO[[#This Row],[DNI 4]]),"")</f>
        <v>2</v>
      </c>
      <c r="U399" s="386"/>
      <c r="V399" s="386"/>
      <c r="W399" s="386"/>
      <c r="X399" s="386">
        <v>2</v>
      </c>
      <c r="Y399" s="86">
        <f>SUM(BD_MO[[#This Row],[LIMP]:[SERV]])</f>
        <v>2</v>
      </c>
      <c r="Z399" s="212"/>
      <c r="AA399" s="212" t="str">
        <f>+IF(BD_MO[[#This Row],[N° VALE]]&lt;&gt;"",1,"")</f>
        <v/>
      </c>
      <c r="AB399" s="40"/>
      <c r="AC399" s="212"/>
      <c r="AD399" s="212" t="str">
        <f>+IF(BD_MO[[#This Row],[N° VALE]]&lt;&gt;"",BD_MO[[#This Row],[FULMINANTE N° 08]]+BD_MO[CARMEX 7''],"")</f>
        <v/>
      </c>
      <c r="AE399" s="212"/>
      <c r="AF399" s="212" t="str">
        <f>+IF(BD_MO[[#This Row],[N° VALE]]&lt;&gt;"",BD_MO[[#This Row],[N° TALADROS]]+BD_MO[[#This Row],[N° TAL. VACIOS]],"")</f>
        <v/>
      </c>
      <c r="AG399" s="387"/>
      <c r="AH399" s="387"/>
      <c r="AI399" s="387"/>
      <c r="AJ399" s="387"/>
      <c r="AK399" s="387"/>
      <c r="AL399" s="387"/>
      <c r="AM399" s="383"/>
      <c r="AN399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399" s="212" t="str">
        <f>+IF(BD_MO[[#This Row],[N° VALE]]&lt;&gt;"",IF(BD_MO[[#This Row],[FULMINANTE N° 08]]&lt;&gt;"",BD_MO[[#This Row],[FULMINANTE N° 08]],IF(BD_MO[[#This Row],[CARMEX 7'']]&lt;&gt;0,0,"")),"")</f>
        <v/>
      </c>
      <c r="AP399" s="386" t="str">
        <f>+IF(BD_MO[[#This Row],[N° VALE]]&lt;&gt;"",BD_MO[[#This Row],[N°  TOTAL TALADROS]]*BD_MO[[#This Row],[BARRA]]*0.95,"")</f>
        <v/>
      </c>
      <c r="AQ399" s="386" t="str">
        <f>+IF(BD_MO[[#This Row],[N° VALE]]&lt;&gt;"",BD_MO[[#This Row],[EMULNOR 1000 (N° CART.)]]*PE_EMUL_1000[PE],"")</f>
        <v/>
      </c>
      <c r="AR399" s="386" t="str">
        <f>+IF(BD_MO[[#This Row],[N° VALE]]&lt;&gt;"",BD_MO[[#This Row],[EMULNOR 3000 (N° CART.)]]*PE_EMUL_3000[PE],"")</f>
        <v/>
      </c>
      <c r="AS399" s="386" t="str">
        <f>+IF(BD_MO[[#This Row],[N° VALE]]&lt;&gt;"",BD_MO[[#This Row],[PULVERULENTA (N° CART.)]]*PE_PULV_65[PE],"")</f>
        <v/>
      </c>
      <c r="AT399" s="386" t="str">
        <f>+IF(BD_MO[[#This Row],[N° DISP]]&lt;&gt;"",BD_MO[[#This Row],[SEMIGELATINA (N° CART.)]]*PE_SEMIGEL_65[PE],"")</f>
        <v/>
      </c>
      <c r="AU399" s="386" t="str">
        <f>+IF(BD_MO[N° VALE]&lt;&gt;"",BD_MO[[#This Row],[KG EXPLO SEMIGEL]]+BD_MO[[#This Row],[KG EXPLO PULVE]]+BD_MO[[#This Row],[KG EXPLO EMULN 3000]]+BD_MO[[#This Row],[KG EXPLO EMULN 1000]],"")</f>
        <v/>
      </c>
      <c r="AV399" s="212"/>
      <c r="AW399" s="212"/>
      <c r="AX399" s="212" t="str">
        <f>+IF(BD_MO[[#This Row],[MINERAL (U-35)]]&lt;&gt;"",BD_MO[[#This Row],[MINERAL (U-35)]]*1.45,"-")</f>
        <v>-</v>
      </c>
      <c r="AY399" s="212" t="str">
        <f>+IF(BD_MO[[#This Row],[DESMONTE (U-35)]]&lt;&gt;"",BD_MO[[#This Row],[DESMONTE (U-35)]]*1.23,"-")</f>
        <v>-</v>
      </c>
      <c r="AZ399" s="212"/>
      <c r="BA399" s="212"/>
      <c r="BB399" s="212"/>
      <c r="BC399" s="212"/>
      <c r="BD399" s="212"/>
      <c r="BE399" s="212"/>
      <c r="BF399" s="212"/>
      <c r="BG399" s="212"/>
      <c r="BH399" s="212"/>
      <c r="BI399" s="212"/>
      <c r="BJ399" s="212"/>
      <c r="BK399" s="212"/>
      <c r="BL399" s="212"/>
      <c r="BM399" s="212"/>
      <c r="BN399" s="383"/>
      <c r="BO399" s="212"/>
      <c r="BP399" s="212"/>
      <c r="BQ399" s="383"/>
      <c r="BR399" s="212"/>
      <c r="BS399" s="383"/>
      <c r="BT399" s="386"/>
      <c r="BU399" s="212"/>
      <c r="BV399" s="212"/>
      <c r="BW399" s="212"/>
      <c r="BX399" s="212"/>
      <c r="BY399" s="212"/>
      <c r="BZ399" s="212"/>
      <c r="CA399" s="212"/>
      <c r="CB399" s="212"/>
      <c r="CC399" s="212"/>
      <c r="CD399" s="212"/>
      <c r="CE399" s="212"/>
      <c r="CF399" s="212"/>
      <c r="CG399" s="212"/>
      <c r="CH399" s="212"/>
      <c r="CI399" s="212"/>
      <c r="CJ399" s="212"/>
      <c r="CK399" s="212"/>
      <c r="CL399" s="212"/>
      <c r="CM399" s="212"/>
      <c r="CN399" s="212"/>
      <c r="CO399" s="212"/>
      <c r="CP399" s="386">
        <f>+IF(BD_MO[[#This Row],[FECHA]]&lt;&gt;"",BD_MO[[#This Row],[PUNTAL 4"]]+BD_MO[[#This Row],[PUNTAL 5"]]+BD_MO[[#This Row],[PUNTAL 6"]]+BD_MO[[#This Row],[PUNTAL 7"]]+BD_MO[[#This Row],[PUNTAL 8"]],"")</f>
        <v>0</v>
      </c>
      <c r="CQ399" s="212"/>
      <c r="CR399" s="212"/>
      <c r="CS399" s="212"/>
      <c r="CT399" s="212"/>
      <c r="CU399" s="212"/>
      <c r="CV399" s="212"/>
      <c r="CW399" s="212"/>
      <c r="CX399" s="212"/>
      <c r="CY399" s="386"/>
      <c r="CZ399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399" s="386">
        <f>+IF(BD_MO[[#This Row],[FECHA]]&lt;&gt;"",BD_MO[[#This Row],[DURMIENTE2]]*6.561+BD_MO[[#This Row],[LISTONES]]*4.921+BD_MO[[#This Row],[TABLA 1"x8"x3m]]*6.561+BD_MO[[#This Row],[TABLA 2"x8"x3m]]*13.122,"")</f>
        <v>0</v>
      </c>
      <c r="DB399" s="386">
        <f>+IF(BD_MO[[#This Row],[FECHA]]&lt;&gt;"",BD_MO[[#This Row],[PIE2 MADERA ASERRADA]]*1.95,"")</f>
        <v>0</v>
      </c>
      <c r="DC399" s="386">
        <f>+IF(BD_MO[[#This Row],[FECHA]]&lt;&gt;"",BD_MO[[#This Row],[KG. MADERA REDONDA]]+BD_MO[[#This Row],[KG MADERA ASERRADA]],"")</f>
        <v>0</v>
      </c>
      <c r="DD399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399" s="212"/>
      <c r="DF399" s="212"/>
      <c r="DG399" s="212"/>
      <c r="DH399" s="212"/>
      <c r="DI399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399" s="228"/>
      <c r="DK399" s="228"/>
      <c r="DL399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399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399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399" s="389"/>
      <c r="DP399" s="228" t="str">
        <f>+IF(BD_MO[[#This Row],[M o D]]&lt;&gt;"",IF(BD_MO[[#This Row],[M o D]]="M",BD_MO[[#This Row],[ROTURA TMH]]/2.65,BD_MO[[#This Row],[ROTURA TMH]]/2.4),"")</f>
        <v/>
      </c>
      <c r="DQ399" s="228"/>
      <c r="DR399" s="116" t="str">
        <f>IF(BD_MO[[#This Row],[TIPO AVANCE]]="Avance",((BD_MO[[#This Row],[AVANCE (m)]]/BD_MO[[#This Row],[AVANCE TEÓRICO]]))," ")</f>
        <v xml:space="preserve"> </v>
      </c>
      <c r="DS399" s="134"/>
      <c r="DT399" s="134"/>
      <c r="DU399" s="134"/>
      <c r="DV399" s="134"/>
      <c r="DW399" s="134"/>
      <c r="DX399" s="135"/>
      <c r="DY399" s="135"/>
      <c r="DZ399" s="135"/>
    </row>
    <row r="400" spans="1:130" s="115" customFormat="1" ht="18" customHeight="1" thickBot="1" x14ac:dyDescent="0.3">
      <c r="A400" s="130">
        <v>44674</v>
      </c>
      <c r="B400" s="117" t="s">
        <v>10647</v>
      </c>
      <c r="C400" s="117" t="s">
        <v>10668</v>
      </c>
      <c r="D400" s="118" t="s">
        <v>10717</v>
      </c>
      <c r="E400" s="119" t="str">
        <f>LEFT(BD_MO[[#This Row],[LABOR]],2)</f>
        <v>BO</v>
      </c>
      <c r="F400" s="120"/>
      <c r="G400" s="120" t="s">
        <v>10669</v>
      </c>
      <c r="H400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00" s="119" t="str">
        <f>IF(BD_MO[FECHA]&lt;&gt;"",VLOOKUP(BD_MO[LABOR],TB_CECO[[LABOR]:[CECO_T]],3,FALSE),"")</f>
        <v>CACHORRO</v>
      </c>
      <c r="J400" s="119" t="str">
        <f>IF(BD_MO[FECHA]&lt;&gt;"",VLOOKUP(BD_MO[LABOR],D_CECO!B:H,7,FALSE),"")</f>
        <v>SERVICIOS</v>
      </c>
      <c r="K400" s="119" t="str">
        <f>IF(BD_MO[FECHA]&lt;&gt;"",VLOOKUP(BD_MO[LABOR],D_CECO!B:H,4,FALSE),"")</f>
        <v>SERVICIOS</v>
      </c>
      <c r="L400" s="119"/>
      <c r="M400" s="117"/>
      <c r="N400" s="120"/>
      <c r="O400" s="121" t="s">
        <v>12118</v>
      </c>
      <c r="P400" s="121"/>
      <c r="Q400" s="121"/>
      <c r="R400" s="122"/>
      <c r="S400" s="123" t="str">
        <f>IFERROR(VLOOKUP(BD_MO[DNI 4],#REF!,2,FALSE)," ")</f>
        <v xml:space="preserve"> </v>
      </c>
      <c r="T400" s="124">
        <f>+IF(BD_MO[[#This Row],[FECHA]]&lt;&gt;"",COUNTA(BD_MO[[#This Row],[DNI]],BD_MO[[#This Row],[DNI 2]],BD_MO[[#This Row],[DNI 3]],BD_MO[[#This Row],[DNI 4]]),"")</f>
        <v>1</v>
      </c>
      <c r="U400" s="124"/>
      <c r="V400" s="124"/>
      <c r="W400" s="124"/>
      <c r="X400" s="124">
        <v>1</v>
      </c>
      <c r="Y400" s="125">
        <f>SUM(BD_MO[[#This Row],[LIMP]:[SERV]])</f>
        <v>1</v>
      </c>
      <c r="Z400" s="120"/>
      <c r="AA400" s="120" t="str">
        <f>+IF(BD_MO[[#This Row],[N° VALE]]&lt;&gt;"",1,"")</f>
        <v/>
      </c>
      <c r="AB400" s="117"/>
      <c r="AC400" s="120"/>
      <c r="AD400" s="120" t="str">
        <f>+IF(BD_MO[[#This Row],[N° VALE]]&lt;&gt;"",BD_MO[[#This Row],[FULMINANTE N° 08]]+BD_MO[CARMEX 7''],"")</f>
        <v/>
      </c>
      <c r="AE400" s="120"/>
      <c r="AF400" s="120" t="str">
        <f>+IF(BD_MO[[#This Row],[N° VALE]]&lt;&gt;"",BD_MO[[#This Row],[N° TALADROS]]+BD_MO[[#This Row],[N° TAL. VACIOS]],"")</f>
        <v/>
      </c>
      <c r="AG400" s="126"/>
      <c r="AH400" s="126"/>
      <c r="AI400" s="126"/>
      <c r="AJ400" s="126"/>
      <c r="AK400" s="126"/>
      <c r="AL400" s="126"/>
      <c r="AM400" s="119"/>
      <c r="AN400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00" s="120" t="str">
        <f>+IF(BD_MO[[#This Row],[N° VALE]]&lt;&gt;"",IF(BD_MO[[#This Row],[FULMINANTE N° 08]]&lt;&gt;"",BD_MO[[#This Row],[FULMINANTE N° 08]],IF(BD_MO[[#This Row],[CARMEX 7'']]&lt;&gt;0,0,"")),"")</f>
        <v/>
      </c>
      <c r="AP400" s="124" t="str">
        <f>+IF(BD_MO[[#This Row],[N° VALE]]&lt;&gt;"",BD_MO[[#This Row],[N°  TOTAL TALADROS]]*BD_MO[[#This Row],[BARRA]]*0.95,"")</f>
        <v/>
      </c>
      <c r="AQ400" s="124" t="str">
        <f>+IF(BD_MO[[#This Row],[N° VALE]]&lt;&gt;"",BD_MO[[#This Row],[EMULNOR 1000 (N° CART.)]]*PE_EMUL_1000[PE],"")</f>
        <v/>
      </c>
      <c r="AR400" s="124" t="str">
        <f>+IF(BD_MO[[#This Row],[N° VALE]]&lt;&gt;"",BD_MO[[#This Row],[EMULNOR 3000 (N° CART.)]]*PE_EMUL_3000[PE],"")</f>
        <v/>
      </c>
      <c r="AS400" s="124" t="str">
        <f>+IF(BD_MO[[#This Row],[N° VALE]]&lt;&gt;"",BD_MO[[#This Row],[PULVERULENTA (N° CART.)]]*PE_PULV_65[PE],"")</f>
        <v/>
      </c>
      <c r="AT400" s="124" t="str">
        <f>+IF(BD_MO[[#This Row],[N° DISP]]&lt;&gt;"",BD_MO[[#This Row],[SEMIGELATINA (N° CART.)]]*PE_SEMIGEL_65[PE],"")</f>
        <v/>
      </c>
      <c r="AU400" s="124" t="str">
        <f>+IF(BD_MO[N° VALE]&lt;&gt;"",BD_MO[[#This Row],[KG EXPLO SEMIGEL]]+BD_MO[[#This Row],[KG EXPLO PULVE]]+BD_MO[[#This Row],[KG EXPLO EMULN 3000]]+BD_MO[[#This Row],[KG EXPLO EMULN 1000]],"")</f>
        <v/>
      </c>
      <c r="AV400" s="120"/>
      <c r="AW400" s="120"/>
      <c r="AX400" s="120" t="str">
        <f>+IF(BD_MO[[#This Row],[MINERAL (U-35)]]&lt;&gt;"",BD_MO[[#This Row],[MINERAL (U-35)]]*1.45,"-")</f>
        <v>-</v>
      </c>
      <c r="AY400" s="120" t="str">
        <f>+IF(BD_MO[[#This Row],[DESMONTE (U-35)]]&lt;&gt;"",BD_MO[[#This Row],[DESMONTE (U-35)]]*1.23,"-")</f>
        <v>-</v>
      </c>
      <c r="AZ400" s="120"/>
      <c r="BA400" s="120"/>
      <c r="BB400" s="120"/>
      <c r="BC400" s="120"/>
      <c r="BD400" s="120"/>
      <c r="BE400" s="120"/>
      <c r="BF400" s="120"/>
      <c r="BG400" s="120"/>
      <c r="BH400" s="120"/>
      <c r="BI400" s="120"/>
      <c r="BJ400" s="120"/>
      <c r="BK400" s="120"/>
      <c r="BL400" s="120"/>
      <c r="BM400" s="120"/>
      <c r="BN400" s="119"/>
      <c r="BO400" s="120"/>
      <c r="BP400" s="120"/>
      <c r="BQ400" s="119"/>
      <c r="BR400" s="120"/>
      <c r="BS400" s="119"/>
      <c r="BT400" s="124"/>
      <c r="BU400" s="120"/>
      <c r="BV400" s="120"/>
      <c r="BW400" s="120"/>
      <c r="BX400" s="120"/>
      <c r="BY400" s="120"/>
      <c r="BZ400" s="120"/>
      <c r="CA400" s="120"/>
      <c r="CB400" s="120"/>
      <c r="CC400" s="120"/>
      <c r="CD400" s="120"/>
      <c r="CE400" s="120"/>
      <c r="CF400" s="120"/>
      <c r="CG400" s="120"/>
      <c r="CH400" s="120"/>
      <c r="CI400" s="120"/>
      <c r="CJ400" s="120"/>
      <c r="CK400" s="120"/>
      <c r="CL400" s="120"/>
      <c r="CM400" s="120"/>
      <c r="CN400" s="120"/>
      <c r="CO400" s="120"/>
      <c r="CP400" s="124">
        <f>+IF(BD_MO[[#This Row],[FECHA]]&lt;&gt;"",BD_MO[[#This Row],[PUNTAL 4"]]+BD_MO[[#This Row],[PUNTAL 5"]]+BD_MO[[#This Row],[PUNTAL 6"]]+BD_MO[[#This Row],[PUNTAL 7"]]+BD_MO[[#This Row],[PUNTAL 8"]],"")</f>
        <v>0</v>
      </c>
      <c r="CQ400" s="120"/>
      <c r="CR400" s="120"/>
      <c r="CS400" s="120"/>
      <c r="CT400" s="120"/>
      <c r="CU400" s="120"/>
      <c r="CV400" s="120"/>
      <c r="CW400" s="120"/>
      <c r="CX400" s="120"/>
      <c r="CY400" s="124"/>
      <c r="CZ400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00" s="124">
        <f>+IF(BD_MO[[#This Row],[FECHA]]&lt;&gt;"",BD_MO[[#This Row],[DURMIENTE2]]*6.561+BD_MO[[#This Row],[LISTONES]]*4.921+BD_MO[[#This Row],[TABLA 1"x8"x3m]]*6.561+BD_MO[[#This Row],[TABLA 2"x8"x3m]]*13.122,"")</f>
        <v>0</v>
      </c>
      <c r="DB400" s="124">
        <f>+IF(BD_MO[[#This Row],[FECHA]]&lt;&gt;"",BD_MO[[#This Row],[PIE2 MADERA ASERRADA]]*1.95,"")</f>
        <v>0</v>
      </c>
      <c r="DC400" s="124">
        <f>+IF(BD_MO[[#This Row],[FECHA]]&lt;&gt;"",BD_MO[[#This Row],[KG. MADERA REDONDA]]+BD_MO[[#This Row],[KG MADERA ASERRADA]],"")</f>
        <v>0</v>
      </c>
      <c r="DD400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00" s="120"/>
      <c r="DF400" s="120"/>
      <c r="DG400" s="120"/>
      <c r="DH400" s="120"/>
      <c r="DI400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00" s="128"/>
      <c r="DK400" s="128"/>
      <c r="DL400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00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00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00" s="129"/>
      <c r="DP400" s="128" t="str">
        <f>+IF(BD_MO[[#This Row],[M o D]]&lt;&gt;"",IF(BD_MO[[#This Row],[M o D]]="M",BD_MO[[#This Row],[ROTURA TMH]]/2.65,BD_MO[[#This Row],[ROTURA TMH]]/2.4),"")</f>
        <v/>
      </c>
      <c r="DQ400" s="128"/>
      <c r="DR400" s="484" t="str">
        <f>IF(BD_MO[[#This Row],[TIPO AVANCE]]="Avance",((BD_MO[[#This Row],[AVANCE (m)]]/BD_MO[[#This Row],[AVANCE TEÓRICO]]))," ")</f>
        <v xml:space="preserve"> </v>
      </c>
      <c r="DS400" s="113"/>
      <c r="DT400" s="113"/>
      <c r="DU400" s="113"/>
      <c r="DV400" s="113"/>
      <c r="DW400" s="113"/>
      <c r="DX400" s="114"/>
      <c r="DY400" s="114"/>
      <c r="DZ400" s="114"/>
    </row>
    <row r="401" spans="1:130" s="136" customFormat="1" ht="18" customHeight="1" x14ac:dyDescent="0.25">
      <c r="A401" s="92">
        <v>44674</v>
      </c>
      <c r="B401" s="396" t="s">
        <v>10655</v>
      </c>
      <c r="C401" s="396" t="s">
        <v>10672</v>
      </c>
      <c r="D401" s="397" t="s">
        <v>11827</v>
      </c>
      <c r="E401" s="398" t="str">
        <f>LEFT(BD_MO[[#This Row],[LABOR]],2)</f>
        <v>Tj</v>
      </c>
      <c r="F401" s="399"/>
      <c r="G401" s="399" t="s">
        <v>10656</v>
      </c>
      <c r="H401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401" s="383" t="str">
        <f>IF(BD_MO[FECHA]&lt;&gt;"",VLOOKUP(BD_MO[LABOR],TB_CECO[[LABOR]:[CECO_T]],3,FALSE),"")</f>
        <v>VANESSA</v>
      </c>
      <c r="J401" s="383" t="str">
        <f>IF(BD_MO[FECHA]&lt;&gt;"",VLOOKUP(BD_MO[LABOR],D_CECO!B:H,7,FALSE),"")</f>
        <v>TAJO</v>
      </c>
      <c r="K401" s="383" t="str">
        <f>IF(BD_MO[FECHA]&lt;&gt;"",VLOOKUP(BD_MO[LABOR],D_CECO!B:H,4,FALSE),"")</f>
        <v>EXPLOTACION</v>
      </c>
      <c r="L401" s="398"/>
      <c r="M401" s="396"/>
      <c r="N401" s="399"/>
      <c r="O401" s="400" t="s">
        <v>12194</v>
      </c>
      <c r="P401" s="400" t="s">
        <v>12332</v>
      </c>
      <c r="Q401" s="400"/>
      <c r="R401" s="401"/>
      <c r="S401" s="402" t="str">
        <f>IFERROR(VLOOKUP(BD_MO[DNI 4],#REF!,2,FALSE)," ")</f>
        <v xml:space="preserve"> </v>
      </c>
      <c r="T401" s="403">
        <f>+IF(BD_MO[[#This Row],[FECHA]]&lt;&gt;"",COUNTA(BD_MO[[#This Row],[DNI]],BD_MO[[#This Row],[DNI 2]],BD_MO[[#This Row],[DNI 3]],BD_MO[[#This Row],[DNI 4]]),"")</f>
        <v>2</v>
      </c>
      <c r="U401" s="403">
        <v>1.04</v>
      </c>
      <c r="V401" s="403"/>
      <c r="W401" s="403">
        <v>0.57999999999999996</v>
      </c>
      <c r="X401" s="403">
        <v>0.38</v>
      </c>
      <c r="Y401" s="404">
        <f>SUM(BD_MO[[#This Row],[LIMP]:[SERV]])</f>
        <v>2</v>
      </c>
      <c r="Z401" s="399"/>
      <c r="AA401" s="399" t="str">
        <f>+IF(BD_MO[[#This Row],[N° VALE]]&lt;&gt;"",1,"")</f>
        <v/>
      </c>
      <c r="AB401" s="396"/>
      <c r="AC401" s="399"/>
      <c r="AD401" s="399" t="str">
        <f>+IF(BD_MO[[#This Row],[N° VALE]]&lt;&gt;"",BD_MO[[#This Row],[FULMINANTE N° 08]]+BD_MO[CARMEX 7''],"")</f>
        <v/>
      </c>
      <c r="AE401" s="399"/>
      <c r="AF401" s="399" t="str">
        <f>+IF(BD_MO[[#This Row],[N° VALE]]&lt;&gt;"",BD_MO[[#This Row],[N° TALADROS]]+BD_MO[[#This Row],[N° TAL. VACIOS]],"")</f>
        <v/>
      </c>
      <c r="AG401" s="405"/>
      <c r="AH401" s="405"/>
      <c r="AI401" s="405"/>
      <c r="AJ401" s="405"/>
      <c r="AK401" s="405"/>
      <c r="AL401" s="405"/>
      <c r="AM401" s="398"/>
      <c r="AN401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01" s="399" t="str">
        <f>+IF(BD_MO[[#This Row],[N° VALE]]&lt;&gt;"",IF(BD_MO[[#This Row],[FULMINANTE N° 08]]&lt;&gt;"",BD_MO[[#This Row],[FULMINANTE N° 08]],IF(BD_MO[[#This Row],[CARMEX 7'']]&lt;&gt;0,0,"")),"")</f>
        <v/>
      </c>
      <c r="AP401" s="403" t="str">
        <f>+IF(BD_MO[[#This Row],[N° VALE]]&lt;&gt;"",BD_MO[[#This Row],[N°  TOTAL TALADROS]]*BD_MO[[#This Row],[BARRA]]*0.95,"")</f>
        <v/>
      </c>
      <c r="AQ401" s="403" t="str">
        <f>+IF(BD_MO[[#This Row],[N° VALE]]&lt;&gt;"",BD_MO[[#This Row],[EMULNOR 1000 (N° CART.)]]*PE_EMUL_1000[PE],"")</f>
        <v/>
      </c>
      <c r="AR401" s="403" t="str">
        <f>+IF(BD_MO[[#This Row],[N° VALE]]&lt;&gt;"",BD_MO[[#This Row],[EMULNOR 3000 (N° CART.)]]*PE_EMUL_3000[PE],"")</f>
        <v/>
      </c>
      <c r="AS401" s="403" t="str">
        <f>+IF(BD_MO[[#This Row],[N° VALE]]&lt;&gt;"",BD_MO[[#This Row],[PULVERULENTA (N° CART.)]]*PE_PULV_65[PE],"")</f>
        <v/>
      </c>
      <c r="AT401" s="403" t="str">
        <f>+IF(BD_MO[[#This Row],[N° DISP]]&lt;&gt;"",BD_MO[[#This Row],[SEMIGELATINA (N° CART.)]]*PE_SEMIGEL_65[PE],"")</f>
        <v/>
      </c>
      <c r="AU401" s="403" t="str">
        <f>+IF(BD_MO[N° VALE]&lt;&gt;"",BD_MO[[#This Row],[KG EXPLO SEMIGEL]]+BD_MO[[#This Row],[KG EXPLO PULVE]]+BD_MO[[#This Row],[KG EXPLO EMULN 3000]]+BD_MO[[#This Row],[KG EXPLO EMULN 1000]],"")</f>
        <v/>
      </c>
      <c r="AV401" s="399">
        <v>14</v>
      </c>
      <c r="AW401" s="399"/>
      <c r="AX401" s="399">
        <f>+IF(BD_MO[[#This Row],[MINERAL (U-35)]]&lt;&gt;"",BD_MO[[#This Row],[MINERAL (U-35)]]*1.45,"-")</f>
        <v>20.3</v>
      </c>
      <c r="AY401" s="399" t="str">
        <f>+IF(BD_MO[[#This Row],[DESMONTE (U-35)]]&lt;&gt;"",BD_MO[[#This Row],[DESMONTE (U-35)]]*1.23,"-")</f>
        <v>-</v>
      </c>
      <c r="AZ401" s="399"/>
      <c r="BA401" s="399"/>
      <c r="BB401" s="399"/>
      <c r="BC401" s="399"/>
      <c r="BD401" s="399"/>
      <c r="BE401" s="399"/>
      <c r="BF401" s="399"/>
      <c r="BG401" s="399"/>
      <c r="BH401" s="399"/>
      <c r="BI401" s="399">
        <v>1</v>
      </c>
      <c r="BJ401" s="399"/>
      <c r="BK401" s="399"/>
      <c r="BL401" s="399"/>
      <c r="BM401" s="399"/>
      <c r="BN401" s="398"/>
      <c r="BO401" s="399"/>
      <c r="BP401" s="399"/>
      <c r="BQ401" s="398"/>
      <c r="BR401" s="399"/>
      <c r="BS401" s="398"/>
      <c r="BT401" s="403"/>
      <c r="BU401" s="399"/>
      <c r="BV401" s="399"/>
      <c r="BW401" s="399"/>
      <c r="BX401" s="399"/>
      <c r="BY401" s="399">
        <v>3</v>
      </c>
      <c r="BZ401" s="399"/>
      <c r="CA401" s="399"/>
      <c r="CB401" s="399"/>
      <c r="CC401" s="399"/>
      <c r="CD401" s="399"/>
      <c r="CE401" s="399"/>
      <c r="CF401" s="399"/>
      <c r="CG401" s="399"/>
      <c r="CH401" s="399"/>
      <c r="CI401" s="399"/>
      <c r="CJ401" s="399"/>
      <c r="CK401" s="399"/>
      <c r="CL401" s="399"/>
      <c r="CM401" s="399"/>
      <c r="CN401" s="399">
        <v>1</v>
      </c>
      <c r="CO401" s="399"/>
      <c r="CP401" s="403">
        <f>+IF(BD_MO[[#This Row],[FECHA]]&lt;&gt;"",BD_MO[[#This Row],[PUNTAL 4"]]+BD_MO[[#This Row],[PUNTAL 5"]]+BD_MO[[#This Row],[PUNTAL 6"]]+BD_MO[[#This Row],[PUNTAL 7"]]+BD_MO[[#This Row],[PUNTAL 8"]],"")</f>
        <v>1</v>
      </c>
      <c r="CQ401" s="399"/>
      <c r="CR401" s="399"/>
      <c r="CS401" s="399"/>
      <c r="CT401" s="399"/>
      <c r="CU401" s="399"/>
      <c r="CV401" s="399"/>
      <c r="CW401" s="399"/>
      <c r="CX401" s="399"/>
      <c r="CY401" s="403"/>
      <c r="CZ401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61.079000000000001</v>
      </c>
      <c r="DA401" s="403">
        <f>+IF(BD_MO[[#This Row],[FECHA]]&lt;&gt;"",BD_MO[[#This Row],[DURMIENTE2]]*6.561+BD_MO[[#This Row],[LISTONES]]*4.921+BD_MO[[#This Row],[TABLA 1"x8"x3m]]*6.561+BD_MO[[#This Row],[TABLA 2"x8"x3m]]*13.122,"")</f>
        <v>0</v>
      </c>
      <c r="DB401" s="403">
        <f>+IF(BD_MO[[#This Row],[FECHA]]&lt;&gt;"",BD_MO[[#This Row],[PIE2 MADERA ASERRADA]]*1.95,"")</f>
        <v>0</v>
      </c>
      <c r="DC401" s="403">
        <f>+IF(BD_MO[[#This Row],[FECHA]]&lt;&gt;"",BD_MO[[#This Row],[KG. MADERA REDONDA]]+BD_MO[[#This Row],[KG MADERA ASERRADA]],"")</f>
        <v>61.079000000000001</v>
      </c>
      <c r="DD401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401" s="399"/>
      <c r="DF401" s="399"/>
      <c r="DG401" s="399"/>
      <c r="DH401" s="399"/>
      <c r="DI401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01" s="407"/>
      <c r="DK401" s="407"/>
      <c r="DL401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01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01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01" s="408"/>
      <c r="DP401" s="407" t="str">
        <f>+IF(BD_MO[[#This Row],[M o D]]&lt;&gt;"",IF(BD_MO[[#This Row],[M o D]]="M",BD_MO[[#This Row],[ROTURA TMH]]/2.65,BD_MO[[#This Row],[ROTURA TMH]]/2.4),"")</f>
        <v/>
      </c>
      <c r="DQ401" s="407"/>
      <c r="DR401" s="116" t="str">
        <f>IF(BD_MO[[#This Row],[TIPO AVANCE]]="Avance",((BD_MO[[#This Row],[AVANCE (m)]]/BD_MO[[#This Row],[AVANCE TEÓRICO]]))," ")</f>
        <v xml:space="preserve"> </v>
      </c>
      <c r="DS401" s="134"/>
      <c r="DT401" s="134"/>
      <c r="DU401" s="134"/>
      <c r="DV401" s="134"/>
      <c r="DW401" s="134"/>
      <c r="DX401" s="135"/>
      <c r="DY401" s="135"/>
      <c r="DZ401" s="135"/>
    </row>
    <row r="402" spans="1:130" s="136" customFormat="1" ht="18" customHeight="1" x14ac:dyDescent="0.25">
      <c r="A402" s="92">
        <v>44674</v>
      </c>
      <c r="B402" s="396" t="s">
        <v>10655</v>
      </c>
      <c r="C402" s="396" t="s">
        <v>10672</v>
      </c>
      <c r="D402" s="397" t="s">
        <v>11851</v>
      </c>
      <c r="E402" s="398" t="str">
        <f>LEFT(BD_MO[[#This Row],[LABOR]],2)</f>
        <v>Es</v>
      </c>
      <c r="F402" s="399" t="s">
        <v>10950</v>
      </c>
      <c r="G402" s="399" t="s">
        <v>10648</v>
      </c>
      <c r="H402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02" s="383" t="str">
        <f>IF(BD_MO[FECHA]&lt;&gt;"",VLOOKUP(BD_MO[LABOR],TB_CECO[[LABOR]:[CECO_T]],3,FALSE),"")</f>
        <v>VANESSA</v>
      </c>
      <c r="J402" s="383" t="str">
        <f>IF(BD_MO[FECHA]&lt;&gt;"",VLOOKUP(BD_MO[LABOR],D_CECO!B:H,7,FALSE),"")</f>
        <v>LINEAL</v>
      </c>
      <c r="K402" s="383" t="str">
        <f>IF(BD_MO[FECHA]&lt;&gt;"",VLOOKUP(BD_MO[LABOR],D_CECO!B:H,4,FALSE),"")</f>
        <v>DESARROLLO</v>
      </c>
      <c r="L402" s="398"/>
      <c r="M402" s="396" t="s">
        <v>10679</v>
      </c>
      <c r="N402" s="399"/>
      <c r="O402" s="400" t="s">
        <v>12205</v>
      </c>
      <c r="P402" s="400" t="s">
        <v>12195</v>
      </c>
      <c r="Q402" s="400"/>
      <c r="R402" s="401"/>
      <c r="S402" s="402" t="str">
        <f>IFERROR(VLOOKUP(BD_MO[DNI 4],#REF!,2,FALSE)," ")</f>
        <v xml:space="preserve"> </v>
      </c>
      <c r="T402" s="403">
        <v>1</v>
      </c>
      <c r="U402" s="403">
        <v>0.48</v>
      </c>
      <c r="V402" s="403">
        <v>0.14000000000000001</v>
      </c>
      <c r="W402" s="403"/>
      <c r="X402" s="403">
        <v>0.38</v>
      </c>
      <c r="Y402" s="404">
        <f>SUM(BD_MO[[#This Row],[LIMP]:[SERV]])</f>
        <v>1</v>
      </c>
      <c r="Z402" s="399" t="s">
        <v>12366</v>
      </c>
      <c r="AA402" s="399">
        <f>+IF(BD_MO[[#This Row],[N° VALE]]&lt;&gt;"",1,"")</f>
        <v>1</v>
      </c>
      <c r="AB402" s="396" t="s">
        <v>10705</v>
      </c>
      <c r="AC402" s="399">
        <v>4</v>
      </c>
      <c r="AD402" s="399">
        <f>+IF(BD_MO[[#This Row],[N° VALE]]&lt;&gt;"",BD_MO[[#This Row],[FULMINANTE N° 08]]+BD_MO[CARMEX 7''],"")</f>
        <v>12</v>
      </c>
      <c r="AE402" s="399">
        <v>4</v>
      </c>
      <c r="AF402" s="399">
        <f>+IF(BD_MO[[#This Row],[N° VALE]]&lt;&gt;"",BD_MO[[#This Row],[N° TALADROS]]+BD_MO[[#This Row],[N° TAL. VACIOS]],"")</f>
        <v>16</v>
      </c>
      <c r="AG402" s="405"/>
      <c r="AH402" s="405">
        <v>48</v>
      </c>
      <c r="AI402" s="405"/>
      <c r="AJ402" s="405"/>
      <c r="AK402" s="405">
        <v>12</v>
      </c>
      <c r="AL402" s="405">
        <v>3</v>
      </c>
      <c r="AM402" s="398"/>
      <c r="AN402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02" s="399">
        <f>+IF(BD_MO[[#This Row],[N° VALE]]&lt;&gt;"",IF(BD_MO[[#This Row],[FULMINANTE N° 08]]&lt;&gt;"",BD_MO[[#This Row],[FULMINANTE N° 08]],IF(BD_MO[[#This Row],[CARMEX 7'']]&lt;&gt;0,0,"")),"")</f>
        <v>0</v>
      </c>
      <c r="AP402" s="403">
        <f>+IF(BD_MO[[#This Row],[N° VALE]]&lt;&gt;"",BD_MO[[#This Row],[N°  TOTAL TALADROS]]*BD_MO[[#This Row],[BARRA]]*0.95,"")</f>
        <v>60.8</v>
      </c>
      <c r="AQ402" s="403">
        <f>+IF(BD_MO[[#This Row],[N° VALE]]&lt;&gt;"",BD_MO[[#This Row],[EMULNOR 1000 (N° CART.)]]*PE_EMUL_1000[PE],"")</f>
        <v>4.5456000000000003</v>
      </c>
      <c r="AR402" s="403">
        <f>+IF(BD_MO[[#This Row],[N° VALE]]&lt;&gt;"",BD_MO[[#This Row],[EMULNOR 3000 (N° CART.)]]*PE_EMUL_3000[PE],"")</f>
        <v>0</v>
      </c>
      <c r="AS402" s="403">
        <f>+IF(BD_MO[[#This Row],[N° VALE]]&lt;&gt;"",BD_MO[[#This Row],[PULVERULENTA (N° CART.)]]*PE_PULV_65[PE],"")</f>
        <v>0</v>
      </c>
      <c r="AT402" s="403">
        <f>+IF(BD_MO[[#This Row],[N° DISP]]&lt;&gt;"",BD_MO[[#This Row],[SEMIGELATINA (N° CART.)]]*PE_SEMIGEL_65[PE],"")</f>
        <v>0</v>
      </c>
      <c r="AU402" s="403">
        <f>+IF(BD_MO[N° VALE]&lt;&gt;"",BD_MO[[#This Row],[KG EXPLO SEMIGEL]]+BD_MO[[#This Row],[KG EXPLO PULVE]]+BD_MO[[#This Row],[KG EXPLO EMULN 3000]]+BD_MO[[#This Row],[KG EXPLO EMULN 1000]],"")</f>
        <v>4.5456000000000003</v>
      </c>
      <c r="AV402" s="399"/>
      <c r="AW402" s="399">
        <v>3</v>
      </c>
      <c r="AX402" s="399" t="str">
        <f>+IF(BD_MO[[#This Row],[MINERAL (U-35)]]&lt;&gt;"",BD_MO[[#This Row],[MINERAL (U-35)]]*1.45,"-")</f>
        <v>-</v>
      </c>
      <c r="AY402" s="399">
        <f>+IF(BD_MO[[#This Row],[DESMONTE (U-35)]]&lt;&gt;"",BD_MO[[#This Row],[DESMONTE (U-35)]]*1.23,"-")</f>
        <v>3.69</v>
      </c>
      <c r="AZ402" s="399"/>
      <c r="BA402" s="399"/>
      <c r="BB402" s="399"/>
      <c r="BC402" s="399"/>
      <c r="BD402" s="399"/>
      <c r="BE402" s="399"/>
      <c r="BF402" s="399"/>
      <c r="BG402" s="399"/>
      <c r="BH402" s="399"/>
      <c r="BI402" s="399"/>
      <c r="BJ402" s="399"/>
      <c r="BK402" s="399"/>
      <c r="BL402" s="399"/>
      <c r="BM402" s="399"/>
      <c r="BN402" s="398"/>
      <c r="BO402" s="399"/>
      <c r="BP402" s="399"/>
      <c r="BQ402" s="398"/>
      <c r="BR402" s="399"/>
      <c r="BS402" s="398"/>
      <c r="BT402" s="403"/>
      <c r="BU402" s="399"/>
      <c r="BV402" s="399"/>
      <c r="BW402" s="399"/>
      <c r="BX402" s="399"/>
      <c r="BY402" s="399"/>
      <c r="BZ402" s="399"/>
      <c r="CA402" s="399"/>
      <c r="CB402" s="399"/>
      <c r="CC402" s="399"/>
      <c r="CD402" s="399"/>
      <c r="CE402" s="399"/>
      <c r="CF402" s="399"/>
      <c r="CG402" s="399"/>
      <c r="CH402" s="399"/>
      <c r="CI402" s="399"/>
      <c r="CJ402" s="399"/>
      <c r="CK402" s="399"/>
      <c r="CL402" s="399"/>
      <c r="CM402" s="399"/>
      <c r="CN402" s="399"/>
      <c r="CO402" s="399"/>
      <c r="CP402" s="403">
        <f>+IF(BD_MO[[#This Row],[FECHA]]&lt;&gt;"",BD_MO[[#This Row],[PUNTAL 4"]]+BD_MO[[#This Row],[PUNTAL 5"]]+BD_MO[[#This Row],[PUNTAL 6"]]+BD_MO[[#This Row],[PUNTAL 7"]]+BD_MO[[#This Row],[PUNTAL 8"]],"")</f>
        <v>0</v>
      </c>
      <c r="CQ402" s="399"/>
      <c r="CR402" s="399"/>
      <c r="CS402" s="399"/>
      <c r="CT402" s="399"/>
      <c r="CU402" s="399"/>
      <c r="CV402" s="399"/>
      <c r="CW402" s="399"/>
      <c r="CX402" s="399"/>
      <c r="CY402" s="403"/>
      <c r="CZ402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02" s="403">
        <f>+IF(BD_MO[[#This Row],[FECHA]]&lt;&gt;"",BD_MO[[#This Row],[DURMIENTE2]]*6.561+BD_MO[[#This Row],[LISTONES]]*4.921+BD_MO[[#This Row],[TABLA 1"x8"x3m]]*6.561+BD_MO[[#This Row],[TABLA 2"x8"x3m]]*13.122,"")</f>
        <v>0</v>
      </c>
      <c r="DB402" s="403">
        <f>+IF(BD_MO[[#This Row],[FECHA]]&lt;&gt;"",BD_MO[[#This Row],[PIE2 MADERA ASERRADA]]*1.95,"")</f>
        <v>0</v>
      </c>
      <c r="DC402" s="403">
        <f>+IF(BD_MO[[#This Row],[FECHA]]&lt;&gt;"",BD_MO[[#This Row],[KG. MADERA REDONDA]]+BD_MO[[#This Row],[KG MADERA ASERRADA]],"")</f>
        <v>0</v>
      </c>
      <c r="DD402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02" s="399"/>
      <c r="DF402" s="399"/>
      <c r="DG402" s="399"/>
      <c r="DH402" s="399"/>
      <c r="DI402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02" s="407"/>
      <c r="DK402" s="407"/>
      <c r="DL402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02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02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02" s="389">
        <v>2.5</v>
      </c>
      <c r="DP402" s="407">
        <f>+IF(BD_MO[[#This Row],[M o D]]&lt;&gt;"",IF(BD_MO[[#This Row],[M o D]]="M",BD_MO[[#This Row],[ROTURA TMH]]/2.65,BD_MO[[#This Row],[ROTURA TMH]]/2.4),"")</f>
        <v>0.94339622641509435</v>
      </c>
      <c r="DQ402" s="407"/>
      <c r="DR402" s="116" t="str">
        <f>IF(BD_MO[[#This Row],[TIPO AVANCE]]="Avance",((BD_MO[[#This Row],[AVANCE (m)]]/BD_MO[[#This Row],[AVANCE TEÓRICO]]))," ")</f>
        <v xml:space="preserve"> </v>
      </c>
      <c r="DS402" s="134"/>
      <c r="DT402" s="134"/>
      <c r="DU402" s="134"/>
      <c r="DV402" s="134"/>
      <c r="DW402" s="134"/>
      <c r="DX402" s="135"/>
      <c r="DY402" s="135"/>
      <c r="DZ402" s="135"/>
    </row>
    <row r="403" spans="1:130" s="136" customFormat="1" ht="18" customHeight="1" x14ac:dyDescent="0.25">
      <c r="A403" s="409">
        <v>44674</v>
      </c>
      <c r="B403" s="396" t="s">
        <v>10655</v>
      </c>
      <c r="C403" s="396" t="s">
        <v>10672</v>
      </c>
      <c r="D403" s="397" t="s">
        <v>11851</v>
      </c>
      <c r="E403" s="398" t="str">
        <f>LEFT(BD_MO[[#This Row],[LABOR]],2)</f>
        <v>Es</v>
      </c>
      <c r="F403" s="399" t="s">
        <v>10687</v>
      </c>
      <c r="G403" s="399" t="s">
        <v>10648</v>
      </c>
      <c r="H403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03" s="383" t="str">
        <f>IF(BD_MO[FECHA]&lt;&gt;"",VLOOKUP(BD_MO[LABOR],TB_CECO[[LABOR]:[CECO_T]],3,FALSE),"")</f>
        <v>VANESSA</v>
      </c>
      <c r="J403" s="383" t="str">
        <f>IF(BD_MO[FECHA]&lt;&gt;"",VLOOKUP(BD_MO[LABOR],D_CECO!B:H,7,FALSE),"")</f>
        <v>LINEAL</v>
      </c>
      <c r="K403" s="383" t="str">
        <f>IF(BD_MO[FECHA]&lt;&gt;"",VLOOKUP(BD_MO[LABOR],D_CECO!B:H,4,FALSE),"")</f>
        <v>DESARROLLO</v>
      </c>
      <c r="L403" s="398"/>
      <c r="M403" s="396" t="s">
        <v>10671</v>
      </c>
      <c r="N403" s="399"/>
      <c r="O403" s="400" t="s">
        <v>12205</v>
      </c>
      <c r="P403" s="400" t="s">
        <v>12195</v>
      </c>
      <c r="Q403" s="400"/>
      <c r="R403" s="401"/>
      <c r="S403" s="402" t="str">
        <f>IFERROR(VLOOKUP(BD_MO[DNI 4],#REF!,2,FALSE)," ")</f>
        <v xml:space="preserve"> </v>
      </c>
      <c r="T403" s="403">
        <v>1</v>
      </c>
      <c r="U403" s="403">
        <v>0.48</v>
      </c>
      <c r="V403" s="403">
        <v>0.14000000000000001</v>
      </c>
      <c r="W403" s="403"/>
      <c r="X403" s="403">
        <v>0.38</v>
      </c>
      <c r="Y403" s="404">
        <f>SUM(BD_MO[[#This Row],[LIMP]:[SERV]])</f>
        <v>1</v>
      </c>
      <c r="Z403" s="399" t="s">
        <v>12367</v>
      </c>
      <c r="AA403" s="399">
        <f>+IF(BD_MO[[#This Row],[N° VALE]]&lt;&gt;"",1,"")</f>
        <v>1</v>
      </c>
      <c r="AB403" s="396" t="s">
        <v>10705</v>
      </c>
      <c r="AC403" s="399">
        <v>4</v>
      </c>
      <c r="AD403" s="399">
        <f>+IF(BD_MO[[#This Row],[N° VALE]]&lt;&gt;"",BD_MO[[#This Row],[FULMINANTE N° 08]]+BD_MO[CARMEX 7''],"")</f>
        <v>10</v>
      </c>
      <c r="AE403" s="399"/>
      <c r="AF403" s="399">
        <f>+IF(BD_MO[[#This Row],[N° VALE]]&lt;&gt;"",BD_MO[[#This Row],[N° TALADROS]]+BD_MO[[#This Row],[N° TAL. VACIOS]],"")</f>
        <v>10</v>
      </c>
      <c r="AG403" s="405"/>
      <c r="AH403" s="405">
        <v>16</v>
      </c>
      <c r="AI403" s="405"/>
      <c r="AJ403" s="405"/>
      <c r="AK403" s="405">
        <v>10</v>
      </c>
      <c r="AL403" s="405">
        <v>3</v>
      </c>
      <c r="AM403" s="398"/>
      <c r="AN403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03" s="399">
        <f>+IF(BD_MO[[#This Row],[N° VALE]]&lt;&gt;"",IF(BD_MO[[#This Row],[FULMINANTE N° 08]]&lt;&gt;"",BD_MO[[#This Row],[FULMINANTE N° 08]],IF(BD_MO[[#This Row],[CARMEX 7'']]&lt;&gt;0,0,"")),"")</f>
        <v>0</v>
      </c>
      <c r="AP403" s="403">
        <f>+IF(BD_MO[[#This Row],[N° VALE]]&lt;&gt;"",BD_MO[[#This Row],[N°  TOTAL TALADROS]]*BD_MO[[#This Row],[BARRA]]*0.95,"")</f>
        <v>38</v>
      </c>
      <c r="AQ403" s="403">
        <f>+IF(BD_MO[[#This Row],[N° VALE]]&lt;&gt;"",BD_MO[[#This Row],[EMULNOR 1000 (N° CART.)]]*PE_EMUL_1000[PE],"")</f>
        <v>1.5152000000000001</v>
      </c>
      <c r="AR403" s="403">
        <f>+IF(BD_MO[[#This Row],[N° VALE]]&lt;&gt;"",BD_MO[[#This Row],[EMULNOR 3000 (N° CART.)]]*PE_EMUL_3000[PE],"")</f>
        <v>0</v>
      </c>
      <c r="AS403" s="403">
        <f>+IF(BD_MO[[#This Row],[N° VALE]]&lt;&gt;"",BD_MO[[#This Row],[PULVERULENTA (N° CART.)]]*PE_PULV_65[PE],"")</f>
        <v>0</v>
      </c>
      <c r="AT403" s="403">
        <f>+IF(BD_MO[[#This Row],[N° DISP]]&lt;&gt;"",BD_MO[[#This Row],[SEMIGELATINA (N° CART.)]]*PE_SEMIGEL_65[PE],"")</f>
        <v>0</v>
      </c>
      <c r="AU403" s="403">
        <f>+IF(BD_MO[N° VALE]&lt;&gt;"",BD_MO[[#This Row],[KG EXPLO SEMIGEL]]+BD_MO[[#This Row],[KG EXPLO PULVE]]+BD_MO[[#This Row],[KG EXPLO EMULN 3000]]+BD_MO[[#This Row],[KG EXPLO EMULN 1000]],"")</f>
        <v>1.5152000000000001</v>
      </c>
      <c r="AV403" s="399"/>
      <c r="AW403" s="399"/>
      <c r="AX403" s="399" t="str">
        <f>+IF(BD_MO[[#This Row],[MINERAL (U-35)]]&lt;&gt;"",BD_MO[[#This Row],[MINERAL (U-35)]]*1.45,"-")</f>
        <v>-</v>
      </c>
      <c r="AY403" s="399" t="str">
        <f>+IF(BD_MO[[#This Row],[DESMONTE (U-35)]]&lt;&gt;"",BD_MO[[#This Row],[DESMONTE (U-35)]]*1.23,"-")</f>
        <v>-</v>
      </c>
      <c r="AZ403" s="399"/>
      <c r="BA403" s="399"/>
      <c r="BB403" s="399"/>
      <c r="BC403" s="399"/>
      <c r="BD403" s="399"/>
      <c r="BE403" s="399"/>
      <c r="BF403" s="399"/>
      <c r="BG403" s="399"/>
      <c r="BH403" s="399"/>
      <c r="BI403" s="399"/>
      <c r="BJ403" s="399"/>
      <c r="BK403" s="399"/>
      <c r="BL403" s="399"/>
      <c r="BM403" s="399"/>
      <c r="BN403" s="398"/>
      <c r="BO403" s="399"/>
      <c r="BP403" s="399"/>
      <c r="BQ403" s="398"/>
      <c r="BR403" s="399"/>
      <c r="BS403" s="398"/>
      <c r="BT403" s="403"/>
      <c r="BU403" s="399"/>
      <c r="BV403" s="399"/>
      <c r="BW403" s="399"/>
      <c r="BX403" s="399"/>
      <c r="BY403" s="399"/>
      <c r="BZ403" s="399"/>
      <c r="CA403" s="399"/>
      <c r="CB403" s="399"/>
      <c r="CC403" s="399"/>
      <c r="CD403" s="399"/>
      <c r="CE403" s="399"/>
      <c r="CF403" s="399"/>
      <c r="CG403" s="399"/>
      <c r="CH403" s="399"/>
      <c r="CI403" s="399"/>
      <c r="CJ403" s="399"/>
      <c r="CK403" s="399"/>
      <c r="CL403" s="399"/>
      <c r="CM403" s="399"/>
      <c r="CN403" s="399"/>
      <c r="CO403" s="399"/>
      <c r="CP403" s="403">
        <f>+IF(BD_MO[[#This Row],[FECHA]]&lt;&gt;"",BD_MO[[#This Row],[PUNTAL 4"]]+BD_MO[[#This Row],[PUNTAL 5"]]+BD_MO[[#This Row],[PUNTAL 6"]]+BD_MO[[#This Row],[PUNTAL 7"]]+BD_MO[[#This Row],[PUNTAL 8"]],"")</f>
        <v>0</v>
      </c>
      <c r="CQ403" s="399"/>
      <c r="CR403" s="399"/>
      <c r="CS403" s="399"/>
      <c r="CT403" s="399"/>
      <c r="CU403" s="399"/>
      <c r="CV403" s="399"/>
      <c r="CW403" s="399"/>
      <c r="CX403" s="399"/>
      <c r="CY403" s="403"/>
      <c r="CZ403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03" s="403">
        <f>+IF(BD_MO[[#This Row],[FECHA]]&lt;&gt;"",BD_MO[[#This Row],[DURMIENTE2]]*6.561+BD_MO[[#This Row],[LISTONES]]*4.921+BD_MO[[#This Row],[TABLA 1"x8"x3m]]*6.561+BD_MO[[#This Row],[TABLA 2"x8"x3m]]*13.122,"")</f>
        <v>0</v>
      </c>
      <c r="DB403" s="403">
        <f>+IF(BD_MO[[#This Row],[FECHA]]&lt;&gt;"",BD_MO[[#This Row],[PIE2 MADERA ASERRADA]]*1.95,"")</f>
        <v>0</v>
      </c>
      <c r="DC403" s="403">
        <f>+IF(BD_MO[[#This Row],[FECHA]]&lt;&gt;"",BD_MO[[#This Row],[KG. MADERA REDONDA]]+BD_MO[[#This Row],[KG MADERA ASERRADA]],"")</f>
        <v>0</v>
      </c>
      <c r="DD403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03" s="399"/>
      <c r="DF403" s="399"/>
      <c r="DG403" s="399"/>
      <c r="DH403" s="399"/>
      <c r="DI403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03" s="407"/>
      <c r="DK403" s="407"/>
      <c r="DL403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03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03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03" s="408">
        <v>2</v>
      </c>
      <c r="DP403" s="407">
        <f>+IF(BD_MO[[#This Row],[M o D]]&lt;&gt;"",IF(BD_MO[[#This Row],[M o D]]="M",BD_MO[[#This Row],[ROTURA TMH]]/2.65,BD_MO[[#This Row],[ROTURA TMH]]/2.4),"")</f>
        <v>0.83333333333333337</v>
      </c>
      <c r="DQ403" s="407"/>
      <c r="DR403" s="116" t="str">
        <f>IF(BD_MO[[#This Row],[TIPO AVANCE]]="Avance",((BD_MO[[#This Row],[AVANCE (m)]]/BD_MO[[#This Row],[AVANCE TEÓRICO]]))," ")</f>
        <v xml:space="preserve"> </v>
      </c>
      <c r="DS403" s="134"/>
      <c r="DT403" s="134"/>
      <c r="DU403" s="134"/>
      <c r="DV403" s="134"/>
      <c r="DW403" s="134"/>
      <c r="DX403" s="135"/>
      <c r="DY403" s="135"/>
      <c r="DZ403" s="135"/>
    </row>
    <row r="404" spans="1:130" s="136" customFormat="1" ht="18" customHeight="1" x14ac:dyDescent="0.25">
      <c r="A404" s="92">
        <v>44674</v>
      </c>
      <c r="B404" s="396" t="s">
        <v>10655</v>
      </c>
      <c r="C404" s="396" t="s">
        <v>10672</v>
      </c>
      <c r="D404" s="397" t="s">
        <v>12464</v>
      </c>
      <c r="E404" s="398" t="str">
        <f>LEFT(BD_MO[[#This Row],[LABOR]],2)</f>
        <v>Sn</v>
      </c>
      <c r="F404" s="399" t="s">
        <v>10950</v>
      </c>
      <c r="G404" s="399" t="s">
        <v>10648</v>
      </c>
      <c r="H404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04" s="387" t="str">
        <f>IF(BD_MO[FECHA]&lt;&gt;"",VLOOKUP(BD_MO[LABOR],TB_CECO[[LABOR]:[CECO_T]],3,FALSE),"")</f>
        <v>CACHORRO</v>
      </c>
      <c r="J404" s="387" t="str">
        <f>IF(BD_MO[FECHA]&lt;&gt;"",VLOOKUP(BD_MO[LABOR],D_CECO!B:H,7,FALSE),"")</f>
        <v>LINEAL</v>
      </c>
      <c r="K404" s="387" t="str">
        <f>IF(BD_MO[FECHA]&lt;&gt;"",VLOOKUP(BD_MO[LABOR],D_CECO!B:H,4,FALSE),"")</f>
        <v>PREPARACION</v>
      </c>
      <c r="L404" s="405"/>
      <c r="M404" s="396" t="s">
        <v>10646</v>
      </c>
      <c r="N404" s="399"/>
      <c r="O404" s="400" t="s">
        <v>12192</v>
      </c>
      <c r="P404" s="400" t="s">
        <v>12207</v>
      </c>
      <c r="Q404" s="400"/>
      <c r="R404" s="401"/>
      <c r="S404" s="402" t="str">
        <f>IFERROR(VLOOKUP(BD_MO[DNI 4],#REF!,2,FALSE)," ")</f>
        <v xml:space="preserve"> </v>
      </c>
      <c r="T404" s="403">
        <f>+IF(BD_MO[[#This Row],[FECHA]]&lt;&gt;"",COUNTA(BD_MO[[#This Row],[DNI]],BD_MO[[#This Row],[DNI 2]],BD_MO[[#This Row],[DNI 3]],BD_MO[[#This Row],[DNI 4]]),"")</f>
        <v>2</v>
      </c>
      <c r="U404" s="403">
        <v>1.04</v>
      </c>
      <c r="V404" s="403">
        <v>0.38</v>
      </c>
      <c r="W404" s="403"/>
      <c r="X404" s="403">
        <v>0.57999999999999996</v>
      </c>
      <c r="Y404" s="404">
        <f>SUM(BD_MO[[#This Row],[LIMP]:[SERV]])</f>
        <v>2</v>
      </c>
      <c r="Z404" s="399" t="s">
        <v>12368</v>
      </c>
      <c r="AA404" s="399">
        <f>+IF(BD_MO[[#This Row],[N° VALE]]&lt;&gt;"",1,"")</f>
        <v>1</v>
      </c>
      <c r="AB404" s="396" t="s">
        <v>10659</v>
      </c>
      <c r="AC404" s="399">
        <v>4</v>
      </c>
      <c r="AD404" s="399">
        <f>+IF(BD_MO[[#This Row],[N° VALE]]&lt;&gt;"",BD_MO[[#This Row],[FULMINANTE N° 08]]+BD_MO[CARMEX 7''],"")</f>
        <v>20</v>
      </c>
      <c r="AE404" s="399"/>
      <c r="AF404" s="399">
        <f>+IF(BD_MO[[#This Row],[N° VALE]]&lt;&gt;"",BD_MO[[#This Row],[N° TALADROS]]+BD_MO[[#This Row],[N° TAL. VACIOS]],"")</f>
        <v>20</v>
      </c>
      <c r="AG404" s="405">
        <v>60</v>
      </c>
      <c r="AH404" s="405">
        <v>40</v>
      </c>
      <c r="AI404" s="405"/>
      <c r="AJ404" s="405"/>
      <c r="AK404" s="405">
        <v>20</v>
      </c>
      <c r="AL404" s="405">
        <v>3</v>
      </c>
      <c r="AM404" s="398"/>
      <c r="AN404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04" s="399">
        <f>+IF(BD_MO[[#This Row],[N° VALE]]&lt;&gt;"",IF(BD_MO[[#This Row],[FULMINANTE N° 08]]&lt;&gt;"",BD_MO[[#This Row],[FULMINANTE N° 08]],IF(BD_MO[[#This Row],[CARMEX 7'']]&lt;&gt;0,0,"")),"")</f>
        <v>0</v>
      </c>
      <c r="AP404" s="403">
        <f>+IF(BD_MO[[#This Row],[N° VALE]]&lt;&gt;"",BD_MO[[#This Row],[N°  TOTAL TALADROS]]*BD_MO[[#This Row],[BARRA]]*0.95,"")</f>
        <v>76</v>
      </c>
      <c r="AQ404" s="403">
        <f>+IF(BD_MO[[#This Row],[N° VALE]]&lt;&gt;"",BD_MO[[#This Row],[EMULNOR 1000 (N° CART.)]]*PE_EMUL_1000[PE],"")</f>
        <v>3.7880000000000003</v>
      </c>
      <c r="AR404" s="403">
        <f>+IF(BD_MO[[#This Row],[N° VALE]]&lt;&gt;"",BD_MO[[#This Row],[EMULNOR 3000 (N° CART.)]]*PE_EMUL_3000[PE],"")</f>
        <v>5.7692307692307718</v>
      </c>
      <c r="AS404" s="403">
        <f>+IF(BD_MO[[#This Row],[N° VALE]]&lt;&gt;"",BD_MO[[#This Row],[PULVERULENTA (N° CART.)]]*PE_PULV_65[PE],"")</f>
        <v>0</v>
      </c>
      <c r="AT404" s="403">
        <f>+IF(BD_MO[[#This Row],[N° DISP]]&lt;&gt;"",BD_MO[[#This Row],[SEMIGELATINA (N° CART.)]]*PE_SEMIGEL_65[PE],"")</f>
        <v>0</v>
      </c>
      <c r="AU404" s="403">
        <f>+IF(BD_MO[N° VALE]&lt;&gt;"",BD_MO[[#This Row],[KG EXPLO SEMIGEL]]+BD_MO[[#This Row],[KG EXPLO PULVE]]+BD_MO[[#This Row],[KG EXPLO EMULN 3000]]+BD_MO[[#This Row],[KG EXPLO EMULN 1000]],"")</f>
        <v>9.5572307692307721</v>
      </c>
      <c r="AV404" s="399">
        <v>2</v>
      </c>
      <c r="AW404" s="399"/>
      <c r="AX404" s="399">
        <f>+IF(BD_MO[[#This Row],[MINERAL (U-35)]]&lt;&gt;"",BD_MO[[#This Row],[MINERAL (U-35)]]*1.45,"-")</f>
        <v>2.9</v>
      </c>
      <c r="AY404" s="399" t="str">
        <f>+IF(BD_MO[[#This Row],[DESMONTE (U-35)]]&lt;&gt;"",BD_MO[[#This Row],[DESMONTE (U-35)]]*1.23,"-")</f>
        <v>-</v>
      </c>
      <c r="AZ404" s="399"/>
      <c r="BA404" s="399"/>
      <c r="BB404" s="399"/>
      <c r="BC404" s="399"/>
      <c r="BD404" s="399"/>
      <c r="BE404" s="399"/>
      <c r="BF404" s="399"/>
      <c r="BG404" s="399"/>
      <c r="BH404" s="399"/>
      <c r="BI404" s="399"/>
      <c r="BJ404" s="399"/>
      <c r="BK404" s="399"/>
      <c r="BL404" s="399"/>
      <c r="BM404" s="399"/>
      <c r="BN404" s="398"/>
      <c r="BO404" s="399"/>
      <c r="BP404" s="399"/>
      <c r="BQ404" s="398"/>
      <c r="BR404" s="399"/>
      <c r="BS404" s="398"/>
      <c r="BT404" s="403"/>
      <c r="BU404" s="399"/>
      <c r="BV404" s="399"/>
      <c r="BW404" s="399"/>
      <c r="BX404" s="399"/>
      <c r="BY404" s="399"/>
      <c r="BZ404" s="399"/>
      <c r="CA404" s="399"/>
      <c r="CB404" s="399"/>
      <c r="CC404" s="399"/>
      <c r="CD404" s="399"/>
      <c r="CE404" s="399"/>
      <c r="CF404" s="399"/>
      <c r="CG404" s="399"/>
      <c r="CH404" s="399"/>
      <c r="CI404" s="399"/>
      <c r="CJ404" s="399"/>
      <c r="CK404" s="399"/>
      <c r="CL404" s="399"/>
      <c r="CM404" s="399"/>
      <c r="CN404" s="399"/>
      <c r="CO404" s="399"/>
      <c r="CP404" s="403">
        <f>+IF(BD_MO[[#This Row],[FECHA]]&lt;&gt;"",BD_MO[[#This Row],[PUNTAL 4"]]+BD_MO[[#This Row],[PUNTAL 5"]]+BD_MO[[#This Row],[PUNTAL 6"]]+BD_MO[[#This Row],[PUNTAL 7"]]+BD_MO[[#This Row],[PUNTAL 8"]],"")</f>
        <v>0</v>
      </c>
      <c r="CQ404" s="399"/>
      <c r="CR404" s="399"/>
      <c r="CS404" s="399"/>
      <c r="CT404" s="399"/>
      <c r="CU404" s="399"/>
      <c r="CV404" s="399"/>
      <c r="CW404" s="399"/>
      <c r="CX404" s="399"/>
      <c r="CY404" s="403"/>
      <c r="CZ404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04" s="403">
        <f>+IF(BD_MO[[#This Row],[FECHA]]&lt;&gt;"",BD_MO[[#This Row],[DURMIENTE2]]*6.561+BD_MO[[#This Row],[LISTONES]]*4.921+BD_MO[[#This Row],[TABLA 1"x8"x3m]]*6.561+BD_MO[[#This Row],[TABLA 2"x8"x3m]]*13.122,"")</f>
        <v>0</v>
      </c>
      <c r="DB404" s="403">
        <f>+IF(BD_MO[[#This Row],[FECHA]]&lt;&gt;"",BD_MO[[#This Row],[PIE2 MADERA ASERRADA]]*1.95,"")</f>
        <v>0</v>
      </c>
      <c r="DC404" s="403">
        <f>+IF(BD_MO[[#This Row],[FECHA]]&lt;&gt;"",BD_MO[[#This Row],[KG. MADERA REDONDA]]+BD_MO[[#This Row],[KG MADERA ASERRADA]],"")</f>
        <v>0</v>
      </c>
      <c r="DD404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04" s="399"/>
      <c r="DF404" s="399"/>
      <c r="DG404" s="399"/>
      <c r="DH404" s="399"/>
      <c r="DI404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04" s="407"/>
      <c r="DK404" s="407"/>
      <c r="DL404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04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04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04" s="408">
        <v>8.7639999999999993</v>
      </c>
      <c r="DP404" s="407">
        <f>+IF(BD_MO[[#This Row],[M o D]]&lt;&gt;"",IF(BD_MO[[#This Row],[M o D]]="M",BD_MO[[#This Row],[ROTURA TMH]]/2.65,BD_MO[[#This Row],[ROTURA TMH]]/2.4),"")</f>
        <v>3.3071698113207546</v>
      </c>
      <c r="DQ404" s="407">
        <v>0.72</v>
      </c>
      <c r="DR404" s="116">
        <f>IF(BD_MO[[#This Row],[TIPO AVANCE]]="Avance",((BD_MO[[#This Row],[AVANCE (m)]]/BD_MO[[#This Row],[AVANCE TEÓRICO]]))," ")</f>
        <v>0.66666666666666663</v>
      </c>
      <c r="DS404" s="134"/>
      <c r="DT404" s="134"/>
      <c r="DU404" s="134"/>
      <c r="DV404" s="134"/>
      <c r="DW404" s="134"/>
      <c r="DX404" s="135"/>
      <c r="DY404" s="135"/>
      <c r="DZ404" s="135"/>
    </row>
    <row r="405" spans="1:130" s="136" customFormat="1" ht="18" customHeight="1" x14ac:dyDescent="0.25">
      <c r="A405" s="92">
        <v>44674</v>
      </c>
      <c r="B405" s="396" t="s">
        <v>10655</v>
      </c>
      <c r="C405" s="396" t="s">
        <v>10672</v>
      </c>
      <c r="D405" s="397" t="s">
        <v>12339</v>
      </c>
      <c r="E405" s="398" t="str">
        <f>LEFT(BD_MO[[#This Row],[LABOR]],2)</f>
        <v>Tj</v>
      </c>
      <c r="F405" s="399"/>
      <c r="G405" s="399" t="s">
        <v>10662</v>
      </c>
      <c r="H405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405" s="383" t="str">
        <f>IF(BD_MO[FECHA]&lt;&gt;"",VLOOKUP(BD_MO[LABOR],TB_CECO[[LABOR]:[CECO_T]],3,FALSE),"")</f>
        <v>ESCONDIDA</v>
      </c>
      <c r="J405" s="383" t="str">
        <f>IF(BD_MO[FECHA]&lt;&gt;"",VLOOKUP(BD_MO[LABOR],D_CECO!B:H,7,FALSE),"")</f>
        <v>TAJO</v>
      </c>
      <c r="K405" s="383" t="str">
        <f>IF(BD_MO[FECHA]&lt;&gt;"",VLOOKUP(BD_MO[LABOR],D_CECO!B:H,4,FALSE),"")</f>
        <v>EXPLOTACION</v>
      </c>
      <c r="L405" s="398"/>
      <c r="M405" s="396"/>
      <c r="N405" s="399"/>
      <c r="O405" s="400" t="s">
        <v>12233</v>
      </c>
      <c r="P405" s="400" t="s">
        <v>12197</v>
      </c>
      <c r="Q405" s="400"/>
      <c r="R405" s="401"/>
      <c r="S405" s="402" t="str">
        <f>IFERROR(VLOOKUP(BD_MO[DNI 4],#REF!,2,FALSE)," ")</f>
        <v xml:space="preserve"> </v>
      </c>
      <c r="T405" s="403">
        <f>+IF(BD_MO[[#This Row],[FECHA]]&lt;&gt;"",COUNTA(BD_MO[[#This Row],[DNI]],BD_MO[[#This Row],[DNI 2]],BD_MO[[#This Row],[DNI 3]],BD_MO[[#This Row],[DNI 4]]),"")</f>
        <v>2</v>
      </c>
      <c r="U405" s="403">
        <v>0.46</v>
      </c>
      <c r="V405" s="403"/>
      <c r="W405" s="403">
        <v>0.57999999999999996</v>
      </c>
      <c r="X405" s="403">
        <v>0.96</v>
      </c>
      <c r="Y405" s="404">
        <f>SUM(BD_MO[[#This Row],[LIMP]:[SERV]])</f>
        <v>2</v>
      </c>
      <c r="Z405" s="399"/>
      <c r="AA405" s="399" t="str">
        <f>+IF(BD_MO[[#This Row],[N° VALE]]&lt;&gt;"",1,"")</f>
        <v/>
      </c>
      <c r="AB405" s="396"/>
      <c r="AC405" s="399"/>
      <c r="AD405" s="399" t="str">
        <f>+IF(BD_MO[[#This Row],[N° VALE]]&lt;&gt;"",BD_MO[[#This Row],[FULMINANTE N° 08]]+BD_MO[CARMEX 7''],"")</f>
        <v/>
      </c>
      <c r="AE405" s="399"/>
      <c r="AF405" s="399" t="str">
        <f>+IF(BD_MO[[#This Row],[N° VALE]]&lt;&gt;"",BD_MO[[#This Row],[N° TALADROS]]+BD_MO[[#This Row],[N° TAL. VACIOS]],"")</f>
        <v/>
      </c>
      <c r="AG405" s="405"/>
      <c r="AH405" s="405"/>
      <c r="AI405" s="405"/>
      <c r="AJ405" s="405"/>
      <c r="AK405" s="405"/>
      <c r="AL405" s="405"/>
      <c r="AM405" s="398"/>
      <c r="AN405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05" s="399" t="str">
        <f>+IF(BD_MO[[#This Row],[N° VALE]]&lt;&gt;"",IF(BD_MO[[#This Row],[FULMINANTE N° 08]]&lt;&gt;"",BD_MO[[#This Row],[FULMINANTE N° 08]],IF(BD_MO[[#This Row],[CARMEX 7'']]&lt;&gt;0,0,"")),"")</f>
        <v/>
      </c>
      <c r="AP405" s="403" t="str">
        <f>+IF(BD_MO[[#This Row],[N° VALE]]&lt;&gt;"",BD_MO[[#This Row],[N°  TOTAL TALADROS]]*BD_MO[[#This Row],[BARRA]]*0.95,"")</f>
        <v/>
      </c>
      <c r="AQ405" s="403" t="str">
        <f>+IF(BD_MO[[#This Row],[N° VALE]]&lt;&gt;"",BD_MO[[#This Row],[EMULNOR 1000 (N° CART.)]]*PE_EMUL_1000[PE],"")</f>
        <v/>
      </c>
      <c r="AR405" s="403" t="str">
        <f>+IF(BD_MO[[#This Row],[N° VALE]]&lt;&gt;"",BD_MO[[#This Row],[EMULNOR 3000 (N° CART.)]]*PE_EMUL_3000[PE],"")</f>
        <v/>
      </c>
      <c r="AS405" s="403" t="str">
        <f>+IF(BD_MO[[#This Row],[N° VALE]]&lt;&gt;"",BD_MO[[#This Row],[PULVERULENTA (N° CART.)]]*PE_PULV_65[PE],"")</f>
        <v/>
      </c>
      <c r="AT405" s="403" t="str">
        <f>+IF(BD_MO[[#This Row],[N° DISP]]&lt;&gt;"",BD_MO[[#This Row],[SEMIGELATINA (N° CART.)]]*PE_SEMIGEL_65[PE],"")</f>
        <v/>
      </c>
      <c r="AU405" s="403" t="str">
        <f>+IF(BD_MO[N° VALE]&lt;&gt;"",BD_MO[[#This Row],[KG EXPLO SEMIGEL]]+BD_MO[[#This Row],[KG EXPLO PULVE]]+BD_MO[[#This Row],[KG EXPLO EMULN 3000]]+BD_MO[[#This Row],[KG EXPLO EMULN 1000]],"")</f>
        <v/>
      </c>
      <c r="AV405" s="399">
        <v>6</v>
      </c>
      <c r="AW405" s="399"/>
      <c r="AX405" s="399">
        <f>+IF(BD_MO[[#This Row],[MINERAL (U-35)]]&lt;&gt;"",BD_MO[[#This Row],[MINERAL (U-35)]]*1.45,"-")</f>
        <v>8.6999999999999993</v>
      </c>
      <c r="AY405" s="399" t="str">
        <f>+IF(BD_MO[[#This Row],[DESMONTE (U-35)]]&lt;&gt;"",BD_MO[[#This Row],[DESMONTE (U-35)]]*1.23,"-")</f>
        <v>-</v>
      </c>
      <c r="AZ405" s="399"/>
      <c r="BA405" s="399"/>
      <c r="BB405" s="399"/>
      <c r="BC405" s="399"/>
      <c r="BD405" s="399"/>
      <c r="BE405" s="399"/>
      <c r="BF405" s="399"/>
      <c r="BG405" s="399"/>
      <c r="BH405" s="399"/>
      <c r="BI405" s="399"/>
      <c r="BJ405" s="399">
        <v>1</v>
      </c>
      <c r="BK405" s="399"/>
      <c r="BL405" s="399"/>
      <c r="BM405" s="399"/>
      <c r="BN405" s="398"/>
      <c r="BO405" s="399"/>
      <c r="BP405" s="399"/>
      <c r="BQ405" s="398"/>
      <c r="BR405" s="399"/>
      <c r="BS405" s="398"/>
      <c r="BT405" s="403"/>
      <c r="BU405" s="399"/>
      <c r="BV405" s="399"/>
      <c r="BW405" s="399"/>
      <c r="BX405" s="399"/>
      <c r="BY405" s="399">
        <v>2</v>
      </c>
      <c r="BZ405" s="399"/>
      <c r="CA405" s="399"/>
      <c r="CB405" s="399"/>
      <c r="CC405" s="399"/>
      <c r="CD405" s="399"/>
      <c r="CE405" s="399"/>
      <c r="CF405" s="399"/>
      <c r="CG405" s="399"/>
      <c r="CH405" s="399"/>
      <c r="CI405" s="399"/>
      <c r="CJ405" s="399"/>
      <c r="CK405" s="399"/>
      <c r="CL405" s="399"/>
      <c r="CM405" s="399">
        <v>1</v>
      </c>
      <c r="CN405" s="399"/>
      <c r="CO405" s="399"/>
      <c r="CP405" s="403">
        <f>+IF(BD_MO[[#This Row],[FECHA]]&lt;&gt;"",BD_MO[[#This Row],[PUNTAL 4"]]+BD_MO[[#This Row],[PUNTAL 5"]]+BD_MO[[#This Row],[PUNTAL 6"]]+BD_MO[[#This Row],[PUNTAL 7"]]+BD_MO[[#This Row],[PUNTAL 8"]],"")</f>
        <v>1</v>
      </c>
      <c r="CQ405" s="399"/>
      <c r="CR405" s="399"/>
      <c r="CS405" s="399"/>
      <c r="CT405" s="399"/>
      <c r="CU405" s="399"/>
      <c r="CV405" s="399"/>
      <c r="CW405" s="399"/>
      <c r="CX405" s="399"/>
      <c r="CY405" s="403"/>
      <c r="CZ405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44.874000000000002</v>
      </c>
      <c r="DA405" s="403">
        <f>+IF(BD_MO[[#This Row],[FECHA]]&lt;&gt;"",BD_MO[[#This Row],[DURMIENTE2]]*6.561+BD_MO[[#This Row],[LISTONES]]*4.921+BD_MO[[#This Row],[TABLA 1"x8"x3m]]*6.561+BD_MO[[#This Row],[TABLA 2"x8"x3m]]*13.122,"")</f>
        <v>0</v>
      </c>
      <c r="DB405" s="403">
        <f>+IF(BD_MO[[#This Row],[FECHA]]&lt;&gt;"",BD_MO[[#This Row],[PIE2 MADERA ASERRADA]]*1.95,"")</f>
        <v>0</v>
      </c>
      <c r="DC405" s="403">
        <f>+IF(BD_MO[[#This Row],[FECHA]]&lt;&gt;"",BD_MO[[#This Row],[KG. MADERA REDONDA]]+BD_MO[[#This Row],[KG MADERA ASERRADA]],"")</f>
        <v>44.874000000000002</v>
      </c>
      <c r="DD405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405" s="399"/>
      <c r="DF405" s="399"/>
      <c r="DG405" s="399"/>
      <c r="DH405" s="399"/>
      <c r="DI405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05" s="407"/>
      <c r="DK405" s="407"/>
      <c r="DL405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05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05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05" s="408"/>
      <c r="DP405" s="407" t="str">
        <f>+IF(BD_MO[[#This Row],[M o D]]&lt;&gt;"",IF(BD_MO[[#This Row],[M o D]]="M",BD_MO[[#This Row],[ROTURA TMH]]/2.65,BD_MO[[#This Row],[ROTURA TMH]]/2.4),"")</f>
        <v/>
      </c>
      <c r="DQ405" s="407"/>
      <c r="DR405" s="116" t="str">
        <f>IF(BD_MO[[#This Row],[TIPO AVANCE]]="Avance",((BD_MO[[#This Row],[AVANCE (m)]]/BD_MO[[#This Row],[AVANCE TEÓRICO]]))," ")</f>
        <v xml:space="preserve"> </v>
      </c>
      <c r="DS405" s="134"/>
      <c r="DT405" s="134"/>
      <c r="DU405" s="134"/>
      <c r="DV405" s="134"/>
      <c r="DW405" s="134"/>
      <c r="DX405" s="135"/>
      <c r="DY405" s="135"/>
      <c r="DZ405" s="135"/>
    </row>
    <row r="406" spans="1:130" s="136" customFormat="1" ht="18" customHeight="1" x14ac:dyDescent="0.25">
      <c r="A406" s="409">
        <v>44674</v>
      </c>
      <c r="B406" s="396" t="s">
        <v>10655</v>
      </c>
      <c r="C406" s="396" t="s">
        <v>10672</v>
      </c>
      <c r="D406" s="397" t="s">
        <v>11872</v>
      </c>
      <c r="E406" s="398" t="str">
        <f>LEFT(BD_MO[[#This Row],[LABOR]],2)</f>
        <v>PQ</v>
      </c>
      <c r="F406" s="399"/>
      <c r="G406" s="399" t="s">
        <v>10669</v>
      </c>
      <c r="H406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06" s="383" t="str">
        <f>IF(BD_MO[FECHA]&lt;&gt;"",VLOOKUP(BD_MO[LABOR],TB_CECO[[LABOR]:[CECO_T]],3,FALSE),"")</f>
        <v>ANDREA</v>
      </c>
      <c r="J406" s="383" t="str">
        <f>IF(BD_MO[FECHA]&lt;&gt;"",VLOOKUP(BD_MO[LABOR],D_CECO!B:H,7,FALSE),"")</f>
        <v>LINEAL</v>
      </c>
      <c r="K406" s="383" t="str">
        <f>IF(BD_MO[FECHA]&lt;&gt;"",VLOOKUP(BD_MO[LABOR],D_CECO!B:H,4,FALSE),"")</f>
        <v>EXPLOTACION</v>
      </c>
      <c r="L406" s="398"/>
      <c r="M406" s="396"/>
      <c r="N406" s="399"/>
      <c r="O406" s="400" t="s">
        <v>12199</v>
      </c>
      <c r="P406" s="400" t="s">
        <v>12220</v>
      </c>
      <c r="Q406" s="400" t="s">
        <v>12323</v>
      </c>
      <c r="R406" s="401"/>
      <c r="S406" s="402" t="str">
        <f>IFERROR(VLOOKUP(BD_MO[DNI 4],#REF!,2,FALSE)," ")</f>
        <v xml:space="preserve"> </v>
      </c>
      <c r="T406" s="403">
        <f>+IF(BD_MO[[#This Row],[FECHA]]&lt;&gt;"",COUNTA(BD_MO[[#This Row],[DNI]],BD_MO[[#This Row],[DNI 2]],BD_MO[[#This Row],[DNI 3]],BD_MO[[#This Row],[DNI 4]]),"")</f>
        <v>3</v>
      </c>
      <c r="U406" s="403"/>
      <c r="V406" s="403"/>
      <c r="W406" s="403"/>
      <c r="X406" s="403">
        <v>3</v>
      </c>
      <c r="Y406" s="404">
        <f>SUM(BD_MO[[#This Row],[LIMP]:[SERV]])</f>
        <v>3</v>
      </c>
      <c r="Z406" s="399"/>
      <c r="AA406" s="399" t="str">
        <f>+IF(BD_MO[[#This Row],[N° VALE]]&lt;&gt;"",1,"")</f>
        <v/>
      </c>
      <c r="AB406" s="396"/>
      <c r="AC406" s="399"/>
      <c r="AD406" s="399" t="str">
        <f>+IF(BD_MO[[#This Row],[N° VALE]]&lt;&gt;"",BD_MO[[#This Row],[FULMINANTE N° 08]]+BD_MO[CARMEX 7''],"")</f>
        <v/>
      </c>
      <c r="AE406" s="399"/>
      <c r="AF406" s="399" t="str">
        <f>+IF(BD_MO[[#This Row],[N° VALE]]&lt;&gt;"",BD_MO[[#This Row],[N° TALADROS]]+BD_MO[[#This Row],[N° TAL. VACIOS]],"")</f>
        <v/>
      </c>
      <c r="AG406" s="405"/>
      <c r="AH406" s="405"/>
      <c r="AI406" s="405"/>
      <c r="AJ406" s="405"/>
      <c r="AK406" s="405"/>
      <c r="AL406" s="405"/>
      <c r="AM406" s="398"/>
      <c r="AN406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06" s="399" t="str">
        <f>+IF(BD_MO[[#This Row],[N° VALE]]&lt;&gt;"",IF(BD_MO[[#This Row],[FULMINANTE N° 08]]&lt;&gt;"",BD_MO[[#This Row],[FULMINANTE N° 08]],IF(BD_MO[[#This Row],[CARMEX 7'']]&lt;&gt;0,0,"")),"")</f>
        <v/>
      </c>
      <c r="AP406" s="403" t="str">
        <f>+IF(BD_MO[[#This Row],[N° VALE]]&lt;&gt;"",BD_MO[[#This Row],[N°  TOTAL TALADROS]]*BD_MO[[#This Row],[BARRA]]*0.95,"")</f>
        <v/>
      </c>
      <c r="AQ406" s="403" t="str">
        <f>+IF(BD_MO[[#This Row],[N° VALE]]&lt;&gt;"",BD_MO[[#This Row],[EMULNOR 1000 (N° CART.)]]*PE_EMUL_1000[PE],"")</f>
        <v/>
      </c>
      <c r="AR406" s="403" t="str">
        <f>+IF(BD_MO[[#This Row],[N° VALE]]&lt;&gt;"",BD_MO[[#This Row],[EMULNOR 3000 (N° CART.)]]*PE_EMUL_3000[PE],"")</f>
        <v/>
      </c>
      <c r="AS406" s="403" t="str">
        <f>+IF(BD_MO[[#This Row],[N° VALE]]&lt;&gt;"",BD_MO[[#This Row],[PULVERULENTA (N° CART.)]]*PE_PULV_65[PE],"")</f>
        <v/>
      </c>
      <c r="AT406" s="403" t="str">
        <f>+IF(BD_MO[[#This Row],[N° DISP]]&lt;&gt;"",BD_MO[[#This Row],[SEMIGELATINA (N° CART.)]]*PE_SEMIGEL_65[PE],"")</f>
        <v/>
      </c>
      <c r="AU406" s="403" t="str">
        <f>+IF(BD_MO[N° VALE]&lt;&gt;"",BD_MO[[#This Row],[KG EXPLO SEMIGEL]]+BD_MO[[#This Row],[KG EXPLO PULVE]]+BD_MO[[#This Row],[KG EXPLO EMULN 3000]]+BD_MO[[#This Row],[KG EXPLO EMULN 1000]],"")</f>
        <v/>
      </c>
      <c r="AV406" s="399"/>
      <c r="AW406" s="399"/>
      <c r="AX406" s="399" t="str">
        <f>+IF(BD_MO[[#This Row],[MINERAL (U-35)]]&lt;&gt;"",BD_MO[[#This Row],[MINERAL (U-35)]]*1.45,"-")</f>
        <v>-</v>
      </c>
      <c r="AY406" s="399" t="str">
        <f>+IF(BD_MO[[#This Row],[DESMONTE (U-35)]]&lt;&gt;"",BD_MO[[#This Row],[DESMONTE (U-35)]]*1.23,"-")</f>
        <v>-</v>
      </c>
      <c r="AZ406" s="399"/>
      <c r="BA406" s="399"/>
      <c r="BB406" s="399"/>
      <c r="BC406" s="399"/>
      <c r="BD406" s="399"/>
      <c r="BE406" s="399"/>
      <c r="BF406" s="399"/>
      <c r="BG406" s="399"/>
      <c r="BH406" s="399"/>
      <c r="BI406" s="399"/>
      <c r="BJ406" s="399"/>
      <c r="BK406" s="399"/>
      <c r="BL406" s="399"/>
      <c r="BM406" s="399"/>
      <c r="BN406" s="398"/>
      <c r="BO406" s="399"/>
      <c r="BP406" s="399"/>
      <c r="BQ406" s="398"/>
      <c r="BR406" s="399"/>
      <c r="BS406" s="398"/>
      <c r="BT406" s="403"/>
      <c r="BU406" s="399"/>
      <c r="BV406" s="399"/>
      <c r="BW406" s="399"/>
      <c r="BX406" s="399"/>
      <c r="BY406" s="399"/>
      <c r="BZ406" s="399"/>
      <c r="CA406" s="399"/>
      <c r="CB406" s="399"/>
      <c r="CC406" s="399"/>
      <c r="CD406" s="399"/>
      <c r="CE406" s="399"/>
      <c r="CF406" s="399"/>
      <c r="CG406" s="399"/>
      <c r="CH406" s="399"/>
      <c r="CI406" s="399"/>
      <c r="CJ406" s="399"/>
      <c r="CK406" s="399"/>
      <c r="CL406" s="399"/>
      <c r="CM406" s="399"/>
      <c r="CN406" s="399"/>
      <c r="CO406" s="399"/>
      <c r="CP406" s="403">
        <f>+IF(BD_MO[[#This Row],[FECHA]]&lt;&gt;"",BD_MO[[#This Row],[PUNTAL 4"]]+BD_MO[[#This Row],[PUNTAL 5"]]+BD_MO[[#This Row],[PUNTAL 6"]]+BD_MO[[#This Row],[PUNTAL 7"]]+BD_MO[[#This Row],[PUNTAL 8"]],"")</f>
        <v>0</v>
      </c>
      <c r="CQ406" s="399"/>
      <c r="CR406" s="399"/>
      <c r="CS406" s="399"/>
      <c r="CT406" s="399"/>
      <c r="CU406" s="399"/>
      <c r="CV406" s="399"/>
      <c r="CW406" s="399"/>
      <c r="CX406" s="399"/>
      <c r="CY406" s="403"/>
      <c r="CZ406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06" s="403">
        <f>+IF(BD_MO[[#This Row],[FECHA]]&lt;&gt;"",BD_MO[[#This Row],[DURMIENTE2]]*6.561+BD_MO[[#This Row],[LISTONES]]*4.921+BD_MO[[#This Row],[TABLA 1"x8"x3m]]*6.561+BD_MO[[#This Row],[TABLA 2"x8"x3m]]*13.122,"")</f>
        <v>0</v>
      </c>
      <c r="DB406" s="403">
        <f>+IF(BD_MO[[#This Row],[FECHA]]&lt;&gt;"",BD_MO[[#This Row],[PIE2 MADERA ASERRADA]]*1.95,"")</f>
        <v>0</v>
      </c>
      <c r="DC406" s="403">
        <f>+IF(BD_MO[[#This Row],[FECHA]]&lt;&gt;"",BD_MO[[#This Row],[KG. MADERA REDONDA]]+BD_MO[[#This Row],[KG MADERA ASERRADA]],"")</f>
        <v>0</v>
      </c>
      <c r="DD406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06" s="399"/>
      <c r="DF406" s="399"/>
      <c r="DG406" s="399" t="s">
        <v>12238</v>
      </c>
      <c r="DH406" s="399">
        <v>8</v>
      </c>
      <c r="DI406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06" s="407"/>
      <c r="DK406" s="407"/>
      <c r="DL406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06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06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06" s="408"/>
      <c r="DP406" s="407" t="str">
        <f>+IF(BD_MO[[#This Row],[M o D]]&lt;&gt;"",IF(BD_MO[[#This Row],[M o D]]="M",BD_MO[[#This Row],[ROTURA TMH]]/2.65,BD_MO[[#This Row],[ROTURA TMH]]/2.4),"")</f>
        <v/>
      </c>
      <c r="DQ406" s="407"/>
      <c r="DR406" s="116" t="str">
        <f>IF(BD_MO[[#This Row],[TIPO AVANCE]]="Avance",((BD_MO[[#This Row],[AVANCE (m)]]/BD_MO[[#This Row],[AVANCE TEÓRICO]]))," ")</f>
        <v xml:space="preserve"> </v>
      </c>
      <c r="DS406" s="134"/>
      <c r="DT406" s="134"/>
      <c r="DU406" s="134"/>
      <c r="DV406" s="134"/>
      <c r="DW406" s="134"/>
      <c r="DX406" s="135"/>
      <c r="DY406" s="135"/>
      <c r="DZ406" s="135"/>
    </row>
    <row r="407" spans="1:130" s="136" customFormat="1" ht="18" customHeight="1" x14ac:dyDescent="0.25">
      <c r="A407" s="92">
        <v>44674</v>
      </c>
      <c r="B407" s="396" t="s">
        <v>10655</v>
      </c>
      <c r="C407" s="396" t="s">
        <v>10672</v>
      </c>
      <c r="D407" s="397" t="s">
        <v>10952</v>
      </c>
      <c r="E407" s="398" t="str">
        <f>LEFT(BD_MO[[#This Row],[LABOR]],2)</f>
        <v>In</v>
      </c>
      <c r="F407" s="399"/>
      <c r="G407" s="399" t="s">
        <v>10669</v>
      </c>
      <c r="H407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07" s="383" t="str">
        <f>IF(BD_MO[FECHA]&lt;&gt;"",VLOOKUP(BD_MO[LABOR],TB_CECO[[LABOR]:[CECO_T]],3,FALSE),"")</f>
        <v>VANESSA</v>
      </c>
      <c r="J407" s="383" t="str">
        <f>IF(BD_MO[FECHA]&lt;&gt;"",VLOOKUP(BD_MO[LABOR],D_CECO!B:H,7,FALSE),"")</f>
        <v>LINEAL</v>
      </c>
      <c r="K407" s="383" t="str">
        <f>IF(BD_MO[FECHA]&lt;&gt;"",VLOOKUP(BD_MO[LABOR],D_CECO!B:H,4,FALSE),"")</f>
        <v>EXPLORACION</v>
      </c>
      <c r="L407" s="398"/>
      <c r="M407" s="396"/>
      <c r="N407" s="399"/>
      <c r="O407" s="400" t="s">
        <v>12364</v>
      </c>
      <c r="P407" s="400" t="s">
        <v>12365</v>
      </c>
      <c r="Q407" s="400"/>
      <c r="R407" s="401"/>
      <c r="S407" s="402" t="str">
        <f>IFERROR(VLOOKUP(BD_MO[DNI 4],#REF!,2,FALSE)," ")</f>
        <v xml:space="preserve"> </v>
      </c>
      <c r="T407" s="403">
        <f>+IF(BD_MO[[#This Row],[FECHA]]&lt;&gt;"",COUNTA(BD_MO[[#This Row],[DNI]],BD_MO[[#This Row],[DNI 2]],BD_MO[[#This Row],[DNI 3]],BD_MO[[#This Row],[DNI 4]]),"")</f>
        <v>2</v>
      </c>
      <c r="U407" s="403"/>
      <c r="V407" s="403"/>
      <c r="W407" s="403"/>
      <c r="X407" s="403">
        <v>2</v>
      </c>
      <c r="Y407" s="404">
        <f>SUM(BD_MO[[#This Row],[LIMP]:[SERV]])</f>
        <v>2</v>
      </c>
      <c r="Z407" s="399"/>
      <c r="AA407" s="399" t="str">
        <f>+IF(BD_MO[[#This Row],[N° VALE]]&lt;&gt;"",1,"")</f>
        <v/>
      </c>
      <c r="AB407" s="396"/>
      <c r="AC407" s="399"/>
      <c r="AD407" s="399" t="str">
        <f>+IF(BD_MO[[#This Row],[N° VALE]]&lt;&gt;"",BD_MO[[#This Row],[FULMINANTE N° 08]]+BD_MO[CARMEX 7''],"")</f>
        <v/>
      </c>
      <c r="AE407" s="399"/>
      <c r="AF407" s="399" t="str">
        <f>+IF(BD_MO[[#This Row],[N° VALE]]&lt;&gt;"",BD_MO[[#This Row],[N° TALADROS]]+BD_MO[[#This Row],[N° TAL. VACIOS]],"")</f>
        <v/>
      </c>
      <c r="AG407" s="405"/>
      <c r="AH407" s="405"/>
      <c r="AI407" s="405"/>
      <c r="AJ407" s="405"/>
      <c r="AK407" s="405"/>
      <c r="AL407" s="405"/>
      <c r="AM407" s="398"/>
      <c r="AN407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07" s="399" t="str">
        <f>+IF(BD_MO[[#This Row],[N° VALE]]&lt;&gt;"",IF(BD_MO[[#This Row],[FULMINANTE N° 08]]&lt;&gt;"",BD_MO[[#This Row],[FULMINANTE N° 08]],IF(BD_MO[[#This Row],[CARMEX 7'']]&lt;&gt;0,0,"")),"")</f>
        <v/>
      </c>
      <c r="AP407" s="403" t="str">
        <f>+IF(BD_MO[[#This Row],[N° VALE]]&lt;&gt;"",BD_MO[[#This Row],[N°  TOTAL TALADROS]]*BD_MO[[#This Row],[BARRA]]*0.95,"")</f>
        <v/>
      </c>
      <c r="AQ407" s="403" t="str">
        <f>+IF(BD_MO[[#This Row],[N° VALE]]&lt;&gt;"",BD_MO[[#This Row],[EMULNOR 1000 (N° CART.)]]*PE_EMUL_1000[PE],"")</f>
        <v/>
      </c>
      <c r="AR407" s="403" t="str">
        <f>+IF(BD_MO[[#This Row],[N° VALE]]&lt;&gt;"",BD_MO[[#This Row],[EMULNOR 3000 (N° CART.)]]*PE_EMUL_3000[PE],"")</f>
        <v/>
      </c>
      <c r="AS407" s="403" t="str">
        <f>+IF(BD_MO[[#This Row],[N° VALE]]&lt;&gt;"",BD_MO[[#This Row],[PULVERULENTA (N° CART.)]]*PE_PULV_65[PE],"")</f>
        <v/>
      </c>
      <c r="AT407" s="403" t="str">
        <f>+IF(BD_MO[[#This Row],[N° DISP]]&lt;&gt;"",BD_MO[[#This Row],[SEMIGELATINA (N° CART.)]]*PE_SEMIGEL_65[PE],"")</f>
        <v/>
      </c>
      <c r="AU407" s="403" t="str">
        <f>+IF(BD_MO[N° VALE]&lt;&gt;"",BD_MO[[#This Row],[KG EXPLO SEMIGEL]]+BD_MO[[#This Row],[KG EXPLO PULVE]]+BD_MO[[#This Row],[KG EXPLO EMULN 3000]]+BD_MO[[#This Row],[KG EXPLO EMULN 1000]],"")</f>
        <v/>
      </c>
      <c r="AV407" s="399"/>
      <c r="AW407" s="399"/>
      <c r="AX407" s="399" t="str">
        <f>+IF(BD_MO[[#This Row],[MINERAL (U-35)]]&lt;&gt;"",BD_MO[[#This Row],[MINERAL (U-35)]]*1.45,"-")</f>
        <v>-</v>
      </c>
      <c r="AY407" s="399" t="str">
        <f>+IF(BD_MO[[#This Row],[DESMONTE (U-35)]]&lt;&gt;"",BD_MO[[#This Row],[DESMONTE (U-35)]]*1.23,"-")</f>
        <v>-</v>
      </c>
      <c r="AZ407" s="399"/>
      <c r="BA407" s="399"/>
      <c r="BB407" s="399"/>
      <c r="BC407" s="399"/>
      <c r="BD407" s="399"/>
      <c r="BE407" s="399"/>
      <c r="BF407" s="399"/>
      <c r="BG407" s="399"/>
      <c r="BH407" s="399"/>
      <c r="BI407" s="399"/>
      <c r="BJ407" s="399"/>
      <c r="BK407" s="399"/>
      <c r="BL407" s="399"/>
      <c r="BM407" s="399"/>
      <c r="BN407" s="398"/>
      <c r="BO407" s="399"/>
      <c r="BP407" s="399"/>
      <c r="BQ407" s="398"/>
      <c r="BR407" s="399"/>
      <c r="BS407" s="398"/>
      <c r="BT407" s="403"/>
      <c r="BU407" s="399"/>
      <c r="BV407" s="399"/>
      <c r="BW407" s="399"/>
      <c r="BX407" s="399"/>
      <c r="BY407" s="399"/>
      <c r="BZ407" s="399"/>
      <c r="CA407" s="399"/>
      <c r="CB407" s="399"/>
      <c r="CC407" s="399"/>
      <c r="CD407" s="399"/>
      <c r="CE407" s="399"/>
      <c r="CF407" s="399"/>
      <c r="CG407" s="399"/>
      <c r="CH407" s="399"/>
      <c r="CI407" s="399"/>
      <c r="CJ407" s="399"/>
      <c r="CK407" s="399"/>
      <c r="CL407" s="399"/>
      <c r="CM407" s="399"/>
      <c r="CN407" s="399"/>
      <c r="CO407" s="399"/>
      <c r="CP407" s="403">
        <f>+IF(BD_MO[[#This Row],[FECHA]]&lt;&gt;"",BD_MO[[#This Row],[PUNTAL 4"]]+BD_MO[[#This Row],[PUNTAL 5"]]+BD_MO[[#This Row],[PUNTAL 6"]]+BD_MO[[#This Row],[PUNTAL 7"]]+BD_MO[[#This Row],[PUNTAL 8"]],"")</f>
        <v>0</v>
      </c>
      <c r="CQ407" s="399"/>
      <c r="CR407" s="399"/>
      <c r="CS407" s="399"/>
      <c r="CT407" s="399"/>
      <c r="CU407" s="399"/>
      <c r="CV407" s="399"/>
      <c r="CW407" s="399"/>
      <c r="CX407" s="399"/>
      <c r="CY407" s="403"/>
      <c r="CZ407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07" s="403">
        <f>+IF(BD_MO[[#This Row],[FECHA]]&lt;&gt;"",BD_MO[[#This Row],[DURMIENTE2]]*6.561+BD_MO[[#This Row],[LISTONES]]*4.921+BD_MO[[#This Row],[TABLA 1"x8"x3m]]*6.561+BD_MO[[#This Row],[TABLA 2"x8"x3m]]*13.122,"")</f>
        <v>0</v>
      </c>
      <c r="DB407" s="403">
        <f>+IF(BD_MO[[#This Row],[FECHA]]&lt;&gt;"",BD_MO[[#This Row],[PIE2 MADERA ASERRADA]]*1.95,"")</f>
        <v>0</v>
      </c>
      <c r="DC407" s="403">
        <f>+IF(BD_MO[[#This Row],[FECHA]]&lt;&gt;"",BD_MO[[#This Row],[KG. MADERA REDONDA]]+BD_MO[[#This Row],[KG MADERA ASERRADA]],"")</f>
        <v>0</v>
      </c>
      <c r="DD407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07" s="399"/>
      <c r="DF407" s="399"/>
      <c r="DG407" s="399" t="s">
        <v>12239</v>
      </c>
      <c r="DH407" s="399">
        <v>8</v>
      </c>
      <c r="DI407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07" s="407"/>
      <c r="DK407" s="407"/>
      <c r="DL407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07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07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07" s="408"/>
      <c r="DP407" s="407" t="str">
        <f>+IF(BD_MO[[#This Row],[M o D]]&lt;&gt;"",IF(BD_MO[[#This Row],[M o D]]="M",BD_MO[[#This Row],[ROTURA TMH]]/2.65,BD_MO[[#This Row],[ROTURA TMH]]/2.4),"")</f>
        <v/>
      </c>
      <c r="DQ407" s="407"/>
      <c r="DR407" s="116" t="str">
        <f>IF(BD_MO[[#This Row],[TIPO AVANCE]]="Avance",((BD_MO[[#This Row],[AVANCE (m)]]/BD_MO[[#This Row],[AVANCE TEÓRICO]]))," ")</f>
        <v xml:space="preserve"> </v>
      </c>
      <c r="DS407" s="134"/>
      <c r="DT407" s="134"/>
      <c r="DU407" s="134"/>
      <c r="DV407" s="134"/>
      <c r="DW407" s="134"/>
      <c r="DX407" s="135"/>
      <c r="DY407" s="135"/>
      <c r="DZ407" s="135"/>
    </row>
    <row r="408" spans="1:130" s="136" customFormat="1" ht="18" customHeight="1" x14ac:dyDescent="0.25">
      <c r="A408" s="92">
        <v>44674</v>
      </c>
      <c r="B408" s="396" t="s">
        <v>10655</v>
      </c>
      <c r="C408" s="396" t="s">
        <v>10672</v>
      </c>
      <c r="D408" s="397" t="s">
        <v>10954</v>
      </c>
      <c r="E408" s="398" t="str">
        <f>LEFT(BD_MO[[#This Row],[LABOR]],2)</f>
        <v>MO</v>
      </c>
      <c r="F408" s="399"/>
      <c r="G408" s="399" t="s">
        <v>10669</v>
      </c>
      <c r="H408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08" s="383" t="str">
        <f>IF(BD_MO[FECHA]&lt;&gt;"",VLOOKUP(BD_MO[LABOR],TB_CECO[[LABOR]:[CECO_T]],3,FALSE),"")</f>
        <v>INCA</v>
      </c>
      <c r="J408" s="383" t="str">
        <f>IF(BD_MO[FECHA]&lt;&gt;"",VLOOKUP(BD_MO[LABOR],D_CECO!B:H,7,FALSE),"")</f>
        <v>SERVICIOS</v>
      </c>
      <c r="K408" s="383" t="str">
        <f>IF(BD_MO[FECHA]&lt;&gt;"",VLOOKUP(BD_MO[LABOR],D_CECO!B:H,4,FALSE),"")</f>
        <v>SERVICIOS</v>
      </c>
      <c r="L408" s="398"/>
      <c r="M408" s="396"/>
      <c r="N408" s="399"/>
      <c r="O408" s="400" t="s">
        <v>12221</v>
      </c>
      <c r="P408" s="400" t="s">
        <v>12209</v>
      </c>
      <c r="Q408" s="400"/>
      <c r="R408" s="401"/>
      <c r="S408" s="402" t="str">
        <f>IFERROR(VLOOKUP(BD_MO[DNI 4],#REF!,2,FALSE)," ")</f>
        <v xml:space="preserve"> </v>
      </c>
      <c r="T408" s="403">
        <f>+IF(BD_MO[[#This Row],[FECHA]]&lt;&gt;"",COUNTA(BD_MO[[#This Row],[DNI]],BD_MO[[#This Row],[DNI 2]],BD_MO[[#This Row],[DNI 3]],BD_MO[[#This Row],[DNI 4]]),"")</f>
        <v>2</v>
      </c>
      <c r="U408" s="403"/>
      <c r="V408" s="403"/>
      <c r="W408" s="403"/>
      <c r="X408" s="403">
        <v>2</v>
      </c>
      <c r="Y408" s="404">
        <f>SUM(BD_MO[[#This Row],[LIMP]:[SERV]])</f>
        <v>2</v>
      </c>
      <c r="Z408" s="399"/>
      <c r="AA408" s="399" t="str">
        <f>+IF(BD_MO[[#This Row],[N° VALE]]&lt;&gt;"",1,"")</f>
        <v/>
      </c>
      <c r="AB408" s="396"/>
      <c r="AC408" s="399"/>
      <c r="AD408" s="399" t="str">
        <f>+IF(BD_MO[[#This Row],[N° VALE]]&lt;&gt;"",BD_MO[[#This Row],[FULMINANTE N° 08]]+BD_MO[CARMEX 7''],"")</f>
        <v/>
      </c>
      <c r="AE408" s="399"/>
      <c r="AF408" s="399" t="str">
        <f>+IF(BD_MO[[#This Row],[N° VALE]]&lt;&gt;"",BD_MO[[#This Row],[N° TALADROS]]+BD_MO[[#This Row],[N° TAL. VACIOS]],"")</f>
        <v/>
      </c>
      <c r="AG408" s="405"/>
      <c r="AH408" s="405"/>
      <c r="AI408" s="405"/>
      <c r="AJ408" s="405"/>
      <c r="AK408" s="405"/>
      <c r="AL408" s="405"/>
      <c r="AM408" s="398"/>
      <c r="AN408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08" s="399" t="str">
        <f>+IF(BD_MO[[#This Row],[N° VALE]]&lt;&gt;"",IF(BD_MO[[#This Row],[FULMINANTE N° 08]]&lt;&gt;"",BD_MO[[#This Row],[FULMINANTE N° 08]],IF(BD_MO[[#This Row],[CARMEX 7'']]&lt;&gt;0,0,"")),"")</f>
        <v/>
      </c>
      <c r="AP408" s="403" t="str">
        <f>+IF(BD_MO[[#This Row],[N° VALE]]&lt;&gt;"",BD_MO[[#This Row],[N°  TOTAL TALADROS]]*BD_MO[[#This Row],[BARRA]]*0.95,"")</f>
        <v/>
      </c>
      <c r="AQ408" s="403" t="str">
        <f>+IF(BD_MO[[#This Row],[N° VALE]]&lt;&gt;"",BD_MO[[#This Row],[EMULNOR 1000 (N° CART.)]]*PE_EMUL_1000[PE],"")</f>
        <v/>
      </c>
      <c r="AR408" s="403" t="str">
        <f>+IF(BD_MO[[#This Row],[N° VALE]]&lt;&gt;"",BD_MO[[#This Row],[EMULNOR 3000 (N° CART.)]]*PE_EMUL_3000[PE],"")</f>
        <v/>
      </c>
      <c r="AS408" s="403" t="str">
        <f>+IF(BD_MO[[#This Row],[N° VALE]]&lt;&gt;"",BD_MO[[#This Row],[PULVERULENTA (N° CART.)]]*PE_PULV_65[PE],"")</f>
        <v/>
      </c>
      <c r="AT408" s="403" t="str">
        <f>+IF(BD_MO[[#This Row],[N° DISP]]&lt;&gt;"",BD_MO[[#This Row],[SEMIGELATINA (N° CART.)]]*PE_SEMIGEL_65[PE],"")</f>
        <v/>
      </c>
      <c r="AU408" s="403" t="str">
        <f>+IF(BD_MO[N° VALE]&lt;&gt;"",BD_MO[[#This Row],[KG EXPLO SEMIGEL]]+BD_MO[[#This Row],[KG EXPLO PULVE]]+BD_MO[[#This Row],[KG EXPLO EMULN 3000]]+BD_MO[[#This Row],[KG EXPLO EMULN 1000]],"")</f>
        <v/>
      </c>
      <c r="AV408" s="399"/>
      <c r="AW408" s="399"/>
      <c r="AX408" s="399" t="str">
        <f>+IF(BD_MO[[#This Row],[MINERAL (U-35)]]&lt;&gt;"",BD_MO[[#This Row],[MINERAL (U-35)]]*1.45,"-")</f>
        <v>-</v>
      </c>
      <c r="AY408" s="399" t="str">
        <f>+IF(BD_MO[[#This Row],[DESMONTE (U-35)]]&lt;&gt;"",BD_MO[[#This Row],[DESMONTE (U-35)]]*1.23,"-")</f>
        <v>-</v>
      </c>
      <c r="AZ408" s="399"/>
      <c r="BA408" s="399"/>
      <c r="BB408" s="399"/>
      <c r="BC408" s="399"/>
      <c r="BD408" s="399"/>
      <c r="BE408" s="399"/>
      <c r="BF408" s="399"/>
      <c r="BG408" s="399"/>
      <c r="BH408" s="399"/>
      <c r="BI408" s="399"/>
      <c r="BJ408" s="399"/>
      <c r="BK408" s="399"/>
      <c r="BL408" s="399"/>
      <c r="BM408" s="399"/>
      <c r="BN408" s="398"/>
      <c r="BO408" s="399"/>
      <c r="BP408" s="399"/>
      <c r="BQ408" s="398"/>
      <c r="BR408" s="399"/>
      <c r="BS408" s="398"/>
      <c r="BT408" s="403"/>
      <c r="BU408" s="399"/>
      <c r="BV408" s="399"/>
      <c r="BW408" s="399"/>
      <c r="BX408" s="399"/>
      <c r="BY408" s="399"/>
      <c r="BZ408" s="399"/>
      <c r="CA408" s="399"/>
      <c r="CB408" s="399"/>
      <c r="CC408" s="399"/>
      <c r="CD408" s="399"/>
      <c r="CE408" s="399"/>
      <c r="CF408" s="399"/>
      <c r="CG408" s="399"/>
      <c r="CH408" s="399"/>
      <c r="CI408" s="399"/>
      <c r="CJ408" s="399"/>
      <c r="CK408" s="399"/>
      <c r="CL408" s="399"/>
      <c r="CM408" s="399"/>
      <c r="CN408" s="399"/>
      <c r="CO408" s="399"/>
      <c r="CP408" s="403">
        <f>+IF(BD_MO[[#This Row],[FECHA]]&lt;&gt;"",BD_MO[[#This Row],[PUNTAL 4"]]+BD_MO[[#This Row],[PUNTAL 5"]]+BD_MO[[#This Row],[PUNTAL 6"]]+BD_MO[[#This Row],[PUNTAL 7"]]+BD_MO[[#This Row],[PUNTAL 8"]],"")</f>
        <v>0</v>
      </c>
      <c r="CQ408" s="399"/>
      <c r="CR408" s="399"/>
      <c r="CS408" s="399"/>
      <c r="CT408" s="399"/>
      <c r="CU408" s="399"/>
      <c r="CV408" s="399"/>
      <c r="CW408" s="399"/>
      <c r="CX408" s="399"/>
      <c r="CY408" s="403"/>
      <c r="CZ408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08" s="403">
        <f>+IF(BD_MO[[#This Row],[FECHA]]&lt;&gt;"",BD_MO[[#This Row],[DURMIENTE2]]*6.561+BD_MO[[#This Row],[LISTONES]]*4.921+BD_MO[[#This Row],[TABLA 1"x8"x3m]]*6.561+BD_MO[[#This Row],[TABLA 2"x8"x3m]]*13.122,"")</f>
        <v>0</v>
      </c>
      <c r="DB408" s="403">
        <f>+IF(BD_MO[[#This Row],[FECHA]]&lt;&gt;"",BD_MO[[#This Row],[PIE2 MADERA ASERRADA]]*1.95,"")</f>
        <v>0</v>
      </c>
      <c r="DC408" s="403">
        <f>+IF(BD_MO[[#This Row],[FECHA]]&lt;&gt;"",BD_MO[[#This Row],[KG. MADERA REDONDA]]+BD_MO[[#This Row],[KG MADERA ASERRADA]],"")</f>
        <v>0</v>
      </c>
      <c r="DD408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08" s="399"/>
      <c r="DF408" s="399"/>
      <c r="DG408" s="399"/>
      <c r="DH408" s="399"/>
      <c r="DI408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08" s="407"/>
      <c r="DK408" s="407"/>
      <c r="DL408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08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08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08" s="408"/>
      <c r="DP408" s="407" t="str">
        <f>+IF(BD_MO[[#This Row],[M o D]]&lt;&gt;"",IF(BD_MO[[#This Row],[M o D]]="M",BD_MO[[#This Row],[ROTURA TMH]]/2.65,BD_MO[[#This Row],[ROTURA TMH]]/2.4),"")</f>
        <v/>
      </c>
      <c r="DQ408" s="407"/>
      <c r="DR408" s="116" t="str">
        <f>IF(BD_MO[[#This Row],[TIPO AVANCE]]="Avance",((BD_MO[[#This Row],[AVANCE (m)]]/BD_MO[[#This Row],[AVANCE TEÓRICO]]))," ")</f>
        <v xml:space="preserve"> </v>
      </c>
      <c r="DS408" s="134"/>
      <c r="DT408" s="134"/>
      <c r="DU408" s="134"/>
      <c r="DV408" s="134"/>
      <c r="DW408" s="134"/>
      <c r="DX408" s="135"/>
      <c r="DY408" s="135"/>
      <c r="DZ408" s="135"/>
    </row>
    <row r="409" spans="1:130" s="136" customFormat="1" ht="18" customHeight="1" x14ac:dyDescent="0.25">
      <c r="A409" s="409">
        <v>44674</v>
      </c>
      <c r="B409" s="396" t="s">
        <v>10655</v>
      </c>
      <c r="C409" s="396" t="s">
        <v>10672</v>
      </c>
      <c r="D409" s="397" t="s">
        <v>10717</v>
      </c>
      <c r="E409" s="398" t="str">
        <f>LEFT(BD_MO[[#This Row],[LABOR]],2)</f>
        <v>BO</v>
      </c>
      <c r="F409" s="399"/>
      <c r="G409" s="399" t="s">
        <v>10669</v>
      </c>
      <c r="H409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09" s="383" t="str">
        <f>IF(BD_MO[FECHA]&lt;&gt;"",VLOOKUP(BD_MO[LABOR],TB_CECO[[LABOR]:[CECO_T]],3,FALSE),"")</f>
        <v>CACHORRO</v>
      </c>
      <c r="J409" s="383" t="str">
        <f>IF(BD_MO[FECHA]&lt;&gt;"",VLOOKUP(BD_MO[LABOR],D_CECO!B:H,7,FALSE),"")</f>
        <v>SERVICIOS</v>
      </c>
      <c r="K409" s="383" t="str">
        <f>IF(BD_MO[FECHA]&lt;&gt;"",VLOOKUP(BD_MO[LABOR],D_CECO!B:H,4,FALSE),"")</f>
        <v>SERVICIOS</v>
      </c>
      <c r="L409" s="398"/>
      <c r="M409" s="396"/>
      <c r="N409" s="399"/>
      <c r="O409" s="400" t="s">
        <v>12196</v>
      </c>
      <c r="P409" s="400"/>
      <c r="Q409" s="400"/>
      <c r="R409" s="401"/>
      <c r="S409" s="402" t="str">
        <f>IFERROR(VLOOKUP(BD_MO[DNI 4],#REF!,2,FALSE)," ")</f>
        <v xml:space="preserve"> </v>
      </c>
      <c r="T409" s="403">
        <f>+IF(BD_MO[[#This Row],[FECHA]]&lt;&gt;"",COUNTA(BD_MO[[#This Row],[DNI]],BD_MO[[#This Row],[DNI 2]],BD_MO[[#This Row],[DNI 3]],BD_MO[[#This Row],[DNI 4]]),"")</f>
        <v>1</v>
      </c>
      <c r="U409" s="403"/>
      <c r="V409" s="403"/>
      <c r="W409" s="403"/>
      <c r="X409" s="403">
        <v>1</v>
      </c>
      <c r="Y409" s="404">
        <f>SUM(BD_MO[[#This Row],[LIMP]:[SERV]])</f>
        <v>1</v>
      </c>
      <c r="Z409" s="399"/>
      <c r="AA409" s="399" t="str">
        <f>+IF(BD_MO[[#This Row],[N° VALE]]&lt;&gt;"",1,"")</f>
        <v/>
      </c>
      <c r="AB409" s="396"/>
      <c r="AC409" s="399"/>
      <c r="AD409" s="399" t="str">
        <f>+IF(BD_MO[[#This Row],[N° VALE]]&lt;&gt;"",BD_MO[[#This Row],[FULMINANTE N° 08]]+BD_MO[CARMEX 7''],"")</f>
        <v/>
      </c>
      <c r="AE409" s="399"/>
      <c r="AF409" s="399" t="str">
        <f>+IF(BD_MO[[#This Row],[N° VALE]]&lt;&gt;"",BD_MO[[#This Row],[N° TALADROS]]+BD_MO[[#This Row],[N° TAL. VACIOS]],"")</f>
        <v/>
      </c>
      <c r="AG409" s="405"/>
      <c r="AH409" s="405"/>
      <c r="AI409" s="405"/>
      <c r="AJ409" s="405"/>
      <c r="AK409" s="405"/>
      <c r="AL409" s="405"/>
      <c r="AM409" s="398"/>
      <c r="AN409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09" s="399" t="str">
        <f>+IF(BD_MO[[#This Row],[N° VALE]]&lt;&gt;"",IF(BD_MO[[#This Row],[FULMINANTE N° 08]]&lt;&gt;"",BD_MO[[#This Row],[FULMINANTE N° 08]],IF(BD_MO[[#This Row],[CARMEX 7'']]&lt;&gt;0,0,"")),"")</f>
        <v/>
      </c>
      <c r="AP409" s="403" t="str">
        <f>+IF(BD_MO[[#This Row],[N° VALE]]&lt;&gt;"",BD_MO[[#This Row],[N°  TOTAL TALADROS]]*BD_MO[[#This Row],[BARRA]]*0.95,"")</f>
        <v/>
      </c>
      <c r="AQ409" s="403" t="str">
        <f>+IF(BD_MO[[#This Row],[N° VALE]]&lt;&gt;"",BD_MO[[#This Row],[EMULNOR 1000 (N° CART.)]]*PE_EMUL_1000[PE],"")</f>
        <v/>
      </c>
      <c r="AR409" s="403" t="str">
        <f>+IF(BD_MO[[#This Row],[N° VALE]]&lt;&gt;"",BD_MO[[#This Row],[EMULNOR 3000 (N° CART.)]]*PE_EMUL_3000[PE],"")</f>
        <v/>
      </c>
      <c r="AS409" s="403" t="str">
        <f>+IF(BD_MO[[#This Row],[N° VALE]]&lt;&gt;"",BD_MO[[#This Row],[PULVERULENTA (N° CART.)]]*PE_PULV_65[PE],"")</f>
        <v/>
      </c>
      <c r="AT409" s="403" t="str">
        <f>+IF(BD_MO[[#This Row],[N° DISP]]&lt;&gt;"",BD_MO[[#This Row],[SEMIGELATINA (N° CART.)]]*PE_SEMIGEL_65[PE],"")</f>
        <v/>
      </c>
      <c r="AU409" s="403" t="str">
        <f>+IF(BD_MO[N° VALE]&lt;&gt;"",BD_MO[[#This Row],[KG EXPLO SEMIGEL]]+BD_MO[[#This Row],[KG EXPLO PULVE]]+BD_MO[[#This Row],[KG EXPLO EMULN 3000]]+BD_MO[[#This Row],[KG EXPLO EMULN 1000]],"")</f>
        <v/>
      </c>
      <c r="AV409" s="399"/>
      <c r="AW409" s="399"/>
      <c r="AX409" s="399" t="str">
        <f>+IF(BD_MO[[#This Row],[MINERAL (U-35)]]&lt;&gt;"",BD_MO[[#This Row],[MINERAL (U-35)]]*1.45,"-")</f>
        <v>-</v>
      </c>
      <c r="AY409" s="399" t="str">
        <f>+IF(BD_MO[[#This Row],[DESMONTE (U-35)]]&lt;&gt;"",BD_MO[[#This Row],[DESMONTE (U-35)]]*1.23,"-")</f>
        <v>-</v>
      </c>
      <c r="AZ409" s="399"/>
      <c r="BA409" s="399"/>
      <c r="BB409" s="399"/>
      <c r="BC409" s="399"/>
      <c r="BD409" s="399"/>
      <c r="BE409" s="399"/>
      <c r="BF409" s="399"/>
      <c r="BG409" s="399"/>
      <c r="BH409" s="399"/>
      <c r="BI409" s="399"/>
      <c r="BJ409" s="399"/>
      <c r="BK409" s="399"/>
      <c r="BL409" s="399"/>
      <c r="BM409" s="399"/>
      <c r="BN409" s="398"/>
      <c r="BO409" s="399"/>
      <c r="BP409" s="399"/>
      <c r="BQ409" s="398"/>
      <c r="BR409" s="399"/>
      <c r="BS409" s="398"/>
      <c r="BT409" s="403"/>
      <c r="BU409" s="399"/>
      <c r="BV409" s="399"/>
      <c r="BW409" s="399"/>
      <c r="BX409" s="399"/>
      <c r="BY409" s="399"/>
      <c r="BZ409" s="399"/>
      <c r="CA409" s="399"/>
      <c r="CB409" s="399"/>
      <c r="CC409" s="399"/>
      <c r="CD409" s="399"/>
      <c r="CE409" s="399"/>
      <c r="CF409" s="399"/>
      <c r="CG409" s="399"/>
      <c r="CH409" s="399"/>
      <c r="CI409" s="399"/>
      <c r="CJ409" s="399"/>
      <c r="CK409" s="399"/>
      <c r="CL409" s="399"/>
      <c r="CM409" s="399"/>
      <c r="CN409" s="399"/>
      <c r="CO409" s="399"/>
      <c r="CP409" s="403">
        <f>+IF(BD_MO[[#This Row],[FECHA]]&lt;&gt;"",BD_MO[[#This Row],[PUNTAL 4"]]+BD_MO[[#This Row],[PUNTAL 5"]]+BD_MO[[#This Row],[PUNTAL 6"]]+BD_MO[[#This Row],[PUNTAL 7"]]+BD_MO[[#This Row],[PUNTAL 8"]],"")</f>
        <v>0</v>
      </c>
      <c r="CQ409" s="399"/>
      <c r="CR409" s="399"/>
      <c r="CS409" s="399"/>
      <c r="CT409" s="399"/>
      <c r="CU409" s="399"/>
      <c r="CV409" s="399"/>
      <c r="CW409" s="399"/>
      <c r="CX409" s="399"/>
      <c r="CY409" s="403"/>
      <c r="CZ409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09" s="403">
        <f>+IF(BD_MO[[#This Row],[FECHA]]&lt;&gt;"",BD_MO[[#This Row],[DURMIENTE2]]*6.561+BD_MO[[#This Row],[LISTONES]]*4.921+BD_MO[[#This Row],[TABLA 1"x8"x3m]]*6.561+BD_MO[[#This Row],[TABLA 2"x8"x3m]]*13.122,"")</f>
        <v>0</v>
      </c>
      <c r="DB409" s="403">
        <f>+IF(BD_MO[[#This Row],[FECHA]]&lt;&gt;"",BD_MO[[#This Row],[PIE2 MADERA ASERRADA]]*1.95,"")</f>
        <v>0</v>
      </c>
      <c r="DC409" s="403">
        <f>+IF(BD_MO[[#This Row],[FECHA]]&lt;&gt;"",BD_MO[[#This Row],[KG. MADERA REDONDA]]+BD_MO[[#This Row],[KG MADERA ASERRADA]],"")</f>
        <v>0</v>
      </c>
      <c r="DD409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09" s="399"/>
      <c r="DF409" s="399"/>
      <c r="DG409" s="399"/>
      <c r="DH409" s="399"/>
      <c r="DI409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09" s="407"/>
      <c r="DK409" s="407"/>
      <c r="DL409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09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09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09" s="408"/>
      <c r="DP409" s="407" t="str">
        <f>+IF(BD_MO[[#This Row],[M o D]]&lt;&gt;"",IF(BD_MO[[#This Row],[M o D]]="M",BD_MO[[#This Row],[ROTURA TMH]]/2.65,BD_MO[[#This Row],[ROTURA TMH]]/2.4),"")</f>
        <v/>
      </c>
      <c r="DQ409" s="407"/>
      <c r="DR409" s="116" t="str">
        <f>IF(BD_MO[[#This Row],[TIPO AVANCE]]="Avance",((BD_MO[[#This Row],[AVANCE (m)]]/BD_MO[[#This Row],[AVANCE TEÓRICO]]))," ")</f>
        <v xml:space="preserve"> </v>
      </c>
      <c r="DS409" s="134"/>
      <c r="DT409" s="134"/>
      <c r="DU409" s="134"/>
      <c r="DV409" s="134"/>
      <c r="DW409" s="134"/>
      <c r="DX409" s="135"/>
      <c r="DY409" s="135"/>
      <c r="DZ409" s="135"/>
    </row>
    <row r="410" spans="1:130" s="115" customFormat="1" ht="18" customHeight="1" thickBot="1" x14ac:dyDescent="0.3">
      <c r="A410" s="130">
        <v>44674</v>
      </c>
      <c r="B410" s="410" t="s">
        <v>10655</v>
      </c>
      <c r="C410" s="410" t="s">
        <v>10672</v>
      </c>
      <c r="D410" s="411" t="s">
        <v>11827</v>
      </c>
      <c r="E410" s="412" t="str">
        <f>LEFT(BD_MO[[#This Row],[LABOR]],2)</f>
        <v>Tj</v>
      </c>
      <c r="F410" s="413"/>
      <c r="G410" s="413" t="s">
        <v>10669</v>
      </c>
      <c r="H410" s="41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10" s="119" t="str">
        <f>IF(BD_MO[FECHA]&lt;&gt;"",VLOOKUP(BD_MO[LABOR],TB_CECO[[LABOR]:[CECO_T]],3,FALSE),"")</f>
        <v>VANESSA</v>
      </c>
      <c r="J410" s="119" t="str">
        <f>IF(BD_MO[FECHA]&lt;&gt;"",VLOOKUP(BD_MO[LABOR],D_CECO!B:H,7,FALSE),"")</f>
        <v>TAJO</v>
      </c>
      <c r="K410" s="119" t="str">
        <f>IF(BD_MO[FECHA]&lt;&gt;"",VLOOKUP(BD_MO[LABOR],D_CECO!B:H,4,FALSE),"")</f>
        <v>EXPLOTACION</v>
      </c>
      <c r="L410" s="412"/>
      <c r="M410" s="410"/>
      <c r="N410" s="413"/>
      <c r="O410" s="414" t="s">
        <v>12333</v>
      </c>
      <c r="P410" s="414" t="s">
        <v>12201</v>
      </c>
      <c r="Q410" s="414"/>
      <c r="R410" s="415"/>
      <c r="S410" s="416" t="str">
        <f>IFERROR(VLOOKUP(BD_MO[DNI 4],#REF!,2,FALSE)," ")</f>
        <v xml:space="preserve"> </v>
      </c>
      <c r="T410" s="417">
        <f>+IF(BD_MO[[#This Row],[FECHA]]&lt;&gt;"",COUNTA(BD_MO[[#This Row],[DNI]],BD_MO[[#This Row],[DNI 2]],BD_MO[[#This Row],[DNI 3]],BD_MO[[#This Row],[DNI 4]]),"")</f>
        <v>2</v>
      </c>
      <c r="U410" s="417"/>
      <c r="V410" s="417"/>
      <c r="W410" s="417"/>
      <c r="X410" s="417">
        <v>2</v>
      </c>
      <c r="Y410" s="418">
        <f>SUM(BD_MO[[#This Row],[LIMP]:[SERV]])</f>
        <v>2</v>
      </c>
      <c r="Z410" s="413"/>
      <c r="AA410" s="413" t="str">
        <f>+IF(BD_MO[[#This Row],[N° VALE]]&lt;&gt;"",1,"")</f>
        <v/>
      </c>
      <c r="AB410" s="410"/>
      <c r="AC410" s="413"/>
      <c r="AD410" s="413" t="str">
        <f>+IF(BD_MO[[#This Row],[N° VALE]]&lt;&gt;"",BD_MO[[#This Row],[FULMINANTE N° 08]]+BD_MO[CARMEX 7''],"")</f>
        <v/>
      </c>
      <c r="AE410" s="413"/>
      <c r="AF410" s="413" t="str">
        <f>+IF(BD_MO[[#This Row],[N° VALE]]&lt;&gt;"",BD_MO[[#This Row],[N° TALADROS]]+BD_MO[[#This Row],[N° TAL. VACIOS]],"")</f>
        <v/>
      </c>
      <c r="AG410" s="419"/>
      <c r="AH410" s="419"/>
      <c r="AI410" s="419"/>
      <c r="AJ410" s="419"/>
      <c r="AK410" s="419"/>
      <c r="AL410" s="419"/>
      <c r="AM410" s="412"/>
      <c r="AN410" s="413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10" s="413" t="str">
        <f>+IF(BD_MO[[#This Row],[N° VALE]]&lt;&gt;"",IF(BD_MO[[#This Row],[FULMINANTE N° 08]]&lt;&gt;"",BD_MO[[#This Row],[FULMINANTE N° 08]],IF(BD_MO[[#This Row],[CARMEX 7'']]&lt;&gt;0,0,"")),"")</f>
        <v/>
      </c>
      <c r="AP410" s="417" t="str">
        <f>+IF(BD_MO[[#This Row],[N° VALE]]&lt;&gt;"",BD_MO[[#This Row],[N°  TOTAL TALADROS]]*BD_MO[[#This Row],[BARRA]]*0.95,"")</f>
        <v/>
      </c>
      <c r="AQ410" s="417" t="str">
        <f>+IF(BD_MO[[#This Row],[N° VALE]]&lt;&gt;"",BD_MO[[#This Row],[EMULNOR 1000 (N° CART.)]]*PE_EMUL_1000[PE],"")</f>
        <v/>
      </c>
      <c r="AR410" s="417" t="str">
        <f>+IF(BD_MO[[#This Row],[N° VALE]]&lt;&gt;"",BD_MO[[#This Row],[EMULNOR 3000 (N° CART.)]]*PE_EMUL_3000[PE],"")</f>
        <v/>
      </c>
      <c r="AS410" s="417" t="str">
        <f>+IF(BD_MO[[#This Row],[N° VALE]]&lt;&gt;"",BD_MO[[#This Row],[PULVERULENTA (N° CART.)]]*PE_PULV_65[PE],"")</f>
        <v/>
      </c>
      <c r="AT410" s="417" t="str">
        <f>+IF(BD_MO[[#This Row],[N° DISP]]&lt;&gt;"",BD_MO[[#This Row],[SEMIGELATINA (N° CART.)]]*PE_SEMIGEL_65[PE],"")</f>
        <v/>
      </c>
      <c r="AU410" s="417" t="str">
        <f>+IF(BD_MO[N° VALE]&lt;&gt;"",BD_MO[[#This Row],[KG EXPLO SEMIGEL]]+BD_MO[[#This Row],[KG EXPLO PULVE]]+BD_MO[[#This Row],[KG EXPLO EMULN 3000]]+BD_MO[[#This Row],[KG EXPLO EMULN 1000]],"")</f>
        <v/>
      </c>
      <c r="AV410" s="413"/>
      <c r="AW410" s="413"/>
      <c r="AX410" s="413" t="str">
        <f>+IF(BD_MO[[#This Row],[MINERAL (U-35)]]&lt;&gt;"",BD_MO[[#This Row],[MINERAL (U-35)]]*1.45,"-")</f>
        <v>-</v>
      </c>
      <c r="AY410" s="413" t="str">
        <f>+IF(BD_MO[[#This Row],[DESMONTE (U-35)]]&lt;&gt;"",BD_MO[[#This Row],[DESMONTE (U-35)]]*1.23,"-")</f>
        <v>-</v>
      </c>
      <c r="AZ410" s="413"/>
      <c r="BA410" s="413"/>
      <c r="BB410" s="413"/>
      <c r="BC410" s="413"/>
      <c r="BD410" s="413"/>
      <c r="BE410" s="413"/>
      <c r="BF410" s="413"/>
      <c r="BG410" s="413"/>
      <c r="BH410" s="413"/>
      <c r="BI410" s="413"/>
      <c r="BJ410" s="413"/>
      <c r="BK410" s="413"/>
      <c r="BL410" s="413"/>
      <c r="BM410" s="413"/>
      <c r="BN410" s="412"/>
      <c r="BO410" s="413"/>
      <c r="BP410" s="413"/>
      <c r="BQ410" s="412"/>
      <c r="BR410" s="413"/>
      <c r="BS410" s="412"/>
      <c r="BT410" s="417"/>
      <c r="BU410" s="413"/>
      <c r="BV410" s="413"/>
      <c r="BW410" s="413"/>
      <c r="BX410" s="413"/>
      <c r="BY410" s="413"/>
      <c r="BZ410" s="413"/>
      <c r="CA410" s="413"/>
      <c r="CB410" s="413"/>
      <c r="CC410" s="413"/>
      <c r="CD410" s="413"/>
      <c r="CE410" s="413"/>
      <c r="CF410" s="413"/>
      <c r="CG410" s="413"/>
      <c r="CH410" s="413"/>
      <c r="CI410" s="413"/>
      <c r="CJ410" s="413"/>
      <c r="CK410" s="413"/>
      <c r="CL410" s="413"/>
      <c r="CM410" s="413"/>
      <c r="CN410" s="413"/>
      <c r="CO410" s="413"/>
      <c r="CP410" s="417">
        <f>+IF(BD_MO[[#This Row],[FECHA]]&lt;&gt;"",BD_MO[[#This Row],[PUNTAL 4"]]+BD_MO[[#This Row],[PUNTAL 5"]]+BD_MO[[#This Row],[PUNTAL 6"]]+BD_MO[[#This Row],[PUNTAL 7"]]+BD_MO[[#This Row],[PUNTAL 8"]],"")</f>
        <v>0</v>
      </c>
      <c r="CQ410" s="413"/>
      <c r="CR410" s="413"/>
      <c r="CS410" s="413"/>
      <c r="CT410" s="413"/>
      <c r="CU410" s="413"/>
      <c r="CV410" s="413"/>
      <c r="CW410" s="413"/>
      <c r="CX410" s="413"/>
      <c r="CY410" s="417"/>
      <c r="CZ410" s="417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10" s="417">
        <f>+IF(BD_MO[[#This Row],[FECHA]]&lt;&gt;"",BD_MO[[#This Row],[DURMIENTE2]]*6.561+BD_MO[[#This Row],[LISTONES]]*4.921+BD_MO[[#This Row],[TABLA 1"x8"x3m]]*6.561+BD_MO[[#This Row],[TABLA 2"x8"x3m]]*13.122,"")</f>
        <v>0</v>
      </c>
      <c r="DB410" s="417">
        <f>+IF(BD_MO[[#This Row],[FECHA]]&lt;&gt;"",BD_MO[[#This Row],[PIE2 MADERA ASERRADA]]*1.95,"")</f>
        <v>0</v>
      </c>
      <c r="DC410" s="417">
        <f>+IF(BD_MO[[#This Row],[FECHA]]&lt;&gt;"",BD_MO[[#This Row],[KG. MADERA REDONDA]]+BD_MO[[#This Row],[KG MADERA ASERRADA]],"")</f>
        <v>0</v>
      </c>
      <c r="DD410" s="42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10" s="413"/>
      <c r="DF410" s="413"/>
      <c r="DG410" s="413"/>
      <c r="DH410" s="413"/>
      <c r="DI410" s="42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10" s="421"/>
      <c r="DK410" s="421"/>
      <c r="DL410" s="42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10" s="42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10" s="42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10" s="422"/>
      <c r="DP410" s="421" t="str">
        <f>+IF(BD_MO[[#This Row],[M o D]]&lt;&gt;"",IF(BD_MO[[#This Row],[M o D]]="M",BD_MO[[#This Row],[ROTURA TMH]]/2.65,BD_MO[[#This Row],[ROTURA TMH]]/2.4),"")</f>
        <v/>
      </c>
      <c r="DQ410" s="421"/>
      <c r="DR410" s="484" t="str">
        <f>IF(BD_MO[[#This Row],[TIPO AVANCE]]="Avance",((BD_MO[[#This Row],[AVANCE (m)]]/BD_MO[[#This Row],[AVANCE TEÓRICO]]))," ")</f>
        <v xml:space="preserve"> </v>
      </c>
      <c r="DS410" s="113"/>
      <c r="DT410" s="113"/>
      <c r="DU410" s="113"/>
      <c r="DV410" s="113"/>
      <c r="DW410" s="113"/>
      <c r="DX410" s="114"/>
      <c r="DY410" s="114"/>
      <c r="DZ410" s="114"/>
    </row>
    <row r="411" spans="1:130" s="136" customFormat="1" ht="18" customHeight="1" x14ac:dyDescent="0.25">
      <c r="A411" s="92">
        <v>44675</v>
      </c>
      <c r="B411" s="396" t="s">
        <v>10647</v>
      </c>
      <c r="C411" s="396" t="s">
        <v>10668</v>
      </c>
      <c r="D411" s="397" t="s">
        <v>11827</v>
      </c>
      <c r="E411" s="398" t="str">
        <f>LEFT(BD_MO[[#This Row],[LABOR]],2)</f>
        <v>Tj</v>
      </c>
      <c r="F411" s="399"/>
      <c r="G411" s="399" t="s">
        <v>10656</v>
      </c>
      <c r="H411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411" s="383" t="str">
        <f>IF(BD_MO[FECHA]&lt;&gt;"",VLOOKUP(BD_MO[LABOR],TB_CECO[[LABOR]:[CECO_T]],3,FALSE),"")</f>
        <v>VANESSA</v>
      </c>
      <c r="J411" s="383" t="str">
        <f>IF(BD_MO[FECHA]&lt;&gt;"",VLOOKUP(BD_MO[LABOR],D_CECO!B:H,7,FALSE),"")</f>
        <v>TAJO</v>
      </c>
      <c r="K411" s="383" t="str">
        <f>IF(BD_MO[FECHA]&lt;&gt;"",VLOOKUP(BD_MO[LABOR],D_CECO!B:H,4,FALSE),"")</f>
        <v>EXPLOTACION</v>
      </c>
      <c r="L411" s="398"/>
      <c r="M411" s="396"/>
      <c r="N411" s="399"/>
      <c r="O411" s="400" t="s">
        <v>12095</v>
      </c>
      <c r="P411" s="400" t="s">
        <v>12088</v>
      </c>
      <c r="Q411" s="400" t="s">
        <v>12361</v>
      </c>
      <c r="R411" s="401"/>
      <c r="S411" s="402" t="str">
        <f>IFERROR(VLOOKUP(BD_MO[DNI 4],#REF!,2,FALSE)," ")</f>
        <v xml:space="preserve"> </v>
      </c>
      <c r="T411" s="403"/>
      <c r="U411" s="403">
        <v>1.4</v>
      </c>
      <c r="V411" s="403"/>
      <c r="W411" s="403">
        <v>1.2</v>
      </c>
      <c r="X411" s="403">
        <v>0.4</v>
      </c>
      <c r="Y411" s="404">
        <f>SUM(BD_MO[[#This Row],[LIMP]:[SERV]])</f>
        <v>2.9999999999999996</v>
      </c>
      <c r="Z411" s="399"/>
      <c r="AA411" s="399" t="str">
        <f>+IF(BD_MO[[#This Row],[N° VALE]]&lt;&gt;"",1,"")</f>
        <v/>
      </c>
      <c r="AB411" s="396"/>
      <c r="AC411" s="399"/>
      <c r="AD411" s="399" t="str">
        <f>+IF(BD_MO[[#This Row],[N° VALE]]&lt;&gt;"",BD_MO[[#This Row],[FULMINANTE N° 08]]+BD_MO[CARMEX 7''],"")</f>
        <v/>
      </c>
      <c r="AE411" s="399"/>
      <c r="AF411" s="399" t="str">
        <f>+IF(BD_MO[[#This Row],[N° VALE]]&lt;&gt;"",BD_MO[[#This Row],[N° TALADROS]]+BD_MO[[#This Row],[N° TAL. VACIOS]],"")</f>
        <v/>
      </c>
      <c r="AG411" s="405"/>
      <c r="AH411" s="405"/>
      <c r="AI411" s="405"/>
      <c r="AJ411" s="405"/>
      <c r="AK411" s="405"/>
      <c r="AL411" s="405"/>
      <c r="AM411" s="398"/>
      <c r="AN411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11" s="399" t="str">
        <f>+IF(BD_MO[[#This Row],[N° VALE]]&lt;&gt;"",IF(BD_MO[[#This Row],[FULMINANTE N° 08]]&lt;&gt;"",BD_MO[[#This Row],[FULMINANTE N° 08]],IF(BD_MO[[#This Row],[CARMEX 7'']]&lt;&gt;0,0,"")),"")</f>
        <v/>
      </c>
      <c r="AP411" s="403" t="str">
        <f>+IF(BD_MO[[#This Row],[N° VALE]]&lt;&gt;"",BD_MO[[#This Row],[N°  TOTAL TALADROS]]*BD_MO[[#This Row],[BARRA]]*0.95,"")</f>
        <v/>
      </c>
      <c r="AQ411" s="403" t="str">
        <f>+IF(BD_MO[[#This Row],[N° VALE]]&lt;&gt;"",BD_MO[[#This Row],[EMULNOR 1000 (N° CART.)]]*PE_EMUL_1000[PE],"")</f>
        <v/>
      </c>
      <c r="AR411" s="403" t="str">
        <f>+IF(BD_MO[[#This Row],[N° VALE]]&lt;&gt;"",BD_MO[[#This Row],[EMULNOR 3000 (N° CART.)]]*PE_EMUL_3000[PE],"")</f>
        <v/>
      </c>
      <c r="AS411" s="403" t="str">
        <f>+IF(BD_MO[[#This Row],[N° VALE]]&lt;&gt;"",BD_MO[[#This Row],[PULVERULENTA (N° CART.)]]*PE_PULV_65[PE],"")</f>
        <v/>
      </c>
      <c r="AT411" s="403" t="str">
        <f>+IF(BD_MO[[#This Row],[N° DISP]]&lt;&gt;"",BD_MO[[#This Row],[SEMIGELATINA (N° CART.)]]*PE_SEMIGEL_65[PE],"")</f>
        <v/>
      </c>
      <c r="AU411" s="403" t="str">
        <f>+IF(BD_MO[N° VALE]&lt;&gt;"",BD_MO[[#This Row],[KG EXPLO SEMIGEL]]+BD_MO[[#This Row],[KG EXPLO PULVE]]+BD_MO[[#This Row],[KG EXPLO EMULN 3000]]+BD_MO[[#This Row],[KG EXPLO EMULN 1000]],"")</f>
        <v/>
      </c>
      <c r="AV411" s="399">
        <v>12</v>
      </c>
      <c r="AW411" s="399"/>
      <c r="AX411" s="399">
        <f>+IF(BD_MO[[#This Row],[MINERAL (U-35)]]&lt;&gt;"",BD_MO[[#This Row],[MINERAL (U-35)]]*1.45,"-")</f>
        <v>17.399999999999999</v>
      </c>
      <c r="AY411" s="399" t="str">
        <f>+IF(BD_MO[[#This Row],[DESMONTE (U-35)]]&lt;&gt;"",BD_MO[[#This Row],[DESMONTE (U-35)]]*1.23,"-")</f>
        <v>-</v>
      </c>
      <c r="AZ411" s="399"/>
      <c r="BA411" s="399"/>
      <c r="BB411" s="399"/>
      <c r="BC411" s="399"/>
      <c r="BD411" s="399"/>
      <c r="BE411" s="399"/>
      <c r="BF411" s="399"/>
      <c r="BG411" s="399"/>
      <c r="BH411" s="399"/>
      <c r="BI411" s="399"/>
      <c r="BJ411" s="399"/>
      <c r="BK411" s="399"/>
      <c r="BL411" s="399"/>
      <c r="BM411" s="399"/>
      <c r="BN411" s="398"/>
      <c r="BO411" s="399"/>
      <c r="BP411" s="399"/>
      <c r="BQ411" s="398"/>
      <c r="BR411" s="399"/>
      <c r="BS411" s="398"/>
      <c r="BT411" s="403"/>
      <c r="BU411" s="399"/>
      <c r="BV411" s="399"/>
      <c r="BW411" s="399"/>
      <c r="BX411" s="399">
        <v>5</v>
      </c>
      <c r="BY411" s="399"/>
      <c r="BZ411" s="399"/>
      <c r="CA411" s="399"/>
      <c r="CB411" s="399"/>
      <c r="CC411" s="399"/>
      <c r="CD411" s="399"/>
      <c r="CE411" s="399"/>
      <c r="CF411" s="399"/>
      <c r="CG411" s="399"/>
      <c r="CH411" s="399"/>
      <c r="CI411" s="399"/>
      <c r="CJ411" s="399"/>
      <c r="CK411" s="399"/>
      <c r="CL411" s="399"/>
      <c r="CM411" s="399"/>
      <c r="CN411" s="399"/>
      <c r="CO411" s="399"/>
      <c r="CP411" s="403">
        <f>+IF(BD_MO[[#This Row],[FECHA]]&lt;&gt;"",BD_MO[[#This Row],[PUNTAL 4"]]+BD_MO[[#This Row],[PUNTAL 5"]]+BD_MO[[#This Row],[PUNTAL 6"]]+BD_MO[[#This Row],[PUNTAL 7"]]+BD_MO[[#This Row],[PUNTAL 8"]],"")</f>
        <v>0</v>
      </c>
      <c r="CQ411" s="399"/>
      <c r="CR411" s="399"/>
      <c r="CS411" s="399"/>
      <c r="CT411" s="399"/>
      <c r="CU411" s="399"/>
      <c r="CV411" s="399"/>
      <c r="CW411" s="399"/>
      <c r="CX411" s="399"/>
      <c r="CY411" s="403"/>
      <c r="CZ411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11" s="403">
        <f>+IF(BD_MO[[#This Row],[FECHA]]&lt;&gt;"",BD_MO[[#This Row],[DURMIENTE2]]*6.561+BD_MO[[#This Row],[LISTONES]]*4.921+BD_MO[[#This Row],[TABLA 1"x8"x3m]]*6.561+BD_MO[[#This Row],[TABLA 2"x8"x3m]]*13.122,"")</f>
        <v>0</v>
      </c>
      <c r="DB411" s="403">
        <f>+IF(BD_MO[[#This Row],[FECHA]]&lt;&gt;"",BD_MO[[#This Row],[PIE2 MADERA ASERRADA]]*1.95,"")</f>
        <v>0</v>
      </c>
      <c r="DC411" s="403">
        <f>+IF(BD_MO[[#This Row],[FECHA]]&lt;&gt;"",BD_MO[[#This Row],[KG. MADERA REDONDA]]+BD_MO[[#This Row],[KG MADERA ASERRADA]],"")</f>
        <v>0</v>
      </c>
      <c r="DD411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11" s="399"/>
      <c r="DF411" s="399"/>
      <c r="DG411" s="399"/>
      <c r="DH411" s="399"/>
      <c r="DI411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11" s="407"/>
      <c r="DK411" s="407"/>
      <c r="DL411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11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11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11" s="408"/>
      <c r="DP411" s="407" t="str">
        <f>+IF(BD_MO[[#This Row],[M o D]]&lt;&gt;"",IF(BD_MO[[#This Row],[M o D]]="M",BD_MO[[#This Row],[ROTURA TMH]]/2.65,BD_MO[[#This Row],[ROTURA TMH]]/2.4),"")</f>
        <v/>
      </c>
      <c r="DQ411" s="407"/>
      <c r="DR411" s="116" t="str">
        <f>IF(BD_MO[[#This Row],[TIPO AVANCE]]="Avance",((BD_MO[[#This Row],[AVANCE (m)]]/BD_MO[[#This Row],[AVANCE TEÓRICO]]))," ")</f>
        <v xml:space="preserve"> </v>
      </c>
      <c r="DS411" s="134"/>
      <c r="DT411" s="134"/>
      <c r="DU411" s="134"/>
      <c r="DV411" s="134"/>
      <c r="DW411" s="134"/>
      <c r="DX411" s="135"/>
      <c r="DY411" s="135"/>
      <c r="DZ411" s="135"/>
    </row>
    <row r="412" spans="1:130" s="136" customFormat="1" ht="18" customHeight="1" x14ac:dyDescent="0.25">
      <c r="A412" s="395">
        <v>44675</v>
      </c>
      <c r="B412" s="396" t="s">
        <v>10647</v>
      </c>
      <c r="C412" s="396" t="s">
        <v>10668</v>
      </c>
      <c r="D412" s="397" t="s">
        <v>12464</v>
      </c>
      <c r="E412" s="398" t="str">
        <f>LEFT(BD_MO[[#This Row],[LABOR]],2)</f>
        <v>Sn</v>
      </c>
      <c r="F412" s="399" t="s">
        <v>10950</v>
      </c>
      <c r="G412" s="399" t="s">
        <v>10648</v>
      </c>
      <c r="H412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12" s="387" t="str">
        <f>IF(BD_MO[FECHA]&lt;&gt;"",VLOOKUP(BD_MO[LABOR],TB_CECO[[LABOR]:[CECO_T]],3,FALSE),"")</f>
        <v>CACHORRO</v>
      </c>
      <c r="J412" s="387" t="str">
        <f>IF(BD_MO[FECHA]&lt;&gt;"",VLOOKUP(BD_MO[LABOR],D_CECO!B:H,7,FALSE),"")</f>
        <v>LINEAL</v>
      </c>
      <c r="K412" s="387" t="str">
        <f>IF(BD_MO[FECHA]&lt;&gt;"",VLOOKUP(BD_MO[LABOR],D_CECO!B:H,4,FALSE),"")</f>
        <v>PREPARACION</v>
      </c>
      <c r="L412" s="405"/>
      <c r="M412" s="396" t="s">
        <v>10646</v>
      </c>
      <c r="N412" s="399"/>
      <c r="O412" s="400" t="s">
        <v>12101</v>
      </c>
      <c r="P412" s="400" t="s">
        <v>12305</v>
      </c>
      <c r="Q412" s="400"/>
      <c r="R412" s="401"/>
      <c r="S412" s="402" t="str">
        <f>IFERROR(VLOOKUP(BD_MO[DNI 4],#REF!,2,FALSE)," ")</f>
        <v xml:space="preserve"> </v>
      </c>
      <c r="T412" s="403">
        <f>+IF(BD_MO[[#This Row],[FECHA]]&lt;&gt;"",COUNTA(BD_MO[[#This Row],[DNI]],BD_MO[[#This Row],[DNI 2]],BD_MO[[#This Row],[DNI 3]],BD_MO[[#This Row],[DNI 4]]),"")</f>
        <v>2</v>
      </c>
      <c r="U412" s="403">
        <v>0.9</v>
      </c>
      <c r="V412" s="403">
        <v>0.4</v>
      </c>
      <c r="W412" s="403">
        <v>0.4</v>
      </c>
      <c r="X412" s="403">
        <v>0.3</v>
      </c>
      <c r="Y412" s="404">
        <f>SUM(BD_MO[[#This Row],[LIMP]:[SERV]])</f>
        <v>2</v>
      </c>
      <c r="Z412" s="399" t="s">
        <v>12370</v>
      </c>
      <c r="AA412" s="399">
        <f>+IF(BD_MO[[#This Row],[N° VALE]]&lt;&gt;"",1,"")</f>
        <v>1</v>
      </c>
      <c r="AB412" s="396" t="s">
        <v>10659</v>
      </c>
      <c r="AC412" s="399">
        <v>5</v>
      </c>
      <c r="AD412" s="399">
        <f>+IF(BD_MO[[#This Row],[N° VALE]]&lt;&gt;"",BD_MO[[#This Row],[FULMINANTE N° 08]]+BD_MO[CARMEX 7''],"")</f>
        <v>25</v>
      </c>
      <c r="AE412" s="399"/>
      <c r="AF412" s="399">
        <f>+IF(BD_MO[[#This Row],[N° VALE]]&lt;&gt;"",BD_MO[[#This Row],[N° TALADROS]]+BD_MO[[#This Row],[N° TAL. VACIOS]],"")</f>
        <v>25</v>
      </c>
      <c r="AG412" s="405">
        <v>44</v>
      </c>
      <c r="AH412" s="405">
        <v>91</v>
      </c>
      <c r="AI412" s="405"/>
      <c r="AJ412" s="405"/>
      <c r="AK412" s="405">
        <v>25</v>
      </c>
      <c r="AL412" s="405">
        <v>5</v>
      </c>
      <c r="AM412" s="398"/>
      <c r="AN412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12" s="399">
        <f>+IF(BD_MO[[#This Row],[N° VALE]]&lt;&gt;"",IF(BD_MO[[#This Row],[FULMINANTE N° 08]]&lt;&gt;"",BD_MO[[#This Row],[FULMINANTE N° 08]],IF(BD_MO[[#This Row],[CARMEX 7'']]&lt;&gt;0,0,"")),"")</f>
        <v>0</v>
      </c>
      <c r="AP412" s="403">
        <f>+IF(BD_MO[[#This Row],[N° VALE]]&lt;&gt;"",BD_MO[[#This Row],[N°  TOTAL TALADROS]]*BD_MO[[#This Row],[BARRA]]*0.95,"")</f>
        <v>118.75</v>
      </c>
      <c r="AQ412" s="403">
        <f>+IF(BD_MO[[#This Row],[N° VALE]]&lt;&gt;"",BD_MO[[#This Row],[EMULNOR 1000 (N° CART.)]]*PE_EMUL_1000[PE],"")</f>
        <v>8.617700000000001</v>
      </c>
      <c r="AR412" s="403">
        <f>+IF(BD_MO[[#This Row],[N° VALE]]&lt;&gt;"",BD_MO[[#This Row],[EMULNOR 3000 (N° CART.)]]*PE_EMUL_3000[PE],"")</f>
        <v>4.2307692307692326</v>
      </c>
      <c r="AS412" s="403">
        <f>+IF(BD_MO[[#This Row],[N° VALE]]&lt;&gt;"",BD_MO[[#This Row],[PULVERULENTA (N° CART.)]]*PE_PULV_65[PE],"")</f>
        <v>0</v>
      </c>
      <c r="AT412" s="403">
        <f>+IF(BD_MO[[#This Row],[N° DISP]]&lt;&gt;"",BD_MO[[#This Row],[SEMIGELATINA (N° CART.)]]*PE_SEMIGEL_65[PE],"")</f>
        <v>0</v>
      </c>
      <c r="AU412" s="403">
        <f>+IF(BD_MO[N° VALE]&lt;&gt;"",BD_MO[[#This Row],[KG EXPLO SEMIGEL]]+BD_MO[[#This Row],[KG EXPLO PULVE]]+BD_MO[[#This Row],[KG EXPLO EMULN 3000]]+BD_MO[[#This Row],[KG EXPLO EMULN 1000]],"")</f>
        <v>12.848469230769233</v>
      </c>
      <c r="AV412" s="399"/>
      <c r="AW412" s="399"/>
      <c r="AX412" s="399" t="str">
        <f>+IF(BD_MO[[#This Row],[MINERAL (U-35)]]&lt;&gt;"",BD_MO[[#This Row],[MINERAL (U-35)]]*1.45,"-")</f>
        <v>-</v>
      </c>
      <c r="AY412" s="399" t="str">
        <f>+IF(BD_MO[[#This Row],[DESMONTE (U-35)]]&lt;&gt;"",BD_MO[[#This Row],[DESMONTE (U-35)]]*1.23,"-")</f>
        <v>-</v>
      </c>
      <c r="AZ412" s="399"/>
      <c r="BA412" s="399"/>
      <c r="BB412" s="399"/>
      <c r="BC412" s="399"/>
      <c r="BD412" s="399"/>
      <c r="BE412" s="399"/>
      <c r="BF412" s="399"/>
      <c r="BG412" s="399"/>
      <c r="BH412" s="399"/>
      <c r="BI412" s="399"/>
      <c r="BJ412" s="399"/>
      <c r="BK412" s="399"/>
      <c r="BL412" s="399"/>
      <c r="BM412" s="399"/>
      <c r="BN412" s="398">
        <v>4.5</v>
      </c>
      <c r="BO412" s="399"/>
      <c r="BP412" s="399"/>
      <c r="BQ412" s="398"/>
      <c r="BR412" s="399"/>
      <c r="BS412" s="398"/>
      <c r="BT412" s="403"/>
      <c r="BU412" s="399"/>
      <c r="BV412" s="399"/>
      <c r="BW412" s="399"/>
      <c r="BX412" s="399"/>
      <c r="BY412" s="399"/>
      <c r="BZ412" s="399"/>
      <c r="CA412" s="399"/>
      <c r="CB412" s="399"/>
      <c r="CC412" s="399"/>
      <c r="CD412" s="399"/>
      <c r="CE412" s="399"/>
      <c r="CF412" s="399"/>
      <c r="CG412" s="399"/>
      <c r="CH412" s="399"/>
      <c r="CI412" s="399"/>
      <c r="CJ412" s="399"/>
      <c r="CK412" s="399"/>
      <c r="CL412" s="399"/>
      <c r="CM412" s="399"/>
      <c r="CN412" s="399"/>
      <c r="CO412" s="399"/>
      <c r="CP412" s="403">
        <f>+IF(BD_MO[[#This Row],[FECHA]]&lt;&gt;"",BD_MO[[#This Row],[PUNTAL 4"]]+BD_MO[[#This Row],[PUNTAL 5"]]+BD_MO[[#This Row],[PUNTAL 6"]]+BD_MO[[#This Row],[PUNTAL 7"]]+BD_MO[[#This Row],[PUNTAL 8"]],"")</f>
        <v>0</v>
      </c>
      <c r="CQ412" s="399"/>
      <c r="CR412" s="399"/>
      <c r="CS412" s="399"/>
      <c r="CT412" s="399"/>
      <c r="CU412" s="399"/>
      <c r="CV412" s="399"/>
      <c r="CW412" s="399"/>
      <c r="CX412" s="399"/>
      <c r="CY412" s="403"/>
      <c r="CZ412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12" s="403">
        <f>+IF(BD_MO[[#This Row],[FECHA]]&lt;&gt;"",BD_MO[[#This Row],[DURMIENTE2]]*6.561+BD_MO[[#This Row],[LISTONES]]*4.921+BD_MO[[#This Row],[TABLA 1"x8"x3m]]*6.561+BD_MO[[#This Row],[TABLA 2"x8"x3m]]*13.122,"")</f>
        <v>0</v>
      </c>
      <c r="DB412" s="403">
        <f>+IF(BD_MO[[#This Row],[FECHA]]&lt;&gt;"",BD_MO[[#This Row],[PIE2 MADERA ASERRADA]]*1.95,"")</f>
        <v>0</v>
      </c>
      <c r="DC412" s="403">
        <f>+IF(BD_MO[[#This Row],[FECHA]]&lt;&gt;"",BD_MO[[#This Row],[KG. MADERA REDONDA]]+BD_MO[[#This Row],[KG MADERA ASERRADA]],"")</f>
        <v>0</v>
      </c>
      <c r="DD412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12" s="399"/>
      <c r="DF412" s="399"/>
      <c r="DG412" s="399"/>
      <c r="DH412" s="399"/>
      <c r="DI412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1.35</v>
      </c>
      <c r="DJ412" s="407"/>
      <c r="DK412" s="407"/>
      <c r="DL412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12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12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12" s="408">
        <v>10.955</v>
      </c>
      <c r="DP412" s="407">
        <f>+IF(BD_MO[[#This Row],[M o D]]&lt;&gt;"",IF(BD_MO[[#This Row],[M o D]]="M",BD_MO[[#This Row],[ROTURA TMH]]/2.65,BD_MO[[#This Row],[ROTURA TMH]]/2.4),"")</f>
        <v>4.1339622641509433</v>
      </c>
      <c r="DQ412" s="407">
        <v>1.05</v>
      </c>
      <c r="DR412" s="116">
        <f>IF(BD_MO[[#This Row],[TIPO AVANCE]]="Avance",((BD_MO[[#This Row],[AVANCE (m)]]/BD_MO[[#This Row],[AVANCE TEÓRICO]]))," ")</f>
        <v>0.77777777777777779</v>
      </c>
      <c r="DS412" s="134"/>
      <c r="DT412" s="134"/>
      <c r="DU412" s="134"/>
      <c r="DV412" s="134"/>
      <c r="DW412" s="134"/>
      <c r="DX412" s="135"/>
      <c r="DY412" s="135"/>
      <c r="DZ412" s="135"/>
    </row>
    <row r="413" spans="1:130" s="136" customFormat="1" ht="18" customHeight="1" x14ac:dyDescent="0.25">
      <c r="A413" s="92">
        <v>44675</v>
      </c>
      <c r="B413" s="396" t="s">
        <v>10647</v>
      </c>
      <c r="C413" s="396" t="s">
        <v>10668</v>
      </c>
      <c r="D413" s="397" t="s">
        <v>12465</v>
      </c>
      <c r="E413" s="398" t="str">
        <f>LEFT(BD_MO[[#This Row],[LABOR]],2)</f>
        <v>Sn</v>
      </c>
      <c r="F413" s="399" t="s">
        <v>10950</v>
      </c>
      <c r="G413" s="399" t="s">
        <v>10648</v>
      </c>
      <c r="H413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13" s="387" t="str">
        <f>IF(BD_MO[FECHA]&lt;&gt;"",VLOOKUP(BD_MO[LABOR],TB_CECO[[LABOR]:[CECO_T]],3,FALSE),"")</f>
        <v>VANESSA</v>
      </c>
      <c r="J413" s="387" t="str">
        <f>IF(BD_MO[FECHA]&lt;&gt;"",VLOOKUP(BD_MO[LABOR],D_CECO!B:H,7,FALSE),"")</f>
        <v>LINEAL</v>
      </c>
      <c r="K413" s="387" t="str">
        <f>IF(BD_MO[FECHA]&lt;&gt;"",VLOOKUP(BD_MO[LABOR],D_CECO!B:H,4,FALSE),"")</f>
        <v>EXPLORACION</v>
      </c>
      <c r="L413" s="398"/>
      <c r="M413" s="396" t="s">
        <v>10646</v>
      </c>
      <c r="N413" s="399"/>
      <c r="O413" s="400" t="s">
        <v>12091</v>
      </c>
      <c r="P413" s="400" t="s">
        <v>12159</v>
      </c>
      <c r="Q413" s="400"/>
      <c r="R413" s="401"/>
      <c r="S413" s="402" t="str">
        <f>IFERROR(VLOOKUP(BD_MO[DNI 4],#REF!,2,FALSE)," ")</f>
        <v xml:space="preserve"> </v>
      </c>
      <c r="T413" s="403">
        <f>+IF(BD_MO[[#This Row],[FECHA]]&lt;&gt;"",COUNTA(BD_MO[[#This Row],[DNI]],BD_MO[[#This Row],[DNI 2]],BD_MO[[#This Row],[DNI 3]],BD_MO[[#This Row],[DNI 4]]),"")</f>
        <v>2</v>
      </c>
      <c r="U413" s="403">
        <v>0.3</v>
      </c>
      <c r="V413" s="403">
        <v>0.6</v>
      </c>
      <c r="W413" s="403">
        <v>0.9</v>
      </c>
      <c r="X413" s="403">
        <v>0.2</v>
      </c>
      <c r="Y413" s="404">
        <f>SUM(BD_MO[[#This Row],[LIMP]:[SERV]])</f>
        <v>1.9999999999999998</v>
      </c>
      <c r="Z413" s="399" t="s">
        <v>12371</v>
      </c>
      <c r="AA413" s="399">
        <f>+IF(BD_MO[[#This Row],[N° VALE]]&lt;&gt;"",1,"")</f>
        <v>1</v>
      </c>
      <c r="AB413" s="396" t="s">
        <v>10710</v>
      </c>
      <c r="AC413" s="399">
        <v>4</v>
      </c>
      <c r="AD413" s="399">
        <f>+IF(BD_MO[[#This Row],[N° VALE]]&lt;&gt;"",BD_MO[[#This Row],[FULMINANTE N° 08]]+BD_MO[CARMEX 7''],"")</f>
        <v>22</v>
      </c>
      <c r="AE413" s="399"/>
      <c r="AF413" s="399">
        <f>+IF(BD_MO[[#This Row],[N° VALE]]&lt;&gt;"",BD_MO[[#This Row],[N° TALADROS]]+BD_MO[[#This Row],[N° TAL. VACIOS]],"")</f>
        <v>22</v>
      </c>
      <c r="AG413" s="405">
        <v>44</v>
      </c>
      <c r="AH413" s="405">
        <v>54</v>
      </c>
      <c r="AI413" s="405"/>
      <c r="AJ413" s="405"/>
      <c r="AK413" s="405">
        <v>22</v>
      </c>
      <c r="AL413" s="405">
        <v>4</v>
      </c>
      <c r="AM413" s="398"/>
      <c r="AN413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13" s="399">
        <f>+IF(BD_MO[[#This Row],[N° VALE]]&lt;&gt;"",IF(BD_MO[[#This Row],[FULMINANTE N° 08]]&lt;&gt;"",BD_MO[[#This Row],[FULMINANTE N° 08]],IF(BD_MO[[#This Row],[CARMEX 7'']]&lt;&gt;0,0,"")),"")</f>
        <v>0</v>
      </c>
      <c r="AP413" s="403">
        <f>+IF(BD_MO[[#This Row],[N° VALE]]&lt;&gt;"",BD_MO[[#This Row],[N°  TOTAL TALADROS]]*BD_MO[[#This Row],[BARRA]]*0.95,"")</f>
        <v>83.6</v>
      </c>
      <c r="AQ413" s="403">
        <f>+IF(BD_MO[[#This Row],[N° VALE]]&lt;&gt;"",BD_MO[[#This Row],[EMULNOR 1000 (N° CART.)]]*PE_EMUL_1000[PE],"")</f>
        <v>5.1138000000000003</v>
      </c>
      <c r="AR413" s="403">
        <f>+IF(BD_MO[[#This Row],[N° VALE]]&lt;&gt;"",BD_MO[[#This Row],[EMULNOR 3000 (N° CART.)]]*PE_EMUL_3000[PE],"")</f>
        <v>4.2307692307692326</v>
      </c>
      <c r="AS413" s="403">
        <f>+IF(BD_MO[[#This Row],[N° VALE]]&lt;&gt;"",BD_MO[[#This Row],[PULVERULENTA (N° CART.)]]*PE_PULV_65[PE],"")</f>
        <v>0</v>
      </c>
      <c r="AT413" s="403">
        <f>+IF(BD_MO[[#This Row],[N° DISP]]&lt;&gt;"",BD_MO[[#This Row],[SEMIGELATINA (N° CART.)]]*PE_SEMIGEL_65[PE],"")</f>
        <v>0</v>
      </c>
      <c r="AU413" s="403">
        <f>+IF(BD_MO[N° VALE]&lt;&gt;"",BD_MO[[#This Row],[KG EXPLO SEMIGEL]]+BD_MO[[#This Row],[KG EXPLO PULVE]]+BD_MO[[#This Row],[KG EXPLO EMULN 3000]]+BD_MO[[#This Row],[KG EXPLO EMULN 1000]],"")</f>
        <v>9.344569230769233</v>
      </c>
      <c r="AV413" s="399"/>
      <c r="AW413" s="399"/>
      <c r="AX413" s="399" t="str">
        <f>+IF(BD_MO[[#This Row],[MINERAL (U-35)]]&lt;&gt;"",BD_MO[[#This Row],[MINERAL (U-35)]]*1.45,"-")</f>
        <v>-</v>
      </c>
      <c r="AY413" s="399" t="str">
        <f>+IF(BD_MO[[#This Row],[DESMONTE (U-35)]]&lt;&gt;"",BD_MO[[#This Row],[DESMONTE (U-35)]]*1.23,"-")</f>
        <v>-</v>
      </c>
      <c r="AZ413" s="399"/>
      <c r="BA413" s="399"/>
      <c r="BB413" s="399"/>
      <c r="BC413" s="399"/>
      <c r="BD413" s="399"/>
      <c r="BE413" s="399"/>
      <c r="BF413" s="399"/>
      <c r="BG413" s="399"/>
      <c r="BH413" s="399"/>
      <c r="BI413" s="399"/>
      <c r="BJ413" s="399"/>
      <c r="BK413" s="399"/>
      <c r="BL413" s="399"/>
      <c r="BM413" s="399"/>
      <c r="BN413" s="398"/>
      <c r="BO413" s="399"/>
      <c r="BP413" s="399"/>
      <c r="BQ413" s="398"/>
      <c r="BR413" s="399"/>
      <c r="BS413" s="398"/>
      <c r="BT413" s="403"/>
      <c r="BU413" s="399"/>
      <c r="BV413" s="399"/>
      <c r="BW413" s="399"/>
      <c r="BX413" s="399"/>
      <c r="BY413" s="399"/>
      <c r="BZ413" s="399"/>
      <c r="CA413" s="399"/>
      <c r="CB413" s="399"/>
      <c r="CC413" s="399"/>
      <c r="CD413" s="399"/>
      <c r="CE413" s="399"/>
      <c r="CF413" s="399"/>
      <c r="CG413" s="399"/>
      <c r="CH413" s="399"/>
      <c r="CI413" s="399"/>
      <c r="CJ413" s="399"/>
      <c r="CK413" s="399"/>
      <c r="CL413" s="399"/>
      <c r="CM413" s="399">
        <v>11</v>
      </c>
      <c r="CN413" s="399"/>
      <c r="CO413" s="399"/>
      <c r="CP413" s="403">
        <f>+IF(BD_MO[[#This Row],[FECHA]]&lt;&gt;"",BD_MO[[#This Row],[PUNTAL 4"]]+BD_MO[[#This Row],[PUNTAL 5"]]+BD_MO[[#This Row],[PUNTAL 6"]]+BD_MO[[#This Row],[PUNTAL 7"]]+BD_MO[[#This Row],[PUNTAL 8"]],"")</f>
        <v>11</v>
      </c>
      <c r="CQ413" s="399"/>
      <c r="CR413" s="399"/>
      <c r="CS413" s="399"/>
      <c r="CT413" s="399"/>
      <c r="CU413" s="399"/>
      <c r="CV413" s="399"/>
      <c r="CW413" s="399"/>
      <c r="CX413" s="399"/>
      <c r="CY413" s="403"/>
      <c r="CZ413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493.61400000000003</v>
      </c>
      <c r="DA413" s="403">
        <f>+IF(BD_MO[[#This Row],[FECHA]]&lt;&gt;"",BD_MO[[#This Row],[DURMIENTE2]]*6.561+BD_MO[[#This Row],[LISTONES]]*4.921+BD_MO[[#This Row],[TABLA 1"x8"x3m]]*6.561+BD_MO[[#This Row],[TABLA 2"x8"x3m]]*13.122,"")</f>
        <v>0</v>
      </c>
      <c r="DB413" s="403">
        <f>+IF(BD_MO[[#This Row],[FECHA]]&lt;&gt;"",BD_MO[[#This Row],[PIE2 MADERA ASERRADA]]*1.95,"")</f>
        <v>0</v>
      </c>
      <c r="DC413" s="403">
        <f>+IF(BD_MO[[#This Row],[FECHA]]&lt;&gt;"",BD_MO[[#This Row],[KG. MADERA REDONDA]]+BD_MO[[#This Row],[KG MADERA ASERRADA]],"")</f>
        <v>493.61400000000003</v>
      </c>
      <c r="DD413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195.8</v>
      </c>
      <c r="DE413" s="399"/>
      <c r="DF413" s="399"/>
      <c r="DG413" s="399"/>
      <c r="DH413" s="399"/>
      <c r="DI413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13" s="407"/>
      <c r="DK413" s="407"/>
      <c r="DL413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13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13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13" s="408">
        <v>5.6407999999999996</v>
      </c>
      <c r="DP413" s="407">
        <f>+IF(BD_MO[[#This Row],[M o D]]&lt;&gt;"",IF(BD_MO[[#This Row],[M o D]]="M",BD_MO[[#This Row],[ROTURA TMH]]/2.65,BD_MO[[#This Row],[ROTURA TMH]]/2.4),"")</f>
        <v>2.1286037735849055</v>
      </c>
      <c r="DQ413" s="407">
        <v>1</v>
      </c>
      <c r="DR413" s="116">
        <f>IF(BD_MO[[#This Row],[TIPO AVANCE]]="Avance",((BD_MO[[#This Row],[AVANCE (m)]]/BD_MO[[#This Row],[AVANCE TEÓRICO]]))," ")</f>
        <v>0.92592592592592582</v>
      </c>
      <c r="DS413" s="134"/>
      <c r="DT413" s="134"/>
      <c r="DU413" s="134"/>
      <c r="DV413" s="134"/>
      <c r="DW413" s="134"/>
      <c r="DX413" s="135"/>
      <c r="DY413" s="135"/>
      <c r="DZ413" s="135"/>
    </row>
    <row r="414" spans="1:130" s="136" customFormat="1" ht="18" customHeight="1" x14ac:dyDescent="0.25">
      <c r="A414" s="395">
        <v>44675</v>
      </c>
      <c r="B414" s="396" t="s">
        <v>10647</v>
      </c>
      <c r="C414" s="396" t="s">
        <v>10668</v>
      </c>
      <c r="D414" s="397" t="s">
        <v>12339</v>
      </c>
      <c r="E414" s="398" t="str">
        <f>LEFT(BD_MO[[#This Row],[LABOR]],2)</f>
        <v>Tj</v>
      </c>
      <c r="F414" s="399" t="s">
        <v>10950</v>
      </c>
      <c r="G414" s="399" t="s">
        <v>10648</v>
      </c>
      <c r="H414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14" s="383" t="str">
        <f>IF(BD_MO[FECHA]&lt;&gt;"",VLOOKUP(BD_MO[LABOR],TB_CECO[[LABOR]:[CECO_T]],3,FALSE),"")</f>
        <v>ESCONDIDA</v>
      </c>
      <c r="J414" s="383" t="str">
        <f>IF(BD_MO[FECHA]&lt;&gt;"",VLOOKUP(BD_MO[LABOR],D_CECO!B:H,7,FALSE),"")</f>
        <v>TAJO</v>
      </c>
      <c r="K414" s="383" t="str">
        <f>IF(BD_MO[FECHA]&lt;&gt;"",VLOOKUP(BD_MO[LABOR],D_CECO!B:H,4,FALSE),"")</f>
        <v>EXPLOTACION</v>
      </c>
      <c r="L414" s="398"/>
      <c r="M414" s="396" t="s">
        <v>10679</v>
      </c>
      <c r="N414" s="399"/>
      <c r="O414" s="400" t="s">
        <v>12306</v>
      </c>
      <c r="P414" s="400" t="s">
        <v>12093</v>
      </c>
      <c r="Q414" s="400"/>
      <c r="R414" s="401"/>
      <c r="S414" s="402" t="str">
        <f>IFERROR(VLOOKUP(BD_MO[DNI 4],#REF!,2,FALSE)," ")</f>
        <v xml:space="preserve"> </v>
      </c>
      <c r="T414" s="403">
        <f>+IF(BD_MO[[#This Row],[FECHA]]&lt;&gt;"",COUNTA(BD_MO[[#This Row],[DNI]],BD_MO[[#This Row],[DNI 2]],BD_MO[[#This Row],[DNI 3]],BD_MO[[#This Row],[DNI 4]]),"")</f>
        <v>2</v>
      </c>
      <c r="U414" s="403">
        <v>0.2</v>
      </c>
      <c r="V414" s="403">
        <v>0.3</v>
      </c>
      <c r="W414" s="403">
        <v>0.9</v>
      </c>
      <c r="X414" s="403">
        <v>0.6</v>
      </c>
      <c r="Y414" s="404">
        <f>SUM(BD_MO[[#This Row],[LIMP]:[SERV]])</f>
        <v>2</v>
      </c>
      <c r="Z414" s="399" t="s">
        <v>12372</v>
      </c>
      <c r="AA414" s="399">
        <f>+IF(BD_MO[[#This Row],[N° VALE]]&lt;&gt;"",1,"")</f>
        <v>1</v>
      </c>
      <c r="AB414" s="396" t="s">
        <v>10710</v>
      </c>
      <c r="AC414" s="399">
        <v>4</v>
      </c>
      <c r="AD414" s="399">
        <f>+IF(BD_MO[[#This Row],[N° VALE]]&lt;&gt;"",BD_MO[[#This Row],[FULMINANTE N° 08]]+BD_MO[CARMEX 7''],"")</f>
        <v>4</v>
      </c>
      <c r="AE414" s="399"/>
      <c r="AF414" s="399">
        <f>+IF(BD_MO[[#This Row],[N° VALE]]&lt;&gt;"",BD_MO[[#This Row],[N° TALADROS]]+BD_MO[[#This Row],[N° TAL. VACIOS]],"")</f>
        <v>4</v>
      </c>
      <c r="AG414" s="405"/>
      <c r="AH414" s="405">
        <v>15</v>
      </c>
      <c r="AI414" s="405"/>
      <c r="AJ414" s="405"/>
      <c r="AK414" s="405">
        <v>4</v>
      </c>
      <c r="AL414" s="405">
        <v>2</v>
      </c>
      <c r="AM414" s="398"/>
      <c r="AN414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14" s="399">
        <f>+IF(BD_MO[[#This Row],[N° VALE]]&lt;&gt;"",IF(BD_MO[[#This Row],[FULMINANTE N° 08]]&lt;&gt;"",BD_MO[[#This Row],[FULMINANTE N° 08]],IF(BD_MO[[#This Row],[CARMEX 7'']]&lt;&gt;0,0,"")),"")</f>
        <v>0</v>
      </c>
      <c r="AP414" s="403">
        <f>+IF(BD_MO[[#This Row],[N° VALE]]&lt;&gt;"",BD_MO[[#This Row],[N°  TOTAL TALADROS]]*BD_MO[[#This Row],[BARRA]]*0.95,"")</f>
        <v>15.2</v>
      </c>
      <c r="AQ414" s="403">
        <f>+IF(BD_MO[[#This Row],[N° VALE]]&lt;&gt;"",BD_MO[[#This Row],[EMULNOR 1000 (N° CART.)]]*PE_EMUL_1000[PE],"")</f>
        <v>1.4205000000000001</v>
      </c>
      <c r="AR414" s="403">
        <f>+IF(BD_MO[[#This Row],[N° VALE]]&lt;&gt;"",BD_MO[[#This Row],[EMULNOR 3000 (N° CART.)]]*PE_EMUL_3000[PE],"")</f>
        <v>0</v>
      </c>
      <c r="AS414" s="403">
        <f>+IF(BD_MO[[#This Row],[N° VALE]]&lt;&gt;"",BD_MO[[#This Row],[PULVERULENTA (N° CART.)]]*PE_PULV_65[PE],"")</f>
        <v>0</v>
      </c>
      <c r="AT414" s="403">
        <f>+IF(BD_MO[[#This Row],[N° DISP]]&lt;&gt;"",BD_MO[[#This Row],[SEMIGELATINA (N° CART.)]]*PE_SEMIGEL_65[PE],"")</f>
        <v>0</v>
      </c>
      <c r="AU414" s="403">
        <f>+IF(BD_MO[N° VALE]&lt;&gt;"",BD_MO[[#This Row],[KG EXPLO SEMIGEL]]+BD_MO[[#This Row],[KG EXPLO PULVE]]+BD_MO[[#This Row],[KG EXPLO EMULN 3000]]+BD_MO[[#This Row],[KG EXPLO EMULN 1000]],"")</f>
        <v>1.4205000000000001</v>
      </c>
      <c r="AV414" s="399"/>
      <c r="AW414" s="399"/>
      <c r="AX414" s="399" t="str">
        <f>+IF(BD_MO[[#This Row],[MINERAL (U-35)]]&lt;&gt;"",BD_MO[[#This Row],[MINERAL (U-35)]]*1.45,"-")</f>
        <v>-</v>
      </c>
      <c r="AY414" s="399" t="str">
        <f>+IF(BD_MO[[#This Row],[DESMONTE (U-35)]]&lt;&gt;"",BD_MO[[#This Row],[DESMONTE (U-35)]]*1.23,"-")</f>
        <v>-</v>
      </c>
      <c r="AZ414" s="399"/>
      <c r="BA414" s="399"/>
      <c r="BB414" s="399"/>
      <c r="BC414" s="399"/>
      <c r="BD414" s="399"/>
      <c r="BE414" s="399"/>
      <c r="BF414" s="399"/>
      <c r="BG414" s="399"/>
      <c r="BH414" s="399"/>
      <c r="BI414" s="399"/>
      <c r="BJ414" s="399"/>
      <c r="BK414" s="399"/>
      <c r="BL414" s="399"/>
      <c r="BM414" s="399"/>
      <c r="BN414" s="398"/>
      <c r="BO414" s="399"/>
      <c r="BP414" s="399"/>
      <c r="BQ414" s="398"/>
      <c r="BR414" s="399"/>
      <c r="BS414" s="398"/>
      <c r="BT414" s="403"/>
      <c r="BU414" s="399"/>
      <c r="BV414" s="399"/>
      <c r="BW414" s="399"/>
      <c r="BX414" s="399"/>
      <c r="BY414" s="399"/>
      <c r="BZ414" s="399"/>
      <c r="CA414" s="399"/>
      <c r="CB414" s="399"/>
      <c r="CC414" s="399"/>
      <c r="CD414" s="399"/>
      <c r="CE414" s="399"/>
      <c r="CF414" s="399"/>
      <c r="CG414" s="399"/>
      <c r="CH414" s="399"/>
      <c r="CI414" s="399"/>
      <c r="CJ414" s="399"/>
      <c r="CK414" s="399"/>
      <c r="CL414" s="399"/>
      <c r="CM414" s="399"/>
      <c r="CN414" s="399"/>
      <c r="CO414" s="399"/>
      <c r="CP414" s="403">
        <f>+IF(BD_MO[[#This Row],[FECHA]]&lt;&gt;"",BD_MO[[#This Row],[PUNTAL 4"]]+BD_MO[[#This Row],[PUNTAL 5"]]+BD_MO[[#This Row],[PUNTAL 6"]]+BD_MO[[#This Row],[PUNTAL 7"]]+BD_MO[[#This Row],[PUNTAL 8"]],"")</f>
        <v>0</v>
      </c>
      <c r="CQ414" s="399"/>
      <c r="CR414" s="399"/>
      <c r="CS414" s="399"/>
      <c r="CT414" s="399"/>
      <c r="CU414" s="399"/>
      <c r="CV414" s="399"/>
      <c r="CW414" s="399"/>
      <c r="CX414" s="399"/>
      <c r="CY414" s="403"/>
      <c r="CZ414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14" s="403">
        <f>+IF(BD_MO[[#This Row],[FECHA]]&lt;&gt;"",BD_MO[[#This Row],[DURMIENTE2]]*6.561+BD_MO[[#This Row],[LISTONES]]*4.921+BD_MO[[#This Row],[TABLA 1"x8"x3m]]*6.561+BD_MO[[#This Row],[TABLA 2"x8"x3m]]*13.122,"")</f>
        <v>0</v>
      </c>
      <c r="DB414" s="403">
        <f>+IF(BD_MO[[#This Row],[FECHA]]&lt;&gt;"",BD_MO[[#This Row],[PIE2 MADERA ASERRADA]]*1.95,"")</f>
        <v>0</v>
      </c>
      <c r="DC414" s="403">
        <f>+IF(BD_MO[[#This Row],[FECHA]]&lt;&gt;"",BD_MO[[#This Row],[KG. MADERA REDONDA]]+BD_MO[[#This Row],[KG MADERA ASERRADA]],"")</f>
        <v>0</v>
      </c>
      <c r="DD414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14" s="399"/>
      <c r="DF414" s="399"/>
      <c r="DG414" s="399"/>
      <c r="DH414" s="399"/>
      <c r="DI414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14" s="407"/>
      <c r="DK414" s="407"/>
      <c r="DL414" s="407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0.93</v>
      </c>
      <c r="DM414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0.96720000000000006</v>
      </c>
      <c r="DN414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14" s="408">
        <v>2.0590000000000002</v>
      </c>
      <c r="DP414" s="407">
        <f>+IF(BD_MO[[#This Row],[M o D]]&lt;&gt;"",IF(BD_MO[[#This Row],[M o D]]="M",BD_MO[[#This Row],[ROTURA TMH]]/2.65,BD_MO[[#This Row],[ROTURA TMH]]/2.4),"")</f>
        <v>0.77698113207547181</v>
      </c>
      <c r="DQ414" s="407"/>
      <c r="DR414" s="116" t="str">
        <f>IF(BD_MO[[#This Row],[TIPO AVANCE]]="Avance",((BD_MO[[#This Row],[AVANCE (m)]]/BD_MO[[#This Row],[AVANCE TEÓRICO]]))," ")</f>
        <v xml:space="preserve"> </v>
      </c>
      <c r="DS414" s="134"/>
      <c r="DT414" s="134"/>
      <c r="DU414" s="134"/>
      <c r="DV414" s="134"/>
      <c r="DW414" s="134"/>
      <c r="DX414" s="135"/>
      <c r="DY414" s="135"/>
      <c r="DZ414" s="135"/>
    </row>
    <row r="415" spans="1:130" s="136" customFormat="1" ht="18" customHeight="1" x14ac:dyDescent="0.25">
      <c r="A415" s="92">
        <v>44675</v>
      </c>
      <c r="B415" s="396" t="s">
        <v>10647</v>
      </c>
      <c r="C415" s="396" t="s">
        <v>10668</v>
      </c>
      <c r="D415" s="397" t="s">
        <v>10952</v>
      </c>
      <c r="E415" s="398" t="str">
        <f>LEFT(BD_MO[[#This Row],[LABOR]],2)</f>
        <v>In</v>
      </c>
      <c r="F415" s="399"/>
      <c r="G415" s="399" t="s">
        <v>10669</v>
      </c>
      <c r="H415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15" s="383" t="str">
        <f>IF(BD_MO[FECHA]&lt;&gt;"",VLOOKUP(BD_MO[LABOR],TB_CECO[[LABOR]:[CECO_T]],3,FALSE),"")</f>
        <v>VANESSA</v>
      </c>
      <c r="J415" s="383" t="str">
        <f>IF(BD_MO[FECHA]&lt;&gt;"",VLOOKUP(BD_MO[LABOR],D_CECO!B:H,7,FALSE),"")</f>
        <v>LINEAL</v>
      </c>
      <c r="K415" s="383" t="str">
        <f>IF(BD_MO[FECHA]&lt;&gt;"",VLOOKUP(BD_MO[LABOR],D_CECO!B:H,4,FALSE),"")</f>
        <v>EXPLORACION</v>
      </c>
      <c r="L415" s="398"/>
      <c r="M415" s="396"/>
      <c r="N415" s="399"/>
      <c r="O415" s="400" t="s">
        <v>12092</v>
      </c>
      <c r="P415" s="400" t="s">
        <v>12099</v>
      </c>
      <c r="Q415" s="400"/>
      <c r="R415" s="401"/>
      <c r="S415" s="402" t="str">
        <f>IFERROR(VLOOKUP(BD_MO[DNI 4],#REF!,2,FALSE)," ")</f>
        <v xml:space="preserve"> </v>
      </c>
      <c r="T415" s="403">
        <f>+IF(BD_MO[[#This Row],[FECHA]]&lt;&gt;"",COUNTA(BD_MO[[#This Row],[DNI]],BD_MO[[#This Row],[DNI 2]],BD_MO[[#This Row],[DNI 3]],BD_MO[[#This Row],[DNI 4]]),"")</f>
        <v>2</v>
      </c>
      <c r="U415" s="403"/>
      <c r="V415" s="403"/>
      <c r="W415" s="403"/>
      <c r="X415" s="403">
        <v>2</v>
      </c>
      <c r="Y415" s="404">
        <f>SUM(BD_MO[[#This Row],[LIMP]:[SERV]])</f>
        <v>2</v>
      </c>
      <c r="Z415" s="399"/>
      <c r="AA415" s="399" t="str">
        <f>+IF(BD_MO[[#This Row],[N° VALE]]&lt;&gt;"",1,"")</f>
        <v/>
      </c>
      <c r="AB415" s="396"/>
      <c r="AC415" s="399"/>
      <c r="AD415" s="399" t="str">
        <f>+IF(BD_MO[[#This Row],[N° VALE]]&lt;&gt;"",BD_MO[[#This Row],[FULMINANTE N° 08]]+BD_MO[CARMEX 7''],"")</f>
        <v/>
      </c>
      <c r="AE415" s="399"/>
      <c r="AF415" s="399" t="str">
        <f>+IF(BD_MO[[#This Row],[N° VALE]]&lt;&gt;"",BD_MO[[#This Row],[N° TALADROS]]+BD_MO[[#This Row],[N° TAL. VACIOS]],"")</f>
        <v/>
      </c>
      <c r="AG415" s="405"/>
      <c r="AH415" s="405"/>
      <c r="AI415" s="405"/>
      <c r="AJ415" s="405"/>
      <c r="AK415" s="405"/>
      <c r="AL415" s="405"/>
      <c r="AM415" s="398"/>
      <c r="AN415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15" s="399" t="str">
        <f>+IF(BD_MO[[#This Row],[N° VALE]]&lt;&gt;"",IF(BD_MO[[#This Row],[FULMINANTE N° 08]]&lt;&gt;"",BD_MO[[#This Row],[FULMINANTE N° 08]],IF(BD_MO[[#This Row],[CARMEX 7'']]&lt;&gt;0,0,"")),"")</f>
        <v/>
      </c>
      <c r="AP415" s="403" t="str">
        <f>+IF(BD_MO[[#This Row],[N° VALE]]&lt;&gt;"",BD_MO[[#This Row],[N°  TOTAL TALADROS]]*BD_MO[[#This Row],[BARRA]]*0.95,"")</f>
        <v/>
      </c>
      <c r="AQ415" s="403" t="str">
        <f>+IF(BD_MO[[#This Row],[N° VALE]]&lt;&gt;"",BD_MO[[#This Row],[EMULNOR 1000 (N° CART.)]]*PE_EMUL_1000[PE],"")</f>
        <v/>
      </c>
      <c r="AR415" s="403" t="str">
        <f>+IF(BD_MO[[#This Row],[N° VALE]]&lt;&gt;"",BD_MO[[#This Row],[EMULNOR 3000 (N° CART.)]]*PE_EMUL_3000[PE],"")</f>
        <v/>
      </c>
      <c r="AS415" s="403" t="str">
        <f>+IF(BD_MO[[#This Row],[N° VALE]]&lt;&gt;"",BD_MO[[#This Row],[PULVERULENTA (N° CART.)]]*PE_PULV_65[PE],"")</f>
        <v/>
      </c>
      <c r="AT415" s="403" t="str">
        <f>+IF(BD_MO[[#This Row],[N° DISP]]&lt;&gt;"",BD_MO[[#This Row],[SEMIGELATINA (N° CART.)]]*PE_SEMIGEL_65[PE],"")</f>
        <v/>
      </c>
      <c r="AU415" s="403" t="str">
        <f>+IF(BD_MO[N° VALE]&lt;&gt;"",BD_MO[[#This Row],[KG EXPLO SEMIGEL]]+BD_MO[[#This Row],[KG EXPLO PULVE]]+BD_MO[[#This Row],[KG EXPLO EMULN 3000]]+BD_MO[[#This Row],[KG EXPLO EMULN 1000]],"")</f>
        <v/>
      </c>
      <c r="AV415" s="399"/>
      <c r="AW415" s="399"/>
      <c r="AX415" s="399" t="str">
        <f>+IF(BD_MO[[#This Row],[MINERAL (U-35)]]&lt;&gt;"",BD_MO[[#This Row],[MINERAL (U-35)]]*1.45,"-")</f>
        <v>-</v>
      </c>
      <c r="AY415" s="399" t="str">
        <f>+IF(BD_MO[[#This Row],[DESMONTE (U-35)]]&lt;&gt;"",BD_MO[[#This Row],[DESMONTE (U-35)]]*1.23,"-")</f>
        <v>-</v>
      </c>
      <c r="AZ415" s="399"/>
      <c r="BA415" s="399"/>
      <c r="BB415" s="399"/>
      <c r="BC415" s="399"/>
      <c r="BD415" s="399"/>
      <c r="BE415" s="399"/>
      <c r="BF415" s="399"/>
      <c r="BG415" s="399"/>
      <c r="BH415" s="399"/>
      <c r="BI415" s="399"/>
      <c r="BJ415" s="399"/>
      <c r="BK415" s="399"/>
      <c r="BL415" s="399"/>
      <c r="BM415" s="399"/>
      <c r="BN415" s="398"/>
      <c r="BO415" s="399"/>
      <c r="BP415" s="399"/>
      <c r="BQ415" s="398"/>
      <c r="BR415" s="399"/>
      <c r="BS415" s="398"/>
      <c r="BT415" s="403"/>
      <c r="BU415" s="399"/>
      <c r="BV415" s="399"/>
      <c r="BW415" s="399"/>
      <c r="BX415" s="399"/>
      <c r="BY415" s="399"/>
      <c r="BZ415" s="399"/>
      <c r="CA415" s="399"/>
      <c r="CB415" s="399"/>
      <c r="CC415" s="399"/>
      <c r="CD415" s="399"/>
      <c r="CE415" s="399"/>
      <c r="CF415" s="399"/>
      <c r="CG415" s="399"/>
      <c r="CH415" s="399"/>
      <c r="CI415" s="399"/>
      <c r="CJ415" s="399"/>
      <c r="CK415" s="399"/>
      <c r="CL415" s="399"/>
      <c r="CM415" s="399"/>
      <c r="CN415" s="399"/>
      <c r="CO415" s="399"/>
      <c r="CP415" s="403">
        <f>+IF(BD_MO[[#This Row],[FECHA]]&lt;&gt;"",BD_MO[[#This Row],[PUNTAL 4"]]+BD_MO[[#This Row],[PUNTAL 5"]]+BD_MO[[#This Row],[PUNTAL 6"]]+BD_MO[[#This Row],[PUNTAL 7"]]+BD_MO[[#This Row],[PUNTAL 8"]],"")</f>
        <v>0</v>
      </c>
      <c r="CQ415" s="399"/>
      <c r="CR415" s="399"/>
      <c r="CS415" s="399"/>
      <c r="CT415" s="399"/>
      <c r="CU415" s="399"/>
      <c r="CV415" s="399">
        <v>16</v>
      </c>
      <c r="CW415" s="399"/>
      <c r="CX415" s="399"/>
      <c r="CY415" s="403"/>
      <c r="CZ415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15" s="403">
        <f>+IF(BD_MO[[#This Row],[FECHA]]&lt;&gt;"",BD_MO[[#This Row],[DURMIENTE2]]*6.561+BD_MO[[#This Row],[LISTONES]]*4.921+BD_MO[[#This Row],[TABLA 1"x8"x3m]]*6.561+BD_MO[[#This Row],[TABLA 2"x8"x3m]]*13.122,"")</f>
        <v>78.736000000000004</v>
      </c>
      <c r="DB415" s="403">
        <f>+IF(BD_MO[[#This Row],[FECHA]]&lt;&gt;"",BD_MO[[#This Row],[PIE2 MADERA ASERRADA]]*1.95,"")</f>
        <v>153.5352</v>
      </c>
      <c r="DC415" s="403">
        <f>+IF(BD_MO[[#This Row],[FECHA]]&lt;&gt;"",BD_MO[[#This Row],[KG. MADERA REDONDA]]+BD_MO[[#This Row],[KG MADERA ASERRADA]],"")</f>
        <v>153.5352</v>
      </c>
      <c r="DD415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337.84</v>
      </c>
      <c r="DE415" s="399"/>
      <c r="DF415" s="399"/>
      <c r="DG415" s="399"/>
      <c r="DH415" s="399"/>
      <c r="DI415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15" s="407"/>
      <c r="DK415" s="407"/>
      <c r="DL415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15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15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15" s="408"/>
      <c r="DP415" s="407" t="str">
        <f>+IF(BD_MO[[#This Row],[M o D]]&lt;&gt;"",IF(BD_MO[[#This Row],[M o D]]="M",BD_MO[[#This Row],[ROTURA TMH]]/2.65,BD_MO[[#This Row],[ROTURA TMH]]/2.4),"")</f>
        <v/>
      </c>
      <c r="DQ415" s="407"/>
      <c r="DR415" s="116" t="str">
        <f>IF(BD_MO[[#This Row],[TIPO AVANCE]]="Avance",((BD_MO[[#This Row],[AVANCE (m)]]/BD_MO[[#This Row],[AVANCE TEÓRICO]]))," ")</f>
        <v xml:space="preserve"> </v>
      </c>
      <c r="DS415" s="134"/>
      <c r="DT415" s="134"/>
      <c r="DU415" s="134"/>
      <c r="DV415" s="134"/>
      <c r="DW415" s="134"/>
      <c r="DX415" s="135"/>
      <c r="DY415" s="135"/>
      <c r="DZ415" s="135"/>
    </row>
    <row r="416" spans="1:130" s="136" customFormat="1" ht="18" customHeight="1" x14ac:dyDescent="0.25">
      <c r="A416" s="395">
        <v>44675</v>
      </c>
      <c r="B416" s="396" t="s">
        <v>10647</v>
      </c>
      <c r="C416" s="396" t="s">
        <v>10668</v>
      </c>
      <c r="D416" s="397" t="s">
        <v>11872</v>
      </c>
      <c r="E416" s="398" t="str">
        <f>LEFT(BD_MO[[#This Row],[LABOR]],2)</f>
        <v>PQ</v>
      </c>
      <c r="F416" s="399"/>
      <c r="G416" s="399" t="s">
        <v>10669</v>
      </c>
      <c r="H416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16" s="383" t="str">
        <f>IF(BD_MO[FECHA]&lt;&gt;"",VLOOKUP(BD_MO[LABOR],TB_CECO[[LABOR]:[CECO_T]],3,FALSE),"")</f>
        <v>ANDREA</v>
      </c>
      <c r="J416" s="383" t="str">
        <f>IF(BD_MO[FECHA]&lt;&gt;"",VLOOKUP(BD_MO[LABOR],D_CECO!B:H,7,FALSE),"")</f>
        <v>LINEAL</v>
      </c>
      <c r="K416" s="383" t="str">
        <f>IF(BD_MO[FECHA]&lt;&gt;"",VLOOKUP(BD_MO[LABOR],D_CECO!B:H,4,FALSE),"")</f>
        <v>EXPLOTACION</v>
      </c>
      <c r="L416" s="398"/>
      <c r="M416" s="396"/>
      <c r="N416" s="399"/>
      <c r="O416" s="400" t="s">
        <v>12097</v>
      </c>
      <c r="P416" s="400" t="s">
        <v>12090</v>
      </c>
      <c r="Q416" s="400" t="s">
        <v>12369</v>
      </c>
      <c r="R416" s="401"/>
      <c r="S416" s="402" t="str">
        <f>IFERROR(VLOOKUP(BD_MO[DNI 4],#REF!,2,FALSE)," ")</f>
        <v xml:space="preserve"> </v>
      </c>
      <c r="T416" s="403">
        <f>+IF(BD_MO[[#This Row],[FECHA]]&lt;&gt;"",COUNTA(BD_MO[[#This Row],[DNI]],BD_MO[[#This Row],[DNI 2]],BD_MO[[#This Row],[DNI 3]],BD_MO[[#This Row],[DNI 4]]),"")</f>
        <v>3</v>
      </c>
      <c r="U416" s="403"/>
      <c r="V416" s="403"/>
      <c r="W416" s="403"/>
      <c r="X416" s="403">
        <v>3</v>
      </c>
      <c r="Y416" s="404">
        <f>SUM(BD_MO[[#This Row],[LIMP]:[SERV]])</f>
        <v>3</v>
      </c>
      <c r="Z416" s="399"/>
      <c r="AA416" s="399" t="str">
        <f>+IF(BD_MO[[#This Row],[N° VALE]]&lt;&gt;"",1,"")</f>
        <v/>
      </c>
      <c r="AB416" s="396"/>
      <c r="AC416" s="399"/>
      <c r="AD416" s="399" t="str">
        <f>+IF(BD_MO[[#This Row],[N° VALE]]&lt;&gt;"",BD_MO[[#This Row],[FULMINANTE N° 08]]+BD_MO[CARMEX 7''],"")</f>
        <v/>
      </c>
      <c r="AE416" s="399"/>
      <c r="AF416" s="399" t="str">
        <f>+IF(BD_MO[[#This Row],[N° VALE]]&lt;&gt;"",BD_MO[[#This Row],[N° TALADROS]]+BD_MO[[#This Row],[N° TAL. VACIOS]],"")</f>
        <v/>
      </c>
      <c r="AG416" s="405"/>
      <c r="AH416" s="405"/>
      <c r="AI416" s="405"/>
      <c r="AJ416" s="405"/>
      <c r="AK416" s="405"/>
      <c r="AL416" s="405"/>
      <c r="AM416" s="398"/>
      <c r="AN416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16" s="399" t="str">
        <f>+IF(BD_MO[[#This Row],[N° VALE]]&lt;&gt;"",IF(BD_MO[[#This Row],[FULMINANTE N° 08]]&lt;&gt;"",BD_MO[[#This Row],[FULMINANTE N° 08]],IF(BD_MO[[#This Row],[CARMEX 7'']]&lt;&gt;0,0,"")),"")</f>
        <v/>
      </c>
      <c r="AP416" s="403" t="str">
        <f>+IF(BD_MO[[#This Row],[N° VALE]]&lt;&gt;"",BD_MO[[#This Row],[N°  TOTAL TALADROS]]*BD_MO[[#This Row],[BARRA]]*0.95,"")</f>
        <v/>
      </c>
      <c r="AQ416" s="403" t="str">
        <f>+IF(BD_MO[[#This Row],[N° VALE]]&lt;&gt;"",BD_MO[[#This Row],[EMULNOR 1000 (N° CART.)]]*PE_EMUL_1000[PE],"")</f>
        <v/>
      </c>
      <c r="AR416" s="403" t="str">
        <f>+IF(BD_MO[[#This Row],[N° VALE]]&lt;&gt;"",BD_MO[[#This Row],[EMULNOR 3000 (N° CART.)]]*PE_EMUL_3000[PE],"")</f>
        <v/>
      </c>
      <c r="AS416" s="403" t="str">
        <f>+IF(BD_MO[[#This Row],[N° VALE]]&lt;&gt;"",BD_MO[[#This Row],[PULVERULENTA (N° CART.)]]*PE_PULV_65[PE],"")</f>
        <v/>
      </c>
      <c r="AT416" s="403" t="str">
        <f>+IF(BD_MO[[#This Row],[N° DISP]]&lt;&gt;"",BD_MO[[#This Row],[SEMIGELATINA (N° CART.)]]*PE_SEMIGEL_65[PE],"")</f>
        <v/>
      </c>
      <c r="AU416" s="403" t="str">
        <f>+IF(BD_MO[N° VALE]&lt;&gt;"",BD_MO[[#This Row],[KG EXPLO SEMIGEL]]+BD_MO[[#This Row],[KG EXPLO PULVE]]+BD_MO[[#This Row],[KG EXPLO EMULN 3000]]+BD_MO[[#This Row],[KG EXPLO EMULN 1000]],"")</f>
        <v/>
      </c>
      <c r="AV416" s="399"/>
      <c r="AW416" s="399"/>
      <c r="AX416" s="399" t="str">
        <f>+IF(BD_MO[[#This Row],[MINERAL (U-35)]]&lt;&gt;"",BD_MO[[#This Row],[MINERAL (U-35)]]*1.45,"-")</f>
        <v>-</v>
      </c>
      <c r="AY416" s="399" t="str">
        <f>+IF(BD_MO[[#This Row],[DESMONTE (U-35)]]&lt;&gt;"",BD_MO[[#This Row],[DESMONTE (U-35)]]*1.23,"-")</f>
        <v>-</v>
      </c>
      <c r="AZ416" s="399"/>
      <c r="BA416" s="399"/>
      <c r="BB416" s="399"/>
      <c r="BC416" s="399"/>
      <c r="BD416" s="399"/>
      <c r="BE416" s="399"/>
      <c r="BF416" s="399"/>
      <c r="BG416" s="399"/>
      <c r="BH416" s="399"/>
      <c r="BI416" s="399"/>
      <c r="BJ416" s="399"/>
      <c r="BK416" s="399"/>
      <c r="BL416" s="399"/>
      <c r="BM416" s="399"/>
      <c r="BN416" s="398"/>
      <c r="BO416" s="399"/>
      <c r="BP416" s="399"/>
      <c r="BQ416" s="398"/>
      <c r="BR416" s="399"/>
      <c r="BS416" s="398"/>
      <c r="BT416" s="403"/>
      <c r="BU416" s="399"/>
      <c r="BV416" s="399"/>
      <c r="BW416" s="399"/>
      <c r="BX416" s="399"/>
      <c r="BY416" s="399"/>
      <c r="BZ416" s="399"/>
      <c r="CA416" s="399"/>
      <c r="CB416" s="399"/>
      <c r="CC416" s="399"/>
      <c r="CD416" s="399"/>
      <c r="CE416" s="399"/>
      <c r="CF416" s="399"/>
      <c r="CG416" s="399"/>
      <c r="CH416" s="399"/>
      <c r="CI416" s="399"/>
      <c r="CJ416" s="399"/>
      <c r="CK416" s="399"/>
      <c r="CL416" s="399"/>
      <c r="CM416" s="399"/>
      <c r="CN416" s="399"/>
      <c r="CO416" s="399"/>
      <c r="CP416" s="403">
        <f>+IF(BD_MO[[#This Row],[FECHA]]&lt;&gt;"",BD_MO[[#This Row],[PUNTAL 4"]]+BD_MO[[#This Row],[PUNTAL 5"]]+BD_MO[[#This Row],[PUNTAL 6"]]+BD_MO[[#This Row],[PUNTAL 7"]]+BD_MO[[#This Row],[PUNTAL 8"]],"")</f>
        <v>0</v>
      </c>
      <c r="CQ416" s="399"/>
      <c r="CR416" s="399"/>
      <c r="CS416" s="399">
        <v>9</v>
      </c>
      <c r="CT416" s="399"/>
      <c r="CU416" s="399"/>
      <c r="CV416" s="399"/>
      <c r="CW416" s="399"/>
      <c r="CX416" s="399"/>
      <c r="CY416" s="403"/>
      <c r="CZ416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221.4</v>
      </c>
      <c r="DA416" s="403">
        <f>+IF(BD_MO[[#This Row],[FECHA]]&lt;&gt;"",BD_MO[[#This Row],[DURMIENTE2]]*6.561+BD_MO[[#This Row],[LISTONES]]*4.921+BD_MO[[#This Row],[TABLA 1"x8"x3m]]*6.561+BD_MO[[#This Row],[TABLA 2"x8"x3m]]*13.122,"")</f>
        <v>0</v>
      </c>
      <c r="DB416" s="403">
        <f>+IF(BD_MO[[#This Row],[FECHA]]&lt;&gt;"",BD_MO[[#This Row],[PIE2 MADERA ASERRADA]]*1.95,"")</f>
        <v>0</v>
      </c>
      <c r="DC416" s="403">
        <f>+IF(BD_MO[[#This Row],[FECHA]]&lt;&gt;"",BD_MO[[#This Row],[KG. MADERA REDONDA]]+BD_MO[[#This Row],[KG MADERA ASERRADA]],"")</f>
        <v>221.4</v>
      </c>
      <c r="DD416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110.60999999999999</v>
      </c>
      <c r="DE416" s="399"/>
      <c r="DF416" s="399"/>
      <c r="DG416" s="399"/>
      <c r="DH416" s="399"/>
      <c r="DI416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16" s="407"/>
      <c r="DK416" s="407"/>
      <c r="DL416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16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16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16" s="408"/>
      <c r="DP416" s="407" t="str">
        <f>+IF(BD_MO[[#This Row],[M o D]]&lt;&gt;"",IF(BD_MO[[#This Row],[M o D]]="M",BD_MO[[#This Row],[ROTURA TMH]]/2.65,BD_MO[[#This Row],[ROTURA TMH]]/2.4),"")</f>
        <v/>
      </c>
      <c r="DQ416" s="407"/>
      <c r="DR416" s="116" t="str">
        <f>IF(BD_MO[[#This Row],[TIPO AVANCE]]="Avance",((BD_MO[[#This Row],[AVANCE (m)]]/BD_MO[[#This Row],[AVANCE TEÓRICO]]))," ")</f>
        <v xml:space="preserve"> </v>
      </c>
      <c r="DS416" s="134"/>
      <c r="DT416" s="134"/>
      <c r="DU416" s="134"/>
      <c r="DV416" s="134"/>
      <c r="DW416" s="134"/>
      <c r="DX416" s="135"/>
      <c r="DY416" s="135"/>
      <c r="DZ416" s="135"/>
    </row>
    <row r="417" spans="1:130" s="136" customFormat="1" ht="18" customHeight="1" x14ac:dyDescent="0.25">
      <c r="A417" s="92">
        <v>44675</v>
      </c>
      <c r="B417" s="396" t="s">
        <v>10647</v>
      </c>
      <c r="C417" s="396" t="s">
        <v>10668</v>
      </c>
      <c r="D417" s="397" t="s">
        <v>10954</v>
      </c>
      <c r="E417" s="398" t="str">
        <f>LEFT(BD_MO[[#This Row],[LABOR]],2)</f>
        <v>MO</v>
      </c>
      <c r="F417" s="399"/>
      <c r="G417" s="399" t="s">
        <v>10669</v>
      </c>
      <c r="H417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17" s="383" t="str">
        <f>IF(BD_MO[FECHA]&lt;&gt;"",VLOOKUP(BD_MO[LABOR],TB_CECO[[LABOR]:[CECO_T]],3,FALSE),"")</f>
        <v>INCA</v>
      </c>
      <c r="J417" s="383" t="str">
        <f>IF(BD_MO[FECHA]&lt;&gt;"",VLOOKUP(BD_MO[LABOR],D_CECO!B:H,7,FALSE),"")</f>
        <v>SERVICIOS</v>
      </c>
      <c r="K417" s="383" t="str">
        <f>IF(BD_MO[FECHA]&lt;&gt;"",VLOOKUP(BD_MO[LABOR],D_CECO!B:H,4,FALSE),"")</f>
        <v>SERVICIOS</v>
      </c>
      <c r="L417" s="398"/>
      <c r="M417" s="396"/>
      <c r="N417" s="399"/>
      <c r="O417" s="400" t="s">
        <v>12098</v>
      </c>
      <c r="P417" s="400" t="s">
        <v>12162</v>
      </c>
      <c r="Q417" s="400"/>
      <c r="R417" s="401"/>
      <c r="S417" s="402" t="str">
        <f>IFERROR(VLOOKUP(BD_MO[DNI 4],#REF!,2,FALSE)," ")</f>
        <v xml:space="preserve"> </v>
      </c>
      <c r="T417" s="403">
        <f>+IF(BD_MO[[#This Row],[FECHA]]&lt;&gt;"",COUNTA(BD_MO[[#This Row],[DNI]],BD_MO[[#This Row],[DNI 2]],BD_MO[[#This Row],[DNI 3]],BD_MO[[#This Row],[DNI 4]]),"")</f>
        <v>2</v>
      </c>
      <c r="U417" s="403"/>
      <c r="V417" s="403"/>
      <c r="W417" s="403"/>
      <c r="X417" s="403">
        <v>2</v>
      </c>
      <c r="Y417" s="404">
        <f>SUM(BD_MO[[#This Row],[LIMP]:[SERV]])</f>
        <v>2</v>
      </c>
      <c r="Z417" s="399"/>
      <c r="AA417" s="399" t="str">
        <f>+IF(BD_MO[[#This Row],[N° VALE]]&lt;&gt;"",1,"")</f>
        <v/>
      </c>
      <c r="AB417" s="396"/>
      <c r="AC417" s="399"/>
      <c r="AD417" s="399" t="str">
        <f>+IF(BD_MO[[#This Row],[N° VALE]]&lt;&gt;"",BD_MO[[#This Row],[FULMINANTE N° 08]]+BD_MO[CARMEX 7''],"")</f>
        <v/>
      </c>
      <c r="AE417" s="399"/>
      <c r="AF417" s="399" t="str">
        <f>+IF(BD_MO[[#This Row],[N° VALE]]&lt;&gt;"",BD_MO[[#This Row],[N° TALADROS]]+BD_MO[[#This Row],[N° TAL. VACIOS]],"")</f>
        <v/>
      </c>
      <c r="AG417" s="405"/>
      <c r="AH417" s="405"/>
      <c r="AI417" s="405"/>
      <c r="AJ417" s="405"/>
      <c r="AK417" s="405"/>
      <c r="AL417" s="405"/>
      <c r="AM417" s="398"/>
      <c r="AN417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17" s="399" t="str">
        <f>+IF(BD_MO[[#This Row],[N° VALE]]&lt;&gt;"",IF(BD_MO[[#This Row],[FULMINANTE N° 08]]&lt;&gt;"",BD_MO[[#This Row],[FULMINANTE N° 08]],IF(BD_MO[[#This Row],[CARMEX 7'']]&lt;&gt;0,0,"")),"")</f>
        <v/>
      </c>
      <c r="AP417" s="403" t="str">
        <f>+IF(BD_MO[[#This Row],[N° VALE]]&lt;&gt;"",BD_MO[[#This Row],[N°  TOTAL TALADROS]]*BD_MO[[#This Row],[BARRA]]*0.95,"")</f>
        <v/>
      </c>
      <c r="AQ417" s="403" t="str">
        <f>+IF(BD_MO[[#This Row],[N° VALE]]&lt;&gt;"",BD_MO[[#This Row],[EMULNOR 1000 (N° CART.)]]*PE_EMUL_1000[PE],"")</f>
        <v/>
      </c>
      <c r="AR417" s="403" t="str">
        <f>+IF(BD_MO[[#This Row],[N° VALE]]&lt;&gt;"",BD_MO[[#This Row],[EMULNOR 3000 (N° CART.)]]*PE_EMUL_3000[PE],"")</f>
        <v/>
      </c>
      <c r="AS417" s="403" t="str">
        <f>+IF(BD_MO[[#This Row],[N° VALE]]&lt;&gt;"",BD_MO[[#This Row],[PULVERULENTA (N° CART.)]]*PE_PULV_65[PE],"")</f>
        <v/>
      </c>
      <c r="AT417" s="403" t="str">
        <f>+IF(BD_MO[[#This Row],[N° DISP]]&lt;&gt;"",BD_MO[[#This Row],[SEMIGELATINA (N° CART.)]]*PE_SEMIGEL_65[PE],"")</f>
        <v/>
      </c>
      <c r="AU417" s="403" t="str">
        <f>+IF(BD_MO[N° VALE]&lt;&gt;"",BD_MO[[#This Row],[KG EXPLO SEMIGEL]]+BD_MO[[#This Row],[KG EXPLO PULVE]]+BD_MO[[#This Row],[KG EXPLO EMULN 3000]]+BD_MO[[#This Row],[KG EXPLO EMULN 1000]],"")</f>
        <v/>
      </c>
      <c r="AV417" s="399"/>
      <c r="AW417" s="399"/>
      <c r="AX417" s="399" t="str">
        <f>+IF(BD_MO[[#This Row],[MINERAL (U-35)]]&lt;&gt;"",BD_MO[[#This Row],[MINERAL (U-35)]]*1.45,"-")</f>
        <v>-</v>
      </c>
      <c r="AY417" s="399" t="str">
        <f>+IF(BD_MO[[#This Row],[DESMONTE (U-35)]]&lt;&gt;"",BD_MO[[#This Row],[DESMONTE (U-35)]]*1.23,"-")</f>
        <v>-</v>
      </c>
      <c r="AZ417" s="399"/>
      <c r="BA417" s="399"/>
      <c r="BB417" s="399"/>
      <c r="BC417" s="399"/>
      <c r="BD417" s="399"/>
      <c r="BE417" s="399"/>
      <c r="BF417" s="399"/>
      <c r="BG417" s="399"/>
      <c r="BH417" s="399"/>
      <c r="BI417" s="399"/>
      <c r="BJ417" s="399"/>
      <c r="BK417" s="399"/>
      <c r="BL417" s="399"/>
      <c r="BM417" s="399"/>
      <c r="BN417" s="398"/>
      <c r="BO417" s="399"/>
      <c r="BP417" s="399"/>
      <c r="BQ417" s="398"/>
      <c r="BR417" s="399"/>
      <c r="BS417" s="398"/>
      <c r="BT417" s="403"/>
      <c r="BU417" s="399"/>
      <c r="BV417" s="399"/>
      <c r="BW417" s="399"/>
      <c r="BX417" s="399"/>
      <c r="BY417" s="399"/>
      <c r="BZ417" s="399"/>
      <c r="CA417" s="399"/>
      <c r="CB417" s="399"/>
      <c r="CC417" s="399"/>
      <c r="CD417" s="399"/>
      <c r="CE417" s="399"/>
      <c r="CF417" s="399"/>
      <c r="CG417" s="399"/>
      <c r="CH417" s="399"/>
      <c r="CI417" s="399"/>
      <c r="CJ417" s="399"/>
      <c r="CK417" s="399"/>
      <c r="CL417" s="399"/>
      <c r="CM417" s="399"/>
      <c r="CN417" s="399"/>
      <c r="CO417" s="399"/>
      <c r="CP417" s="403">
        <f>+IF(BD_MO[[#This Row],[FECHA]]&lt;&gt;"",BD_MO[[#This Row],[PUNTAL 4"]]+BD_MO[[#This Row],[PUNTAL 5"]]+BD_MO[[#This Row],[PUNTAL 6"]]+BD_MO[[#This Row],[PUNTAL 7"]]+BD_MO[[#This Row],[PUNTAL 8"]],"")</f>
        <v>0</v>
      </c>
      <c r="CQ417" s="399"/>
      <c r="CR417" s="399"/>
      <c r="CS417" s="399"/>
      <c r="CT417" s="399"/>
      <c r="CU417" s="399"/>
      <c r="CV417" s="399"/>
      <c r="CW417" s="399"/>
      <c r="CX417" s="399"/>
      <c r="CY417" s="403"/>
      <c r="CZ417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17" s="403">
        <f>+IF(BD_MO[[#This Row],[FECHA]]&lt;&gt;"",BD_MO[[#This Row],[DURMIENTE2]]*6.561+BD_MO[[#This Row],[LISTONES]]*4.921+BD_MO[[#This Row],[TABLA 1"x8"x3m]]*6.561+BD_MO[[#This Row],[TABLA 2"x8"x3m]]*13.122,"")</f>
        <v>0</v>
      </c>
      <c r="DB417" s="403">
        <f>+IF(BD_MO[[#This Row],[FECHA]]&lt;&gt;"",BD_MO[[#This Row],[PIE2 MADERA ASERRADA]]*1.95,"")</f>
        <v>0</v>
      </c>
      <c r="DC417" s="403">
        <f>+IF(BD_MO[[#This Row],[FECHA]]&lt;&gt;"",BD_MO[[#This Row],[KG. MADERA REDONDA]]+BD_MO[[#This Row],[KG MADERA ASERRADA]],"")</f>
        <v>0</v>
      </c>
      <c r="DD417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17" s="399"/>
      <c r="DF417" s="399"/>
      <c r="DG417" s="399"/>
      <c r="DH417" s="399"/>
      <c r="DI417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17" s="407"/>
      <c r="DK417" s="407"/>
      <c r="DL417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17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17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17" s="408"/>
      <c r="DP417" s="407" t="str">
        <f>+IF(BD_MO[[#This Row],[M o D]]&lt;&gt;"",IF(BD_MO[[#This Row],[M o D]]="M",BD_MO[[#This Row],[ROTURA TMH]]/2.65,BD_MO[[#This Row],[ROTURA TMH]]/2.4),"")</f>
        <v/>
      </c>
      <c r="DQ417" s="407"/>
      <c r="DR417" s="116" t="str">
        <f>IF(BD_MO[[#This Row],[TIPO AVANCE]]="Avance",((BD_MO[[#This Row],[AVANCE (m)]]/BD_MO[[#This Row],[AVANCE TEÓRICO]]))," ")</f>
        <v xml:space="preserve"> </v>
      </c>
      <c r="DS417" s="134"/>
      <c r="DT417" s="134"/>
      <c r="DU417" s="134"/>
      <c r="DV417" s="134"/>
      <c r="DW417" s="134"/>
      <c r="DX417" s="135"/>
      <c r="DY417" s="135"/>
      <c r="DZ417" s="135"/>
    </row>
    <row r="418" spans="1:130" s="115" customFormat="1" ht="18" customHeight="1" thickBot="1" x14ac:dyDescent="0.3">
      <c r="A418" s="423">
        <v>44675</v>
      </c>
      <c r="B418" s="410" t="s">
        <v>10647</v>
      </c>
      <c r="C418" s="410" t="s">
        <v>10668</v>
      </c>
      <c r="D418" s="411" t="s">
        <v>10717</v>
      </c>
      <c r="E418" s="412" t="str">
        <f>LEFT(BD_MO[[#This Row],[LABOR]],2)</f>
        <v>BO</v>
      </c>
      <c r="F418" s="413"/>
      <c r="G418" s="413" t="s">
        <v>10669</v>
      </c>
      <c r="H418" s="41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18" s="119" t="str">
        <f>IF(BD_MO[FECHA]&lt;&gt;"",VLOOKUP(BD_MO[LABOR],TB_CECO[[LABOR]:[CECO_T]],3,FALSE),"")</f>
        <v>CACHORRO</v>
      </c>
      <c r="J418" s="119" t="str">
        <f>IF(BD_MO[FECHA]&lt;&gt;"",VLOOKUP(BD_MO[LABOR],D_CECO!B:H,7,FALSE),"")</f>
        <v>SERVICIOS</v>
      </c>
      <c r="K418" s="119" t="str">
        <f>IF(BD_MO[FECHA]&lt;&gt;"",VLOOKUP(BD_MO[LABOR],D_CECO!B:H,4,FALSE),"")</f>
        <v>SERVICIOS</v>
      </c>
      <c r="L418" s="412"/>
      <c r="M418" s="410"/>
      <c r="N418" s="413"/>
      <c r="O418" s="414" t="s">
        <v>12118</v>
      </c>
      <c r="P418" s="414"/>
      <c r="Q418" s="414"/>
      <c r="R418" s="415"/>
      <c r="S418" s="416" t="str">
        <f>IFERROR(VLOOKUP(BD_MO[DNI 4],#REF!,2,FALSE)," ")</f>
        <v xml:space="preserve"> </v>
      </c>
      <c r="T418" s="417">
        <f>+IF(BD_MO[[#This Row],[FECHA]]&lt;&gt;"",COUNTA(BD_MO[[#This Row],[DNI]],BD_MO[[#This Row],[DNI 2]],BD_MO[[#This Row],[DNI 3]],BD_MO[[#This Row],[DNI 4]]),"")</f>
        <v>1</v>
      </c>
      <c r="U418" s="417"/>
      <c r="V418" s="417"/>
      <c r="W418" s="417"/>
      <c r="X418" s="417">
        <v>1</v>
      </c>
      <c r="Y418" s="418">
        <f>SUM(BD_MO[[#This Row],[LIMP]:[SERV]])</f>
        <v>1</v>
      </c>
      <c r="Z418" s="413"/>
      <c r="AA418" s="413" t="str">
        <f>+IF(BD_MO[[#This Row],[N° VALE]]&lt;&gt;"",1,"")</f>
        <v/>
      </c>
      <c r="AB418" s="410"/>
      <c r="AC418" s="413"/>
      <c r="AD418" s="413" t="str">
        <f>+IF(BD_MO[[#This Row],[N° VALE]]&lt;&gt;"",BD_MO[[#This Row],[FULMINANTE N° 08]]+BD_MO[CARMEX 7''],"")</f>
        <v/>
      </c>
      <c r="AE418" s="413"/>
      <c r="AF418" s="413" t="str">
        <f>+IF(BD_MO[[#This Row],[N° VALE]]&lt;&gt;"",BD_MO[[#This Row],[N° TALADROS]]+BD_MO[[#This Row],[N° TAL. VACIOS]],"")</f>
        <v/>
      </c>
      <c r="AG418" s="419"/>
      <c r="AH418" s="419"/>
      <c r="AI418" s="419"/>
      <c r="AJ418" s="419"/>
      <c r="AK418" s="419"/>
      <c r="AL418" s="419"/>
      <c r="AM418" s="412"/>
      <c r="AN418" s="413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18" s="413" t="str">
        <f>+IF(BD_MO[[#This Row],[N° VALE]]&lt;&gt;"",IF(BD_MO[[#This Row],[FULMINANTE N° 08]]&lt;&gt;"",BD_MO[[#This Row],[FULMINANTE N° 08]],IF(BD_MO[[#This Row],[CARMEX 7'']]&lt;&gt;0,0,"")),"")</f>
        <v/>
      </c>
      <c r="AP418" s="417" t="str">
        <f>+IF(BD_MO[[#This Row],[N° VALE]]&lt;&gt;"",BD_MO[[#This Row],[N°  TOTAL TALADROS]]*BD_MO[[#This Row],[BARRA]]*0.95,"")</f>
        <v/>
      </c>
      <c r="AQ418" s="417" t="str">
        <f>+IF(BD_MO[[#This Row],[N° VALE]]&lt;&gt;"",BD_MO[[#This Row],[EMULNOR 1000 (N° CART.)]]*PE_EMUL_1000[PE],"")</f>
        <v/>
      </c>
      <c r="AR418" s="417" t="str">
        <f>+IF(BD_MO[[#This Row],[N° VALE]]&lt;&gt;"",BD_MO[[#This Row],[EMULNOR 3000 (N° CART.)]]*PE_EMUL_3000[PE],"")</f>
        <v/>
      </c>
      <c r="AS418" s="417" t="str">
        <f>+IF(BD_MO[[#This Row],[N° VALE]]&lt;&gt;"",BD_MO[[#This Row],[PULVERULENTA (N° CART.)]]*PE_PULV_65[PE],"")</f>
        <v/>
      </c>
      <c r="AT418" s="417" t="str">
        <f>+IF(BD_MO[[#This Row],[N° DISP]]&lt;&gt;"",BD_MO[[#This Row],[SEMIGELATINA (N° CART.)]]*PE_SEMIGEL_65[PE],"")</f>
        <v/>
      </c>
      <c r="AU418" s="417" t="str">
        <f>+IF(BD_MO[N° VALE]&lt;&gt;"",BD_MO[[#This Row],[KG EXPLO SEMIGEL]]+BD_MO[[#This Row],[KG EXPLO PULVE]]+BD_MO[[#This Row],[KG EXPLO EMULN 3000]]+BD_MO[[#This Row],[KG EXPLO EMULN 1000]],"")</f>
        <v/>
      </c>
      <c r="AV418" s="413"/>
      <c r="AW418" s="413"/>
      <c r="AX418" s="413" t="str">
        <f>+IF(BD_MO[[#This Row],[MINERAL (U-35)]]&lt;&gt;"",BD_MO[[#This Row],[MINERAL (U-35)]]*1.45,"-")</f>
        <v>-</v>
      </c>
      <c r="AY418" s="413" t="str">
        <f>+IF(BD_MO[[#This Row],[DESMONTE (U-35)]]&lt;&gt;"",BD_MO[[#This Row],[DESMONTE (U-35)]]*1.23,"-")</f>
        <v>-</v>
      </c>
      <c r="AZ418" s="413"/>
      <c r="BA418" s="413"/>
      <c r="BB418" s="413"/>
      <c r="BC418" s="413"/>
      <c r="BD418" s="413"/>
      <c r="BE418" s="413"/>
      <c r="BF418" s="413"/>
      <c r="BG418" s="413"/>
      <c r="BH418" s="413"/>
      <c r="BI418" s="413"/>
      <c r="BJ418" s="413"/>
      <c r="BK418" s="413"/>
      <c r="BL418" s="413"/>
      <c r="BM418" s="413"/>
      <c r="BN418" s="412"/>
      <c r="BO418" s="413"/>
      <c r="BP418" s="413"/>
      <c r="BQ418" s="412"/>
      <c r="BR418" s="413"/>
      <c r="BS418" s="412"/>
      <c r="BT418" s="417"/>
      <c r="BU418" s="413"/>
      <c r="BV418" s="413"/>
      <c r="BW418" s="413"/>
      <c r="BX418" s="413"/>
      <c r="BY418" s="413"/>
      <c r="BZ418" s="413"/>
      <c r="CA418" s="413"/>
      <c r="CB418" s="413"/>
      <c r="CC418" s="413"/>
      <c r="CD418" s="413"/>
      <c r="CE418" s="413"/>
      <c r="CF418" s="413"/>
      <c r="CG418" s="413"/>
      <c r="CH418" s="413"/>
      <c r="CI418" s="413"/>
      <c r="CJ418" s="413"/>
      <c r="CK418" s="413"/>
      <c r="CL418" s="413"/>
      <c r="CM418" s="413"/>
      <c r="CN418" s="413"/>
      <c r="CO418" s="413"/>
      <c r="CP418" s="417">
        <f>+IF(BD_MO[[#This Row],[FECHA]]&lt;&gt;"",BD_MO[[#This Row],[PUNTAL 4"]]+BD_MO[[#This Row],[PUNTAL 5"]]+BD_MO[[#This Row],[PUNTAL 6"]]+BD_MO[[#This Row],[PUNTAL 7"]]+BD_MO[[#This Row],[PUNTAL 8"]],"")</f>
        <v>0</v>
      </c>
      <c r="CQ418" s="413"/>
      <c r="CR418" s="413"/>
      <c r="CS418" s="413"/>
      <c r="CT418" s="413"/>
      <c r="CU418" s="413"/>
      <c r="CV418" s="413"/>
      <c r="CW418" s="413"/>
      <c r="CX418" s="413"/>
      <c r="CY418" s="417"/>
      <c r="CZ418" s="417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18" s="417">
        <f>+IF(BD_MO[[#This Row],[FECHA]]&lt;&gt;"",BD_MO[[#This Row],[DURMIENTE2]]*6.561+BD_MO[[#This Row],[LISTONES]]*4.921+BD_MO[[#This Row],[TABLA 1"x8"x3m]]*6.561+BD_MO[[#This Row],[TABLA 2"x8"x3m]]*13.122,"")</f>
        <v>0</v>
      </c>
      <c r="DB418" s="417">
        <f>+IF(BD_MO[[#This Row],[FECHA]]&lt;&gt;"",BD_MO[[#This Row],[PIE2 MADERA ASERRADA]]*1.95,"")</f>
        <v>0</v>
      </c>
      <c r="DC418" s="417">
        <f>+IF(BD_MO[[#This Row],[FECHA]]&lt;&gt;"",BD_MO[[#This Row],[KG. MADERA REDONDA]]+BD_MO[[#This Row],[KG MADERA ASERRADA]],"")</f>
        <v>0</v>
      </c>
      <c r="DD418" s="42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18" s="413"/>
      <c r="DF418" s="413"/>
      <c r="DG418" s="413"/>
      <c r="DH418" s="413"/>
      <c r="DI418" s="42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18" s="421"/>
      <c r="DK418" s="421"/>
      <c r="DL418" s="42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18" s="42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18" s="42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18" s="422"/>
      <c r="DP418" s="421" t="str">
        <f>+IF(BD_MO[[#This Row],[M o D]]&lt;&gt;"",IF(BD_MO[[#This Row],[M o D]]="M",BD_MO[[#This Row],[ROTURA TMH]]/2.65,BD_MO[[#This Row],[ROTURA TMH]]/2.4),"")</f>
        <v/>
      </c>
      <c r="DQ418" s="421"/>
      <c r="DR418" s="484" t="str">
        <f>IF(BD_MO[[#This Row],[TIPO AVANCE]]="Avance",((BD_MO[[#This Row],[AVANCE (m)]]/BD_MO[[#This Row],[AVANCE TEÓRICO]]))," ")</f>
        <v xml:space="preserve"> </v>
      </c>
      <c r="DS418" s="113"/>
      <c r="DT418" s="113"/>
      <c r="DU418" s="113"/>
      <c r="DV418" s="113"/>
      <c r="DW418" s="113"/>
      <c r="DX418" s="114"/>
      <c r="DY418" s="114"/>
      <c r="DZ418" s="114"/>
    </row>
    <row r="419" spans="1:130" s="136" customFormat="1" ht="18" customHeight="1" x14ac:dyDescent="0.25">
      <c r="A419" s="92">
        <v>44675</v>
      </c>
      <c r="B419" s="396" t="s">
        <v>10655</v>
      </c>
      <c r="C419" s="396" t="s">
        <v>10672</v>
      </c>
      <c r="D419" s="397" t="s">
        <v>11827</v>
      </c>
      <c r="E419" s="398" t="str">
        <f>LEFT(BD_MO[[#This Row],[LABOR]],2)</f>
        <v>Tj</v>
      </c>
      <c r="F419" s="399" t="s">
        <v>10950</v>
      </c>
      <c r="G419" s="399" t="s">
        <v>10648</v>
      </c>
      <c r="H419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19" s="383" t="str">
        <f>IF(BD_MO[FECHA]&lt;&gt;"",VLOOKUP(BD_MO[LABOR],TB_CECO[[LABOR]:[CECO_T]],3,FALSE),"")</f>
        <v>VANESSA</v>
      </c>
      <c r="J419" s="383" t="str">
        <f>IF(BD_MO[FECHA]&lt;&gt;"",VLOOKUP(BD_MO[LABOR],D_CECO!B:H,7,FALSE),"")</f>
        <v>TAJO</v>
      </c>
      <c r="K419" s="383" t="str">
        <f>IF(BD_MO[FECHA]&lt;&gt;"",VLOOKUP(BD_MO[LABOR],D_CECO!B:H,4,FALSE),"")</f>
        <v>EXPLOTACION</v>
      </c>
      <c r="L419" s="398"/>
      <c r="M419" s="396" t="s">
        <v>10661</v>
      </c>
      <c r="N419" s="399"/>
      <c r="O419" s="400" t="s">
        <v>12194</v>
      </c>
      <c r="P419" s="400" t="s">
        <v>12332</v>
      </c>
      <c r="Q419" s="400"/>
      <c r="R419" s="401"/>
      <c r="S419" s="402" t="str">
        <f>IFERROR(VLOOKUP(BD_MO[DNI 4],#REF!,2,FALSE)," ")</f>
        <v xml:space="preserve"> </v>
      </c>
      <c r="T419" s="403">
        <f>+IF(BD_MO[[#This Row],[FECHA]]&lt;&gt;"",COUNTA(BD_MO[[#This Row],[DNI]],BD_MO[[#This Row],[DNI 2]],BD_MO[[#This Row],[DNI 3]],BD_MO[[#This Row],[DNI 4]]),"")</f>
        <v>2</v>
      </c>
      <c r="U419" s="403">
        <v>0.76</v>
      </c>
      <c r="V419" s="403">
        <v>0.28000000000000003</v>
      </c>
      <c r="W419" s="403">
        <v>0.38</v>
      </c>
      <c r="X419" s="403">
        <v>0.57999999999999996</v>
      </c>
      <c r="Y419" s="404">
        <f>SUM(BD_MO[[#This Row],[LIMP]:[SERV]])</f>
        <v>2</v>
      </c>
      <c r="Z419" s="399" t="s">
        <v>12376</v>
      </c>
      <c r="AA419" s="399">
        <f>+IF(BD_MO[[#This Row],[N° VALE]]&lt;&gt;"",1,"")</f>
        <v>1</v>
      </c>
      <c r="AB419" s="396" t="s">
        <v>10691</v>
      </c>
      <c r="AC419" s="399">
        <v>4</v>
      </c>
      <c r="AD419" s="399">
        <f>+IF(BD_MO[[#This Row],[N° VALE]]&lt;&gt;"",BD_MO[[#This Row],[FULMINANTE N° 08]]+BD_MO[CARMEX 7''],"")</f>
        <v>8</v>
      </c>
      <c r="AE419" s="399"/>
      <c r="AF419" s="399">
        <f>+IF(BD_MO[[#This Row],[N° VALE]]&lt;&gt;"",BD_MO[[#This Row],[N° TALADROS]]+BD_MO[[#This Row],[N° TAL. VACIOS]],"")</f>
        <v>8</v>
      </c>
      <c r="AG419" s="405">
        <v>16</v>
      </c>
      <c r="AH419" s="405">
        <v>13</v>
      </c>
      <c r="AI419" s="405"/>
      <c r="AJ419" s="405"/>
      <c r="AK419" s="405">
        <v>8</v>
      </c>
      <c r="AL419" s="405">
        <v>1</v>
      </c>
      <c r="AM419" s="398"/>
      <c r="AN419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19" s="399">
        <f>+IF(BD_MO[[#This Row],[N° VALE]]&lt;&gt;"",IF(BD_MO[[#This Row],[FULMINANTE N° 08]]&lt;&gt;"",BD_MO[[#This Row],[FULMINANTE N° 08]],IF(BD_MO[[#This Row],[CARMEX 7'']]&lt;&gt;0,0,"")),"")</f>
        <v>0</v>
      </c>
      <c r="AP419" s="403">
        <f>+IF(BD_MO[[#This Row],[N° VALE]]&lt;&gt;"",BD_MO[[#This Row],[N°  TOTAL TALADROS]]*BD_MO[[#This Row],[BARRA]]*0.95,"")</f>
        <v>30.4</v>
      </c>
      <c r="AQ419" s="403">
        <f>+IF(BD_MO[[#This Row],[N° VALE]]&lt;&gt;"",BD_MO[[#This Row],[EMULNOR 1000 (N° CART.)]]*PE_EMUL_1000[PE],"")</f>
        <v>1.2311000000000001</v>
      </c>
      <c r="AR419" s="403">
        <f>+IF(BD_MO[[#This Row],[N° VALE]]&lt;&gt;"",BD_MO[[#This Row],[EMULNOR 3000 (N° CART.)]]*PE_EMUL_3000[PE],"")</f>
        <v>1.5384615384615392</v>
      </c>
      <c r="AS419" s="403">
        <f>+IF(BD_MO[[#This Row],[N° VALE]]&lt;&gt;"",BD_MO[[#This Row],[PULVERULENTA (N° CART.)]]*PE_PULV_65[PE],"")</f>
        <v>0</v>
      </c>
      <c r="AT419" s="403">
        <f>+IF(BD_MO[[#This Row],[N° DISP]]&lt;&gt;"",BD_MO[[#This Row],[SEMIGELATINA (N° CART.)]]*PE_SEMIGEL_65[PE],"")</f>
        <v>0</v>
      </c>
      <c r="AU419" s="403">
        <f>+IF(BD_MO[N° VALE]&lt;&gt;"",BD_MO[[#This Row],[KG EXPLO SEMIGEL]]+BD_MO[[#This Row],[KG EXPLO PULVE]]+BD_MO[[#This Row],[KG EXPLO EMULN 3000]]+BD_MO[[#This Row],[KG EXPLO EMULN 1000]],"")</f>
        <v>2.7695615384615393</v>
      </c>
      <c r="AV419" s="399">
        <v>5</v>
      </c>
      <c r="AW419" s="399"/>
      <c r="AX419" s="399">
        <f>+IF(BD_MO[[#This Row],[MINERAL (U-35)]]&lt;&gt;"",BD_MO[[#This Row],[MINERAL (U-35)]]*1.45,"-")</f>
        <v>7.25</v>
      </c>
      <c r="AY419" s="399" t="str">
        <f>+IF(BD_MO[[#This Row],[DESMONTE (U-35)]]&lt;&gt;"",BD_MO[[#This Row],[DESMONTE (U-35)]]*1.23,"-")</f>
        <v>-</v>
      </c>
      <c r="AZ419" s="399"/>
      <c r="BA419" s="399"/>
      <c r="BB419" s="399"/>
      <c r="BC419" s="399"/>
      <c r="BD419" s="399"/>
      <c r="BE419" s="399"/>
      <c r="BF419" s="399"/>
      <c r="BG419" s="399"/>
      <c r="BH419" s="399"/>
      <c r="BI419" s="399">
        <v>1</v>
      </c>
      <c r="BJ419" s="399"/>
      <c r="BK419" s="399"/>
      <c r="BL419" s="399"/>
      <c r="BM419" s="399"/>
      <c r="BN419" s="398"/>
      <c r="BO419" s="399"/>
      <c r="BP419" s="399"/>
      <c r="BQ419" s="398"/>
      <c r="BR419" s="399"/>
      <c r="BS419" s="398"/>
      <c r="BT419" s="403"/>
      <c r="BU419" s="399"/>
      <c r="BV419" s="399"/>
      <c r="BW419" s="399"/>
      <c r="BX419" s="399"/>
      <c r="BY419" s="399"/>
      <c r="BZ419" s="399">
        <v>4</v>
      </c>
      <c r="CA419" s="399"/>
      <c r="CB419" s="399"/>
      <c r="CC419" s="399"/>
      <c r="CD419" s="399"/>
      <c r="CE419" s="399"/>
      <c r="CF419" s="399"/>
      <c r="CG419" s="399"/>
      <c r="CH419" s="399"/>
      <c r="CI419" s="399"/>
      <c r="CJ419" s="399"/>
      <c r="CK419" s="399"/>
      <c r="CL419" s="399"/>
      <c r="CM419" s="399"/>
      <c r="CN419" s="399">
        <v>1</v>
      </c>
      <c r="CO419" s="399"/>
      <c r="CP419" s="403">
        <f>+IF(BD_MO[[#This Row],[FECHA]]&lt;&gt;"",BD_MO[[#This Row],[PUNTAL 4"]]+BD_MO[[#This Row],[PUNTAL 5"]]+BD_MO[[#This Row],[PUNTAL 6"]]+BD_MO[[#This Row],[PUNTAL 7"]]+BD_MO[[#This Row],[PUNTAL 8"]],"")</f>
        <v>1</v>
      </c>
      <c r="CQ419" s="399"/>
      <c r="CR419" s="399"/>
      <c r="CS419" s="399"/>
      <c r="CT419" s="399"/>
      <c r="CU419" s="399"/>
      <c r="CV419" s="399"/>
      <c r="CW419" s="399"/>
      <c r="CX419" s="399"/>
      <c r="CY419" s="403"/>
      <c r="CZ419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61.079000000000001</v>
      </c>
      <c r="DA419" s="403">
        <f>+IF(BD_MO[[#This Row],[FECHA]]&lt;&gt;"",BD_MO[[#This Row],[DURMIENTE2]]*6.561+BD_MO[[#This Row],[LISTONES]]*4.921+BD_MO[[#This Row],[TABLA 1"x8"x3m]]*6.561+BD_MO[[#This Row],[TABLA 2"x8"x3m]]*13.122,"")</f>
        <v>0</v>
      </c>
      <c r="DB419" s="403">
        <f>+IF(BD_MO[[#This Row],[FECHA]]&lt;&gt;"",BD_MO[[#This Row],[PIE2 MADERA ASERRADA]]*1.95,"")</f>
        <v>0</v>
      </c>
      <c r="DC419" s="403">
        <f>+IF(BD_MO[[#This Row],[FECHA]]&lt;&gt;"",BD_MO[[#This Row],[KG. MADERA REDONDA]]+BD_MO[[#This Row],[KG MADERA ASERRADA]],"")</f>
        <v>61.079000000000001</v>
      </c>
      <c r="DD419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419" s="399"/>
      <c r="DF419" s="399"/>
      <c r="DG419" s="399"/>
      <c r="DH419" s="399"/>
      <c r="DI419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19" s="407"/>
      <c r="DK419" s="407"/>
      <c r="DL419" s="407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1.87</v>
      </c>
      <c r="DM419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1.9448000000000001</v>
      </c>
      <c r="DN419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19" s="408">
        <v>7.2343999999999999</v>
      </c>
      <c r="DP419" s="407">
        <f>+IF(BD_MO[[#This Row],[M o D]]&lt;&gt;"",IF(BD_MO[[#This Row],[M o D]]="M",BD_MO[[#This Row],[ROTURA TMH]]/2.65,BD_MO[[#This Row],[ROTURA TMH]]/2.4),"")</f>
        <v>2.7299622641509433</v>
      </c>
      <c r="DQ419" s="407"/>
      <c r="DR419" s="116" t="str">
        <f>IF(BD_MO[[#This Row],[TIPO AVANCE]]="Avance",((BD_MO[[#This Row],[AVANCE (m)]]/BD_MO[[#This Row],[AVANCE TEÓRICO]]))," ")</f>
        <v xml:space="preserve"> </v>
      </c>
      <c r="DS419" s="134"/>
      <c r="DT419" s="134"/>
      <c r="DU419" s="134"/>
      <c r="DV419" s="134"/>
      <c r="DW419" s="134"/>
      <c r="DX419" s="135"/>
      <c r="DY419" s="135"/>
      <c r="DZ419" s="135"/>
    </row>
    <row r="420" spans="1:130" s="136" customFormat="1" ht="18" customHeight="1" x14ac:dyDescent="0.25">
      <c r="A420" s="395">
        <v>44675</v>
      </c>
      <c r="B420" s="396" t="s">
        <v>10655</v>
      </c>
      <c r="C420" s="396" t="s">
        <v>10672</v>
      </c>
      <c r="D420" s="397" t="s">
        <v>12465</v>
      </c>
      <c r="E420" s="398" t="str">
        <f>LEFT(BD_MO[[#This Row],[LABOR]],2)</f>
        <v>Sn</v>
      </c>
      <c r="F420" s="399" t="s">
        <v>10950</v>
      </c>
      <c r="G420" s="399" t="s">
        <v>10648</v>
      </c>
      <c r="H420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20" s="387" t="str">
        <f>IF(BD_MO[FECHA]&lt;&gt;"",VLOOKUP(BD_MO[LABOR],TB_CECO[[LABOR]:[CECO_T]],3,FALSE),"")</f>
        <v>VANESSA</v>
      </c>
      <c r="J420" s="387" t="str">
        <f>IF(BD_MO[FECHA]&lt;&gt;"",VLOOKUP(BD_MO[LABOR],D_CECO!B:H,7,FALSE),"")</f>
        <v>LINEAL</v>
      </c>
      <c r="K420" s="387" t="str">
        <f>IF(BD_MO[FECHA]&lt;&gt;"",VLOOKUP(BD_MO[LABOR],D_CECO!B:H,4,FALSE),"")</f>
        <v>EXPLORACION</v>
      </c>
      <c r="L420" s="398"/>
      <c r="M420" s="396" t="s">
        <v>10646</v>
      </c>
      <c r="N420" s="399"/>
      <c r="O420" s="400" t="s">
        <v>12205</v>
      </c>
      <c r="P420" s="400" t="s">
        <v>12195</v>
      </c>
      <c r="Q420" s="400"/>
      <c r="R420" s="401"/>
      <c r="S420" s="402" t="str">
        <f>IFERROR(VLOOKUP(BD_MO[DNI 4],#REF!,2,FALSE)," ")</f>
        <v xml:space="preserve"> </v>
      </c>
      <c r="T420" s="403">
        <f>+IF(BD_MO[[#This Row],[FECHA]]&lt;&gt;"",COUNTA(BD_MO[[#This Row],[DNI]],BD_MO[[#This Row],[DNI 2]],BD_MO[[#This Row],[DNI 3]],BD_MO[[#This Row],[DNI 4]]),"")</f>
        <v>2</v>
      </c>
      <c r="U420" s="403">
        <v>0.52</v>
      </c>
      <c r="V420" s="403">
        <v>0.28999999999999998</v>
      </c>
      <c r="W420" s="403"/>
      <c r="X420" s="403">
        <v>0.19</v>
      </c>
      <c r="Y420" s="404">
        <f>SUM(BD_MO[[#This Row],[LIMP]:[SERV]])</f>
        <v>1</v>
      </c>
      <c r="Z420" s="399" t="s">
        <v>12377</v>
      </c>
      <c r="AA420" s="399">
        <f>+IF(BD_MO[[#This Row],[N° VALE]]&lt;&gt;"",1,"")</f>
        <v>1</v>
      </c>
      <c r="AB420" s="396" t="s">
        <v>10705</v>
      </c>
      <c r="AC420" s="399">
        <v>4</v>
      </c>
      <c r="AD420" s="399">
        <f>+IF(BD_MO[[#This Row],[N° VALE]]&lt;&gt;"",BD_MO[[#This Row],[FULMINANTE N° 08]]+BD_MO[CARMEX 7''],"")</f>
        <v>28</v>
      </c>
      <c r="AE420" s="399">
        <v>4</v>
      </c>
      <c r="AF420" s="399">
        <f>+IF(BD_MO[[#This Row],[N° VALE]]&lt;&gt;"",BD_MO[[#This Row],[N° TALADROS]]+BD_MO[[#This Row],[N° TAL. VACIOS]],"")</f>
        <v>32</v>
      </c>
      <c r="AG420" s="405">
        <v>40</v>
      </c>
      <c r="AH420" s="405">
        <v>42</v>
      </c>
      <c r="AI420" s="405"/>
      <c r="AJ420" s="405"/>
      <c r="AK420" s="405">
        <v>28</v>
      </c>
      <c r="AL420" s="405">
        <v>3</v>
      </c>
      <c r="AM420" s="398"/>
      <c r="AN420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20" s="399">
        <f>+IF(BD_MO[[#This Row],[N° VALE]]&lt;&gt;"",IF(BD_MO[[#This Row],[FULMINANTE N° 08]]&lt;&gt;"",BD_MO[[#This Row],[FULMINANTE N° 08]],IF(BD_MO[[#This Row],[CARMEX 7'']]&lt;&gt;0,0,"")),"")</f>
        <v>0</v>
      </c>
      <c r="AP420" s="403">
        <f>+IF(BD_MO[[#This Row],[N° VALE]]&lt;&gt;"",BD_MO[[#This Row],[N°  TOTAL TALADROS]]*BD_MO[[#This Row],[BARRA]]*0.95,"")</f>
        <v>121.6</v>
      </c>
      <c r="AQ420" s="403">
        <f>+IF(BD_MO[[#This Row],[N° VALE]]&lt;&gt;"",BD_MO[[#This Row],[EMULNOR 1000 (N° CART.)]]*PE_EMUL_1000[PE],"")</f>
        <v>3.9774000000000003</v>
      </c>
      <c r="AR420" s="403">
        <f>+IF(BD_MO[[#This Row],[N° VALE]]&lt;&gt;"",BD_MO[[#This Row],[EMULNOR 3000 (N° CART.)]]*PE_EMUL_3000[PE],"")</f>
        <v>3.846153846153848</v>
      </c>
      <c r="AS420" s="403">
        <f>+IF(BD_MO[[#This Row],[N° VALE]]&lt;&gt;"",BD_MO[[#This Row],[PULVERULENTA (N° CART.)]]*PE_PULV_65[PE],"")</f>
        <v>0</v>
      </c>
      <c r="AT420" s="403">
        <f>+IF(BD_MO[[#This Row],[N° DISP]]&lt;&gt;"",BD_MO[[#This Row],[SEMIGELATINA (N° CART.)]]*PE_SEMIGEL_65[PE],"")</f>
        <v>0</v>
      </c>
      <c r="AU420" s="403">
        <f>+IF(BD_MO[N° VALE]&lt;&gt;"",BD_MO[[#This Row],[KG EXPLO SEMIGEL]]+BD_MO[[#This Row],[KG EXPLO PULVE]]+BD_MO[[#This Row],[KG EXPLO EMULN 3000]]+BD_MO[[#This Row],[KG EXPLO EMULN 1000]],"")</f>
        <v>7.8235538461538479</v>
      </c>
      <c r="AV420" s="399">
        <v>14</v>
      </c>
      <c r="AW420" s="399"/>
      <c r="AX420" s="399">
        <f>+IF(BD_MO[[#This Row],[MINERAL (U-35)]]&lt;&gt;"",BD_MO[[#This Row],[MINERAL (U-35)]]*1.45,"-")</f>
        <v>20.3</v>
      </c>
      <c r="AY420" s="399" t="str">
        <f>+IF(BD_MO[[#This Row],[DESMONTE (U-35)]]&lt;&gt;"",BD_MO[[#This Row],[DESMONTE (U-35)]]*1.23,"-")</f>
        <v>-</v>
      </c>
      <c r="AZ420" s="399"/>
      <c r="BA420" s="399"/>
      <c r="BB420" s="399"/>
      <c r="BC420" s="399"/>
      <c r="BD420" s="399"/>
      <c r="BE420" s="399"/>
      <c r="BF420" s="399"/>
      <c r="BG420" s="399"/>
      <c r="BH420" s="399"/>
      <c r="BI420" s="399"/>
      <c r="BJ420" s="399"/>
      <c r="BK420" s="399"/>
      <c r="BL420" s="399"/>
      <c r="BM420" s="399"/>
      <c r="BN420" s="398"/>
      <c r="BO420" s="399"/>
      <c r="BP420" s="399"/>
      <c r="BQ420" s="398"/>
      <c r="BR420" s="399"/>
      <c r="BS420" s="398"/>
      <c r="BT420" s="403"/>
      <c r="BU420" s="399"/>
      <c r="BV420" s="399"/>
      <c r="BW420" s="399"/>
      <c r="BX420" s="399"/>
      <c r="BY420" s="399"/>
      <c r="BZ420" s="399"/>
      <c r="CA420" s="399"/>
      <c r="CB420" s="399"/>
      <c r="CC420" s="399"/>
      <c r="CD420" s="399"/>
      <c r="CE420" s="399"/>
      <c r="CF420" s="399"/>
      <c r="CG420" s="399"/>
      <c r="CH420" s="399"/>
      <c r="CI420" s="399"/>
      <c r="CJ420" s="399"/>
      <c r="CK420" s="399"/>
      <c r="CL420" s="399"/>
      <c r="CM420" s="399"/>
      <c r="CN420" s="399"/>
      <c r="CO420" s="399"/>
      <c r="CP420" s="403">
        <f>+IF(BD_MO[[#This Row],[FECHA]]&lt;&gt;"",BD_MO[[#This Row],[PUNTAL 4"]]+BD_MO[[#This Row],[PUNTAL 5"]]+BD_MO[[#This Row],[PUNTAL 6"]]+BD_MO[[#This Row],[PUNTAL 7"]]+BD_MO[[#This Row],[PUNTAL 8"]],"")</f>
        <v>0</v>
      </c>
      <c r="CQ420" s="399"/>
      <c r="CR420" s="399"/>
      <c r="CS420" s="399"/>
      <c r="CT420" s="399"/>
      <c r="CU420" s="399"/>
      <c r="CV420" s="399"/>
      <c r="CW420" s="399"/>
      <c r="CX420" s="399"/>
      <c r="CY420" s="403"/>
      <c r="CZ420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20" s="403">
        <f>+IF(BD_MO[[#This Row],[FECHA]]&lt;&gt;"",BD_MO[[#This Row],[DURMIENTE2]]*6.561+BD_MO[[#This Row],[LISTONES]]*4.921+BD_MO[[#This Row],[TABLA 1"x8"x3m]]*6.561+BD_MO[[#This Row],[TABLA 2"x8"x3m]]*13.122,"")</f>
        <v>0</v>
      </c>
      <c r="DB420" s="403">
        <f>+IF(BD_MO[[#This Row],[FECHA]]&lt;&gt;"",BD_MO[[#This Row],[PIE2 MADERA ASERRADA]]*1.95,"")</f>
        <v>0</v>
      </c>
      <c r="DC420" s="403">
        <f>+IF(BD_MO[[#This Row],[FECHA]]&lt;&gt;"",BD_MO[[#This Row],[KG. MADERA REDONDA]]+BD_MO[[#This Row],[KG MADERA ASERRADA]],"")</f>
        <v>0</v>
      </c>
      <c r="DD420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20" s="399"/>
      <c r="DF420" s="399"/>
      <c r="DG420" s="399"/>
      <c r="DH420" s="399"/>
      <c r="DI420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20" s="407"/>
      <c r="DK420" s="407"/>
      <c r="DL420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20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20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20" s="408">
        <v>7.1791999999999998</v>
      </c>
      <c r="DP420" s="407">
        <f>+IF(BD_MO[[#This Row],[M o D]]&lt;&gt;"",IF(BD_MO[[#This Row],[M o D]]="M",BD_MO[[#This Row],[ROTURA TMH]]/2.65,BD_MO[[#This Row],[ROTURA TMH]]/2.4),"")</f>
        <v>2.7091320754716981</v>
      </c>
      <c r="DQ420" s="407">
        <v>1.07</v>
      </c>
      <c r="DR420" s="116">
        <f>IF(BD_MO[[#This Row],[TIPO AVANCE]]="Avance",((BD_MO[[#This Row],[AVANCE (m)]]/BD_MO[[#This Row],[AVANCE TEÓRICO]]))," ")</f>
        <v>0.9907407407407407</v>
      </c>
      <c r="DS420" s="134"/>
      <c r="DT420" s="134"/>
      <c r="DU420" s="134"/>
      <c r="DV420" s="134"/>
      <c r="DW420" s="134"/>
      <c r="DX420" s="135"/>
      <c r="DY420" s="135"/>
      <c r="DZ420" s="135"/>
    </row>
    <row r="421" spans="1:130" s="136" customFormat="1" ht="18" customHeight="1" x14ac:dyDescent="0.25">
      <c r="A421" s="92">
        <v>44675</v>
      </c>
      <c r="B421" s="396" t="s">
        <v>10655</v>
      </c>
      <c r="C421" s="396" t="s">
        <v>10672</v>
      </c>
      <c r="D421" s="397" t="s">
        <v>12465</v>
      </c>
      <c r="E421" s="398" t="str">
        <f>LEFT(BD_MO[[#This Row],[LABOR]],2)</f>
        <v>Sn</v>
      </c>
      <c r="F421" s="399" t="s">
        <v>10950</v>
      </c>
      <c r="G421" s="399" t="s">
        <v>10648</v>
      </c>
      <c r="H421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21" s="387" t="str">
        <f>IF(BD_MO[FECHA]&lt;&gt;"",VLOOKUP(BD_MO[LABOR],TB_CECO[[LABOR]:[CECO_T]],3,FALSE),"")</f>
        <v>VANESSA</v>
      </c>
      <c r="J421" s="387" t="str">
        <f>IF(BD_MO[FECHA]&lt;&gt;"",VLOOKUP(BD_MO[LABOR],D_CECO!B:H,7,FALSE),"")</f>
        <v>LINEAL</v>
      </c>
      <c r="K421" s="387" t="str">
        <f>IF(BD_MO[FECHA]&lt;&gt;"",VLOOKUP(BD_MO[LABOR],D_CECO!B:H,4,FALSE),"")</f>
        <v>EXPLORACION</v>
      </c>
      <c r="L421" s="398"/>
      <c r="M421" s="396" t="s">
        <v>10646</v>
      </c>
      <c r="N421" s="399"/>
      <c r="O421" s="400" t="s">
        <v>12205</v>
      </c>
      <c r="P421" s="400" t="s">
        <v>12195</v>
      </c>
      <c r="Q421" s="400"/>
      <c r="R421" s="401"/>
      <c r="S421" s="402" t="str">
        <f>IFERROR(VLOOKUP(BD_MO[DNI 4],#REF!,2,FALSE)," ")</f>
        <v xml:space="preserve"> </v>
      </c>
      <c r="T421" s="403">
        <f>+IF(BD_MO[[#This Row],[FECHA]]&lt;&gt;"",COUNTA(BD_MO[[#This Row],[DNI]],BD_MO[[#This Row],[DNI 2]],BD_MO[[#This Row],[DNI 3]],BD_MO[[#This Row],[DNI 4]]),"")</f>
        <v>2</v>
      </c>
      <c r="U421" s="403">
        <v>0.52</v>
      </c>
      <c r="V421" s="403">
        <v>0.28999999999999998</v>
      </c>
      <c r="W421" s="403"/>
      <c r="X421" s="403">
        <v>0.19</v>
      </c>
      <c r="Y421" s="404">
        <f>SUM(BD_MO[[#This Row],[LIMP]:[SERV]])</f>
        <v>1</v>
      </c>
      <c r="Z421" s="399" t="s">
        <v>12378</v>
      </c>
      <c r="AA421" s="399">
        <f>+IF(BD_MO[[#This Row],[N° VALE]]&lt;&gt;"",1,"")</f>
        <v>1</v>
      </c>
      <c r="AB421" s="396" t="s">
        <v>10705</v>
      </c>
      <c r="AC421" s="399">
        <v>4</v>
      </c>
      <c r="AD421" s="399">
        <f>+IF(BD_MO[[#This Row],[N° VALE]]&lt;&gt;"",BD_MO[[#This Row],[FULMINANTE N° 08]]+BD_MO[CARMEX 7''],"")</f>
        <v>28</v>
      </c>
      <c r="AE421" s="399">
        <v>4</v>
      </c>
      <c r="AF421" s="399">
        <f>+IF(BD_MO[[#This Row],[N° VALE]]&lt;&gt;"",BD_MO[[#This Row],[N° TALADROS]]+BD_MO[[#This Row],[N° TAL. VACIOS]],"")</f>
        <v>32</v>
      </c>
      <c r="AG421" s="405">
        <v>40</v>
      </c>
      <c r="AH421" s="405">
        <v>42</v>
      </c>
      <c r="AI421" s="405"/>
      <c r="AJ421" s="405"/>
      <c r="AK421" s="405">
        <v>28</v>
      </c>
      <c r="AL421" s="405">
        <v>3</v>
      </c>
      <c r="AM421" s="398"/>
      <c r="AN421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21" s="399">
        <f>+IF(BD_MO[[#This Row],[N° VALE]]&lt;&gt;"",IF(BD_MO[[#This Row],[FULMINANTE N° 08]]&lt;&gt;"",BD_MO[[#This Row],[FULMINANTE N° 08]],IF(BD_MO[[#This Row],[CARMEX 7'']]&lt;&gt;0,0,"")),"")</f>
        <v>0</v>
      </c>
      <c r="AP421" s="403">
        <f>+IF(BD_MO[[#This Row],[N° VALE]]&lt;&gt;"",BD_MO[[#This Row],[N°  TOTAL TALADROS]]*BD_MO[[#This Row],[BARRA]]*0.95,"")</f>
        <v>121.6</v>
      </c>
      <c r="AQ421" s="403">
        <f>+IF(BD_MO[[#This Row],[N° VALE]]&lt;&gt;"",BD_MO[[#This Row],[EMULNOR 1000 (N° CART.)]]*PE_EMUL_1000[PE],"")</f>
        <v>3.9774000000000003</v>
      </c>
      <c r="AR421" s="403">
        <f>+IF(BD_MO[[#This Row],[N° VALE]]&lt;&gt;"",BD_MO[[#This Row],[EMULNOR 3000 (N° CART.)]]*PE_EMUL_3000[PE],"")</f>
        <v>3.846153846153848</v>
      </c>
      <c r="AS421" s="403">
        <f>+IF(BD_MO[[#This Row],[N° VALE]]&lt;&gt;"",BD_MO[[#This Row],[PULVERULENTA (N° CART.)]]*PE_PULV_65[PE],"")</f>
        <v>0</v>
      </c>
      <c r="AT421" s="403">
        <f>+IF(BD_MO[[#This Row],[N° DISP]]&lt;&gt;"",BD_MO[[#This Row],[SEMIGELATINA (N° CART.)]]*PE_SEMIGEL_65[PE],"")</f>
        <v>0</v>
      </c>
      <c r="AU421" s="403">
        <f>+IF(BD_MO[N° VALE]&lt;&gt;"",BD_MO[[#This Row],[KG EXPLO SEMIGEL]]+BD_MO[[#This Row],[KG EXPLO PULVE]]+BD_MO[[#This Row],[KG EXPLO EMULN 3000]]+BD_MO[[#This Row],[KG EXPLO EMULN 1000]],"")</f>
        <v>7.8235538461538479</v>
      </c>
      <c r="AV421" s="399"/>
      <c r="AW421" s="399"/>
      <c r="AX421" s="399" t="str">
        <f>+IF(BD_MO[[#This Row],[MINERAL (U-35)]]&lt;&gt;"",BD_MO[[#This Row],[MINERAL (U-35)]]*1.45,"-")</f>
        <v>-</v>
      </c>
      <c r="AY421" s="399" t="str">
        <f>+IF(BD_MO[[#This Row],[DESMONTE (U-35)]]&lt;&gt;"",BD_MO[[#This Row],[DESMONTE (U-35)]]*1.23,"-")</f>
        <v>-</v>
      </c>
      <c r="AZ421" s="399"/>
      <c r="BA421" s="399"/>
      <c r="BB421" s="399"/>
      <c r="BC421" s="399"/>
      <c r="BD421" s="399"/>
      <c r="BE421" s="399"/>
      <c r="BF421" s="399"/>
      <c r="BG421" s="399"/>
      <c r="BH421" s="399"/>
      <c r="BI421" s="399"/>
      <c r="BJ421" s="399"/>
      <c r="BK421" s="399"/>
      <c r="BL421" s="399"/>
      <c r="BM421" s="399"/>
      <c r="BN421" s="398"/>
      <c r="BO421" s="399"/>
      <c r="BP421" s="399"/>
      <c r="BQ421" s="398"/>
      <c r="BR421" s="399"/>
      <c r="BS421" s="398"/>
      <c r="BT421" s="403"/>
      <c r="BU421" s="399"/>
      <c r="BV421" s="399"/>
      <c r="BW421" s="399"/>
      <c r="BX421" s="399"/>
      <c r="BY421" s="399"/>
      <c r="BZ421" s="399"/>
      <c r="CA421" s="399"/>
      <c r="CB421" s="399"/>
      <c r="CC421" s="399"/>
      <c r="CD421" s="399"/>
      <c r="CE421" s="399"/>
      <c r="CF421" s="399"/>
      <c r="CG421" s="399"/>
      <c r="CH421" s="399"/>
      <c r="CI421" s="399"/>
      <c r="CJ421" s="399"/>
      <c r="CK421" s="399"/>
      <c r="CL421" s="399"/>
      <c r="CM421" s="399"/>
      <c r="CN421" s="399"/>
      <c r="CO421" s="399"/>
      <c r="CP421" s="403">
        <f>+IF(BD_MO[[#This Row],[FECHA]]&lt;&gt;"",BD_MO[[#This Row],[PUNTAL 4"]]+BD_MO[[#This Row],[PUNTAL 5"]]+BD_MO[[#This Row],[PUNTAL 6"]]+BD_MO[[#This Row],[PUNTAL 7"]]+BD_MO[[#This Row],[PUNTAL 8"]],"")</f>
        <v>0</v>
      </c>
      <c r="CQ421" s="399"/>
      <c r="CR421" s="399"/>
      <c r="CS421" s="399"/>
      <c r="CT421" s="399"/>
      <c r="CU421" s="399"/>
      <c r="CV421" s="399"/>
      <c r="CW421" s="399"/>
      <c r="CX421" s="399"/>
      <c r="CY421" s="403"/>
      <c r="CZ421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21" s="403">
        <f>+IF(BD_MO[[#This Row],[FECHA]]&lt;&gt;"",BD_MO[[#This Row],[DURMIENTE2]]*6.561+BD_MO[[#This Row],[LISTONES]]*4.921+BD_MO[[#This Row],[TABLA 1"x8"x3m]]*6.561+BD_MO[[#This Row],[TABLA 2"x8"x3m]]*13.122,"")</f>
        <v>0</v>
      </c>
      <c r="DB421" s="403">
        <f>+IF(BD_MO[[#This Row],[FECHA]]&lt;&gt;"",BD_MO[[#This Row],[PIE2 MADERA ASERRADA]]*1.95,"")</f>
        <v>0</v>
      </c>
      <c r="DC421" s="403">
        <f>+IF(BD_MO[[#This Row],[FECHA]]&lt;&gt;"",BD_MO[[#This Row],[KG. MADERA REDONDA]]+BD_MO[[#This Row],[KG MADERA ASERRADA]],"")</f>
        <v>0</v>
      </c>
      <c r="DD421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21" s="399"/>
      <c r="DF421" s="399"/>
      <c r="DG421" s="399"/>
      <c r="DH421" s="399"/>
      <c r="DI421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21" s="407"/>
      <c r="DK421" s="407"/>
      <c r="DL421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21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21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21" s="408">
        <v>7.1791999999999998</v>
      </c>
      <c r="DP421" s="407">
        <f>+IF(BD_MO[[#This Row],[M o D]]&lt;&gt;"",IF(BD_MO[[#This Row],[M o D]]="M",BD_MO[[#This Row],[ROTURA TMH]]/2.65,BD_MO[[#This Row],[ROTURA TMH]]/2.4),"")</f>
        <v>2.7091320754716981</v>
      </c>
      <c r="DQ421" s="407">
        <v>1.06</v>
      </c>
      <c r="DR421" s="116">
        <f>IF(BD_MO[[#This Row],[TIPO AVANCE]]="Avance",((BD_MO[[#This Row],[AVANCE (m)]]/BD_MO[[#This Row],[AVANCE TEÓRICO]]))," ")</f>
        <v>0.98148148148148151</v>
      </c>
      <c r="DS421" s="134"/>
      <c r="DT421" s="134"/>
      <c r="DU421" s="134"/>
      <c r="DV421" s="134"/>
      <c r="DW421" s="134"/>
      <c r="DX421" s="135"/>
      <c r="DY421" s="135"/>
      <c r="DZ421" s="135"/>
    </row>
    <row r="422" spans="1:130" s="136" customFormat="1" ht="18" customHeight="1" x14ac:dyDescent="0.25">
      <c r="A422" s="92">
        <v>44675</v>
      </c>
      <c r="B422" s="396" t="s">
        <v>10655</v>
      </c>
      <c r="C422" s="396" t="s">
        <v>10672</v>
      </c>
      <c r="D422" s="397" t="s">
        <v>12465</v>
      </c>
      <c r="E422" s="398" t="str">
        <f>LEFT(BD_MO[[#This Row],[LABOR]],2)</f>
        <v>Sn</v>
      </c>
      <c r="F422" s="399" t="s">
        <v>10950</v>
      </c>
      <c r="G422" s="399" t="s">
        <v>10648</v>
      </c>
      <c r="H422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22" s="387" t="str">
        <f>IF(BD_MO[FECHA]&lt;&gt;"",VLOOKUP(BD_MO[LABOR],TB_CECO[[LABOR]:[CECO_T]],3,FALSE),"")</f>
        <v>VANESSA</v>
      </c>
      <c r="J422" s="387" t="str">
        <f>IF(BD_MO[FECHA]&lt;&gt;"",VLOOKUP(BD_MO[LABOR],D_CECO!B:H,7,FALSE),"")</f>
        <v>LINEAL</v>
      </c>
      <c r="K422" s="387" t="str">
        <f>IF(BD_MO[FECHA]&lt;&gt;"",VLOOKUP(BD_MO[LABOR],D_CECO!B:H,4,FALSE),"")</f>
        <v>EXPLORACION</v>
      </c>
      <c r="L422" s="398"/>
      <c r="M422" s="396" t="s">
        <v>10646</v>
      </c>
      <c r="N422" s="399"/>
      <c r="O422" s="400" t="s">
        <v>12333</v>
      </c>
      <c r="P422" s="400" t="s">
        <v>12201</v>
      </c>
      <c r="Q422" s="400"/>
      <c r="R422" s="401"/>
      <c r="S422" s="402" t="str">
        <f>IFERROR(VLOOKUP(BD_MO[DNI 4],#REF!,2,FALSE)," ")</f>
        <v xml:space="preserve"> </v>
      </c>
      <c r="T422" s="403">
        <f>+IF(BD_MO[[#This Row],[FECHA]]&lt;&gt;"",COUNTA(BD_MO[[#This Row],[DNI]],BD_MO[[#This Row],[DNI 2]],BD_MO[[#This Row],[DNI 3]],BD_MO[[#This Row],[DNI 4]]),"")</f>
        <v>2</v>
      </c>
      <c r="U422" s="403">
        <v>0.76</v>
      </c>
      <c r="V422" s="403">
        <v>0.28000000000000003</v>
      </c>
      <c r="W422" s="403"/>
      <c r="X422" s="403">
        <v>0.96</v>
      </c>
      <c r="Y422" s="404">
        <f>SUM(BD_MO[[#This Row],[LIMP]:[SERV]])</f>
        <v>2</v>
      </c>
      <c r="Z422" s="399" t="s">
        <v>12379</v>
      </c>
      <c r="AA422" s="399">
        <f>+IF(BD_MO[[#This Row],[N° VALE]]&lt;&gt;"",1,"")</f>
        <v>1</v>
      </c>
      <c r="AB422" s="396" t="s">
        <v>10705</v>
      </c>
      <c r="AC422" s="399">
        <v>4</v>
      </c>
      <c r="AD422" s="399">
        <f>+IF(BD_MO[[#This Row],[N° VALE]]&lt;&gt;"",BD_MO[[#This Row],[FULMINANTE N° 08]]+BD_MO[CARMEX 7''],"")</f>
        <v>20</v>
      </c>
      <c r="AE422" s="399">
        <v>4</v>
      </c>
      <c r="AF422" s="399">
        <f>+IF(BD_MO[[#This Row],[N° VALE]]&lt;&gt;"",BD_MO[[#This Row],[N° TALADROS]]+BD_MO[[#This Row],[N° TAL. VACIOS]],"")</f>
        <v>24</v>
      </c>
      <c r="AG422" s="405">
        <v>40</v>
      </c>
      <c r="AH422" s="405">
        <v>42</v>
      </c>
      <c r="AI422" s="405"/>
      <c r="AJ422" s="405"/>
      <c r="AK422" s="405">
        <v>20</v>
      </c>
      <c r="AL422" s="405">
        <v>1</v>
      </c>
      <c r="AM422" s="398"/>
      <c r="AN422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22" s="399">
        <f>+IF(BD_MO[[#This Row],[N° VALE]]&lt;&gt;"",IF(BD_MO[[#This Row],[FULMINANTE N° 08]]&lt;&gt;"",BD_MO[[#This Row],[FULMINANTE N° 08]],IF(BD_MO[[#This Row],[CARMEX 7'']]&lt;&gt;0,0,"")),"")</f>
        <v>0</v>
      </c>
      <c r="AP422" s="403">
        <f>+IF(BD_MO[[#This Row],[N° VALE]]&lt;&gt;"",BD_MO[[#This Row],[N°  TOTAL TALADROS]]*BD_MO[[#This Row],[BARRA]]*0.95,"")</f>
        <v>91.199999999999989</v>
      </c>
      <c r="AQ422" s="403">
        <f>+IF(BD_MO[[#This Row],[N° VALE]]&lt;&gt;"",BD_MO[[#This Row],[EMULNOR 1000 (N° CART.)]]*PE_EMUL_1000[PE],"")</f>
        <v>3.9774000000000003</v>
      </c>
      <c r="AR422" s="403">
        <f>+IF(BD_MO[[#This Row],[N° VALE]]&lt;&gt;"",BD_MO[[#This Row],[EMULNOR 3000 (N° CART.)]]*PE_EMUL_3000[PE],"")</f>
        <v>3.846153846153848</v>
      </c>
      <c r="AS422" s="403">
        <f>+IF(BD_MO[[#This Row],[N° VALE]]&lt;&gt;"",BD_MO[[#This Row],[PULVERULENTA (N° CART.)]]*PE_PULV_65[PE],"")</f>
        <v>0</v>
      </c>
      <c r="AT422" s="403">
        <f>+IF(BD_MO[[#This Row],[N° DISP]]&lt;&gt;"",BD_MO[[#This Row],[SEMIGELATINA (N° CART.)]]*PE_SEMIGEL_65[PE],"")</f>
        <v>0</v>
      </c>
      <c r="AU422" s="403">
        <f>+IF(BD_MO[N° VALE]&lt;&gt;"",BD_MO[[#This Row],[KG EXPLO SEMIGEL]]+BD_MO[[#This Row],[KG EXPLO PULVE]]+BD_MO[[#This Row],[KG EXPLO EMULN 3000]]+BD_MO[[#This Row],[KG EXPLO EMULN 1000]],"")</f>
        <v>7.8235538461538479</v>
      </c>
      <c r="AV422" s="399"/>
      <c r="AW422" s="399"/>
      <c r="AX422" s="399" t="str">
        <f>+IF(BD_MO[[#This Row],[MINERAL (U-35)]]&lt;&gt;"",BD_MO[[#This Row],[MINERAL (U-35)]]*1.45,"-")</f>
        <v>-</v>
      </c>
      <c r="AY422" s="399" t="str">
        <f>+IF(BD_MO[[#This Row],[DESMONTE (U-35)]]&lt;&gt;"",BD_MO[[#This Row],[DESMONTE (U-35)]]*1.23,"-")</f>
        <v>-</v>
      </c>
      <c r="AZ422" s="399"/>
      <c r="BA422" s="399"/>
      <c r="BB422" s="399"/>
      <c r="BC422" s="399"/>
      <c r="BD422" s="399"/>
      <c r="BE422" s="399"/>
      <c r="BF422" s="399"/>
      <c r="BG422" s="399"/>
      <c r="BH422" s="399"/>
      <c r="BI422" s="399"/>
      <c r="BJ422" s="399"/>
      <c r="BK422" s="399"/>
      <c r="BL422" s="399"/>
      <c r="BM422" s="399"/>
      <c r="BN422" s="398"/>
      <c r="BO422" s="399"/>
      <c r="BP422" s="399"/>
      <c r="BQ422" s="398"/>
      <c r="BR422" s="399"/>
      <c r="BS422" s="398"/>
      <c r="BT422" s="403"/>
      <c r="BU422" s="399"/>
      <c r="BV422" s="399"/>
      <c r="BW422" s="399"/>
      <c r="BX422" s="399"/>
      <c r="BY422" s="399"/>
      <c r="BZ422" s="399"/>
      <c r="CA422" s="399"/>
      <c r="CB422" s="399"/>
      <c r="CC422" s="399"/>
      <c r="CD422" s="399"/>
      <c r="CE422" s="399"/>
      <c r="CF422" s="399"/>
      <c r="CG422" s="399"/>
      <c r="CH422" s="399"/>
      <c r="CI422" s="399"/>
      <c r="CJ422" s="399"/>
      <c r="CK422" s="399"/>
      <c r="CL422" s="399"/>
      <c r="CM422" s="399"/>
      <c r="CN422" s="399"/>
      <c r="CO422" s="399"/>
      <c r="CP422" s="403">
        <f>+IF(BD_MO[[#This Row],[FECHA]]&lt;&gt;"",BD_MO[[#This Row],[PUNTAL 4"]]+BD_MO[[#This Row],[PUNTAL 5"]]+BD_MO[[#This Row],[PUNTAL 6"]]+BD_MO[[#This Row],[PUNTAL 7"]]+BD_MO[[#This Row],[PUNTAL 8"]],"")</f>
        <v>0</v>
      </c>
      <c r="CQ422" s="399"/>
      <c r="CR422" s="399"/>
      <c r="CS422" s="399"/>
      <c r="CT422" s="399"/>
      <c r="CU422" s="399"/>
      <c r="CV422" s="399"/>
      <c r="CW422" s="399"/>
      <c r="CX422" s="399"/>
      <c r="CY422" s="403"/>
      <c r="CZ422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22" s="403">
        <f>+IF(BD_MO[[#This Row],[FECHA]]&lt;&gt;"",BD_MO[[#This Row],[DURMIENTE2]]*6.561+BD_MO[[#This Row],[LISTONES]]*4.921+BD_MO[[#This Row],[TABLA 1"x8"x3m]]*6.561+BD_MO[[#This Row],[TABLA 2"x8"x3m]]*13.122,"")</f>
        <v>0</v>
      </c>
      <c r="DB422" s="403">
        <f>+IF(BD_MO[[#This Row],[FECHA]]&lt;&gt;"",BD_MO[[#This Row],[PIE2 MADERA ASERRADA]]*1.95,"")</f>
        <v>0</v>
      </c>
      <c r="DC422" s="403">
        <f>+IF(BD_MO[[#This Row],[FECHA]]&lt;&gt;"",BD_MO[[#This Row],[KG. MADERA REDONDA]]+BD_MO[[#This Row],[KG MADERA ASERRADA]],"")</f>
        <v>0</v>
      </c>
      <c r="DD422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22" s="399"/>
      <c r="DF422" s="399"/>
      <c r="DG422" s="399"/>
      <c r="DH422" s="399"/>
      <c r="DI422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22" s="407"/>
      <c r="DK422" s="407"/>
      <c r="DL422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22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22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22" s="408">
        <v>5.1280000000000001</v>
      </c>
      <c r="DP422" s="407">
        <f>+IF(BD_MO[[#This Row],[M o D]]&lt;&gt;"",IF(BD_MO[[#This Row],[M o D]]="M",BD_MO[[#This Row],[ROTURA TMH]]/2.65,BD_MO[[#This Row],[ROTURA TMH]]/2.4),"")</f>
        <v>1.9350943396226417</v>
      </c>
      <c r="DQ422" s="407">
        <v>1.02</v>
      </c>
      <c r="DR422" s="116">
        <f>IF(BD_MO[[#This Row],[TIPO AVANCE]]="Avance",((BD_MO[[#This Row],[AVANCE (m)]]/BD_MO[[#This Row],[AVANCE TEÓRICO]]))," ")</f>
        <v>0.94444444444444442</v>
      </c>
      <c r="DS422" s="134"/>
      <c r="DT422" s="134"/>
      <c r="DU422" s="134"/>
      <c r="DV422" s="134"/>
      <c r="DW422" s="134"/>
      <c r="DX422" s="135"/>
      <c r="DY422" s="135"/>
      <c r="DZ422" s="135"/>
    </row>
    <row r="423" spans="1:130" s="136" customFormat="1" ht="18" customHeight="1" x14ac:dyDescent="0.25">
      <c r="A423" s="395">
        <v>44675</v>
      </c>
      <c r="B423" s="396" t="s">
        <v>10655</v>
      </c>
      <c r="C423" s="396" t="s">
        <v>10672</v>
      </c>
      <c r="D423" s="397" t="s">
        <v>12464</v>
      </c>
      <c r="E423" s="398" t="str">
        <f>LEFT(BD_MO[[#This Row],[LABOR]],2)</f>
        <v>Sn</v>
      </c>
      <c r="F423" s="399" t="s">
        <v>10950</v>
      </c>
      <c r="G423" s="399" t="s">
        <v>10648</v>
      </c>
      <c r="H423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23" s="387" t="str">
        <f>IF(BD_MO[FECHA]&lt;&gt;"",VLOOKUP(BD_MO[LABOR],TB_CECO[[LABOR]:[CECO_T]],3,FALSE),"")</f>
        <v>CACHORRO</v>
      </c>
      <c r="J423" s="387" t="str">
        <f>IF(BD_MO[FECHA]&lt;&gt;"",VLOOKUP(BD_MO[LABOR],D_CECO!B:H,7,FALSE),"")</f>
        <v>LINEAL</v>
      </c>
      <c r="K423" s="387" t="str">
        <f>IF(BD_MO[FECHA]&lt;&gt;"",VLOOKUP(BD_MO[LABOR],D_CECO!B:H,4,FALSE),"")</f>
        <v>PREPARACION</v>
      </c>
      <c r="L423" s="405"/>
      <c r="M423" s="396" t="s">
        <v>10646</v>
      </c>
      <c r="N423" s="399"/>
      <c r="O423" s="400" t="s">
        <v>12192</v>
      </c>
      <c r="P423" s="400" t="s">
        <v>12207</v>
      </c>
      <c r="Q423" s="400"/>
      <c r="R423" s="401"/>
      <c r="S423" s="402" t="str">
        <f>IFERROR(VLOOKUP(BD_MO[DNI 4],#REF!,2,FALSE)," ")</f>
        <v xml:space="preserve"> </v>
      </c>
      <c r="T423" s="403">
        <f>+IF(BD_MO[[#This Row],[FECHA]]&lt;&gt;"",COUNTA(BD_MO[[#This Row],[DNI]],BD_MO[[#This Row],[DNI 2]],BD_MO[[#This Row],[DNI 3]],BD_MO[[#This Row],[DNI 4]]),"")</f>
        <v>2</v>
      </c>
      <c r="U423" s="403">
        <v>0.76</v>
      </c>
      <c r="V423" s="403">
        <v>0.38</v>
      </c>
      <c r="W423" s="403">
        <v>0.28000000000000003</v>
      </c>
      <c r="X423" s="403">
        <v>0.57999999999999996</v>
      </c>
      <c r="Y423" s="404">
        <f>SUM(BD_MO[[#This Row],[LIMP]:[SERV]])</f>
        <v>2</v>
      </c>
      <c r="Z423" s="399" t="s">
        <v>12380</v>
      </c>
      <c r="AA423" s="399">
        <f>+IF(BD_MO[[#This Row],[N° VALE]]&lt;&gt;"",1,"")</f>
        <v>1</v>
      </c>
      <c r="AB423" s="396" t="s">
        <v>10659</v>
      </c>
      <c r="AC423" s="399">
        <v>4</v>
      </c>
      <c r="AD423" s="399">
        <f>+IF(BD_MO[[#This Row],[N° VALE]]&lt;&gt;"",BD_MO[[#This Row],[FULMINANTE N° 08]]+BD_MO[CARMEX 7''],"")</f>
        <v>10</v>
      </c>
      <c r="AE423" s="399">
        <v>4</v>
      </c>
      <c r="AF423" s="399">
        <f>+IF(BD_MO[[#This Row],[N° VALE]]&lt;&gt;"",BD_MO[[#This Row],[N° TALADROS]]+BD_MO[[#This Row],[N° TAL. VACIOS]],"")</f>
        <v>14</v>
      </c>
      <c r="AG423" s="405">
        <v>31</v>
      </c>
      <c r="AH423" s="405">
        <v>12</v>
      </c>
      <c r="AI423" s="405"/>
      <c r="AJ423" s="405"/>
      <c r="AK423" s="405">
        <v>10</v>
      </c>
      <c r="AL423" s="405">
        <v>1</v>
      </c>
      <c r="AM423" s="398"/>
      <c r="AN423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23" s="399">
        <f>+IF(BD_MO[[#This Row],[N° VALE]]&lt;&gt;"",IF(BD_MO[[#This Row],[FULMINANTE N° 08]]&lt;&gt;"",BD_MO[[#This Row],[FULMINANTE N° 08]],IF(BD_MO[[#This Row],[CARMEX 7'']]&lt;&gt;0,0,"")),"")</f>
        <v>0</v>
      </c>
      <c r="AP423" s="403">
        <f>+IF(BD_MO[[#This Row],[N° VALE]]&lt;&gt;"",BD_MO[[#This Row],[N°  TOTAL TALADROS]]*BD_MO[[#This Row],[BARRA]]*0.95,"")</f>
        <v>53.199999999999996</v>
      </c>
      <c r="AQ423" s="403">
        <f>+IF(BD_MO[[#This Row],[N° VALE]]&lt;&gt;"",BD_MO[[#This Row],[EMULNOR 1000 (N° CART.)]]*PE_EMUL_1000[PE],"")</f>
        <v>1.1364000000000001</v>
      </c>
      <c r="AR423" s="403">
        <f>+IF(BD_MO[[#This Row],[N° VALE]]&lt;&gt;"",BD_MO[[#This Row],[EMULNOR 3000 (N° CART.)]]*PE_EMUL_3000[PE],"")</f>
        <v>2.9807692307692322</v>
      </c>
      <c r="AS423" s="403">
        <f>+IF(BD_MO[[#This Row],[N° VALE]]&lt;&gt;"",BD_MO[[#This Row],[PULVERULENTA (N° CART.)]]*PE_PULV_65[PE],"")</f>
        <v>0</v>
      </c>
      <c r="AT423" s="403">
        <f>+IF(BD_MO[[#This Row],[N° DISP]]&lt;&gt;"",BD_MO[[#This Row],[SEMIGELATINA (N° CART.)]]*PE_SEMIGEL_65[PE],"")</f>
        <v>0</v>
      </c>
      <c r="AU423" s="403">
        <f>+IF(BD_MO[N° VALE]&lt;&gt;"",BD_MO[[#This Row],[KG EXPLO SEMIGEL]]+BD_MO[[#This Row],[KG EXPLO PULVE]]+BD_MO[[#This Row],[KG EXPLO EMULN 3000]]+BD_MO[[#This Row],[KG EXPLO EMULN 1000]],"")</f>
        <v>4.1171692307692318</v>
      </c>
      <c r="AV423" s="399"/>
      <c r="AW423" s="399"/>
      <c r="AX423" s="399" t="str">
        <f>+IF(BD_MO[[#This Row],[MINERAL (U-35)]]&lt;&gt;"",BD_MO[[#This Row],[MINERAL (U-35)]]*1.45,"-")</f>
        <v>-</v>
      </c>
      <c r="AY423" s="399" t="str">
        <f>+IF(BD_MO[[#This Row],[DESMONTE (U-35)]]&lt;&gt;"",BD_MO[[#This Row],[DESMONTE (U-35)]]*1.23,"-")</f>
        <v>-</v>
      </c>
      <c r="AZ423" s="399"/>
      <c r="BA423" s="399"/>
      <c r="BB423" s="399"/>
      <c r="BC423" s="399"/>
      <c r="BD423" s="399"/>
      <c r="BE423" s="399"/>
      <c r="BF423" s="399"/>
      <c r="BG423" s="399"/>
      <c r="BH423" s="399"/>
      <c r="BI423" s="399"/>
      <c r="BJ423" s="399"/>
      <c r="BK423" s="399"/>
      <c r="BL423" s="399"/>
      <c r="BM423" s="399"/>
      <c r="BN423" s="398"/>
      <c r="BO423" s="399"/>
      <c r="BP423" s="399"/>
      <c r="BQ423" s="398"/>
      <c r="BR423" s="399"/>
      <c r="BS423" s="398"/>
      <c r="BT423" s="403"/>
      <c r="BU423" s="399"/>
      <c r="BV423" s="399"/>
      <c r="BW423" s="399">
        <v>2</v>
      </c>
      <c r="BX423" s="399"/>
      <c r="BY423" s="399"/>
      <c r="BZ423" s="399"/>
      <c r="CA423" s="399"/>
      <c r="CB423" s="399"/>
      <c r="CC423" s="399"/>
      <c r="CD423" s="399"/>
      <c r="CE423" s="399"/>
      <c r="CF423" s="399"/>
      <c r="CG423" s="399"/>
      <c r="CH423" s="399"/>
      <c r="CI423" s="399"/>
      <c r="CJ423" s="399"/>
      <c r="CK423" s="399"/>
      <c r="CL423" s="399"/>
      <c r="CM423" s="399"/>
      <c r="CN423" s="399"/>
      <c r="CO423" s="399"/>
      <c r="CP423" s="403">
        <f>+IF(BD_MO[[#This Row],[FECHA]]&lt;&gt;"",BD_MO[[#This Row],[PUNTAL 4"]]+BD_MO[[#This Row],[PUNTAL 5"]]+BD_MO[[#This Row],[PUNTAL 6"]]+BD_MO[[#This Row],[PUNTAL 7"]]+BD_MO[[#This Row],[PUNTAL 8"]],"")</f>
        <v>0</v>
      </c>
      <c r="CQ423" s="399"/>
      <c r="CR423" s="399"/>
      <c r="CS423" s="399"/>
      <c r="CT423" s="399"/>
      <c r="CU423" s="399"/>
      <c r="CV423" s="399"/>
      <c r="CW423" s="399"/>
      <c r="CX423" s="399"/>
      <c r="CY423" s="403"/>
      <c r="CZ423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23" s="403">
        <f>+IF(BD_MO[[#This Row],[FECHA]]&lt;&gt;"",BD_MO[[#This Row],[DURMIENTE2]]*6.561+BD_MO[[#This Row],[LISTONES]]*4.921+BD_MO[[#This Row],[TABLA 1"x8"x3m]]*6.561+BD_MO[[#This Row],[TABLA 2"x8"x3m]]*13.122,"")</f>
        <v>0</v>
      </c>
      <c r="DB423" s="403">
        <f>+IF(BD_MO[[#This Row],[FECHA]]&lt;&gt;"",BD_MO[[#This Row],[PIE2 MADERA ASERRADA]]*1.95,"")</f>
        <v>0</v>
      </c>
      <c r="DC423" s="403">
        <f>+IF(BD_MO[[#This Row],[FECHA]]&lt;&gt;"",BD_MO[[#This Row],[KG. MADERA REDONDA]]+BD_MO[[#This Row],[KG MADERA ASERRADA]],"")</f>
        <v>0</v>
      </c>
      <c r="DD423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23" s="399"/>
      <c r="DF423" s="399"/>
      <c r="DG423" s="399"/>
      <c r="DH423" s="399"/>
      <c r="DI423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23" s="407"/>
      <c r="DK423" s="407"/>
      <c r="DL423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23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23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23" s="408">
        <v>4.83</v>
      </c>
      <c r="DP423" s="407">
        <f>+IF(BD_MO[[#This Row],[M o D]]&lt;&gt;"",IF(BD_MO[[#This Row],[M o D]]="M",BD_MO[[#This Row],[ROTURA TMH]]/2.65,BD_MO[[#This Row],[ROTURA TMH]]/2.4),"")</f>
        <v>1.8226415094339623</v>
      </c>
      <c r="DQ423" s="407">
        <v>0.74</v>
      </c>
      <c r="DR423" s="116">
        <f>IF(BD_MO[[#This Row],[TIPO AVANCE]]="Avance",((BD_MO[[#This Row],[AVANCE (m)]]/BD_MO[[#This Row],[AVANCE TEÓRICO]]))," ")</f>
        <v>0.68518518518518512</v>
      </c>
      <c r="DS423" s="134"/>
      <c r="DT423" s="134"/>
      <c r="DU423" s="134"/>
      <c r="DV423" s="134"/>
      <c r="DW423" s="134"/>
      <c r="DX423" s="135"/>
      <c r="DY423" s="135"/>
      <c r="DZ423" s="135"/>
    </row>
    <row r="424" spans="1:130" s="136" customFormat="1" ht="18" customHeight="1" x14ac:dyDescent="0.25">
      <c r="A424" s="92">
        <v>44675</v>
      </c>
      <c r="B424" s="396" t="s">
        <v>10655</v>
      </c>
      <c r="C424" s="396" t="s">
        <v>10672</v>
      </c>
      <c r="D424" s="397" t="s">
        <v>12339</v>
      </c>
      <c r="E424" s="398" t="str">
        <f>LEFT(BD_MO[[#This Row],[LABOR]],2)</f>
        <v>Tj</v>
      </c>
      <c r="F424" s="399"/>
      <c r="G424" s="399" t="s">
        <v>10662</v>
      </c>
      <c r="H424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424" s="383" t="str">
        <f>IF(BD_MO[FECHA]&lt;&gt;"",VLOOKUP(BD_MO[LABOR],TB_CECO[[LABOR]:[CECO_T]],3,FALSE),"")</f>
        <v>ESCONDIDA</v>
      </c>
      <c r="J424" s="383" t="str">
        <f>IF(BD_MO[FECHA]&lt;&gt;"",VLOOKUP(BD_MO[LABOR],D_CECO!B:H,7,FALSE),"")</f>
        <v>TAJO</v>
      </c>
      <c r="K424" s="383" t="str">
        <f>IF(BD_MO[FECHA]&lt;&gt;"",VLOOKUP(BD_MO[LABOR],D_CECO!B:H,4,FALSE),"")</f>
        <v>EXPLOTACION</v>
      </c>
      <c r="L424" s="398"/>
      <c r="M424" s="396"/>
      <c r="N424" s="399"/>
      <c r="O424" s="400" t="s">
        <v>12233</v>
      </c>
      <c r="P424" s="400" t="s">
        <v>12197</v>
      </c>
      <c r="Q424" s="400"/>
      <c r="R424" s="401"/>
      <c r="S424" s="402" t="str">
        <f>IFERROR(VLOOKUP(BD_MO[DNI 4],#REF!,2,FALSE)," ")</f>
        <v xml:space="preserve"> </v>
      </c>
      <c r="T424" s="403">
        <f>+IF(BD_MO[[#This Row],[FECHA]]&lt;&gt;"",COUNTA(BD_MO[[#This Row],[DNI]],BD_MO[[#This Row],[DNI 2]],BD_MO[[#This Row],[DNI 3]],BD_MO[[#This Row],[DNI 4]]),"")</f>
        <v>2</v>
      </c>
      <c r="U424" s="403">
        <v>0.38</v>
      </c>
      <c r="V424" s="403"/>
      <c r="W424" s="403">
        <v>1.04</v>
      </c>
      <c r="X424" s="403">
        <v>0.57999999999999996</v>
      </c>
      <c r="Y424" s="404">
        <f>SUM(BD_MO[[#This Row],[LIMP]:[SERV]])</f>
        <v>2</v>
      </c>
      <c r="Z424" s="399"/>
      <c r="AA424" s="399" t="str">
        <f>+IF(BD_MO[[#This Row],[N° VALE]]&lt;&gt;"",1,"")</f>
        <v/>
      </c>
      <c r="AB424" s="396"/>
      <c r="AC424" s="399"/>
      <c r="AD424" s="399" t="str">
        <f>+IF(BD_MO[[#This Row],[N° VALE]]&lt;&gt;"",BD_MO[[#This Row],[FULMINANTE N° 08]]+BD_MO[CARMEX 7''],"")</f>
        <v/>
      </c>
      <c r="AE424" s="399"/>
      <c r="AF424" s="399" t="str">
        <f>+IF(BD_MO[[#This Row],[N° VALE]]&lt;&gt;"",BD_MO[[#This Row],[N° TALADROS]]+BD_MO[[#This Row],[N° TAL. VACIOS]],"")</f>
        <v/>
      </c>
      <c r="AG424" s="405"/>
      <c r="AH424" s="405"/>
      <c r="AI424" s="405"/>
      <c r="AJ424" s="405"/>
      <c r="AK424" s="405"/>
      <c r="AL424" s="405"/>
      <c r="AM424" s="398"/>
      <c r="AN424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24" s="399" t="str">
        <f>+IF(BD_MO[[#This Row],[N° VALE]]&lt;&gt;"",IF(BD_MO[[#This Row],[FULMINANTE N° 08]]&lt;&gt;"",BD_MO[[#This Row],[FULMINANTE N° 08]],IF(BD_MO[[#This Row],[CARMEX 7'']]&lt;&gt;0,0,"")),"")</f>
        <v/>
      </c>
      <c r="AP424" s="403" t="str">
        <f>+IF(BD_MO[[#This Row],[N° VALE]]&lt;&gt;"",BD_MO[[#This Row],[N°  TOTAL TALADROS]]*BD_MO[[#This Row],[BARRA]]*0.95,"")</f>
        <v/>
      </c>
      <c r="AQ424" s="403" t="str">
        <f>+IF(BD_MO[[#This Row],[N° VALE]]&lt;&gt;"",BD_MO[[#This Row],[EMULNOR 1000 (N° CART.)]]*PE_EMUL_1000[PE],"")</f>
        <v/>
      </c>
      <c r="AR424" s="403" t="str">
        <f>+IF(BD_MO[[#This Row],[N° VALE]]&lt;&gt;"",BD_MO[[#This Row],[EMULNOR 3000 (N° CART.)]]*PE_EMUL_3000[PE],"")</f>
        <v/>
      </c>
      <c r="AS424" s="403" t="str">
        <f>+IF(BD_MO[[#This Row],[N° VALE]]&lt;&gt;"",BD_MO[[#This Row],[PULVERULENTA (N° CART.)]]*PE_PULV_65[PE],"")</f>
        <v/>
      </c>
      <c r="AT424" s="403" t="str">
        <f>+IF(BD_MO[[#This Row],[N° DISP]]&lt;&gt;"",BD_MO[[#This Row],[SEMIGELATINA (N° CART.)]]*PE_SEMIGEL_65[PE],"")</f>
        <v/>
      </c>
      <c r="AU424" s="403" t="str">
        <f>+IF(BD_MO[N° VALE]&lt;&gt;"",BD_MO[[#This Row],[KG EXPLO SEMIGEL]]+BD_MO[[#This Row],[KG EXPLO PULVE]]+BD_MO[[#This Row],[KG EXPLO EMULN 3000]]+BD_MO[[#This Row],[KG EXPLO EMULN 1000]],"")</f>
        <v/>
      </c>
      <c r="AV424" s="399"/>
      <c r="AW424" s="399">
        <v>5</v>
      </c>
      <c r="AX424" s="399" t="str">
        <f>+IF(BD_MO[[#This Row],[MINERAL (U-35)]]&lt;&gt;"",BD_MO[[#This Row],[MINERAL (U-35)]]*1.45,"-")</f>
        <v>-</v>
      </c>
      <c r="AY424" s="399">
        <f>+IF(BD_MO[[#This Row],[DESMONTE (U-35)]]&lt;&gt;"",BD_MO[[#This Row],[DESMONTE (U-35)]]*1.23,"-")</f>
        <v>6.15</v>
      </c>
      <c r="AZ424" s="399"/>
      <c r="BA424" s="399">
        <v>1</v>
      </c>
      <c r="BB424" s="399"/>
      <c r="BC424" s="399"/>
      <c r="BD424" s="399"/>
      <c r="BE424" s="399"/>
      <c r="BF424" s="399"/>
      <c r="BG424" s="399"/>
      <c r="BH424" s="399"/>
      <c r="BI424" s="399"/>
      <c r="BJ424" s="399">
        <v>1</v>
      </c>
      <c r="BK424" s="399"/>
      <c r="BL424" s="399"/>
      <c r="BM424" s="399"/>
      <c r="BN424" s="398"/>
      <c r="BO424" s="399">
        <v>2</v>
      </c>
      <c r="BP424" s="399"/>
      <c r="BQ424" s="398"/>
      <c r="BR424" s="399"/>
      <c r="BS424" s="398"/>
      <c r="BT424" s="403"/>
      <c r="BU424" s="399"/>
      <c r="BV424" s="399"/>
      <c r="BW424" s="399"/>
      <c r="BX424" s="399"/>
      <c r="BY424" s="399"/>
      <c r="BZ424" s="399"/>
      <c r="CA424" s="399"/>
      <c r="CB424" s="399"/>
      <c r="CC424" s="399"/>
      <c r="CD424" s="399"/>
      <c r="CE424" s="399"/>
      <c r="CF424" s="399"/>
      <c r="CG424" s="399"/>
      <c r="CH424" s="399"/>
      <c r="CI424" s="399"/>
      <c r="CJ424" s="399"/>
      <c r="CK424" s="399"/>
      <c r="CL424" s="399">
        <v>2</v>
      </c>
      <c r="CM424" s="399">
        <v>4</v>
      </c>
      <c r="CN424" s="399">
        <v>3</v>
      </c>
      <c r="CO424" s="399"/>
      <c r="CP424" s="403">
        <f>+IF(BD_MO[[#This Row],[FECHA]]&lt;&gt;"",BD_MO[[#This Row],[PUNTAL 4"]]+BD_MO[[#This Row],[PUNTAL 5"]]+BD_MO[[#This Row],[PUNTAL 6"]]+BD_MO[[#This Row],[PUNTAL 7"]]+BD_MO[[#This Row],[PUNTAL 8"]],"")</f>
        <v>9</v>
      </c>
      <c r="CQ424" s="399"/>
      <c r="CR424" s="399"/>
      <c r="CS424" s="399">
        <v>10</v>
      </c>
      <c r="CT424" s="399"/>
      <c r="CU424" s="399"/>
      <c r="CV424" s="399"/>
      <c r="CW424" s="399"/>
      <c r="CX424" s="399"/>
      <c r="CY424" s="403"/>
      <c r="CZ424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671.05899999999997</v>
      </c>
      <c r="DA424" s="403">
        <f>+IF(BD_MO[[#This Row],[FECHA]]&lt;&gt;"",BD_MO[[#This Row],[DURMIENTE2]]*6.561+BD_MO[[#This Row],[LISTONES]]*4.921+BD_MO[[#This Row],[TABLA 1"x8"x3m]]*6.561+BD_MO[[#This Row],[TABLA 2"x8"x3m]]*13.122,"")</f>
        <v>0</v>
      </c>
      <c r="DB424" s="403">
        <f>+IF(BD_MO[[#This Row],[FECHA]]&lt;&gt;"",BD_MO[[#This Row],[PIE2 MADERA ASERRADA]]*1.95,"")</f>
        <v>0</v>
      </c>
      <c r="DC424" s="403">
        <f>+IF(BD_MO[[#This Row],[FECHA]]&lt;&gt;"",BD_MO[[#This Row],[KG. MADERA REDONDA]]+BD_MO[[#This Row],[KG MADERA ASERRADA]],"")</f>
        <v>671.05899999999997</v>
      </c>
      <c r="DD424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283.10000000000002</v>
      </c>
      <c r="DE424" s="399"/>
      <c r="DF424" s="399"/>
      <c r="DG424" s="399"/>
      <c r="DH424" s="399"/>
      <c r="DI424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24" s="407"/>
      <c r="DK424" s="407"/>
      <c r="DL424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24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24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24" s="408"/>
      <c r="DP424" s="407" t="str">
        <f>+IF(BD_MO[[#This Row],[M o D]]&lt;&gt;"",IF(BD_MO[[#This Row],[M o D]]="M",BD_MO[[#This Row],[ROTURA TMH]]/2.65,BD_MO[[#This Row],[ROTURA TMH]]/2.4),"")</f>
        <v/>
      </c>
      <c r="DQ424" s="407"/>
      <c r="DR424" s="116" t="str">
        <f>IF(BD_MO[[#This Row],[TIPO AVANCE]]="Avance",((BD_MO[[#This Row],[AVANCE (m)]]/BD_MO[[#This Row],[AVANCE TEÓRICO]]))," ")</f>
        <v xml:space="preserve"> </v>
      </c>
      <c r="DS424" s="134"/>
      <c r="DT424" s="134"/>
      <c r="DU424" s="134"/>
      <c r="DV424" s="134"/>
      <c r="DW424" s="134"/>
      <c r="DX424" s="135"/>
      <c r="DY424" s="135"/>
      <c r="DZ424" s="135"/>
    </row>
    <row r="425" spans="1:130" s="136" customFormat="1" ht="18" customHeight="1" x14ac:dyDescent="0.25">
      <c r="A425" s="92">
        <v>44675</v>
      </c>
      <c r="B425" s="396" t="s">
        <v>10655</v>
      </c>
      <c r="C425" s="396" t="s">
        <v>10672</v>
      </c>
      <c r="D425" s="397" t="s">
        <v>11872</v>
      </c>
      <c r="E425" s="398" t="str">
        <f>LEFT(BD_MO[[#This Row],[LABOR]],2)</f>
        <v>PQ</v>
      </c>
      <c r="F425" s="399"/>
      <c r="G425" s="399" t="s">
        <v>10669</v>
      </c>
      <c r="H425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25" s="383" t="str">
        <f>IF(BD_MO[FECHA]&lt;&gt;"",VLOOKUP(BD_MO[LABOR],TB_CECO[[LABOR]:[CECO_T]],3,FALSE),"")</f>
        <v>ANDREA</v>
      </c>
      <c r="J425" s="383" t="str">
        <f>IF(BD_MO[FECHA]&lt;&gt;"",VLOOKUP(BD_MO[LABOR],D_CECO!B:H,7,FALSE),"")</f>
        <v>LINEAL</v>
      </c>
      <c r="K425" s="383" t="str">
        <f>IF(BD_MO[FECHA]&lt;&gt;"",VLOOKUP(BD_MO[LABOR],D_CECO!B:H,4,FALSE),"")</f>
        <v>EXPLOTACION</v>
      </c>
      <c r="L425" s="398"/>
      <c r="M425" s="396"/>
      <c r="N425" s="399"/>
      <c r="O425" s="400" t="s">
        <v>12199</v>
      </c>
      <c r="P425" s="400" t="s">
        <v>12220</v>
      </c>
      <c r="Q425" s="400" t="s">
        <v>12323</v>
      </c>
      <c r="R425" s="401"/>
      <c r="S425" s="402" t="str">
        <f>IFERROR(VLOOKUP(BD_MO[DNI 4],#REF!,2,FALSE)," ")</f>
        <v xml:space="preserve"> </v>
      </c>
      <c r="T425" s="403">
        <f>+IF(BD_MO[[#This Row],[FECHA]]&lt;&gt;"",COUNTA(BD_MO[[#This Row],[DNI]],BD_MO[[#This Row],[DNI 2]],BD_MO[[#This Row],[DNI 3]],BD_MO[[#This Row],[DNI 4]]),"")</f>
        <v>3</v>
      </c>
      <c r="U425" s="403"/>
      <c r="V425" s="403"/>
      <c r="W425" s="403"/>
      <c r="X425" s="403">
        <v>3</v>
      </c>
      <c r="Y425" s="404">
        <f>SUM(BD_MO[[#This Row],[LIMP]:[SERV]])</f>
        <v>3</v>
      </c>
      <c r="Z425" s="399"/>
      <c r="AA425" s="399" t="str">
        <f>+IF(BD_MO[[#This Row],[N° VALE]]&lt;&gt;"",1,"")</f>
        <v/>
      </c>
      <c r="AB425" s="396"/>
      <c r="AC425" s="399"/>
      <c r="AD425" s="399" t="str">
        <f>+IF(BD_MO[[#This Row],[N° VALE]]&lt;&gt;"",BD_MO[[#This Row],[FULMINANTE N° 08]]+BD_MO[CARMEX 7''],"")</f>
        <v/>
      </c>
      <c r="AE425" s="399"/>
      <c r="AF425" s="399" t="str">
        <f>+IF(BD_MO[[#This Row],[N° VALE]]&lt;&gt;"",BD_MO[[#This Row],[N° TALADROS]]+BD_MO[[#This Row],[N° TAL. VACIOS]],"")</f>
        <v/>
      </c>
      <c r="AG425" s="405"/>
      <c r="AH425" s="405"/>
      <c r="AI425" s="405"/>
      <c r="AJ425" s="405"/>
      <c r="AK425" s="405"/>
      <c r="AL425" s="405"/>
      <c r="AM425" s="398"/>
      <c r="AN425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25" s="399" t="str">
        <f>+IF(BD_MO[[#This Row],[N° VALE]]&lt;&gt;"",IF(BD_MO[[#This Row],[FULMINANTE N° 08]]&lt;&gt;"",BD_MO[[#This Row],[FULMINANTE N° 08]],IF(BD_MO[[#This Row],[CARMEX 7'']]&lt;&gt;0,0,"")),"")</f>
        <v/>
      </c>
      <c r="AP425" s="403" t="str">
        <f>+IF(BD_MO[[#This Row],[N° VALE]]&lt;&gt;"",BD_MO[[#This Row],[N°  TOTAL TALADROS]]*BD_MO[[#This Row],[BARRA]]*0.95,"")</f>
        <v/>
      </c>
      <c r="AQ425" s="403" t="str">
        <f>+IF(BD_MO[[#This Row],[N° VALE]]&lt;&gt;"",BD_MO[[#This Row],[EMULNOR 1000 (N° CART.)]]*PE_EMUL_1000[PE],"")</f>
        <v/>
      </c>
      <c r="AR425" s="403" t="str">
        <f>+IF(BD_MO[[#This Row],[N° VALE]]&lt;&gt;"",BD_MO[[#This Row],[EMULNOR 3000 (N° CART.)]]*PE_EMUL_3000[PE],"")</f>
        <v/>
      </c>
      <c r="AS425" s="403" t="str">
        <f>+IF(BD_MO[[#This Row],[N° VALE]]&lt;&gt;"",BD_MO[[#This Row],[PULVERULENTA (N° CART.)]]*PE_PULV_65[PE],"")</f>
        <v/>
      </c>
      <c r="AT425" s="403" t="str">
        <f>+IF(BD_MO[[#This Row],[N° DISP]]&lt;&gt;"",BD_MO[[#This Row],[SEMIGELATINA (N° CART.)]]*PE_SEMIGEL_65[PE],"")</f>
        <v/>
      </c>
      <c r="AU425" s="403" t="str">
        <f>+IF(BD_MO[N° VALE]&lt;&gt;"",BD_MO[[#This Row],[KG EXPLO SEMIGEL]]+BD_MO[[#This Row],[KG EXPLO PULVE]]+BD_MO[[#This Row],[KG EXPLO EMULN 3000]]+BD_MO[[#This Row],[KG EXPLO EMULN 1000]],"")</f>
        <v/>
      </c>
      <c r="AV425" s="399"/>
      <c r="AW425" s="399"/>
      <c r="AX425" s="399" t="str">
        <f>+IF(BD_MO[[#This Row],[MINERAL (U-35)]]&lt;&gt;"",BD_MO[[#This Row],[MINERAL (U-35)]]*1.45,"-")</f>
        <v>-</v>
      </c>
      <c r="AY425" s="399" t="str">
        <f>+IF(BD_MO[[#This Row],[DESMONTE (U-35)]]&lt;&gt;"",BD_MO[[#This Row],[DESMONTE (U-35)]]*1.23,"-")</f>
        <v>-</v>
      </c>
      <c r="AZ425" s="399"/>
      <c r="BA425" s="399"/>
      <c r="BB425" s="399"/>
      <c r="BC425" s="399"/>
      <c r="BD425" s="399"/>
      <c r="BE425" s="399"/>
      <c r="BF425" s="399"/>
      <c r="BG425" s="399"/>
      <c r="BH425" s="399"/>
      <c r="BI425" s="399"/>
      <c r="BJ425" s="399"/>
      <c r="BK425" s="399"/>
      <c r="BL425" s="399"/>
      <c r="BM425" s="399"/>
      <c r="BN425" s="398"/>
      <c r="BO425" s="399"/>
      <c r="BP425" s="399"/>
      <c r="BQ425" s="398"/>
      <c r="BR425" s="399"/>
      <c r="BS425" s="398"/>
      <c r="BT425" s="403"/>
      <c r="BU425" s="399"/>
      <c r="BV425" s="399"/>
      <c r="BW425" s="399"/>
      <c r="BX425" s="399"/>
      <c r="BY425" s="399"/>
      <c r="BZ425" s="399"/>
      <c r="CA425" s="399"/>
      <c r="CB425" s="399"/>
      <c r="CC425" s="399"/>
      <c r="CD425" s="399"/>
      <c r="CE425" s="399"/>
      <c r="CF425" s="399"/>
      <c r="CG425" s="399"/>
      <c r="CH425" s="399"/>
      <c r="CI425" s="399"/>
      <c r="CJ425" s="399"/>
      <c r="CK425" s="399"/>
      <c r="CL425" s="399"/>
      <c r="CM425" s="399"/>
      <c r="CN425" s="399"/>
      <c r="CO425" s="399"/>
      <c r="CP425" s="403">
        <f>+IF(BD_MO[[#This Row],[FECHA]]&lt;&gt;"",BD_MO[[#This Row],[PUNTAL 4"]]+BD_MO[[#This Row],[PUNTAL 5"]]+BD_MO[[#This Row],[PUNTAL 6"]]+BD_MO[[#This Row],[PUNTAL 7"]]+BD_MO[[#This Row],[PUNTAL 8"]],"")</f>
        <v>0</v>
      </c>
      <c r="CQ425" s="399"/>
      <c r="CR425" s="399"/>
      <c r="CS425" s="399"/>
      <c r="CT425" s="399"/>
      <c r="CU425" s="399"/>
      <c r="CV425" s="399"/>
      <c r="CW425" s="399"/>
      <c r="CX425" s="399"/>
      <c r="CY425" s="403"/>
      <c r="CZ425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25" s="403">
        <f>+IF(BD_MO[[#This Row],[FECHA]]&lt;&gt;"",BD_MO[[#This Row],[DURMIENTE2]]*6.561+BD_MO[[#This Row],[LISTONES]]*4.921+BD_MO[[#This Row],[TABLA 1"x8"x3m]]*6.561+BD_MO[[#This Row],[TABLA 2"x8"x3m]]*13.122,"")</f>
        <v>0</v>
      </c>
      <c r="DB425" s="403">
        <f>+IF(BD_MO[[#This Row],[FECHA]]&lt;&gt;"",BD_MO[[#This Row],[PIE2 MADERA ASERRADA]]*1.95,"")</f>
        <v>0</v>
      </c>
      <c r="DC425" s="403">
        <f>+IF(BD_MO[[#This Row],[FECHA]]&lt;&gt;"",BD_MO[[#This Row],[KG. MADERA REDONDA]]+BD_MO[[#This Row],[KG MADERA ASERRADA]],"")</f>
        <v>0</v>
      </c>
      <c r="DD425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25" s="399"/>
      <c r="DF425" s="399"/>
      <c r="DG425" s="399" t="s">
        <v>12238</v>
      </c>
      <c r="DH425" s="399">
        <v>8</v>
      </c>
      <c r="DI425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25" s="407"/>
      <c r="DK425" s="407"/>
      <c r="DL425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25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25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25" s="408"/>
      <c r="DP425" s="407" t="str">
        <f>+IF(BD_MO[[#This Row],[M o D]]&lt;&gt;"",IF(BD_MO[[#This Row],[M o D]]="M",BD_MO[[#This Row],[ROTURA TMH]]/2.65,BD_MO[[#This Row],[ROTURA TMH]]/2.4),"")</f>
        <v/>
      </c>
      <c r="DQ425" s="407"/>
      <c r="DR425" s="116" t="str">
        <f>IF(BD_MO[[#This Row],[TIPO AVANCE]]="Avance",((BD_MO[[#This Row],[AVANCE (m)]]/BD_MO[[#This Row],[AVANCE TEÓRICO]]))," ")</f>
        <v xml:space="preserve"> </v>
      </c>
      <c r="DS425" s="134"/>
      <c r="DT425" s="134"/>
      <c r="DU425" s="134"/>
      <c r="DV425" s="134"/>
      <c r="DW425" s="134"/>
      <c r="DX425" s="135"/>
      <c r="DY425" s="135"/>
      <c r="DZ425" s="135"/>
    </row>
    <row r="426" spans="1:130" s="136" customFormat="1" ht="18" customHeight="1" x14ac:dyDescent="0.25">
      <c r="A426" s="395">
        <v>44675</v>
      </c>
      <c r="B426" s="396" t="s">
        <v>10655</v>
      </c>
      <c r="C426" s="396" t="s">
        <v>10672</v>
      </c>
      <c r="D426" s="397" t="s">
        <v>10952</v>
      </c>
      <c r="E426" s="398" t="str">
        <f>LEFT(BD_MO[[#This Row],[LABOR]],2)</f>
        <v>In</v>
      </c>
      <c r="F426" s="399"/>
      <c r="G426" s="399" t="s">
        <v>10669</v>
      </c>
      <c r="H426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26" s="383" t="str">
        <f>IF(BD_MO[FECHA]&lt;&gt;"",VLOOKUP(BD_MO[LABOR],TB_CECO[[LABOR]:[CECO_T]],3,FALSE),"")</f>
        <v>VANESSA</v>
      </c>
      <c r="J426" s="383" t="str">
        <f>IF(BD_MO[FECHA]&lt;&gt;"",VLOOKUP(BD_MO[LABOR],D_CECO!B:H,7,FALSE),"")</f>
        <v>LINEAL</v>
      </c>
      <c r="K426" s="383" t="str">
        <f>IF(BD_MO[FECHA]&lt;&gt;"",VLOOKUP(BD_MO[LABOR],D_CECO!B:H,4,FALSE),"")</f>
        <v>EXPLORACION</v>
      </c>
      <c r="L426" s="398"/>
      <c r="M426" s="396"/>
      <c r="N426" s="399"/>
      <c r="O426" s="400" t="s">
        <v>12198</v>
      </c>
      <c r="P426" s="400" t="s">
        <v>12373</v>
      </c>
      <c r="Q426" s="400"/>
      <c r="R426" s="401"/>
      <c r="S426" s="402" t="str">
        <f>IFERROR(VLOOKUP(BD_MO[DNI 4],#REF!,2,FALSE)," ")</f>
        <v xml:space="preserve"> </v>
      </c>
      <c r="T426" s="403">
        <f>+IF(BD_MO[[#This Row],[FECHA]]&lt;&gt;"",COUNTA(BD_MO[[#This Row],[DNI]],BD_MO[[#This Row],[DNI 2]],BD_MO[[#This Row],[DNI 3]],BD_MO[[#This Row],[DNI 4]]),"")</f>
        <v>2</v>
      </c>
      <c r="U426" s="403"/>
      <c r="V426" s="403"/>
      <c r="W426" s="403"/>
      <c r="X426" s="403">
        <v>2</v>
      </c>
      <c r="Y426" s="404">
        <f>SUM(BD_MO[[#This Row],[LIMP]:[SERV]])</f>
        <v>2</v>
      </c>
      <c r="Z426" s="399"/>
      <c r="AA426" s="399" t="str">
        <f>+IF(BD_MO[[#This Row],[N° VALE]]&lt;&gt;"",1,"")</f>
        <v/>
      </c>
      <c r="AB426" s="396"/>
      <c r="AC426" s="399"/>
      <c r="AD426" s="399" t="str">
        <f>+IF(BD_MO[[#This Row],[N° VALE]]&lt;&gt;"",BD_MO[[#This Row],[FULMINANTE N° 08]]+BD_MO[CARMEX 7''],"")</f>
        <v/>
      </c>
      <c r="AE426" s="399"/>
      <c r="AF426" s="399" t="str">
        <f>+IF(BD_MO[[#This Row],[N° VALE]]&lt;&gt;"",BD_MO[[#This Row],[N° TALADROS]]+BD_MO[[#This Row],[N° TAL. VACIOS]],"")</f>
        <v/>
      </c>
      <c r="AG426" s="405"/>
      <c r="AH426" s="405"/>
      <c r="AI426" s="405"/>
      <c r="AJ426" s="405"/>
      <c r="AK426" s="405"/>
      <c r="AL426" s="405"/>
      <c r="AM426" s="398"/>
      <c r="AN426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26" s="399" t="str">
        <f>+IF(BD_MO[[#This Row],[N° VALE]]&lt;&gt;"",IF(BD_MO[[#This Row],[FULMINANTE N° 08]]&lt;&gt;"",BD_MO[[#This Row],[FULMINANTE N° 08]],IF(BD_MO[[#This Row],[CARMEX 7'']]&lt;&gt;0,0,"")),"")</f>
        <v/>
      </c>
      <c r="AP426" s="403" t="str">
        <f>+IF(BD_MO[[#This Row],[N° VALE]]&lt;&gt;"",BD_MO[[#This Row],[N°  TOTAL TALADROS]]*BD_MO[[#This Row],[BARRA]]*0.95,"")</f>
        <v/>
      </c>
      <c r="AQ426" s="403" t="str">
        <f>+IF(BD_MO[[#This Row],[N° VALE]]&lt;&gt;"",BD_MO[[#This Row],[EMULNOR 1000 (N° CART.)]]*PE_EMUL_1000[PE],"")</f>
        <v/>
      </c>
      <c r="AR426" s="403" t="str">
        <f>+IF(BD_MO[[#This Row],[N° VALE]]&lt;&gt;"",BD_MO[[#This Row],[EMULNOR 3000 (N° CART.)]]*PE_EMUL_3000[PE],"")</f>
        <v/>
      </c>
      <c r="AS426" s="403" t="str">
        <f>+IF(BD_MO[[#This Row],[N° VALE]]&lt;&gt;"",BD_MO[[#This Row],[PULVERULENTA (N° CART.)]]*PE_PULV_65[PE],"")</f>
        <v/>
      </c>
      <c r="AT426" s="403" t="str">
        <f>+IF(BD_MO[[#This Row],[N° DISP]]&lt;&gt;"",BD_MO[[#This Row],[SEMIGELATINA (N° CART.)]]*PE_SEMIGEL_65[PE],"")</f>
        <v/>
      </c>
      <c r="AU426" s="403" t="str">
        <f>+IF(BD_MO[N° VALE]&lt;&gt;"",BD_MO[[#This Row],[KG EXPLO SEMIGEL]]+BD_MO[[#This Row],[KG EXPLO PULVE]]+BD_MO[[#This Row],[KG EXPLO EMULN 3000]]+BD_MO[[#This Row],[KG EXPLO EMULN 1000]],"")</f>
        <v/>
      </c>
      <c r="AV426" s="399"/>
      <c r="AW426" s="399"/>
      <c r="AX426" s="399" t="str">
        <f>+IF(BD_MO[[#This Row],[MINERAL (U-35)]]&lt;&gt;"",BD_MO[[#This Row],[MINERAL (U-35)]]*1.45,"-")</f>
        <v>-</v>
      </c>
      <c r="AY426" s="399" t="str">
        <f>+IF(BD_MO[[#This Row],[DESMONTE (U-35)]]&lt;&gt;"",BD_MO[[#This Row],[DESMONTE (U-35)]]*1.23,"-")</f>
        <v>-</v>
      </c>
      <c r="AZ426" s="399"/>
      <c r="BA426" s="399"/>
      <c r="BB426" s="399"/>
      <c r="BC426" s="399"/>
      <c r="BD426" s="399"/>
      <c r="BE426" s="399"/>
      <c r="BF426" s="399"/>
      <c r="BG426" s="399"/>
      <c r="BH426" s="399"/>
      <c r="BI426" s="399"/>
      <c r="BJ426" s="399"/>
      <c r="BK426" s="399"/>
      <c r="BL426" s="399"/>
      <c r="BM426" s="399"/>
      <c r="BN426" s="398"/>
      <c r="BO426" s="399"/>
      <c r="BP426" s="399"/>
      <c r="BQ426" s="398"/>
      <c r="BR426" s="399"/>
      <c r="BS426" s="398"/>
      <c r="BT426" s="403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399"/>
      <c r="CP426" s="403">
        <f>+IF(BD_MO[[#This Row],[FECHA]]&lt;&gt;"",BD_MO[[#This Row],[PUNTAL 4"]]+BD_MO[[#This Row],[PUNTAL 5"]]+BD_MO[[#This Row],[PUNTAL 6"]]+BD_MO[[#This Row],[PUNTAL 7"]]+BD_MO[[#This Row],[PUNTAL 8"]],"")</f>
        <v>0</v>
      </c>
      <c r="CQ426" s="399"/>
      <c r="CR426" s="399"/>
      <c r="CS426" s="399"/>
      <c r="CT426" s="399"/>
      <c r="CU426" s="399"/>
      <c r="CV426" s="399"/>
      <c r="CW426" s="399"/>
      <c r="CX426" s="399"/>
      <c r="CY426" s="403"/>
      <c r="CZ426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26" s="403">
        <f>+IF(BD_MO[[#This Row],[FECHA]]&lt;&gt;"",BD_MO[[#This Row],[DURMIENTE2]]*6.561+BD_MO[[#This Row],[LISTONES]]*4.921+BD_MO[[#This Row],[TABLA 1"x8"x3m]]*6.561+BD_MO[[#This Row],[TABLA 2"x8"x3m]]*13.122,"")</f>
        <v>0</v>
      </c>
      <c r="DB426" s="403">
        <f>+IF(BD_MO[[#This Row],[FECHA]]&lt;&gt;"",BD_MO[[#This Row],[PIE2 MADERA ASERRADA]]*1.95,"")</f>
        <v>0</v>
      </c>
      <c r="DC426" s="403">
        <f>+IF(BD_MO[[#This Row],[FECHA]]&lt;&gt;"",BD_MO[[#This Row],[KG. MADERA REDONDA]]+BD_MO[[#This Row],[KG MADERA ASERRADA]],"")</f>
        <v>0</v>
      </c>
      <c r="DD426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26" s="399"/>
      <c r="DF426" s="399"/>
      <c r="DG426" s="399" t="s">
        <v>12375</v>
      </c>
      <c r="DH426" s="399">
        <v>8</v>
      </c>
      <c r="DI426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26" s="407"/>
      <c r="DK426" s="407"/>
      <c r="DL426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26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26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26" s="408"/>
      <c r="DP426" s="407" t="str">
        <f>+IF(BD_MO[[#This Row],[M o D]]&lt;&gt;"",IF(BD_MO[[#This Row],[M o D]]="M",BD_MO[[#This Row],[ROTURA TMH]]/2.65,BD_MO[[#This Row],[ROTURA TMH]]/2.4),"")</f>
        <v/>
      </c>
      <c r="DQ426" s="407"/>
      <c r="DR426" s="116" t="str">
        <f>IF(BD_MO[[#This Row],[TIPO AVANCE]]="Avance",((BD_MO[[#This Row],[AVANCE (m)]]/BD_MO[[#This Row],[AVANCE TEÓRICO]]))," ")</f>
        <v xml:space="preserve"> </v>
      </c>
      <c r="DS426" s="134"/>
      <c r="DT426" s="134"/>
      <c r="DU426" s="134"/>
      <c r="DV426" s="134"/>
      <c r="DW426" s="134"/>
      <c r="DX426" s="135"/>
      <c r="DY426" s="135"/>
      <c r="DZ426" s="135"/>
    </row>
    <row r="427" spans="1:130" s="136" customFormat="1" ht="18" customHeight="1" x14ac:dyDescent="0.25">
      <c r="A427" s="92">
        <v>44675</v>
      </c>
      <c r="B427" s="396" t="s">
        <v>10655</v>
      </c>
      <c r="C427" s="396" t="s">
        <v>10672</v>
      </c>
      <c r="D427" s="397" t="s">
        <v>10954</v>
      </c>
      <c r="E427" s="398" t="str">
        <f>LEFT(BD_MO[[#This Row],[LABOR]],2)</f>
        <v>MO</v>
      </c>
      <c r="F427" s="399"/>
      <c r="G427" s="399" t="s">
        <v>10669</v>
      </c>
      <c r="H427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27" s="383" t="str">
        <f>IF(BD_MO[FECHA]&lt;&gt;"",VLOOKUP(BD_MO[LABOR],TB_CECO[[LABOR]:[CECO_T]],3,FALSE),"")</f>
        <v>INCA</v>
      </c>
      <c r="J427" s="383" t="str">
        <f>IF(BD_MO[FECHA]&lt;&gt;"",VLOOKUP(BD_MO[LABOR],D_CECO!B:H,7,FALSE),"")</f>
        <v>SERVICIOS</v>
      </c>
      <c r="K427" s="383" t="str">
        <f>IF(BD_MO[FECHA]&lt;&gt;"",VLOOKUP(BD_MO[LABOR],D_CECO!B:H,4,FALSE),"")</f>
        <v>SERVICIOS</v>
      </c>
      <c r="L427" s="398"/>
      <c r="M427" s="396"/>
      <c r="N427" s="399"/>
      <c r="O427" s="400" t="s">
        <v>12374</v>
      </c>
      <c r="P427" s="400" t="s">
        <v>12209</v>
      </c>
      <c r="Q427" s="400"/>
      <c r="R427" s="401"/>
      <c r="S427" s="402" t="str">
        <f>IFERROR(VLOOKUP(BD_MO[DNI 4],#REF!,2,FALSE)," ")</f>
        <v xml:space="preserve"> </v>
      </c>
      <c r="T427" s="403">
        <f>+IF(BD_MO[[#This Row],[FECHA]]&lt;&gt;"",COUNTA(BD_MO[[#This Row],[DNI]],BD_MO[[#This Row],[DNI 2]],BD_MO[[#This Row],[DNI 3]],BD_MO[[#This Row],[DNI 4]]),"")</f>
        <v>2</v>
      </c>
      <c r="U427" s="403"/>
      <c r="V427" s="403"/>
      <c r="W427" s="403"/>
      <c r="X427" s="403">
        <v>2</v>
      </c>
      <c r="Y427" s="404">
        <f>SUM(BD_MO[[#This Row],[LIMP]:[SERV]])</f>
        <v>2</v>
      </c>
      <c r="Z427" s="399"/>
      <c r="AA427" s="399" t="str">
        <f>+IF(BD_MO[[#This Row],[N° VALE]]&lt;&gt;"",1,"")</f>
        <v/>
      </c>
      <c r="AB427" s="396"/>
      <c r="AC427" s="399"/>
      <c r="AD427" s="399" t="str">
        <f>+IF(BD_MO[[#This Row],[N° VALE]]&lt;&gt;"",BD_MO[[#This Row],[FULMINANTE N° 08]]+BD_MO[CARMEX 7''],"")</f>
        <v/>
      </c>
      <c r="AE427" s="399"/>
      <c r="AF427" s="399" t="str">
        <f>+IF(BD_MO[[#This Row],[N° VALE]]&lt;&gt;"",BD_MO[[#This Row],[N° TALADROS]]+BD_MO[[#This Row],[N° TAL. VACIOS]],"")</f>
        <v/>
      </c>
      <c r="AG427" s="405"/>
      <c r="AH427" s="405"/>
      <c r="AI427" s="405"/>
      <c r="AJ427" s="405"/>
      <c r="AK427" s="405"/>
      <c r="AL427" s="405"/>
      <c r="AM427" s="398"/>
      <c r="AN427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27" s="399" t="str">
        <f>+IF(BD_MO[[#This Row],[N° VALE]]&lt;&gt;"",IF(BD_MO[[#This Row],[FULMINANTE N° 08]]&lt;&gt;"",BD_MO[[#This Row],[FULMINANTE N° 08]],IF(BD_MO[[#This Row],[CARMEX 7'']]&lt;&gt;0,0,"")),"")</f>
        <v/>
      </c>
      <c r="AP427" s="403" t="str">
        <f>+IF(BD_MO[[#This Row],[N° VALE]]&lt;&gt;"",BD_MO[[#This Row],[N°  TOTAL TALADROS]]*BD_MO[[#This Row],[BARRA]]*0.95,"")</f>
        <v/>
      </c>
      <c r="AQ427" s="403" t="str">
        <f>+IF(BD_MO[[#This Row],[N° VALE]]&lt;&gt;"",BD_MO[[#This Row],[EMULNOR 1000 (N° CART.)]]*PE_EMUL_1000[PE],"")</f>
        <v/>
      </c>
      <c r="AR427" s="403" t="str">
        <f>+IF(BD_MO[[#This Row],[N° VALE]]&lt;&gt;"",BD_MO[[#This Row],[EMULNOR 3000 (N° CART.)]]*PE_EMUL_3000[PE],"")</f>
        <v/>
      </c>
      <c r="AS427" s="403" t="str">
        <f>+IF(BD_MO[[#This Row],[N° VALE]]&lt;&gt;"",BD_MO[[#This Row],[PULVERULENTA (N° CART.)]]*PE_PULV_65[PE],"")</f>
        <v/>
      </c>
      <c r="AT427" s="403" t="str">
        <f>+IF(BD_MO[[#This Row],[N° DISP]]&lt;&gt;"",BD_MO[[#This Row],[SEMIGELATINA (N° CART.)]]*PE_SEMIGEL_65[PE],"")</f>
        <v/>
      </c>
      <c r="AU427" s="403" t="str">
        <f>+IF(BD_MO[N° VALE]&lt;&gt;"",BD_MO[[#This Row],[KG EXPLO SEMIGEL]]+BD_MO[[#This Row],[KG EXPLO PULVE]]+BD_MO[[#This Row],[KG EXPLO EMULN 3000]]+BD_MO[[#This Row],[KG EXPLO EMULN 1000]],"")</f>
        <v/>
      </c>
      <c r="AV427" s="399"/>
      <c r="AW427" s="399"/>
      <c r="AX427" s="399" t="str">
        <f>+IF(BD_MO[[#This Row],[MINERAL (U-35)]]&lt;&gt;"",BD_MO[[#This Row],[MINERAL (U-35)]]*1.45,"-")</f>
        <v>-</v>
      </c>
      <c r="AY427" s="399" t="str">
        <f>+IF(BD_MO[[#This Row],[DESMONTE (U-35)]]&lt;&gt;"",BD_MO[[#This Row],[DESMONTE (U-35)]]*1.23,"-")</f>
        <v>-</v>
      </c>
      <c r="AZ427" s="399"/>
      <c r="BA427" s="399"/>
      <c r="BB427" s="399"/>
      <c r="BC427" s="399"/>
      <c r="BD427" s="399"/>
      <c r="BE427" s="399"/>
      <c r="BF427" s="399"/>
      <c r="BG427" s="399"/>
      <c r="BH427" s="399"/>
      <c r="BI427" s="399"/>
      <c r="BJ427" s="399"/>
      <c r="BK427" s="399"/>
      <c r="BL427" s="399"/>
      <c r="BM427" s="399"/>
      <c r="BN427" s="398"/>
      <c r="BO427" s="399"/>
      <c r="BP427" s="399"/>
      <c r="BQ427" s="398"/>
      <c r="BR427" s="399"/>
      <c r="BS427" s="398"/>
      <c r="BT427" s="403"/>
      <c r="BU427" s="399"/>
      <c r="BV427" s="399"/>
      <c r="BW427" s="399"/>
      <c r="BX427" s="399"/>
      <c r="BY427" s="399"/>
      <c r="BZ427" s="399"/>
      <c r="CA427" s="399"/>
      <c r="CB427" s="399"/>
      <c r="CC427" s="399"/>
      <c r="CD427" s="399"/>
      <c r="CE427" s="399"/>
      <c r="CF427" s="399"/>
      <c r="CG427" s="399"/>
      <c r="CH427" s="399"/>
      <c r="CI427" s="399"/>
      <c r="CJ427" s="399"/>
      <c r="CK427" s="399"/>
      <c r="CL427" s="399"/>
      <c r="CM427" s="399"/>
      <c r="CN427" s="399"/>
      <c r="CO427" s="399"/>
      <c r="CP427" s="403">
        <f>+IF(BD_MO[[#This Row],[FECHA]]&lt;&gt;"",BD_MO[[#This Row],[PUNTAL 4"]]+BD_MO[[#This Row],[PUNTAL 5"]]+BD_MO[[#This Row],[PUNTAL 6"]]+BD_MO[[#This Row],[PUNTAL 7"]]+BD_MO[[#This Row],[PUNTAL 8"]],"")</f>
        <v>0</v>
      </c>
      <c r="CQ427" s="399"/>
      <c r="CR427" s="399"/>
      <c r="CS427" s="399"/>
      <c r="CT427" s="399"/>
      <c r="CU427" s="399"/>
      <c r="CV427" s="399"/>
      <c r="CW427" s="399"/>
      <c r="CX427" s="399"/>
      <c r="CY427" s="403"/>
      <c r="CZ427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27" s="403">
        <f>+IF(BD_MO[[#This Row],[FECHA]]&lt;&gt;"",BD_MO[[#This Row],[DURMIENTE2]]*6.561+BD_MO[[#This Row],[LISTONES]]*4.921+BD_MO[[#This Row],[TABLA 1"x8"x3m]]*6.561+BD_MO[[#This Row],[TABLA 2"x8"x3m]]*13.122,"")</f>
        <v>0</v>
      </c>
      <c r="DB427" s="403">
        <f>+IF(BD_MO[[#This Row],[FECHA]]&lt;&gt;"",BD_MO[[#This Row],[PIE2 MADERA ASERRADA]]*1.95,"")</f>
        <v>0</v>
      </c>
      <c r="DC427" s="403">
        <f>+IF(BD_MO[[#This Row],[FECHA]]&lt;&gt;"",BD_MO[[#This Row],[KG. MADERA REDONDA]]+BD_MO[[#This Row],[KG MADERA ASERRADA]],"")</f>
        <v>0</v>
      </c>
      <c r="DD427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27" s="399"/>
      <c r="DF427" s="399"/>
      <c r="DG427" s="399"/>
      <c r="DH427" s="399"/>
      <c r="DI427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27" s="407"/>
      <c r="DK427" s="407"/>
      <c r="DL427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27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27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27" s="408"/>
      <c r="DP427" s="407" t="str">
        <f>+IF(BD_MO[[#This Row],[M o D]]&lt;&gt;"",IF(BD_MO[[#This Row],[M o D]]="M",BD_MO[[#This Row],[ROTURA TMH]]/2.65,BD_MO[[#This Row],[ROTURA TMH]]/2.4),"")</f>
        <v/>
      </c>
      <c r="DQ427" s="407"/>
      <c r="DR427" s="116" t="str">
        <f>IF(BD_MO[[#This Row],[TIPO AVANCE]]="Avance",((BD_MO[[#This Row],[AVANCE (m)]]/BD_MO[[#This Row],[AVANCE TEÓRICO]]))," ")</f>
        <v xml:space="preserve"> </v>
      </c>
      <c r="DS427" s="134"/>
      <c r="DT427" s="134"/>
      <c r="DU427" s="134"/>
      <c r="DV427" s="134"/>
      <c r="DW427" s="134"/>
      <c r="DX427" s="135"/>
      <c r="DY427" s="135"/>
      <c r="DZ427" s="135"/>
    </row>
    <row r="428" spans="1:130" s="115" customFormat="1" ht="18" customHeight="1" thickBot="1" x14ac:dyDescent="0.3">
      <c r="A428" s="130">
        <v>44675</v>
      </c>
      <c r="B428" s="410" t="s">
        <v>10655</v>
      </c>
      <c r="C428" s="410" t="s">
        <v>10672</v>
      </c>
      <c r="D428" s="411" t="s">
        <v>10717</v>
      </c>
      <c r="E428" s="412" t="str">
        <f>LEFT(BD_MO[[#This Row],[LABOR]],2)</f>
        <v>BO</v>
      </c>
      <c r="F428" s="413"/>
      <c r="G428" s="413" t="s">
        <v>10669</v>
      </c>
      <c r="H428" s="41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28" s="119" t="str">
        <f>IF(BD_MO[FECHA]&lt;&gt;"",VLOOKUP(BD_MO[LABOR],TB_CECO[[LABOR]:[CECO_T]],3,FALSE),"")</f>
        <v>CACHORRO</v>
      </c>
      <c r="J428" s="119" t="str">
        <f>IF(BD_MO[FECHA]&lt;&gt;"",VLOOKUP(BD_MO[LABOR],D_CECO!B:H,7,FALSE),"")</f>
        <v>SERVICIOS</v>
      </c>
      <c r="K428" s="119" t="str">
        <f>IF(BD_MO[FECHA]&lt;&gt;"",VLOOKUP(BD_MO[LABOR],D_CECO!B:H,4,FALSE),"")</f>
        <v>SERVICIOS</v>
      </c>
      <c r="L428" s="412"/>
      <c r="M428" s="410"/>
      <c r="N428" s="413"/>
      <c r="O428" s="414" t="s">
        <v>12196</v>
      </c>
      <c r="P428" s="414"/>
      <c r="Q428" s="414"/>
      <c r="R428" s="415"/>
      <c r="S428" s="416" t="str">
        <f>IFERROR(VLOOKUP(BD_MO[DNI 4],#REF!,2,FALSE)," ")</f>
        <v xml:space="preserve"> </v>
      </c>
      <c r="T428" s="417">
        <f>+IF(BD_MO[[#This Row],[FECHA]]&lt;&gt;"",COUNTA(BD_MO[[#This Row],[DNI]],BD_MO[[#This Row],[DNI 2]],BD_MO[[#This Row],[DNI 3]],BD_MO[[#This Row],[DNI 4]]),"")</f>
        <v>1</v>
      </c>
      <c r="U428" s="417"/>
      <c r="V428" s="417"/>
      <c r="W428" s="417"/>
      <c r="X428" s="417">
        <v>1</v>
      </c>
      <c r="Y428" s="418">
        <f>SUM(BD_MO[[#This Row],[LIMP]:[SERV]])</f>
        <v>1</v>
      </c>
      <c r="Z428" s="413"/>
      <c r="AA428" s="413" t="str">
        <f>+IF(BD_MO[[#This Row],[N° VALE]]&lt;&gt;"",1,"")</f>
        <v/>
      </c>
      <c r="AB428" s="410"/>
      <c r="AC428" s="413"/>
      <c r="AD428" s="413" t="str">
        <f>+IF(BD_MO[[#This Row],[N° VALE]]&lt;&gt;"",BD_MO[[#This Row],[FULMINANTE N° 08]]+BD_MO[CARMEX 7''],"")</f>
        <v/>
      </c>
      <c r="AE428" s="413"/>
      <c r="AF428" s="413" t="str">
        <f>+IF(BD_MO[[#This Row],[N° VALE]]&lt;&gt;"",BD_MO[[#This Row],[N° TALADROS]]+BD_MO[[#This Row],[N° TAL. VACIOS]],"")</f>
        <v/>
      </c>
      <c r="AG428" s="419"/>
      <c r="AH428" s="419"/>
      <c r="AI428" s="419"/>
      <c r="AJ428" s="419"/>
      <c r="AK428" s="419"/>
      <c r="AL428" s="419"/>
      <c r="AM428" s="412"/>
      <c r="AN428" s="413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28" s="413" t="str">
        <f>+IF(BD_MO[[#This Row],[N° VALE]]&lt;&gt;"",IF(BD_MO[[#This Row],[FULMINANTE N° 08]]&lt;&gt;"",BD_MO[[#This Row],[FULMINANTE N° 08]],IF(BD_MO[[#This Row],[CARMEX 7'']]&lt;&gt;0,0,"")),"")</f>
        <v/>
      </c>
      <c r="AP428" s="417" t="str">
        <f>+IF(BD_MO[[#This Row],[N° VALE]]&lt;&gt;"",BD_MO[[#This Row],[N°  TOTAL TALADROS]]*BD_MO[[#This Row],[BARRA]]*0.95,"")</f>
        <v/>
      </c>
      <c r="AQ428" s="417" t="str">
        <f>+IF(BD_MO[[#This Row],[N° VALE]]&lt;&gt;"",BD_MO[[#This Row],[EMULNOR 1000 (N° CART.)]]*PE_EMUL_1000[PE],"")</f>
        <v/>
      </c>
      <c r="AR428" s="417" t="str">
        <f>+IF(BD_MO[[#This Row],[N° VALE]]&lt;&gt;"",BD_MO[[#This Row],[EMULNOR 3000 (N° CART.)]]*PE_EMUL_3000[PE],"")</f>
        <v/>
      </c>
      <c r="AS428" s="417" t="str">
        <f>+IF(BD_MO[[#This Row],[N° VALE]]&lt;&gt;"",BD_MO[[#This Row],[PULVERULENTA (N° CART.)]]*PE_PULV_65[PE],"")</f>
        <v/>
      </c>
      <c r="AT428" s="417" t="str">
        <f>+IF(BD_MO[[#This Row],[N° DISP]]&lt;&gt;"",BD_MO[[#This Row],[SEMIGELATINA (N° CART.)]]*PE_SEMIGEL_65[PE],"")</f>
        <v/>
      </c>
      <c r="AU428" s="417" t="str">
        <f>+IF(BD_MO[N° VALE]&lt;&gt;"",BD_MO[[#This Row],[KG EXPLO SEMIGEL]]+BD_MO[[#This Row],[KG EXPLO PULVE]]+BD_MO[[#This Row],[KG EXPLO EMULN 3000]]+BD_MO[[#This Row],[KG EXPLO EMULN 1000]],"")</f>
        <v/>
      </c>
      <c r="AV428" s="413"/>
      <c r="AW428" s="413"/>
      <c r="AX428" s="413" t="str">
        <f>+IF(BD_MO[[#This Row],[MINERAL (U-35)]]&lt;&gt;"",BD_MO[[#This Row],[MINERAL (U-35)]]*1.45,"-")</f>
        <v>-</v>
      </c>
      <c r="AY428" s="413" t="str">
        <f>+IF(BD_MO[[#This Row],[DESMONTE (U-35)]]&lt;&gt;"",BD_MO[[#This Row],[DESMONTE (U-35)]]*1.23,"-")</f>
        <v>-</v>
      </c>
      <c r="AZ428" s="413"/>
      <c r="BA428" s="413"/>
      <c r="BB428" s="413"/>
      <c r="BC428" s="413"/>
      <c r="BD428" s="413"/>
      <c r="BE428" s="413"/>
      <c r="BF428" s="413"/>
      <c r="BG428" s="413"/>
      <c r="BH428" s="413"/>
      <c r="BI428" s="413"/>
      <c r="BJ428" s="413"/>
      <c r="BK428" s="413"/>
      <c r="BL428" s="413"/>
      <c r="BM428" s="413"/>
      <c r="BN428" s="412"/>
      <c r="BO428" s="413"/>
      <c r="BP428" s="413"/>
      <c r="BQ428" s="412"/>
      <c r="BR428" s="413"/>
      <c r="BS428" s="412"/>
      <c r="BT428" s="417"/>
      <c r="BU428" s="413"/>
      <c r="BV428" s="413"/>
      <c r="BW428" s="413"/>
      <c r="BX428" s="413"/>
      <c r="BY428" s="413"/>
      <c r="BZ428" s="413"/>
      <c r="CA428" s="413"/>
      <c r="CB428" s="413"/>
      <c r="CC428" s="413"/>
      <c r="CD428" s="413"/>
      <c r="CE428" s="413"/>
      <c r="CF428" s="413"/>
      <c r="CG428" s="413"/>
      <c r="CH428" s="413"/>
      <c r="CI428" s="413"/>
      <c r="CJ428" s="413"/>
      <c r="CK428" s="413"/>
      <c r="CL428" s="413"/>
      <c r="CM428" s="413"/>
      <c r="CN428" s="413"/>
      <c r="CO428" s="413"/>
      <c r="CP428" s="417">
        <f>+IF(BD_MO[[#This Row],[FECHA]]&lt;&gt;"",BD_MO[[#This Row],[PUNTAL 4"]]+BD_MO[[#This Row],[PUNTAL 5"]]+BD_MO[[#This Row],[PUNTAL 6"]]+BD_MO[[#This Row],[PUNTAL 7"]]+BD_MO[[#This Row],[PUNTAL 8"]],"")</f>
        <v>0</v>
      </c>
      <c r="CQ428" s="413"/>
      <c r="CR428" s="413"/>
      <c r="CS428" s="413"/>
      <c r="CT428" s="413"/>
      <c r="CU428" s="413"/>
      <c r="CV428" s="413"/>
      <c r="CW428" s="413"/>
      <c r="CX428" s="413"/>
      <c r="CY428" s="417"/>
      <c r="CZ428" s="417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28" s="417">
        <f>+IF(BD_MO[[#This Row],[FECHA]]&lt;&gt;"",BD_MO[[#This Row],[DURMIENTE2]]*6.561+BD_MO[[#This Row],[LISTONES]]*4.921+BD_MO[[#This Row],[TABLA 1"x8"x3m]]*6.561+BD_MO[[#This Row],[TABLA 2"x8"x3m]]*13.122,"")</f>
        <v>0</v>
      </c>
      <c r="DB428" s="417">
        <f>+IF(BD_MO[[#This Row],[FECHA]]&lt;&gt;"",BD_MO[[#This Row],[PIE2 MADERA ASERRADA]]*1.95,"")</f>
        <v>0</v>
      </c>
      <c r="DC428" s="417">
        <f>+IF(BD_MO[[#This Row],[FECHA]]&lt;&gt;"",BD_MO[[#This Row],[KG. MADERA REDONDA]]+BD_MO[[#This Row],[KG MADERA ASERRADA]],"")</f>
        <v>0</v>
      </c>
      <c r="DD428" s="42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28" s="413"/>
      <c r="DF428" s="413"/>
      <c r="DG428" s="413"/>
      <c r="DH428" s="413"/>
      <c r="DI428" s="42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28" s="421"/>
      <c r="DK428" s="421"/>
      <c r="DL428" s="42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28" s="42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28" s="42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28" s="422"/>
      <c r="DP428" s="421" t="str">
        <f>+IF(BD_MO[[#This Row],[M o D]]&lt;&gt;"",IF(BD_MO[[#This Row],[M o D]]="M",BD_MO[[#This Row],[ROTURA TMH]]/2.65,BD_MO[[#This Row],[ROTURA TMH]]/2.4),"")</f>
        <v/>
      </c>
      <c r="DQ428" s="421"/>
      <c r="DR428" s="484" t="str">
        <f>IF(BD_MO[[#This Row],[TIPO AVANCE]]="Avance",((BD_MO[[#This Row],[AVANCE (m)]]/BD_MO[[#This Row],[AVANCE TEÓRICO]]))," ")</f>
        <v xml:space="preserve"> </v>
      </c>
      <c r="DS428" s="113"/>
      <c r="DT428" s="113"/>
      <c r="DU428" s="113"/>
      <c r="DV428" s="113"/>
      <c r="DW428" s="113"/>
      <c r="DX428" s="114"/>
      <c r="DY428" s="114"/>
      <c r="DZ428" s="114"/>
    </row>
    <row r="429" spans="1:130" s="136" customFormat="1" ht="18" customHeight="1" x14ac:dyDescent="0.25">
      <c r="A429" s="395">
        <v>44676</v>
      </c>
      <c r="B429" s="396" t="s">
        <v>10647</v>
      </c>
      <c r="C429" s="396" t="s">
        <v>10668</v>
      </c>
      <c r="D429" s="397" t="s">
        <v>11827</v>
      </c>
      <c r="E429" s="398" t="str">
        <f>LEFT(BD_MO[[#This Row],[LABOR]],2)</f>
        <v>Tj</v>
      </c>
      <c r="F429" s="399" t="s">
        <v>10950</v>
      </c>
      <c r="G429" s="399" t="s">
        <v>10648</v>
      </c>
      <c r="H429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29" s="383" t="str">
        <f>IF(BD_MO[FECHA]&lt;&gt;"",VLOOKUP(BD_MO[LABOR],TB_CECO[[LABOR]:[CECO_T]],3,FALSE),"")</f>
        <v>VANESSA</v>
      </c>
      <c r="J429" s="383" t="str">
        <f>IF(BD_MO[FECHA]&lt;&gt;"",VLOOKUP(BD_MO[LABOR],D_CECO!B:H,7,FALSE),"")</f>
        <v>TAJO</v>
      </c>
      <c r="K429" s="383" t="str">
        <f>IF(BD_MO[FECHA]&lt;&gt;"",VLOOKUP(BD_MO[LABOR],D_CECO!B:H,4,FALSE),"")</f>
        <v>EXPLOTACION</v>
      </c>
      <c r="L429" s="398"/>
      <c r="M429" s="396" t="s">
        <v>10661</v>
      </c>
      <c r="N429" s="399"/>
      <c r="O429" s="400" t="s">
        <v>12095</v>
      </c>
      <c r="P429" s="400" t="s">
        <v>12088</v>
      </c>
      <c r="Q429" s="400"/>
      <c r="R429" s="401"/>
      <c r="S429" s="402" t="str">
        <f>IFERROR(VLOOKUP(BD_MO[DNI 4],#REF!,2,FALSE)," ")</f>
        <v xml:space="preserve"> </v>
      </c>
      <c r="T429" s="403">
        <f>+IF(BD_MO[[#This Row],[FECHA]]&lt;&gt;"",COUNTA(BD_MO[[#This Row],[DNI]],BD_MO[[#This Row],[DNI 2]],BD_MO[[#This Row],[DNI 3]],BD_MO[[#This Row],[DNI 4]]),"")</f>
        <v>2</v>
      </c>
      <c r="U429" s="403">
        <v>0.4</v>
      </c>
      <c r="V429" s="403">
        <v>0.4</v>
      </c>
      <c r="W429" s="403">
        <v>0.9</v>
      </c>
      <c r="X429" s="403">
        <v>0.3</v>
      </c>
      <c r="Y429" s="404">
        <f>SUM(BD_MO[[#This Row],[LIMP]:[SERV]])</f>
        <v>2</v>
      </c>
      <c r="Z429" s="399" t="s">
        <v>12382</v>
      </c>
      <c r="AA429" s="399">
        <f>+IF(BD_MO[[#This Row],[N° VALE]]&lt;&gt;"",1,"")</f>
        <v>1</v>
      </c>
      <c r="AB429" s="396" t="s">
        <v>10691</v>
      </c>
      <c r="AC429" s="399">
        <v>4</v>
      </c>
      <c r="AD429" s="399">
        <f>+IF(BD_MO[[#This Row],[N° VALE]]&lt;&gt;"",BD_MO[[#This Row],[FULMINANTE N° 08]]+BD_MO[CARMEX 7''],"")</f>
        <v>10</v>
      </c>
      <c r="AE429" s="399"/>
      <c r="AF429" s="399">
        <f>+IF(BD_MO[[#This Row],[N° VALE]]&lt;&gt;"",BD_MO[[#This Row],[N° TALADROS]]+BD_MO[[#This Row],[N° TAL. VACIOS]],"")</f>
        <v>10</v>
      </c>
      <c r="AG429" s="405"/>
      <c r="AH429" s="405">
        <v>40</v>
      </c>
      <c r="AI429" s="405"/>
      <c r="AJ429" s="405"/>
      <c r="AK429" s="405">
        <v>10</v>
      </c>
      <c r="AL429" s="405">
        <v>2</v>
      </c>
      <c r="AM429" s="398"/>
      <c r="AN429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29" s="399">
        <f>+IF(BD_MO[[#This Row],[N° VALE]]&lt;&gt;"",IF(BD_MO[[#This Row],[FULMINANTE N° 08]]&lt;&gt;"",BD_MO[[#This Row],[FULMINANTE N° 08]],IF(BD_MO[[#This Row],[CARMEX 7'']]&lt;&gt;0,0,"")),"")</f>
        <v>0</v>
      </c>
      <c r="AP429" s="403">
        <f>+IF(BD_MO[[#This Row],[N° VALE]]&lt;&gt;"",BD_MO[[#This Row],[N°  TOTAL TALADROS]]*BD_MO[[#This Row],[BARRA]]*0.95,"")</f>
        <v>38</v>
      </c>
      <c r="AQ429" s="403">
        <f>+IF(BD_MO[[#This Row],[N° VALE]]&lt;&gt;"",BD_MO[[#This Row],[EMULNOR 1000 (N° CART.)]]*PE_EMUL_1000[PE],"")</f>
        <v>3.7880000000000003</v>
      </c>
      <c r="AR429" s="403">
        <f>+IF(BD_MO[[#This Row],[N° VALE]]&lt;&gt;"",BD_MO[[#This Row],[EMULNOR 3000 (N° CART.)]]*PE_EMUL_3000[PE],"")</f>
        <v>0</v>
      </c>
      <c r="AS429" s="403">
        <f>+IF(BD_MO[[#This Row],[N° VALE]]&lt;&gt;"",BD_MO[[#This Row],[PULVERULENTA (N° CART.)]]*PE_PULV_65[PE],"")</f>
        <v>0</v>
      </c>
      <c r="AT429" s="403">
        <f>+IF(BD_MO[[#This Row],[N° DISP]]&lt;&gt;"",BD_MO[[#This Row],[SEMIGELATINA (N° CART.)]]*PE_SEMIGEL_65[PE],"")</f>
        <v>0</v>
      </c>
      <c r="AU429" s="403">
        <f>+IF(BD_MO[N° VALE]&lt;&gt;"",BD_MO[[#This Row],[KG EXPLO SEMIGEL]]+BD_MO[[#This Row],[KG EXPLO PULVE]]+BD_MO[[#This Row],[KG EXPLO EMULN 3000]]+BD_MO[[#This Row],[KG EXPLO EMULN 1000]],"")</f>
        <v>3.7880000000000003</v>
      </c>
      <c r="AV429" s="399">
        <v>3</v>
      </c>
      <c r="AW429" s="399"/>
      <c r="AX429" s="399">
        <f>+IF(BD_MO[[#This Row],[MINERAL (U-35)]]&lt;&gt;"",BD_MO[[#This Row],[MINERAL (U-35)]]*1.45,"-")</f>
        <v>4.3499999999999996</v>
      </c>
      <c r="AY429" s="399" t="str">
        <f>+IF(BD_MO[[#This Row],[DESMONTE (U-35)]]&lt;&gt;"",BD_MO[[#This Row],[DESMONTE (U-35)]]*1.23,"-")</f>
        <v>-</v>
      </c>
      <c r="AZ429" s="399"/>
      <c r="BA429" s="399"/>
      <c r="BB429" s="399"/>
      <c r="BC429" s="399"/>
      <c r="BD429" s="399"/>
      <c r="BE429" s="399"/>
      <c r="BF429" s="399"/>
      <c r="BG429" s="399"/>
      <c r="BH429" s="399"/>
      <c r="BI429" s="399">
        <v>1</v>
      </c>
      <c r="BJ429" s="399"/>
      <c r="BK429" s="399"/>
      <c r="BL429" s="399">
        <v>1</v>
      </c>
      <c r="BM429" s="399"/>
      <c r="BN429" s="398">
        <v>6</v>
      </c>
      <c r="BO429" s="399"/>
      <c r="BP429" s="399"/>
      <c r="BQ429" s="398"/>
      <c r="BR429" s="399"/>
      <c r="BS429" s="398"/>
      <c r="BT429" s="403"/>
      <c r="BU429" s="399"/>
      <c r="BV429" s="399"/>
      <c r="BW429" s="399"/>
      <c r="BX429" s="399">
        <v>2</v>
      </c>
      <c r="BY429" s="399"/>
      <c r="BZ429" s="399"/>
      <c r="CA429" s="399"/>
      <c r="CB429" s="399"/>
      <c r="CC429" s="399"/>
      <c r="CD429" s="399"/>
      <c r="CE429" s="399"/>
      <c r="CF429" s="399"/>
      <c r="CG429" s="399"/>
      <c r="CH429" s="399"/>
      <c r="CI429" s="399"/>
      <c r="CJ429" s="399"/>
      <c r="CK429" s="399"/>
      <c r="CL429" s="399"/>
      <c r="CM429" s="399">
        <v>1</v>
      </c>
      <c r="CN429" s="399"/>
      <c r="CO429" s="399">
        <v>1</v>
      </c>
      <c r="CP429" s="403">
        <f>+IF(BD_MO[[#This Row],[FECHA]]&lt;&gt;"",BD_MO[[#This Row],[PUNTAL 4"]]+BD_MO[[#This Row],[PUNTAL 5"]]+BD_MO[[#This Row],[PUNTAL 6"]]+BD_MO[[#This Row],[PUNTAL 7"]]+BD_MO[[#This Row],[PUNTAL 8"]],"")</f>
        <v>2</v>
      </c>
      <c r="CQ429" s="399"/>
      <c r="CR429" s="399"/>
      <c r="CS429" s="399"/>
      <c r="CT429" s="399"/>
      <c r="CU429" s="399"/>
      <c r="CV429" s="399"/>
      <c r="CW429" s="399"/>
      <c r="CX429" s="399"/>
      <c r="CY429" s="403"/>
      <c r="CZ429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124.65</v>
      </c>
      <c r="DA429" s="403">
        <f>+IF(BD_MO[[#This Row],[FECHA]]&lt;&gt;"",BD_MO[[#This Row],[DURMIENTE2]]*6.561+BD_MO[[#This Row],[LISTONES]]*4.921+BD_MO[[#This Row],[TABLA 1"x8"x3m]]*6.561+BD_MO[[#This Row],[TABLA 2"x8"x3m]]*13.122,"")</f>
        <v>0</v>
      </c>
      <c r="DB429" s="403">
        <f>+IF(BD_MO[[#This Row],[FECHA]]&lt;&gt;"",BD_MO[[#This Row],[PIE2 MADERA ASERRADA]]*1.95,"")</f>
        <v>0</v>
      </c>
      <c r="DC429" s="403">
        <f>+IF(BD_MO[[#This Row],[FECHA]]&lt;&gt;"",BD_MO[[#This Row],[KG. MADERA REDONDA]]+BD_MO[[#This Row],[KG MADERA ASERRADA]],"")</f>
        <v>124.65</v>
      </c>
      <c r="DD429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35.6</v>
      </c>
      <c r="DE429" s="399"/>
      <c r="DF429" s="399"/>
      <c r="DG429" s="399"/>
      <c r="DH429" s="399"/>
      <c r="DI429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29" s="407"/>
      <c r="DK429" s="407"/>
      <c r="DL429" s="407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429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429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29" s="408">
        <v>9.0429999999999993</v>
      </c>
      <c r="DP429" s="407">
        <f>+IF(BD_MO[[#This Row],[M o D]]&lt;&gt;"",IF(BD_MO[[#This Row],[M o D]]="M",BD_MO[[#This Row],[ROTURA TMH]]/2.65,BD_MO[[#This Row],[ROTURA TMH]]/2.4),"")</f>
        <v>3.4124528301886792</v>
      </c>
      <c r="DQ429" s="407"/>
      <c r="DR429" s="116" t="str">
        <f>IF(BD_MO[[#This Row],[TIPO AVANCE]]="Avance",((BD_MO[[#This Row],[AVANCE (m)]]/BD_MO[[#This Row],[AVANCE TEÓRICO]]))," ")</f>
        <v xml:space="preserve"> </v>
      </c>
      <c r="DS429" s="134"/>
      <c r="DT429" s="134"/>
      <c r="DU429" s="134"/>
      <c r="DV429" s="134"/>
      <c r="DW429" s="134"/>
      <c r="DX429" s="135"/>
      <c r="DY429" s="135"/>
      <c r="DZ429" s="135"/>
    </row>
    <row r="430" spans="1:130" s="136" customFormat="1" ht="18" customHeight="1" x14ac:dyDescent="0.25">
      <c r="A430" s="395">
        <v>44676</v>
      </c>
      <c r="B430" s="396" t="s">
        <v>10647</v>
      </c>
      <c r="C430" s="396" t="s">
        <v>10668</v>
      </c>
      <c r="D430" s="397" t="s">
        <v>11928</v>
      </c>
      <c r="E430" s="398" t="str">
        <f>LEFT(BD_MO[[#This Row],[LABOR]],2)</f>
        <v>Tj</v>
      </c>
      <c r="F430" s="399" t="s">
        <v>10950</v>
      </c>
      <c r="G430" s="399" t="s">
        <v>10648</v>
      </c>
      <c r="H430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30" s="383" t="str">
        <f>IF(BD_MO[FECHA]&lt;&gt;"",VLOOKUP(BD_MO[LABOR],TB_CECO[[LABOR]:[CECO_T]],3,FALSE),"")</f>
        <v>ESCONDIDA</v>
      </c>
      <c r="J430" s="383" t="str">
        <f>IF(BD_MO[FECHA]&lt;&gt;"",VLOOKUP(BD_MO[LABOR],D_CECO!B:H,7,FALSE),"")</f>
        <v>TAJO</v>
      </c>
      <c r="K430" s="383" t="str">
        <f>IF(BD_MO[FECHA]&lt;&gt;"",VLOOKUP(BD_MO[LABOR],D_CECO!B:H,4,FALSE),"")</f>
        <v>EXPLOTACION</v>
      </c>
      <c r="L430" s="398"/>
      <c r="M430" s="396" t="s">
        <v>10661</v>
      </c>
      <c r="N430" s="399"/>
      <c r="O430" s="400" t="s">
        <v>12101</v>
      </c>
      <c r="P430" s="400" t="s">
        <v>12305</v>
      </c>
      <c r="Q430" s="400"/>
      <c r="R430" s="401"/>
      <c r="S430" s="402" t="str">
        <f>IFERROR(VLOOKUP(BD_MO[DNI 4],#REF!,2,FALSE)," ")</f>
        <v xml:space="preserve"> </v>
      </c>
      <c r="T430" s="403">
        <f>+IF(BD_MO[[#This Row],[FECHA]]&lt;&gt;"",COUNTA(BD_MO[[#This Row],[DNI]],BD_MO[[#This Row],[DNI 2]],BD_MO[[#This Row],[DNI 3]],BD_MO[[#This Row],[DNI 4]]),"")</f>
        <v>2</v>
      </c>
      <c r="U430" s="403"/>
      <c r="V430" s="403">
        <v>0.5</v>
      </c>
      <c r="W430" s="403">
        <v>0.7</v>
      </c>
      <c r="X430" s="403">
        <v>0.8</v>
      </c>
      <c r="Y430" s="404">
        <f>SUM(BD_MO[[#This Row],[LIMP]:[SERV]])</f>
        <v>2</v>
      </c>
      <c r="Z430" s="399" t="s">
        <v>12383</v>
      </c>
      <c r="AA430" s="399">
        <f>+IF(BD_MO[[#This Row],[N° VALE]]&lt;&gt;"",1,"")</f>
        <v>1</v>
      </c>
      <c r="AB430" s="396" t="s">
        <v>10659</v>
      </c>
      <c r="AC430" s="399">
        <v>4</v>
      </c>
      <c r="AD430" s="399">
        <f>+IF(BD_MO[[#This Row],[N° VALE]]&lt;&gt;"",BD_MO[[#This Row],[FULMINANTE N° 08]]+BD_MO[CARMEX 7''],"")</f>
        <v>5</v>
      </c>
      <c r="AE430" s="399"/>
      <c r="AF430" s="399">
        <f>+IF(BD_MO[[#This Row],[N° VALE]]&lt;&gt;"",BD_MO[[#This Row],[N° TALADROS]]+BD_MO[[#This Row],[N° TAL. VACIOS]],"")</f>
        <v>5</v>
      </c>
      <c r="AG430" s="405"/>
      <c r="AH430" s="405">
        <v>20</v>
      </c>
      <c r="AI430" s="405"/>
      <c r="AJ430" s="405"/>
      <c r="AK430" s="405">
        <v>5</v>
      </c>
      <c r="AL430" s="405">
        <v>1</v>
      </c>
      <c r="AM430" s="398"/>
      <c r="AN430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30" s="399">
        <f>+IF(BD_MO[[#This Row],[N° VALE]]&lt;&gt;"",IF(BD_MO[[#This Row],[FULMINANTE N° 08]]&lt;&gt;"",BD_MO[[#This Row],[FULMINANTE N° 08]],IF(BD_MO[[#This Row],[CARMEX 7'']]&lt;&gt;0,0,"")),"")</f>
        <v>0</v>
      </c>
      <c r="AP430" s="403">
        <f>+IF(BD_MO[[#This Row],[N° VALE]]&lt;&gt;"",BD_MO[[#This Row],[N°  TOTAL TALADROS]]*BD_MO[[#This Row],[BARRA]]*0.95,"")</f>
        <v>19</v>
      </c>
      <c r="AQ430" s="403">
        <f>+IF(BD_MO[[#This Row],[N° VALE]]&lt;&gt;"",BD_MO[[#This Row],[EMULNOR 1000 (N° CART.)]]*PE_EMUL_1000[PE],"")</f>
        <v>1.8940000000000001</v>
      </c>
      <c r="AR430" s="403">
        <f>+IF(BD_MO[[#This Row],[N° VALE]]&lt;&gt;"",BD_MO[[#This Row],[EMULNOR 3000 (N° CART.)]]*PE_EMUL_3000[PE],"")</f>
        <v>0</v>
      </c>
      <c r="AS430" s="403">
        <f>+IF(BD_MO[[#This Row],[N° VALE]]&lt;&gt;"",BD_MO[[#This Row],[PULVERULENTA (N° CART.)]]*PE_PULV_65[PE],"")</f>
        <v>0</v>
      </c>
      <c r="AT430" s="403">
        <f>+IF(BD_MO[[#This Row],[N° DISP]]&lt;&gt;"",BD_MO[[#This Row],[SEMIGELATINA (N° CART.)]]*PE_SEMIGEL_65[PE],"")</f>
        <v>0</v>
      </c>
      <c r="AU430" s="403">
        <f>+IF(BD_MO[N° VALE]&lt;&gt;"",BD_MO[[#This Row],[KG EXPLO SEMIGEL]]+BD_MO[[#This Row],[KG EXPLO PULVE]]+BD_MO[[#This Row],[KG EXPLO EMULN 3000]]+BD_MO[[#This Row],[KG EXPLO EMULN 1000]],"")</f>
        <v>1.8940000000000001</v>
      </c>
      <c r="AV430" s="399"/>
      <c r="AW430" s="399"/>
      <c r="AX430" s="399" t="str">
        <f>+IF(BD_MO[[#This Row],[MINERAL (U-35)]]&lt;&gt;"",BD_MO[[#This Row],[MINERAL (U-35)]]*1.45,"-")</f>
        <v>-</v>
      </c>
      <c r="AY430" s="399" t="str">
        <f>+IF(BD_MO[[#This Row],[DESMONTE (U-35)]]&lt;&gt;"",BD_MO[[#This Row],[DESMONTE (U-35)]]*1.23,"-")</f>
        <v>-</v>
      </c>
      <c r="AZ430" s="399"/>
      <c r="BA430" s="399"/>
      <c r="BB430" s="399"/>
      <c r="BC430" s="399"/>
      <c r="BD430" s="399"/>
      <c r="BE430" s="399"/>
      <c r="BF430" s="399"/>
      <c r="BG430" s="399"/>
      <c r="BH430" s="399"/>
      <c r="BI430" s="399"/>
      <c r="BJ430" s="399"/>
      <c r="BK430" s="399"/>
      <c r="BL430" s="399"/>
      <c r="BM430" s="399"/>
      <c r="BN430" s="398">
        <v>6</v>
      </c>
      <c r="BO430" s="399"/>
      <c r="BP430" s="399"/>
      <c r="BQ430" s="398"/>
      <c r="BR430" s="399"/>
      <c r="BS430" s="398"/>
      <c r="BT430" s="403"/>
      <c r="BU430" s="399"/>
      <c r="BV430" s="399"/>
      <c r="BW430" s="399"/>
      <c r="BX430" s="399"/>
      <c r="BY430" s="399"/>
      <c r="BZ430" s="399"/>
      <c r="CA430" s="399"/>
      <c r="CB430" s="399"/>
      <c r="CC430" s="399"/>
      <c r="CD430" s="399"/>
      <c r="CE430" s="399">
        <v>1</v>
      </c>
      <c r="CF430" s="399"/>
      <c r="CG430" s="399"/>
      <c r="CH430" s="399"/>
      <c r="CI430" s="399"/>
      <c r="CJ430" s="399"/>
      <c r="CK430" s="399"/>
      <c r="CL430" s="399"/>
      <c r="CM430" s="399"/>
      <c r="CN430" s="399"/>
      <c r="CO430" s="399"/>
      <c r="CP430" s="403">
        <f>+IF(BD_MO[[#This Row],[FECHA]]&lt;&gt;"",BD_MO[[#This Row],[PUNTAL 4"]]+BD_MO[[#This Row],[PUNTAL 5"]]+BD_MO[[#This Row],[PUNTAL 6"]]+BD_MO[[#This Row],[PUNTAL 7"]]+BD_MO[[#This Row],[PUNTAL 8"]],"")</f>
        <v>0</v>
      </c>
      <c r="CQ430" s="399"/>
      <c r="CR430" s="399"/>
      <c r="CS430" s="399"/>
      <c r="CT430" s="399"/>
      <c r="CU430" s="399"/>
      <c r="CV430" s="399"/>
      <c r="CW430" s="399">
        <v>5</v>
      </c>
      <c r="CX430" s="399"/>
      <c r="CY430" s="403"/>
      <c r="CZ430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30" s="403">
        <f>+IF(BD_MO[[#This Row],[FECHA]]&lt;&gt;"",BD_MO[[#This Row],[DURMIENTE2]]*6.561+BD_MO[[#This Row],[LISTONES]]*4.921+BD_MO[[#This Row],[TABLA 1"x8"x3m]]*6.561+BD_MO[[#This Row],[TABLA 2"x8"x3m]]*13.122,"")</f>
        <v>32.805</v>
      </c>
      <c r="DB430" s="403">
        <f>+IF(BD_MO[[#This Row],[FECHA]]&lt;&gt;"",BD_MO[[#This Row],[PIE2 MADERA ASERRADA]]*1.95,"")</f>
        <v>63.969749999999998</v>
      </c>
      <c r="DC430" s="403">
        <f>+IF(BD_MO[[#This Row],[FECHA]]&lt;&gt;"",BD_MO[[#This Row],[KG. MADERA REDONDA]]+BD_MO[[#This Row],[KG MADERA ASERRADA]],"")</f>
        <v>63.969749999999998</v>
      </c>
      <c r="DD430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63.550000000000004</v>
      </c>
      <c r="DE430" s="399"/>
      <c r="DF430" s="399"/>
      <c r="DG430" s="399"/>
      <c r="DH430" s="399"/>
      <c r="DI430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30" s="407"/>
      <c r="DK430" s="407"/>
      <c r="DL430" s="407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1.17</v>
      </c>
      <c r="DM430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1.2167999999999999</v>
      </c>
      <c r="DN430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30" s="408">
        <v>3.6274999999999999</v>
      </c>
      <c r="DP430" s="407">
        <f>+IF(BD_MO[[#This Row],[M o D]]&lt;&gt;"",IF(BD_MO[[#This Row],[M o D]]="M",BD_MO[[#This Row],[ROTURA TMH]]/2.65,BD_MO[[#This Row],[ROTURA TMH]]/2.4),"")</f>
        <v>1.368867924528302</v>
      </c>
      <c r="DQ430" s="407"/>
      <c r="DR430" s="116" t="str">
        <f>IF(BD_MO[[#This Row],[TIPO AVANCE]]="Avance",((BD_MO[[#This Row],[AVANCE (m)]]/BD_MO[[#This Row],[AVANCE TEÓRICO]]))," ")</f>
        <v xml:space="preserve"> </v>
      </c>
      <c r="DS430" s="134"/>
      <c r="DT430" s="134"/>
      <c r="DU430" s="134"/>
      <c r="DV430" s="134"/>
      <c r="DW430" s="134"/>
      <c r="DX430" s="135"/>
      <c r="DY430" s="135"/>
      <c r="DZ430" s="135"/>
    </row>
    <row r="431" spans="1:130" s="136" customFormat="1" ht="18" customHeight="1" x14ac:dyDescent="0.25">
      <c r="A431" s="395">
        <v>44676</v>
      </c>
      <c r="B431" s="396" t="s">
        <v>10647</v>
      </c>
      <c r="C431" s="396" t="s">
        <v>10668</v>
      </c>
      <c r="D431" s="397" t="s">
        <v>12465</v>
      </c>
      <c r="E431" s="398" t="str">
        <f>LEFT(BD_MO[[#This Row],[LABOR]],2)</f>
        <v>Sn</v>
      </c>
      <c r="F431" s="396" t="s">
        <v>10950</v>
      </c>
      <c r="G431" s="399" t="s">
        <v>10648</v>
      </c>
      <c r="H431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31" s="387" t="str">
        <f>IF(BD_MO[FECHA]&lt;&gt;"",VLOOKUP(BD_MO[LABOR],TB_CECO[[LABOR]:[CECO_T]],3,FALSE),"")</f>
        <v>VANESSA</v>
      </c>
      <c r="J431" s="387" t="str">
        <f>IF(BD_MO[FECHA]&lt;&gt;"",VLOOKUP(BD_MO[LABOR],D_CECO!B:H,7,FALSE),"")</f>
        <v>LINEAL</v>
      </c>
      <c r="K431" s="387" t="str">
        <f>IF(BD_MO[FECHA]&lt;&gt;"",VLOOKUP(BD_MO[LABOR],D_CECO!B:H,4,FALSE),"")</f>
        <v>EXPLORACION</v>
      </c>
      <c r="L431" s="398"/>
      <c r="M431" s="396" t="s">
        <v>10646</v>
      </c>
      <c r="N431" s="399"/>
      <c r="O431" s="400" t="s">
        <v>12091</v>
      </c>
      <c r="P431" s="400" t="s">
        <v>12159</v>
      </c>
      <c r="Q431" s="400" t="s">
        <v>12361</v>
      </c>
      <c r="R431" s="401"/>
      <c r="S431" s="402" t="str">
        <f>IFERROR(VLOOKUP(BD_MO[DNI 4],#REF!,2,FALSE)," ")</f>
        <v xml:space="preserve"> </v>
      </c>
      <c r="T431" s="403">
        <v>1</v>
      </c>
      <c r="U431" s="403">
        <v>0.52</v>
      </c>
      <c r="V431" s="403">
        <v>0.28999999999999998</v>
      </c>
      <c r="W431" s="403"/>
      <c r="X431" s="403">
        <v>0.19</v>
      </c>
      <c r="Y431" s="404">
        <f>SUM(BD_MO[[#This Row],[LIMP]:[SERV]])</f>
        <v>1</v>
      </c>
      <c r="Z431" s="399" t="s">
        <v>12384</v>
      </c>
      <c r="AA431" s="399">
        <f>+IF(BD_MO[[#This Row],[N° VALE]]&lt;&gt;"",1,"")</f>
        <v>1</v>
      </c>
      <c r="AB431" s="396" t="s">
        <v>10705</v>
      </c>
      <c r="AC431" s="399">
        <v>4</v>
      </c>
      <c r="AD431" s="399">
        <f>+IF(BD_MO[[#This Row],[N° VALE]]&lt;&gt;"",BD_MO[[#This Row],[FULMINANTE N° 08]]+BD_MO[CARMEX 7''],"")</f>
        <v>20</v>
      </c>
      <c r="AE431" s="399">
        <v>3</v>
      </c>
      <c r="AF431" s="399">
        <f>+IF(BD_MO[[#This Row],[N° VALE]]&lt;&gt;"",BD_MO[[#This Row],[N° TALADROS]]+BD_MO[[#This Row],[N° TAL. VACIOS]],"")</f>
        <v>23</v>
      </c>
      <c r="AG431" s="405">
        <v>40</v>
      </c>
      <c r="AH431" s="405">
        <v>50</v>
      </c>
      <c r="AI431" s="405"/>
      <c r="AJ431" s="405"/>
      <c r="AK431" s="405">
        <v>20</v>
      </c>
      <c r="AL431" s="405">
        <v>4</v>
      </c>
      <c r="AM431" s="398"/>
      <c r="AN431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31" s="399">
        <f>+IF(BD_MO[[#This Row],[N° VALE]]&lt;&gt;"",IF(BD_MO[[#This Row],[FULMINANTE N° 08]]&lt;&gt;"",BD_MO[[#This Row],[FULMINANTE N° 08]],IF(BD_MO[[#This Row],[CARMEX 7'']]&lt;&gt;0,0,"")),"")</f>
        <v>0</v>
      </c>
      <c r="AP431" s="403">
        <f>+IF(BD_MO[[#This Row],[N° VALE]]&lt;&gt;"",BD_MO[[#This Row],[N°  TOTAL TALADROS]]*BD_MO[[#This Row],[BARRA]]*0.95,"")</f>
        <v>87.399999999999991</v>
      </c>
      <c r="AQ431" s="403">
        <f>+IF(BD_MO[[#This Row],[N° VALE]]&lt;&gt;"",BD_MO[[#This Row],[EMULNOR 1000 (N° CART.)]]*PE_EMUL_1000[PE],"")</f>
        <v>4.7350000000000003</v>
      </c>
      <c r="AR431" s="403">
        <f>+IF(BD_MO[[#This Row],[N° VALE]]&lt;&gt;"",BD_MO[[#This Row],[EMULNOR 3000 (N° CART.)]]*PE_EMUL_3000[PE],"")</f>
        <v>3.846153846153848</v>
      </c>
      <c r="AS431" s="403">
        <f>+IF(BD_MO[[#This Row],[N° VALE]]&lt;&gt;"",BD_MO[[#This Row],[PULVERULENTA (N° CART.)]]*PE_PULV_65[PE],"")</f>
        <v>0</v>
      </c>
      <c r="AT431" s="403">
        <f>+IF(BD_MO[[#This Row],[N° DISP]]&lt;&gt;"",BD_MO[[#This Row],[SEMIGELATINA (N° CART.)]]*PE_SEMIGEL_65[PE],"")</f>
        <v>0</v>
      </c>
      <c r="AU431" s="403">
        <f>+IF(BD_MO[N° VALE]&lt;&gt;"",BD_MO[[#This Row],[KG EXPLO SEMIGEL]]+BD_MO[[#This Row],[KG EXPLO PULVE]]+BD_MO[[#This Row],[KG EXPLO EMULN 3000]]+BD_MO[[#This Row],[KG EXPLO EMULN 1000]],"")</f>
        <v>8.5811538461538479</v>
      </c>
      <c r="AV431" s="399">
        <v>6</v>
      </c>
      <c r="AW431" s="399"/>
      <c r="AX431" s="399">
        <f>+IF(BD_MO[[#This Row],[MINERAL (U-35)]]&lt;&gt;"",BD_MO[[#This Row],[MINERAL (U-35)]]*1.45,"-")</f>
        <v>8.6999999999999993</v>
      </c>
      <c r="AY431" s="399" t="str">
        <f>+IF(BD_MO[[#This Row],[DESMONTE (U-35)]]&lt;&gt;"",BD_MO[[#This Row],[DESMONTE (U-35)]]*1.23,"-")</f>
        <v>-</v>
      </c>
      <c r="AZ431" s="399"/>
      <c r="BA431" s="399"/>
      <c r="BB431" s="399"/>
      <c r="BC431" s="399"/>
      <c r="BD431" s="399"/>
      <c r="BE431" s="399"/>
      <c r="BF431" s="399"/>
      <c r="BG431" s="399"/>
      <c r="BH431" s="399"/>
      <c r="BI431" s="399"/>
      <c r="BJ431" s="399"/>
      <c r="BK431" s="399"/>
      <c r="BL431" s="399"/>
      <c r="BM431" s="399"/>
      <c r="BN431" s="398"/>
      <c r="BO431" s="399"/>
      <c r="BP431" s="399"/>
      <c r="BQ431" s="398"/>
      <c r="BR431" s="399"/>
      <c r="BS431" s="398"/>
      <c r="BT431" s="403"/>
      <c r="BU431" s="399"/>
      <c r="BV431" s="399"/>
      <c r="BW431" s="399"/>
      <c r="BX431" s="399"/>
      <c r="BY431" s="399"/>
      <c r="BZ431" s="399"/>
      <c r="CA431" s="399"/>
      <c r="CB431" s="399"/>
      <c r="CC431" s="399"/>
      <c r="CD431" s="399"/>
      <c r="CE431" s="399"/>
      <c r="CF431" s="399"/>
      <c r="CG431" s="399"/>
      <c r="CH431" s="399"/>
      <c r="CI431" s="399"/>
      <c r="CJ431" s="399"/>
      <c r="CK431" s="399"/>
      <c r="CL431" s="399"/>
      <c r="CM431" s="399"/>
      <c r="CN431" s="399"/>
      <c r="CO431" s="399"/>
      <c r="CP431" s="403">
        <f>+IF(BD_MO[[#This Row],[FECHA]]&lt;&gt;"",BD_MO[[#This Row],[PUNTAL 4"]]+BD_MO[[#This Row],[PUNTAL 5"]]+BD_MO[[#This Row],[PUNTAL 6"]]+BD_MO[[#This Row],[PUNTAL 7"]]+BD_MO[[#This Row],[PUNTAL 8"]],"")</f>
        <v>0</v>
      </c>
      <c r="CQ431" s="399"/>
      <c r="CR431" s="399"/>
      <c r="CS431" s="399"/>
      <c r="CT431" s="399"/>
      <c r="CU431" s="399"/>
      <c r="CV431" s="399"/>
      <c r="CW431" s="399"/>
      <c r="CX431" s="399"/>
      <c r="CY431" s="403"/>
      <c r="CZ431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31" s="403">
        <f>+IF(BD_MO[[#This Row],[FECHA]]&lt;&gt;"",BD_MO[[#This Row],[DURMIENTE2]]*6.561+BD_MO[[#This Row],[LISTONES]]*4.921+BD_MO[[#This Row],[TABLA 1"x8"x3m]]*6.561+BD_MO[[#This Row],[TABLA 2"x8"x3m]]*13.122,"")</f>
        <v>0</v>
      </c>
      <c r="DB431" s="403">
        <f>+IF(BD_MO[[#This Row],[FECHA]]&lt;&gt;"",BD_MO[[#This Row],[PIE2 MADERA ASERRADA]]*1.95,"")</f>
        <v>0</v>
      </c>
      <c r="DC431" s="403">
        <f>+IF(BD_MO[[#This Row],[FECHA]]&lt;&gt;"",BD_MO[[#This Row],[KG. MADERA REDONDA]]+BD_MO[[#This Row],[KG MADERA ASERRADA]],"")</f>
        <v>0</v>
      </c>
      <c r="DD431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31" s="399"/>
      <c r="DF431" s="399"/>
      <c r="DG431" s="399"/>
      <c r="DH431" s="399"/>
      <c r="DI431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31" s="407"/>
      <c r="DK431" s="407"/>
      <c r="DL431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31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31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31" s="408">
        <v>5.1280000000000001</v>
      </c>
      <c r="DP431" s="407">
        <f>+IF(BD_MO[[#This Row],[M o D]]&lt;&gt;"",IF(BD_MO[[#This Row],[M o D]]="M",BD_MO[[#This Row],[ROTURA TMH]]/2.65,BD_MO[[#This Row],[ROTURA TMH]]/2.4),"")</f>
        <v>1.9350943396226417</v>
      </c>
      <c r="DQ431" s="407">
        <v>1.02</v>
      </c>
      <c r="DR431" s="116">
        <f>IF(BD_MO[[#This Row],[TIPO AVANCE]]="Avance",((BD_MO[[#This Row],[AVANCE (m)]]/BD_MO[[#This Row],[AVANCE TEÓRICO]]))," ")</f>
        <v>0.94444444444444442</v>
      </c>
      <c r="DS431" s="134"/>
      <c r="DT431" s="134"/>
      <c r="DU431" s="134"/>
      <c r="DV431" s="134"/>
      <c r="DW431" s="134"/>
      <c r="DX431" s="135"/>
      <c r="DY431" s="135"/>
      <c r="DZ431" s="135"/>
    </row>
    <row r="432" spans="1:130" s="136" customFormat="1" ht="18" customHeight="1" x14ac:dyDescent="0.25">
      <c r="A432" s="395">
        <v>44676</v>
      </c>
      <c r="B432" s="396" t="s">
        <v>10647</v>
      </c>
      <c r="C432" s="396" t="s">
        <v>10668</v>
      </c>
      <c r="D432" s="397" t="s">
        <v>12465</v>
      </c>
      <c r="E432" s="398" t="str">
        <f>LEFT(BD_MO[[#This Row],[LABOR]],2)</f>
        <v>Sn</v>
      </c>
      <c r="F432" s="399" t="s">
        <v>10950</v>
      </c>
      <c r="G432" s="399" t="s">
        <v>10648</v>
      </c>
      <c r="H432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32" s="387" t="str">
        <f>IF(BD_MO[FECHA]&lt;&gt;"",VLOOKUP(BD_MO[LABOR],TB_CECO[[LABOR]:[CECO_T]],3,FALSE),"")</f>
        <v>VANESSA</v>
      </c>
      <c r="J432" s="387" t="str">
        <f>IF(BD_MO[FECHA]&lt;&gt;"",VLOOKUP(BD_MO[LABOR],D_CECO!B:H,7,FALSE),"")</f>
        <v>LINEAL</v>
      </c>
      <c r="K432" s="387" t="str">
        <f>IF(BD_MO[FECHA]&lt;&gt;"",VLOOKUP(BD_MO[LABOR],D_CECO!B:H,4,FALSE),"")</f>
        <v>EXPLORACION</v>
      </c>
      <c r="L432" s="398"/>
      <c r="M432" s="396" t="s">
        <v>10646</v>
      </c>
      <c r="N432" s="399"/>
      <c r="O432" s="400" t="s">
        <v>12091</v>
      </c>
      <c r="P432" s="400" t="s">
        <v>12159</v>
      </c>
      <c r="Q432" s="400" t="s">
        <v>12361</v>
      </c>
      <c r="R432" s="401"/>
      <c r="S432" s="402" t="str">
        <f>IFERROR(VLOOKUP(BD_MO[DNI 4],#REF!,2,FALSE)," ")</f>
        <v xml:space="preserve"> </v>
      </c>
      <c r="T432" s="403">
        <v>1</v>
      </c>
      <c r="U432" s="403">
        <v>0.52</v>
      </c>
      <c r="V432" s="403">
        <v>0.28999999999999998</v>
      </c>
      <c r="W432" s="403"/>
      <c r="X432" s="403">
        <v>0.19</v>
      </c>
      <c r="Y432" s="404">
        <f>SUM(BD_MO[[#This Row],[LIMP]:[SERV]])</f>
        <v>1</v>
      </c>
      <c r="Z432" s="399" t="s">
        <v>12385</v>
      </c>
      <c r="AA432" s="399">
        <f>+IF(BD_MO[[#This Row],[N° VALE]]&lt;&gt;"",1,"")</f>
        <v>1</v>
      </c>
      <c r="AB432" s="396" t="s">
        <v>10705</v>
      </c>
      <c r="AC432" s="399">
        <v>4</v>
      </c>
      <c r="AD432" s="399">
        <f>+IF(BD_MO[[#This Row],[N° VALE]]&lt;&gt;"",BD_MO[[#This Row],[FULMINANTE N° 08]]+BD_MO[CARMEX 7''],"")</f>
        <v>20</v>
      </c>
      <c r="AE432" s="399">
        <v>3</v>
      </c>
      <c r="AF432" s="399">
        <f>+IF(BD_MO[[#This Row],[N° VALE]]&lt;&gt;"",BD_MO[[#This Row],[N° TALADROS]]+BD_MO[[#This Row],[N° TAL. VACIOS]],"")</f>
        <v>23</v>
      </c>
      <c r="AG432" s="405">
        <v>40</v>
      </c>
      <c r="AH432" s="405">
        <v>50</v>
      </c>
      <c r="AI432" s="405"/>
      <c r="AJ432" s="405"/>
      <c r="AK432" s="405">
        <v>20</v>
      </c>
      <c r="AL432" s="405">
        <v>4</v>
      </c>
      <c r="AM432" s="398"/>
      <c r="AN432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32" s="399">
        <f>+IF(BD_MO[[#This Row],[N° VALE]]&lt;&gt;"",IF(BD_MO[[#This Row],[FULMINANTE N° 08]]&lt;&gt;"",BD_MO[[#This Row],[FULMINANTE N° 08]],IF(BD_MO[[#This Row],[CARMEX 7'']]&lt;&gt;0,0,"")),"")</f>
        <v>0</v>
      </c>
      <c r="AP432" s="403">
        <f>+IF(BD_MO[[#This Row],[N° VALE]]&lt;&gt;"",BD_MO[[#This Row],[N°  TOTAL TALADROS]]*BD_MO[[#This Row],[BARRA]]*0.95,"")</f>
        <v>87.399999999999991</v>
      </c>
      <c r="AQ432" s="403">
        <f>+IF(BD_MO[[#This Row],[N° VALE]]&lt;&gt;"",BD_MO[[#This Row],[EMULNOR 1000 (N° CART.)]]*PE_EMUL_1000[PE],"")</f>
        <v>4.7350000000000003</v>
      </c>
      <c r="AR432" s="403">
        <f>+IF(BD_MO[[#This Row],[N° VALE]]&lt;&gt;"",BD_MO[[#This Row],[EMULNOR 3000 (N° CART.)]]*PE_EMUL_3000[PE],"")</f>
        <v>3.846153846153848</v>
      </c>
      <c r="AS432" s="403">
        <f>+IF(BD_MO[[#This Row],[N° VALE]]&lt;&gt;"",BD_MO[[#This Row],[PULVERULENTA (N° CART.)]]*PE_PULV_65[PE],"")</f>
        <v>0</v>
      </c>
      <c r="AT432" s="403">
        <f>+IF(BD_MO[[#This Row],[N° DISP]]&lt;&gt;"",BD_MO[[#This Row],[SEMIGELATINA (N° CART.)]]*PE_SEMIGEL_65[PE],"")</f>
        <v>0</v>
      </c>
      <c r="AU432" s="403">
        <f>+IF(BD_MO[N° VALE]&lt;&gt;"",BD_MO[[#This Row],[KG EXPLO SEMIGEL]]+BD_MO[[#This Row],[KG EXPLO PULVE]]+BD_MO[[#This Row],[KG EXPLO EMULN 3000]]+BD_MO[[#This Row],[KG EXPLO EMULN 1000]],"")</f>
        <v>8.5811538461538479</v>
      </c>
      <c r="AV432" s="399">
        <v>7</v>
      </c>
      <c r="AW432" s="399"/>
      <c r="AX432" s="399">
        <f>+IF(BD_MO[[#This Row],[MINERAL (U-35)]]&lt;&gt;"",BD_MO[[#This Row],[MINERAL (U-35)]]*1.45,"-")</f>
        <v>10.15</v>
      </c>
      <c r="AY432" s="399" t="str">
        <f>+IF(BD_MO[[#This Row],[DESMONTE (U-35)]]&lt;&gt;"",BD_MO[[#This Row],[DESMONTE (U-35)]]*1.23,"-")</f>
        <v>-</v>
      </c>
      <c r="AZ432" s="399"/>
      <c r="BA432" s="399"/>
      <c r="BB432" s="399"/>
      <c r="BC432" s="399"/>
      <c r="BD432" s="399"/>
      <c r="BE432" s="399"/>
      <c r="BF432" s="399"/>
      <c r="BG432" s="399"/>
      <c r="BH432" s="399"/>
      <c r="BI432" s="399"/>
      <c r="BJ432" s="399"/>
      <c r="BK432" s="399"/>
      <c r="BL432" s="399"/>
      <c r="BM432" s="399"/>
      <c r="BN432" s="398"/>
      <c r="BO432" s="399"/>
      <c r="BP432" s="399"/>
      <c r="BQ432" s="398"/>
      <c r="BR432" s="399"/>
      <c r="BS432" s="398"/>
      <c r="BT432" s="403"/>
      <c r="BU432" s="399"/>
      <c r="BV432" s="399"/>
      <c r="BW432" s="399"/>
      <c r="BX432" s="399"/>
      <c r="BY432" s="399"/>
      <c r="BZ432" s="399"/>
      <c r="CA432" s="399"/>
      <c r="CB432" s="399"/>
      <c r="CC432" s="399"/>
      <c r="CD432" s="399"/>
      <c r="CE432" s="399"/>
      <c r="CF432" s="399"/>
      <c r="CG432" s="399"/>
      <c r="CH432" s="399"/>
      <c r="CI432" s="399"/>
      <c r="CJ432" s="399"/>
      <c r="CK432" s="399"/>
      <c r="CL432" s="399"/>
      <c r="CM432" s="399"/>
      <c r="CN432" s="399"/>
      <c r="CO432" s="399"/>
      <c r="CP432" s="403">
        <f>+IF(BD_MO[[#This Row],[FECHA]]&lt;&gt;"",BD_MO[[#This Row],[PUNTAL 4"]]+BD_MO[[#This Row],[PUNTAL 5"]]+BD_MO[[#This Row],[PUNTAL 6"]]+BD_MO[[#This Row],[PUNTAL 7"]]+BD_MO[[#This Row],[PUNTAL 8"]],"")</f>
        <v>0</v>
      </c>
      <c r="CQ432" s="399"/>
      <c r="CR432" s="399"/>
      <c r="CS432" s="399"/>
      <c r="CT432" s="399"/>
      <c r="CU432" s="399"/>
      <c r="CV432" s="399"/>
      <c r="CW432" s="399"/>
      <c r="CX432" s="399"/>
      <c r="CY432" s="403"/>
      <c r="CZ432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32" s="403">
        <f>+IF(BD_MO[[#This Row],[FECHA]]&lt;&gt;"",BD_MO[[#This Row],[DURMIENTE2]]*6.561+BD_MO[[#This Row],[LISTONES]]*4.921+BD_MO[[#This Row],[TABLA 1"x8"x3m]]*6.561+BD_MO[[#This Row],[TABLA 2"x8"x3m]]*13.122,"")</f>
        <v>0</v>
      </c>
      <c r="DB432" s="403">
        <f>+IF(BD_MO[[#This Row],[FECHA]]&lt;&gt;"",BD_MO[[#This Row],[PIE2 MADERA ASERRADA]]*1.95,"")</f>
        <v>0</v>
      </c>
      <c r="DC432" s="403">
        <f>+IF(BD_MO[[#This Row],[FECHA]]&lt;&gt;"",BD_MO[[#This Row],[KG. MADERA REDONDA]]+BD_MO[[#This Row],[KG MADERA ASERRADA]],"")</f>
        <v>0</v>
      </c>
      <c r="DD432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32" s="399"/>
      <c r="DF432" s="399"/>
      <c r="DG432" s="399"/>
      <c r="DH432" s="399"/>
      <c r="DI432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32" s="407"/>
      <c r="DK432" s="407"/>
      <c r="DL432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32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32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32" s="408">
        <v>5.1280000000000001</v>
      </c>
      <c r="DP432" s="407">
        <f>+IF(BD_MO[[#This Row],[M o D]]&lt;&gt;"",IF(BD_MO[[#This Row],[M o D]]="M",BD_MO[[#This Row],[ROTURA TMH]]/2.65,BD_MO[[#This Row],[ROTURA TMH]]/2.4),"")</f>
        <v>1.9350943396226417</v>
      </c>
      <c r="DQ432" s="407">
        <v>1.01</v>
      </c>
      <c r="DR432" s="116">
        <f>IF(BD_MO[[#This Row],[TIPO AVANCE]]="Avance",((BD_MO[[#This Row],[AVANCE (m)]]/BD_MO[[#This Row],[AVANCE TEÓRICO]]))," ")</f>
        <v>0.93518518518518512</v>
      </c>
      <c r="DS432" s="134"/>
      <c r="DT432" s="134"/>
      <c r="DU432" s="134"/>
      <c r="DV432" s="134"/>
      <c r="DW432" s="134"/>
      <c r="DX432" s="135"/>
      <c r="DY432" s="135"/>
      <c r="DZ432" s="135"/>
    </row>
    <row r="433" spans="1:130" s="136" customFormat="1" ht="18" customHeight="1" x14ac:dyDescent="0.25">
      <c r="A433" s="395">
        <v>44676</v>
      </c>
      <c r="B433" s="396" t="s">
        <v>10647</v>
      </c>
      <c r="C433" s="396" t="s">
        <v>10668</v>
      </c>
      <c r="D433" s="397" t="s">
        <v>12465</v>
      </c>
      <c r="E433" s="398" t="str">
        <f>LEFT(BD_MO[[#This Row],[LABOR]],2)</f>
        <v>Sn</v>
      </c>
      <c r="F433" s="399" t="s">
        <v>10950</v>
      </c>
      <c r="G433" s="399" t="s">
        <v>10648</v>
      </c>
      <c r="H433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33" s="387" t="str">
        <f>IF(BD_MO[FECHA]&lt;&gt;"",VLOOKUP(BD_MO[LABOR],TB_CECO[[LABOR]:[CECO_T]],3,FALSE),"")</f>
        <v>VANESSA</v>
      </c>
      <c r="J433" s="387" t="str">
        <f>IF(BD_MO[FECHA]&lt;&gt;"",VLOOKUP(BD_MO[LABOR],D_CECO!B:H,7,FALSE),"")</f>
        <v>LINEAL</v>
      </c>
      <c r="K433" s="387" t="str">
        <f>IF(BD_MO[FECHA]&lt;&gt;"",VLOOKUP(BD_MO[LABOR],D_CECO!B:H,4,FALSE),"")</f>
        <v>EXPLORACION</v>
      </c>
      <c r="L433" s="398"/>
      <c r="M433" s="396" t="s">
        <v>10646</v>
      </c>
      <c r="N433" s="399"/>
      <c r="O433" s="400" t="s">
        <v>12091</v>
      </c>
      <c r="P433" s="400" t="s">
        <v>12159</v>
      </c>
      <c r="Q433" s="400" t="s">
        <v>12361</v>
      </c>
      <c r="R433" s="401"/>
      <c r="S433" s="402" t="str">
        <f>IFERROR(VLOOKUP(BD_MO[DNI 4],#REF!,2,FALSE)," ")</f>
        <v xml:space="preserve"> </v>
      </c>
      <c r="T433" s="403">
        <v>1</v>
      </c>
      <c r="U433" s="403">
        <v>0.52</v>
      </c>
      <c r="V433" s="403">
        <v>0.28999999999999998</v>
      </c>
      <c r="W433" s="403"/>
      <c r="X433" s="403">
        <v>0.19</v>
      </c>
      <c r="Y433" s="404">
        <f>SUM(BD_MO[[#This Row],[LIMP]:[SERV]])</f>
        <v>1</v>
      </c>
      <c r="Z433" s="399" t="s">
        <v>12386</v>
      </c>
      <c r="AA433" s="399">
        <f>+IF(BD_MO[[#This Row],[N° VALE]]&lt;&gt;"",1,"")</f>
        <v>1</v>
      </c>
      <c r="AB433" s="396" t="s">
        <v>10709</v>
      </c>
      <c r="AC433" s="399">
        <v>4</v>
      </c>
      <c r="AD433" s="399">
        <f>+IF(BD_MO[[#This Row],[N° VALE]]&lt;&gt;"",BD_MO[[#This Row],[FULMINANTE N° 08]]+BD_MO[CARMEX 7''],"")</f>
        <v>20</v>
      </c>
      <c r="AE433" s="399"/>
      <c r="AF433" s="399">
        <f>+IF(BD_MO[[#This Row],[N° VALE]]&lt;&gt;"",BD_MO[[#This Row],[N° TALADROS]]+BD_MO[[#This Row],[N° TAL. VACIOS]],"")</f>
        <v>20</v>
      </c>
      <c r="AG433" s="405">
        <v>40</v>
      </c>
      <c r="AH433" s="405">
        <v>50</v>
      </c>
      <c r="AI433" s="405"/>
      <c r="AJ433" s="405"/>
      <c r="AK433" s="405">
        <v>20</v>
      </c>
      <c r="AL433" s="405">
        <v>3</v>
      </c>
      <c r="AM433" s="398"/>
      <c r="AN433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33" s="399">
        <f>+IF(BD_MO[[#This Row],[N° VALE]]&lt;&gt;"",IF(BD_MO[[#This Row],[FULMINANTE N° 08]]&lt;&gt;"",BD_MO[[#This Row],[FULMINANTE N° 08]],IF(BD_MO[[#This Row],[CARMEX 7'']]&lt;&gt;0,0,"")),"")</f>
        <v>0</v>
      </c>
      <c r="AP433" s="403">
        <f>+IF(BD_MO[[#This Row],[N° VALE]]&lt;&gt;"",BD_MO[[#This Row],[N°  TOTAL TALADROS]]*BD_MO[[#This Row],[BARRA]]*0.95,"")</f>
        <v>76</v>
      </c>
      <c r="AQ433" s="403">
        <f>+IF(BD_MO[[#This Row],[N° VALE]]&lt;&gt;"",BD_MO[[#This Row],[EMULNOR 1000 (N° CART.)]]*PE_EMUL_1000[PE],"")</f>
        <v>4.7350000000000003</v>
      </c>
      <c r="AR433" s="403">
        <f>+IF(BD_MO[[#This Row],[N° VALE]]&lt;&gt;"",BD_MO[[#This Row],[EMULNOR 3000 (N° CART.)]]*PE_EMUL_3000[PE],"")</f>
        <v>3.846153846153848</v>
      </c>
      <c r="AS433" s="403">
        <f>+IF(BD_MO[[#This Row],[N° VALE]]&lt;&gt;"",BD_MO[[#This Row],[PULVERULENTA (N° CART.)]]*PE_PULV_65[PE],"")</f>
        <v>0</v>
      </c>
      <c r="AT433" s="403">
        <f>+IF(BD_MO[[#This Row],[N° DISP]]&lt;&gt;"",BD_MO[[#This Row],[SEMIGELATINA (N° CART.)]]*PE_SEMIGEL_65[PE],"")</f>
        <v>0</v>
      </c>
      <c r="AU433" s="403">
        <f>+IF(BD_MO[N° VALE]&lt;&gt;"",BD_MO[[#This Row],[KG EXPLO SEMIGEL]]+BD_MO[[#This Row],[KG EXPLO PULVE]]+BD_MO[[#This Row],[KG EXPLO EMULN 3000]]+BD_MO[[#This Row],[KG EXPLO EMULN 1000]],"")</f>
        <v>8.5811538461538479</v>
      </c>
      <c r="AV433" s="399"/>
      <c r="AW433" s="399"/>
      <c r="AX433" s="399" t="str">
        <f>+IF(BD_MO[[#This Row],[MINERAL (U-35)]]&lt;&gt;"",BD_MO[[#This Row],[MINERAL (U-35)]]*1.45,"-")</f>
        <v>-</v>
      </c>
      <c r="AY433" s="399" t="str">
        <f>+IF(BD_MO[[#This Row],[DESMONTE (U-35)]]&lt;&gt;"",BD_MO[[#This Row],[DESMONTE (U-35)]]*1.23,"-")</f>
        <v>-</v>
      </c>
      <c r="AZ433" s="399"/>
      <c r="BA433" s="399"/>
      <c r="BB433" s="399"/>
      <c r="BC433" s="399"/>
      <c r="BD433" s="399"/>
      <c r="BE433" s="399"/>
      <c r="BF433" s="399"/>
      <c r="BG433" s="399"/>
      <c r="BH433" s="399"/>
      <c r="BI433" s="399"/>
      <c r="BJ433" s="399"/>
      <c r="BK433" s="399"/>
      <c r="BL433" s="399"/>
      <c r="BM433" s="399"/>
      <c r="BN433" s="398"/>
      <c r="BO433" s="399"/>
      <c r="BP433" s="399"/>
      <c r="BQ433" s="398"/>
      <c r="BR433" s="399"/>
      <c r="BS433" s="398"/>
      <c r="BT433" s="403"/>
      <c r="BU433" s="399"/>
      <c r="BV433" s="399"/>
      <c r="BW433" s="399"/>
      <c r="BX433" s="399"/>
      <c r="BY433" s="399"/>
      <c r="BZ433" s="399"/>
      <c r="CA433" s="399"/>
      <c r="CB433" s="399"/>
      <c r="CC433" s="399"/>
      <c r="CD433" s="399"/>
      <c r="CE433" s="399"/>
      <c r="CF433" s="399"/>
      <c r="CG433" s="399"/>
      <c r="CH433" s="399"/>
      <c r="CI433" s="399"/>
      <c r="CJ433" s="399"/>
      <c r="CK433" s="399"/>
      <c r="CL433" s="399"/>
      <c r="CM433" s="399"/>
      <c r="CN433" s="399"/>
      <c r="CO433" s="399"/>
      <c r="CP433" s="403">
        <f>+IF(BD_MO[[#This Row],[FECHA]]&lt;&gt;"",BD_MO[[#This Row],[PUNTAL 4"]]+BD_MO[[#This Row],[PUNTAL 5"]]+BD_MO[[#This Row],[PUNTAL 6"]]+BD_MO[[#This Row],[PUNTAL 7"]]+BD_MO[[#This Row],[PUNTAL 8"]],"")</f>
        <v>0</v>
      </c>
      <c r="CQ433" s="399"/>
      <c r="CR433" s="399"/>
      <c r="CS433" s="399"/>
      <c r="CT433" s="399"/>
      <c r="CU433" s="399"/>
      <c r="CV433" s="399"/>
      <c r="CW433" s="399"/>
      <c r="CX433" s="399"/>
      <c r="CY433" s="403"/>
      <c r="CZ433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33" s="403">
        <f>+IF(BD_MO[[#This Row],[FECHA]]&lt;&gt;"",BD_MO[[#This Row],[DURMIENTE2]]*6.561+BD_MO[[#This Row],[LISTONES]]*4.921+BD_MO[[#This Row],[TABLA 1"x8"x3m]]*6.561+BD_MO[[#This Row],[TABLA 2"x8"x3m]]*13.122,"")</f>
        <v>0</v>
      </c>
      <c r="DB433" s="403">
        <f>+IF(BD_MO[[#This Row],[FECHA]]&lt;&gt;"",BD_MO[[#This Row],[PIE2 MADERA ASERRADA]]*1.95,"")</f>
        <v>0</v>
      </c>
      <c r="DC433" s="403">
        <f>+IF(BD_MO[[#This Row],[FECHA]]&lt;&gt;"",BD_MO[[#This Row],[KG. MADERA REDONDA]]+BD_MO[[#This Row],[KG MADERA ASERRADA]],"")</f>
        <v>0</v>
      </c>
      <c r="DD433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33" s="399"/>
      <c r="DF433" s="399"/>
      <c r="DG433" s="399"/>
      <c r="DH433" s="399"/>
      <c r="DI433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33" s="407"/>
      <c r="DK433" s="407"/>
      <c r="DL433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33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33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33" s="408">
        <v>5.1280000000000001</v>
      </c>
      <c r="DP433" s="407">
        <f>+IF(BD_MO[[#This Row],[M o D]]&lt;&gt;"",IF(BD_MO[[#This Row],[M o D]]="M",BD_MO[[#This Row],[ROTURA TMH]]/2.65,BD_MO[[#This Row],[ROTURA TMH]]/2.4),"")</f>
        <v>1.9350943396226417</v>
      </c>
      <c r="DQ433" s="407">
        <v>1.03</v>
      </c>
      <c r="DR433" s="116">
        <f>IF(BD_MO[[#This Row],[TIPO AVANCE]]="Avance",((BD_MO[[#This Row],[AVANCE (m)]]/BD_MO[[#This Row],[AVANCE TEÓRICO]]))," ")</f>
        <v>0.95370370370370372</v>
      </c>
      <c r="DS433" s="134"/>
      <c r="DT433" s="134"/>
      <c r="DU433" s="134"/>
      <c r="DV433" s="134"/>
      <c r="DW433" s="134"/>
      <c r="DX433" s="135"/>
      <c r="DY433" s="135"/>
      <c r="DZ433" s="135"/>
    </row>
    <row r="434" spans="1:130" s="136" customFormat="1" ht="18" customHeight="1" x14ac:dyDescent="0.25">
      <c r="A434" s="395">
        <v>44676</v>
      </c>
      <c r="B434" s="396" t="s">
        <v>10647</v>
      </c>
      <c r="C434" s="396" t="s">
        <v>10668</v>
      </c>
      <c r="D434" s="397" t="s">
        <v>12339</v>
      </c>
      <c r="E434" s="398" t="str">
        <f>LEFT(BD_MO[[#This Row],[LABOR]],2)</f>
        <v>Tj</v>
      </c>
      <c r="F434" s="399" t="s">
        <v>10687</v>
      </c>
      <c r="G434" s="399" t="s">
        <v>10648</v>
      </c>
      <c r="H434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34" s="383" t="str">
        <f>IF(BD_MO[FECHA]&lt;&gt;"",VLOOKUP(BD_MO[LABOR],TB_CECO[[LABOR]:[CECO_T]],3,FALSE),"")</f>
        <v>ESCONDIDA</v>
      </c>
      <c r="J434" s="383" t="str">
        <f>IF(BD_MO[FECHA]&lt;&gt;"",VLOOKUP(BD_MO[LABOR],D_CECO!B:H,7,FALSE),"")</f>
        <v>TAJO</v>
      </c>
      <c r="K434" s="383" t="str">
        <f>IF(BD_MO[FECHA]&lt;&gt;"",VLOOKUP(BD_MO[LABOR],D_CECO!B:H,4,FALSE),"")</f>
        <v>EXPLOTACION</v>
      </c>
      <c r="L434" s="398"/>
      <c r="M434" s="396" t="s">
        <v>10661</v>
      </c>
      <c r="N434" s="399"/>
      <c r="O434" s="400" t="s">
        <v>12306</v>
      </c>
      <c r="P434" s="93" t="s">
        <v>12093</v>
      </c>
      <c r="Q434" s="400"/>
      <c r="R434" s="401"/>
      <c r="S434" s="402" t="str">
        <f>IFERROR(VLOOKUP(BD_MO[DNI 4],#REF!,2,FALSE)," ")</f>
        <v xml:space="preserve"> </v>
      </c>
      <c r="T434" s="403">
        <f>+IF(BD_MO[[#This Row],[FECHA]]&lt;&gt;"",COUNTA(BD_MO[[#This Row],[DNI]],BD_MO[[#This Row],[DNI 2]],BD_MO[[#This Row],[DNI 3]],BD_MO[[#This Row],[DNI 4]]),"")</f>
        <v>2</v>
      </c>
      <c r="U434" s="403">
        <v>0.6</v>
      </c>
      <c r="V434" s="403"/>
      <c r="W434" s="403">
        <v>0.8</v>
      </c>
      <c r="X434" s="403">
        <v>0.6</v>
      </c>
      <c r="Y434" s="404">
        <f>SUM(BD_MO[[#This Row],[LIMP]:[SERV]])</f>
        <v>2</v>
      </c>
      <c r="Z434" s="399" t="s">
        <v>12387</v>
      </c>
      <c r="AA434" s="399">
        <f>+IF(BD_MO[[#This Row],[N° VALE]]&lt;&gt;"",1,"")</f>
        <v>1</v>
      </c>
      <c r="AB434" s="396" t="s">
        <v>10710</v>
      </c>
      <c r="AC434" s="399">
        <v>3</v>
      </c>
      <c r="AD434" s="399">
        <f>+IF(BD_MO[[#This Row],[N° VALE]]&lt;&gt;"",BD_MO[[#This Row],[FULMINANTE N° 08]]+BD_MO[CARMEX 7''],"")</f>
        <v>6</v>
      </c>
      <c r="AE434" s="399"/>
      <c r="AF434" s="399">
        <f>+IF(BD_MO[[#This Row],[N° VALE]]&lt;&gt;"",BD_MO[[#This Row],[N° TALADROS]]+BD_MO[[#This Row],[N° TAL. VACIOS]],"")</f>
        <v>6</v>
      </c>
      <c r="AG434" s="405"/>
      <c r="AH434" s="405">
        <v>12</v>
      </c>
      <c r="AI434" s="405"/>
      <c r="AJ434" s="405"/>
      <c r="AK434" s="405">
        <v>6</v>
      </c>
      <c r="AL434" s="405">
        <v>1</v>
      </c>
      <c r="AM434" s="398"/>
      <c r="AN434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34" s="399">
        <f>+IF(BD_MO[[#This Row],[N° VALE]]&lt;&gt;"",IF(BD_MO[[#This Row],[FULMINANTE N° 08]]&lt;&gt;"",BD_MO[[#This Row],[FULMINANTE N° 08]],IF(BD_MO[[#This Row],[CARMEX 7'']]&lt;&gt;0,0,"")),"")</f>
        <v>0</v>
      </c>
      <c r="AP434" s="403">
        <f>+IF(BD_MO[[#This Row],[N° VALE]]&lt;&gt;"",BD_MO[[#This Row],[N°  TOTAL TALADROS]]*BD_MO[[#This Row],[BARRA]]*0.95,"")</f>
        <v>17.099999999999998</v>
      </c>
      <c r="AQ434" s="403">
        <f>+IF(BD_MO[[#This Row],[N° VALE]]&lt;&gt;"",BD_MO[[#This Row],[EMULNOR 1000 (N° CART.)]]*PE_EMUL_1000[PE],"")</f>
        <v>1.1364000000000001</v>
      </c>
      <c r="AR434" s="403">
        <f>+IF(BD_MO[[#This Row],[N° VALE]]&lt;&gt;"",BD_MO[[#This Row],[EMULNOR 3000 (N° CART.)]]*PE_EMUL_3000[PE],"")</f>
        <v>0</v>
      </c>
      <c r="AS434" s="403">
        <f>+IF(BD_MO[[#This Row],[N° VALE]]&lt;&gt;"",BD_MO[[#This Row],[PULVERULENTA (N° CART.)]]*PE_PULV_65[PE],"")</f>
        <v>0</v>
      </c>
      <c r="AT434" s="403">
        <f>+IF(BD_MO[[#This Row],[N° DISP]]&lt;&gt;"",BD_MO[[#This Row],[SEMIGELATINA (N° CART.)]]*PE_SEMIGEL_65[PE],"")</f>
        <v>0</v>
      </c>
      <c r="AU434" s="403">
        <f>+IF(BD_MO[N° VALE]&lt;&gt;"",BD_MO[[#This Row],[KG EXPLO SEMIGEL]]+BD_MO[[#This Row],[KG EXPLO PULVE]]+BD_MO[[#This Row],[KG EXPLO EMULN 3000]]+BD_MO[[#This Row],[KG EXPLO EMULN 1000]],"")</f>
        <v>1.1364000000000001</v>
      </c>
      <c r="AV434" s="399"/>
      <c r="AW434" s="399">
        <v>6</v>
      </c>
      <c r="AX434" s="399" t="str">
        <f>+IF(BD_MO[[#This Row],[MINERAL (U-35)]]&lt;&gt;"",BD_MO[[#This Row],[MINERAL (U-35)]]*1.45,"-")</f>
        <v>-</v>
      </c>
      <c r="AY434" s="399">
        <f>+IF(BD_MO[[#This Row],[DESMONTE (U-35)]]&lt;&gt;"",BD_MO[[#This Row],[DESMONTE (U-35)]]*1.23,"-")</f>
        <v>7.38</v>
      </c>
      <c r="AZ434" s="399"/>
      <c r="BA434" s="399"/>
      <c r="BB434" s="399"/>
      <c r="BC434" s="399"/>
      <c r="BD434" s="399"/>
      <c r="BE434" s="399"/>
      <c r="BF434" s="399"/>
      <c r="BG434" s="399"/>
      <c r="BH434" s="399"/>
      <c r="BI434" s="399"/>
      <c r="BJ434" s="399"/>
      <c r="BK434" s="399"/>
      <c r="BL434" s="399"/>
      <c r="BM434" s="399"/>
      <c r="BN434" s="398"/>
      <c r="BO434" s="399">
        <v>3</v>
      </c>
      <c r="BP434" s="399"/>
      <c r="BQ434" s="398"/>
      <c r="BR434" s="399"/>
      <c r="BS434" s="398"/>
      <c r="BT434" s="403">
        <v>5.4</v>
      </c>
      <c r="BU434" s="399"/>
      <c r="BV434" s="399"/>
      <c r="BW434" s="399"/>
      <c r="BX434" s="399"/>
      <c r="BY434" s="399"/>
      <c r="BZ434" s="399"/>
      <c r="CA434" s="399"/>
      <c r="CB434" s="399"/>
      <c r="CC434" s="399"/>
      <c r="CD434" s="399"/>
      <c r="CE434" s="399"/>
      <c r="CF434" s="399"/>
      <c r="CG434" s="399"/>
      <c r="CH434" s="399"/>
      <c r="CI434" s="399"/>
      <c r="CJ434" s="399"/>
      <c r="CK434" s="399"/>
      <c r="CL434" s="399"/>
      <c r="CM434" s="399">
        <v>2</v>
      </c>
      <c r="CN434" s="399"/>
      <c r="CO434" s="399"/>
      <c r="CP434" s="403">
        <f>+IF(BD_MO[[#This Row],[FECHA]]&lt;&gt;"",BD_MO[[#This Row],[PUNTAL 4"]]+BD_MO[[#This Row],[PUNTAL 5"]]+BD_MO[[#This Row],[PUNTAL 6"]]+BD_MO[[#This Row],[PUNTAL 7"]]+BD_MO[[#This Row],[PUNTAL 8"]],"")</f>
        <v>2</v>
      </c>
      <c r="CQ434" s="399"/>
      <c r="CR434" s="399"/>
      <c r="CS434" s="399">
        <v>12</v>
      </c>
      <c r="CT434" s="399"/>
      <c r="CU434" s="399"/>
      <c r="CV434" s="399"/>
      <c r="CW434" s="399"/>
      <c r="CX434" s="399"/>
      <c r="CY434" s="403"/>
      <c r="CZ434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384.94800000000004</v>
      </c>
      <c r="DA434" s="403">
        <f>+IF(BD_MO[[#This Row],[FECHA]]&lt;&gt;"",BD_MO[[#This Row],[DURMIENTE2]]*6.561+BD_MO[[#This Row],[LISTONES]]*4.921+BD_MO[[#This Row],[TABLA 1"x8"x3m]]*6.561+BD_MO[[#This Row],[TABLA 2"x8"x3m]]*13.122,"")</f>
        <v>0</v>
      </c>
      <c r="DB434" s="403">
        <f>+IF(BD_MO[[#This Row],[FECHA]]&lt;&gt;"",BD_MO[[#This Row],[PIE2 MADERA ASERRADA]]*1.95,"")</f>
        <v>0</v>
      </c>
      <c r="DC434" s="403">
        <f>+IF(BD_MO[[#This Row],[FECHA]]&lt;&gt;"",BD_MO[[#This Row],[KG. MADERA REDONDA]]+BD_MO[[#This Row],[KG MADERA ASERRADA]],"")</f>
        <v>384.94800000000004</v>
      </c>
      <c r="DD434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183.07999999999998</v>
      </c>
      <c r="DE434" s="399"/>
      <c r="DF434" s="399"/>
      <c r="DG434" s="399"/>
      <c r="DH434" s="399"/>
      <c r="DI434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0.78</v>
      </c>
      <c r="DJ434" s="407"/>
      <c r="DK434" s="407"/>
      <c r="DL434" s="407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1.4</v>
      </c>
      <c r="DM434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1.0919999999999999</v>
      </c>
      <c r="DN434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34" s="408">
        <v>2.4708000000000001</v>
      </c>
      <c r="DP434" s="407">
        <f>+IF(BD_MO[[#This Row],[M o D]]&lt;&gt;"",IF(BD_MO[[#This Row],[M o D]]="M",BD_MO[[#This Row],[ROTURA TMH]]/2.65,BD_MO[[#This Row],[ROTURA TMH]]/2.4),"")</f>
        <v>1.0295000000000001</v>
      </c>
      <c r="DQ434" s="407"/>
      <c r="DR434" s="116" t="str">
        <f>IF(BD_MO[[#This Row],[TIPO AVANCE]]="Avance",((BD_MO[[#This Row],[AVANCE (m)]]/BD_MO[[#This Row],[AVANCE TEÓRICO]]))," ")</f>
        <v xml:space="preserve"> </v>
      </c>
      <c r="DS434" s="134"/>
      <c r="DT434" s="134"/>
      <c r="DU434" s="134"/>
      <c r="DV434" s="134"/>
      <c r="DW434" s="134"/>
      <c r="DX434" s="135"/>
      <c r="DY434" s="135"/>
      <c r="DZ434" s="135"/>
    </row>
    <row r="435" spans="1:130" s="136" customFormat="1" ht="18" customHeight="1" x14ac:dyDescent="0.25">
      <c r="A435" s="395">
        <v>44676</v>
      </c>
      <c r="B435" s="396" t="s">
        <v>10647</v>
      </c>
      <c r="C435" s="396" t="s">
        <v>10668</v>
      </c>
      <c r="D435" s="94" t="s">
        <v>10952</v>
      </c>
      <c r="E435" s="398" t="str">
        <f>LEFT(BD_MO[[#This Row],[LABOR]],2)</f>
        <v>In</v>
      </c>
      <c r="F435" s="399"/>
      <c r="G435" s="399" t="s">
        <v>10669</v>
      </c>
      <c r="H435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35" s="383" t="str">
        <f>IF(BD_MO[FECHA]&lt;&gt;"",VLOOKUP(BD_MO[LABOR],TB_CECO[[LABOR]:[CECO_T]],3,FALSE),"")</f>
        <v>VANESSA</v>
      </c>
      <c r="J435" s="383" t="str">
        <f>IF(BD_MO[FECHA]&lt;&gt;"",VLOOKUP(BD_MO[LABOR],D_CECO!B:H,7,FALSE),"")</f>
        <v>LINEAL</v>
      </c>
      <c r="K435" s="383" t="str">
        <f>IF(BD_MO[FECHA]&lt;&gt;"",VLOOKUP(BD_MO[LABOR],D_CECO!B:H,4,FALSE),"")</f>
        <v>EXPLORACION</v>
      </c>
      <c r="L435" s="398"/>
      <c r="M435" s="396"/>
      <c r="N435" s="399"/>
      <c r="O435" s="400" t="s">
        <v>12092</v>
      </c>
      <c r="P435" s="400" t="s">
        <v>12099</v>
      </c>
      <c r="Q435" s="400"/>
      <c r="R435" s="401"/>
      <c r="S435" s="402" t="str">
        <f>IFERROR(VLOOKUP(BD_MO[DNI 4],#REF!,2,FALSE)," ")</f>
        <v xml:space="preserve"> </v>
      </c>
      <c r="T435" s="403">
        <f>+IF(BD_MO[[#This Row],[FECHA]]&lt;&gt;"",COUNTA(BD_MO[[#This Row],[DNI]],BD_MO[[#This Row],[DNI 2]],BD_MO[[#This Row],[DNI 3]],BD_MO[[#This Row],[DNI 4]]),"")</f>
        <v>2</v>
      </c>
      <c r="U435" s="403"/>
      <c r="V435" s="403"/>
      <c r="W435" s="403"/>
      <c r="X435" s="403">
        <v>2</v>
      </c>
      <c r="Y435" s="404">
        <f>SUM(BD_MO[[#This Row],[LIMP]:[SERV]])</f>
        <v>2</v>
      </c>
      <c r="Z435" s="399"/>
      <c r="AA435" s="399" t="str">
        <f>+IF(BD_MO[[#This Row],[N° VALE]]&lt;&gt;"",1,"")</f>
        <v/>
      </c>
      <c r="AB435" s="396"/>
      <c r="AC435" s="399"/>
      <c r="AD435" s="399" t="str">
        <f>+IF(BD_MO[[#This Row],[N° VALE]]&lt;&gt;"",BD_MO[[#This Row],[FULMINANTE N° 08]]+BD_MO[CARMEX 7''],"")</f>
        <v/>
      </c>
      <c r="AE435" s="399"/>
      <c r="AF435" s="399" t="str">
        <f>+IF(BD_MO[[#This Row],[N° VALE]]&lt;&gt;"",BD_MO[[#This Row],[N° TALADROS]]+BD_MO[[#This Row],[N° TAL. VACIOS]],"")</f>
        <v/>
      </c>
      <c r="AG435" s="405"/>
      <c r="AH435" s="405"/>
      <c r="AI435" s="405"/>
      <c r="AJ435" s="405"/>
      <c r="AK435" s="405"/>
      <c r="AL435" s="405"/>
      <c r="AM435" s="398"/>
      <c r="AN435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35" s="399" t="str">
        <f>+IF(BD_MO[[#This Row],[N° VALE]]&lt;&gt;"",IF(BD_MO[[#This Row],[FULMINANTE N° 08]]&lt;&gt;"",BD_MO[[#This Row],[FULMINANTE N° 08]],IF(BD_MO[[#This Row],[CARMEX 7'']]&lt;&gt;0,0,"")),"")</f>
        <v/>
      </c>
      <c r="AP435" s="403" t="str">
        <f>+IF(BD_MO[[#This Row],[N° VALE]]&lt;&gt;"",BD_MO[[#This Row],[N°  TOTAL TALADROS]]*BD_MO[[#This Row],[BARRA]]*0.95,"")</f>
        <v/>
      </c>
      <c r="AQ435" s="403" t="str">
        <f>+IF(BD_MO[[#This Row],[N° VALE]]&lt;&gt;"",BD_MO[[#This Row],[EMULNOR 1000 (N° CART.)]]*PE_EMUL_1000[PE],"")</f>
        <v/>
      </c>
      <c r="AR435" s="403" t="str">
        <f>+IF(BD_MO[[#This Row],[N° VALE]]&lt;&gt;"",BD_MO[[#This Row],[EMULNOR 3000 (N° CART.)]]*PE_EMUL_3000[PE],"")</f>
        <v/>
      </c>
      <c r="AS435" s="403" t="str">
        <f>+IF(BD_MO[[#This Row],[N° VALE]]&lt;&gt;"",BD_MO[[#This Row],[PULVERULENTA (N° CART.)]]*PE_PULV_65[PE],"")</f>
        <v/>
      </c>
      <c r="AT435" s="403" t="str">
        <f>+IF(BD_MO[[#This Row],[N° DISP]]&lt;&gt;"",BD_MO[[#This Row],[SEMIGELATINA (N° CART.)]]*PE_SEMIGEL_65[PE],"")</f>
        <v/>
      </c>
      <c r="AU435" s="403" t="str">
        <f>+IF(BD_MO[N° VALE]&lt;&gt;"",BD_MO[[#This Row],[KG EXPLO SEMIGEL]]+BD_MO[[#This Row],[KG EXPLO PULVE]]+BD_MO[[#This Row],[KG EXPLO EMULN 3000]]+BD_MO[[#This Row],[KG EXPLO EMULN 1000]],"")</f>
        <v/>
      </c>
      <c r="AV435" s="399"/>
      <c r="AW435" s="399"/>
      <c r="AX435" s="399" t="str">
        <f>+IF(BD_MO[[#This Row],[MINERAL (U-35)]]&lt;&gt;"",BD_MO[[#This Row],[MINERAL (U-35)]]*1.45,"-")</f>
        <v>-</v>
      </c>
      <c r="AY435" s="399" t="str">
        <f>+IF(BD_MO[[#This Row],[DESMONTE (U-35)]]&lt;&gt;"",BD_MO[[#This Row],[DESMONTE (U-35)]]*1.23,"-")</f>
        <v>-</v>
      </c>
      <c r="AZ435" s="399"/>
      <c r="BA435" s="399"/>
      <c r="BB435" s="399"/>
      <c r="BC435" s="399"/>
      <c r="BD435" s="399"/>
      <c r="BE435" s="399"/>
      <c r="BF435" s="399"/>
      <c r="BG435" s="399"/>
      <c r="BH435" s="399"/>
      <c r="BI435" s="399"/>
      <c r="BJ435" s="399"/>
      <c r="BK435" s="399"/>
      <c r="BL435" s="399"/>
      <c r="BM435" s="399"/>
      <c r="BN435" s="398"/>
      <c r="BO435" s="399"/>
      <c r="BP435" s="399"/>
      <c r="BQ435" s="398"/>
      <c r="BR435" s="399"/>
      <c r="BS435" s="398"/>
      <c r="BT435" s="403"/>
      <c r="BU435" s="399"/>
      <c r="BV435" s="399"/>
      <c r="BW435" s="399"/>
      <c r="BX435" s="399"/>
      <c r="BY435" s="399"/>
      <c r="BZ435" s="399"/>
      <c r="CA435" s="399"/>
      <c r="CB435" s="399"/>
      <c r="CC435" s="399"/>
      <c r="CD435" s="399"/>
      <c r="CE435" s="399"/>
      <c r="CF435" s="399"/>
      <c r="CG435" s="399"/>
      <c r="CH435" s="399"/>
      <c r="CI435" s="399"/>
      <c r="CJ435" s="399"/>
      <c r="CK435" s="399"/>
      <c r="CL435" s="399"/>
      <c r="CM435" s="399"/>
      <c r="CN435" s="399"/>
      <c r="CO435" s="399"/>
      <c r="CP435" s="403">
        <f>+IF(BD_MO[[#This Row],[FECHA]]&lt;&gt;"",BD_MO[[#This Row],[PUNTAL 4"]]+BD_MO[[#This Row],[PUNTAL 5"]]+BD_MO[[#This Row],[PUNTAL 6"]]+BD_MO[[#This Row],[PUNTAL 7"]]+BD_MO[[#This Row],[PUNTAL 8"]],"")</f>
        <v>0</v>
      </c>
      <c r="CQ435" s="399"/>
      <c r="CR435" s="399"/>
      <c r="CS435" s="399"/>
      <c r="CT435" s="399"/>
      <c r="CU435" s="399"/>
      <c r="CV435" s="399"/>
      <c r="CW435" s="399"/>
      <c r="CX435" s="399"/>
      <c r="CY435" s="403"/>
      <c r="CZ435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35" s="403">
        <f>+IF(BD_MO[[#This Row],[FECHA]]&lt;&gt;"",BD_MO[[#This Row],[DURMIENTE2]]*6.561+BD_MO[[#This Row],[LISTONES]]*4.921+BD_MO[[#This Row],[TABLA 1"x8"x3m]]*6.561+BD_MO[[#This Row],[TABLA 2"x8"x3m]]*13.122,"")</f>
        <v>0</v>
      </c>
      <c r="DB435" s="403">
        <f>+IF(BD_MO[[#This Row],[FECHA]]&lt;&gt;"",BD_MO[[#This Row],[PIE2 MADERA ASERRADA]]*1.95,"")</f>
        <v>0</v>
      </c>
      <c r="DC435" s="403">
        <f>+IF(BD_MO[[#This Row],[FECHA]]&lt;&gt;"",BD_MO[[#This Row],[KG. MADERA REDONDA]]+BD_MO[[#This Row],[KG MADERA ASERRADA]],"")</f>
        <v>0</v>
      </c>
      <c r="DD435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35" s="399"/>
      <c r="DF435" s="399"/>
      <c r="DG435" s="399"/>
      <c r="DH435" s="399"/>
      <c r="DI435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35" s="407"/>
      <c r="DK435" s="407"/>
      <c r="DL435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35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35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35" s="408"/>
      <c r="DP435" s="407" t="str">
        <f>+IF(BD_MO[[#This Row],[M o D]]&lt;&gt;"",IF(BD_MO[[#This Row],[M o D]]="M",BD_MO[[#This Row],[ROTURA TMH]]/2.65,BD_MO[[#This Row],[ROTURA TMH]]/2.4),"")</f>
        <v/>
      </c>
      <c r="DQ435" s="407"/>
      <c r="DR435" s="116" t="str">
        <f>IF(BD_MO[[#This Row],[TIPO AVANCE]]="Avance",((BD_MO[[#This Row],[AVANCE (m)]]/BD_MO[[#This Row],[AVANCE TEÓRICO]]))," ")</f>
        <v xml:space="preserve"> </v>
      </c>
      <c r="DS435" s="134"/>
      <c r="DT435" s="134"/>
      <c r="DU435" s="134"/>
      <c r="DV435" s="134"/>
      <c r="DW435" s="134"/>
      <c r="DX435" s="135"/>
      <c r="DY435" s="135"/>
      <c r="DZ435" s="135"/>
    </row>
    <row r="436" spans="1:130" s="136" customFormat="1" ht="18" customHeight="1" x14ac:dyDescent="0.25">
      <c r="A436" s="395">
        <v>44676</v>
      </c>
      <c r="B436" s="396" t="s">
        <v>10647</v>
      </c>
      <c r="C436" s="396" t="s">
        <v>10668</v>
      </c>
      <c r="D436" s="397" t="s">
        <v>11872</v>
      </c>
      <c r="E436" s="398" t="str">
        <f>LEFT(BD_MO[[#This Row],[LABOR]],2)</f>
        <v>PQ</v>
      </c>
      <c r="F436" s="399"/>
      <c r="G436" s="399" t="s">
        <v>10669</v>
      </c>
      <c r="H436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36" s="383" t="str">
        <f>IF(BD_MO[FECHA]&lt;&gt;"",VLOOKUP(BD_MO[LABOR],TB_CECO[[LABOR]:[CECO_T]],3,FALSE),"")</f>
        <v>ANDREA</v>
      </c>
      <c r="J436" s="383" t="str">
        <f>IF(BD_MO[FECHA]&lt;&gt;"",VLOOKUP(BD_MO[LABOR],D_CECO!B:H,7,FALSE),"")</f>
        <v>LINEAL</v>
      </c>
      <c r="K436" s="383" t="str">
        <f>IF(BD_MO[FECHA]&lt;&gt;"",VLOOKUP(BD_MO[LABOR],D_CECO!B:H,4,FALSE),"")</f>
        <v>EXPLOTACION</v>
      </c>
      <c r="L436" s="398"/>
      <c r="M436" s="396"/>
      <c r="N436" s="399"/>
      <c r="O436" s="400" t="s">
        <v>12097</v>
      </c>
      <c r="P436" s="400" t="s">
        <v>12090</v>
      </c>
      <c r="Q436" s="400" t="s">
        <v>12381</v>
      </c>
      <c r="R436" s="401"/>
      <c r="S436" s="402" t="str">
        <f>IFERROR(VLOOKUP(BD_MO[DNI 4],#REF!,2,FALSE)," ")</f>
        <v xml:space="preserve"> </v>
      </c>
      <c r="T436" s="403">
        <f>+IF(BD_MO[[#This Row],[FECHA]]&lt;&gt;"",COUNTA(BD_MO[[#This Row],[DNI]],BD_MO[[#This Row],[DNI 2]],BD_MO[[#This Row],[DNI 3]],BD_MO[[#This Row],[DNI 4]]),"")</f>
        <v>3</v>
      </c>
      <c r="U436" s="403"/>
      <c r="V436" s="403"/>
      <c r="W436" s="403"/>
      <c r="X436" s="403">
        <v>3</v>
      </c>
      <c r="Y436" s="404">
        <f>SUM(BD_MO[[#This Row],[LIMP]:[SERV]])</f>
        <v>3</v>
      </c>
      <c r="Z436" s="399"/>
      <c r="AA436" s="399" t="str">
        <f>+IF(BD_MO[[#This Row],[N° VALE]]&lt;&gt;"",1,"")</f>
        <v/>
      </c>
      <c r="AB436" s="396"/>
      <c r="AC436" s="399"/>
      <c r="AD436" s="399" t="str">
        <f>+IF(BD_MO[[#This Row],[N° VALE]]&lt;&gt;"",BD_MO[[#This Row],[FULMINANTE N° 08]]+BD_MO[CARMEX 7''],"")</f>
        <v/>
      </c>
      <c r="AE436" s="399"/>
      <c r="AF436" s="399" t="str">
        <f>+IF(BD_MO[[#This Row],[N° VALE]]&lt;&gt;"",BD_MO[[#This Row],[N° TALADROS]]+BD_MO[[#This Row],[N° TAL. VACIOS]],"")</f>
        <v/>
      </c>
      <c r="AG436" s="405"/>
      <c r="AH436" s="405"/>
      <c r="AI436" s="405"/>
      <c r="AJ436" s="405"/>
      <c r="AK436" s="405"/>
      <c r="AL436" s="405"/>
      <c r="AM436" s="398"/>
      <c r="AN436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36" s="399" t="str">
        <f>+IF(BD_MO[[#This Row],[N° VALE]]&lt;&gt;"",IF(BD_MO[[#This Row],[FULMINANTE N° 08]]&lt;&gt;"",BD_MO[[#This Row],[FULMINANTE N° 08]],IF(BD_MO[[#This Row],[CARMEX 7'']]&lt;&gt;0,0,"")),"")</f>
        <v/>
      </c>
      <c r="AP436" s="403" t="str">
        <f>+IF(BD_MO[[#This Row],[N° VALE]]&lt;&gt;"",BD_MO[[#This Row],[N°  TOTAL TALADROS]]*BD_MO[[#This Row],[BARRA]]*0.95,"")</f>
        <v/>
      </c>
      <c r="AQ436" s="403" t="str">
        <f>+IF(BD_MO[[#This Row],[N° VALE]]&lt;&gt;"",BD_MO[[#This Row],[EMULNOR 1000 (N° CART.)]]*PE_EMUL_1000[PE],"")</f>
        <v/>
      </c>
      <c r="AR436" s="403" t="str">
        <f>+IF(BD_MO[[#This Row],[N° VALE]]&lt;&gt;"",BD_MO[[#This Row],[EMULNOR 3000 (N° CART.)]]*PE_EMUL_3000[PE],"")</f>
        <v/>
      </c>
      <c r="AS436" s="403" t="str">
        <f>+IF(BD_MO[[#This Row],[N° VALE]]&lt;&gt;"",BD_MO[[#This Row],[PULVERULENTA (N° CART.)]]*PE_PULV_65[PE],"")</f>
        <v/>
      </c>
      <c r="AT436" s="403" t="str">
        <f>+IF(BD_MO[[#This Row],[N° DISP]]&lt;&gt;"",BD_MO[[#This Row],[SEMIGELATINA (N° CART.)]]*PE_SEMIGEL_65[PE],"")</f>
        <v/>
      </c>
      <c r="AU436" s="403" t="str">
        <f>+IF(BD_MO[N° VALE]&lt;&gt;"",BD_MO[[#This Row],[KG EXPLO SEMIGEL]]+BD_MO[[#This Row],[KG EXPLO PULVE]]+BD_MO[[#This Row],[KG EXPLO EMULN 3000]]+BD_MO[[#This Row],[KG EXPLO EMULN 1000]],"")</f>
        <v/>
      </c>
      <c r="AV436" s="399"/>
      <c r="AW436" s="399"/>
      <c r="AX436" s="399" t="str">
        <f>+IF(BD_MO[[#This Row],[MINERAL (U-35)]]&lt;&gt;"",BD_MO[[#This Row],[MINERAL (U-35)]]*1.45,"-")</f>
        <v>-</v>
      </c>
      <c r="AY436" s="399" t="str">
        <f>+IF(BD_MO[[#This Row],[DESMONTE (U-35)]]&lt;&gt;"",BD_MO[[#This Row],[DESMONTE (U-35)]]*1.23,"-")</f>
        <v>-</v>
      </c>
      <c r="AZ436" s="399"/>
      <c r="BA436" s="399"/>
      <c r="BB436" s="399"/>
      <c r="BC436" s="399"/>
      <c r="BD436" s="399"/>
      <c r="BE436" s="399"/>
      <c r="BF436" s="399"/>
      <c r="BG436" s="399"/>
      <c r="BH436" s="399"/>
      <c r="BI436" s="399"/>
      <c r="BJ436" s="399"/>
      <c r="BK436" s="399"/>
      <c r="BL436" s="399"/>
      <c r="BM436" s="399"/>
      <c r="BN436" s="398"/>
      <c r="BO436" s="399"/>
      <c r="BP436" s="399"/>
      <c r="BQ436" s="398"/>
      <c r="BR436" s="399"/>
      <c r="BS436" s="398"/>
      <c r="BT436" s="403"/>
      <c r="BU436" s="399"/>
      <c r="BV436" s="399"/>
      <c r="BW436" s="399"/>
      <c r="BX436" s="399"/>
      <c r="BY436" s="399"/>
      <c r="BZ436" s="399"/>
      <c r="CA436" s="399"/>
      <c r="CB436" s="399"/>
      <c r="CC436" s="399"/>
      <c r="CD436" s="399"/>
      <c r="CE436" s="399"/>
      <c r="CF436" s="399"/>
      <c r="CG436" s="399"/>
      <c r="CH436" s="399"/>
      <c r="CI436" s="399"/>
      <c r="CJ436" s="399"/>
      <c r="CK436" s="399"/>
      <c r="CL436" s="399"/>
      <c r="CM436" s="399"/>
      <c r="CN436" s="399"/>
      <c r="CO436" s="399"/>
      <c r="CP436" s="403">
        <f>+IF(BD_MO[[#This Row],[FECHA]]&lt;&gt;"",BD_MO[[#This Row],[PUNTAL 4"]]+BD_MO[[#This Row],[PUNTAL 5"]]+BD_MO[[#This Row],[PUNTAL 6"]]+BD_MO[[#This Row],[PUNTAL 7"]]+BD_MO[[#This Row],[PUNTAL 8"]],"")</f>
        <v>0</v>
      </c>
      <c r="CQ436" s="399"/>
      <c r="CR436" s="399"/>
      <c r="CS436" s="399"/>
      <c r="CT436" s="399"/>
      <c r="CU436" s="399"/>
      <c r="CV436" s="399"/>
      <c r="CW436" s="399"/>
      <c r="CX436" s="399"/>
      <c r="CY436" s="403"/>
      <c r="CZ436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36" s="403">
        <f>+IF(BD_MO[[#This Row],[FECHA]]&lt;&gt;"",BD_MO[[#This Row],[DURMIENTE2]]*6.561+BD_MO[[#This Row],[LISTONES]]*4.921+BD_MO[[#This Row],[TABLA 1"x8"x3m]]*6.561+BD_MO[[#This Row],[TABLA 2"x8"x3m]]*13.122,"")</f>
        <v>0</v>
      </c>
      <c r="DB436" s="403">
        <f>+IF(BD_MO[[#This Row],[FECHA]]&lt;&gt;"",BD_MO[[#This Row],[PIE2 MADERA ASERRADA]]*1.95,"")</f>
        <v>0</v>
      </c>
      <c r="DC436" s="403">
        <f>+IF(BD_MO[[#This Row],[FECHA]]&lt;&gt;"",BD_MO[[#This Row],[KG. MADERA REDONDA]]+BD_MO[[#This Row],[KG MADERA ASERRADA]],"")</f>
        <v>0</v>
      </c>
      <c r="DD436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36" s="399"/>
      <c r="DF436" s="399"/>
      <c r="DG436" s="399"/>
      <c r="DH436" s="399"/>
      <c r="DI436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36" s="407"/>
      <c r="DK436" s="407"/>
      <c r="DL436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36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36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36" s="408"/>
      <c r="DP436" s="407" t="str">
        <f>+IF(BD_MO[[#This Row],[M o D]]&lt;&gt;"",IF(BD_MO[[#This Row],[M o D]]="M",BD_MO[[#This Row],[ROTURA TMH]]/2.65,BD_MO[[#This Row],[ROTURA TMH]]/2.4),"")</f>
        <v/>
      </c>
      <c r="DQ436" s="407"/>
      <c r="DR436" s="116" t="str">
        <f>IF(BD_MO[[#This Row],[TIPO AVANCE]]="Avance",((BD_MO[[#This Row],[AVANCE (m)]]/BD_MO[[#This Row],[AVANCE TEÓRICO]]))," ")</f>
        <v xml:space="preserve"> </v>
      </c>
      <c r="DS436" s="134"/>
      <c r="DT436" s="134"/>
      <c r="DU436" s="134"/>
      <c r="DV436" s="134"/>
      <c r="DW436" s="134"/>
      <c r="DX436" s="135"/>
      <c r="DY436" s="135"/>
      <c r="DZ436" s="135"/>
    </row>
    <row r="437" spans="1:130" s="136" customFormat="1" ht="18" customHeight="1" x14ac:dyDescent="0.25">
      <c r="A437" s="395">
        <v>44676</v>
      </c>
      <c r="B437" s="396" t="s">
        <v>10647</v>
      </c>
      <c r="C437" s="396" t="s">
        <v>10668</v>
      </c>
      <c r="D437" s="397" t="s">
        <v>10954</v>
      </c>
      <c r="E437" s="398" t="str">
        <f>LEFT(BD_MO[[#This Row],[LABOR]],2)</f>
        <v>MO</v>
      </c>
      <c r="F437" s="399"/>
      <c r="G437" s="399" t="s">
        <v>10669</v>
      </c>
      <c r="H437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37" s="383" t="str">
        <f>IF(BD_MO[FECHA]&lt;&gt;"",VLOOKUP(BD_MO[LABOR],TB_CECO[[LABOR]:[CECO_T]],3,FALSE),"")</f>
        <v>INCA</v>
      </c>
      <c r="J437" s="383" t="str">
        <f>IF(BD_MO[FECHA]&lt;&gt;"",VLOOKUP(BD_MO[LABOR],D_CECO!B:H,7,FALSE),"")</f>
        <v>SERVICIOS</v>
      </c>
      <c r="K437" s="383" t="str">
        <f>IF(BD_MO[FECHA]&lt;&gt;"",VLOOKUP(BD_MO[LABOR],D_CECO!B:H,4,FALSE),"")</f>
        <v>SERVICIOS</v>
      </c>
      <c r="L437" s="398"/>
      <c r="M437" s="396"/>
      <c r="N437" s="399"/>
      <c r="O437" s="400" t="s">
        <v>12098</v>
      </c>
      <c r="P437" s="400" t="s">
        <v>12162</v>
      </c>
      <c r="Q437" s="400"/>
      <c r="R437" s="401"/>
      <c r="S437" s="402" t="str">
        <f>IFERROR(VLOOKUP(BD_MO[DNI 4],#REF!,2,FALSE)," ")</f>
        <v xml:space="preserve"> </v>
      </c>
      <c r="T437" s="403">
        <f>+IF(BD_MO[[#This Row],[FECHA]]&lt;&gt;"",COUNTA(BD_MO[[#This Row],[DNI]],BD_MO[[#This Row],[DNI 2]],BD_MO[[#This Row],[DNI 3]],BD_MO[[#This Row],[DNI 4]]),"")</f>
        <v>2</v>
      </c>
      <c r="U437" s="403"/>
      <c r="V437" s="403"/>
      <c r="W437" s="403"/>
      <c r="X437" s="403">
        <v>2</v>
      </c>
      <c r="Y437" s="404">
        <f>SUM(BD_MO[[#This Row],[LIMP]:[SERV]])</f>
        <v>2</v>
      </c>
      <c r="Z437" s="399"/>
      <c r="AA437" s="399" t="str">
        <f>+IF(BD_MO[[#This Row],[N° VALE]]&lt;&gt;"",1,"")</f>
        <v/>
      </c>
      <c r="AB437" s="396"/>
      <c r="AC437" s="399"/>
      <c r="AD437" s="399" t="str">
        <f>+IF(BD_MO[[#This Row],[N° VALE]]&lt;&gt;"",BD_MO[[#This Row],[FULMINANTE N° 08]]+BD_MO[CARMEX 7''],"")</f>
        <v/>
      </c>
      <c r="AE437" s="399"/>
      <c r="AF437" s="399" t="str">
        <f>+IF(BD_MO[[#This Row],[N° VALE]]&lt;&gt;"",BD_MO[[#This Row],[N° TALADROS]]+BD_MO[[#This Row],[N° TAL. VACIOS]],"")</f>
        <v/>
      </c>
      <c r="AG437" s="405"/>
      <c r="AH437" s="405"/>
      <c r="AI437" s="405"/>
      <c r="AJ437" s="405"/>
      <c r="AK437" s="405"/>
      <c r="AL437" s="405"/>
      <c r="AM437" s="398"/>
      <c r="AN437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37" s="399" t="str">
        <f>+IF(BD_MO[[#This Row],[N° VALE]]&lt;&gt;"",IF(BD_MO[[#This Row],[FULMINANTE N° 08]]&lt;&gt;"",BD_MO[[#This Row],[FULMINANTE N° 08]],IF(BD_MO[[#This Row],[CARMEX 7'']]&lt;&gt;0,0,"")),"")</f>
        <v/>
      </c>
      <c r="AP437" s="403" t="str">
        <f>+IF(BD_MO[[#This Row],[N° VALE]]&lt;&gt;"",BD_MO[[#This Row],[N°  TOTAL TALADROS]]*BD_MO[[#This Row],[BARRA]]*0.95,"")</f>
        <v/>
      </c>
      <c r="AQ437" s="403" t="str">
        <f>+IF(BD_MO[[#This Row],[N° VALE]]&lt;&gt;"",BD_MO[[#This Row],[EMULNOR 1000 (N° CART.)]]*PE_EMUL_1000[PE],"")</f>
        <v/>
      </c>
      <c r="AR437" s="403" t="str">
        <f>+IF(BD_MO[[#This Row],[N° VALE]]&lt;&gt;"",BD_MO[[#This Row],[EMULNOR 3000 (N° CART.)]]*PE_EMUL_3000[PE],"")</f>
        <v/>
      </c>
      <c r="AS437" s="403" t="str">
        <f>+IF(BD_MO[[#This Row],[N° VALE]]&lt;&gt;"",BD_MO[[#This Row],[PULVERULENTA (N° CART.)]]*PE_PULV_65[PE],"")</f>
        <v/>
      </c>
      <c r="AT437" s="403" t="str">
        <f>+IF(BD_MO[[#This Row],[N° DISP]]&lt;&gt;"",BD_MO[[#This Row],[SEMIGELATINA (N° CART.)]]*PE_SEMIGEL_65[PE],"")</f>
        <v/>
      </c>
      <c r="AU437" s="403" t="str">
        <f>+IF(BD_MO[N° VALE]&lt;&gt;"",BD_MO[[#This Row],[KG EXPLO SEMIGEL]]+BD_MO[[#This Row],[KG EXPLO PULVE]]+BD_MO[[#This Row],[KG EXPLO EMULN 3000]]+BD_MO[[#This Row],[KG EXPLO EMULN 1000]],"")</f>
        <v/>
      </c>
      <c r="AV437" s="399"/>
      <c r="AW437" s="399"/>
      <c r="AX437" s="399" t="str">
        <f>+IF(BD_MO[[#This Row],[MINERAL (U-35)]]&lt;&gt;"",BD_MO[[#This Row],[MINERAL (U-35)]]*1.45,"-")</f>
        <v>-</v>
      </c>
      <c r="AY437" s="399" t="str">
        <f>+IF(BD_MO[[#This Row],[DESMONTE (U-35)]]&lt;&gt;"",BD_MO[[#This Row],[DESMONTE (U-35)]]*1.23,"-")</f>
        <v>-</v>
      </c>
      <c r="AZ437" s="399"/>
      <c r="BA437" s="399"/>
      <c r="BB437" s="399"/>
      <c r="BC437" s="399"/>
      <c r="BD437" s="399"/>
      <c r="BE437" s="399"/>
      <c r="BF437" s="399"/>
      <c r="BG437" s="399"/>
      <c r="BH437" s="399"/>
      <c r="BI437" s="399"/>
      <c r="BJ437" s="399"/>
      <c r="BK437" s="399"/>
      <c r="BL437" s="399"/>
      <c r="BM437" s="399"/>
      <c r="BN437" s="398"/>
      <c r="BO437" s="399"/>
      <c r="BP437" s="399"/>
      <c r="BQ437" s="398"/>
      <c r="BR437" s="399"/>
      <c r="BS437" s="398"/>
      <c r="BT437" s="403"/>
      <c r="BU437" s="399"/>
      <c r="BV437" s="399"/>
      <c r="BW437" s="399"/>
      <c r="BX437" s="399"/>
      <c r="BY437" s="399"/>
      <c r="BZ437" s="399"/>
      <c r="CA437" s="399"/>
      <c r="CB437" s="399"/>
      <c r="CC437" s="399"/>
      <c r="CD437" s="399"/>
      <c r="CE437" s="399"/>
      <c r="CF437" s="399"/>
      <c r="CG437" s="399"/>
      <c r="CH437" s="399"/>
      <c r="CI437" s="399"/>
      <c r="CJ437" s="399"/>
      <c r="CK437" s="399"/>
      <c r="CL437" s="399"/>
      <c r="CM437" s="399"/>
      <c r="CN437" s="399"/>
      <c r="CO437" s="399"/>
      <c r="CP437" s="403">
        <f>+IF(BD_MO[[#This Row],[FECHA]]&lt;&gt;"",BD_MO[[#This Row],[PUNTAL 4"]]+BD_MO[[#This Row],[PUNTAL 5"]]+BD_MO[[#This Row],[PUNTAL 6"]]+BD_MO[[#This Row],[PUNTAL 7"]]+BD_MO[[#This Row],[PUNTAL 8"]],"")</f>
        <v>0</v>
      </c>
      <c r="CQ437" s="399"/>
      <c r="CR437" s="399"/>
      <c r="CS437" s="399"/>
      <c r="CT437" s="399"/>
      <c r="CU437" s="399"/>
      <c r="CV437" s="399"/>
      <c r="CW437" s="399"/>
      <c r="CX437" s="399"/>
      <c r="CY437" s="403"/>
      <c r="CZ437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37" s="403">
        <f>+IF(BD_MO[[#This Row],[FECHA]]&lt;&gt;"",BD_MO[[#This Row],[DURMIENTE2]]*6.561+BD_MO[[#This Row],[LISTONES]]*4.921+BD_MO[[#This Row],[TABLA 1"x8"x3m]]*6.561+BD_MO[[#This Row],[TABLA 2"x8"x3m]]*13.122,"")</f>
        <v>0</v>
      </c>
      <c r="DB437" s="403">
        <f>+IF(BD_MO[[#This Row],[FECHA]]&lt;&gt;"",BD_MO[[#This Row],[PIE2 MADERA ASERRADA]]*1.95,"")</f>
        <v>0</v>
      </c>
      <c r="DC437" s="403">
        <f>+IF(BD_MO[[#This Row],[FECHA]]&lt;&gt;"",BD_MO[[#This Row],[KG. MADERA REDONDA]]+BD_MO[[#This Row],[KG MADERA ASERRADA]],"")</f>
        <v>0</v>
      </c>
      <c r="DD437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37" s="399"/>
      <c r="DF437" s="399"/>
      <c r="DG437" s="399"/>
      <c r="DH437" s="399"/>
      <c r="DI437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37" s="407"/>
      <c r="DK437" s="407"/>
      <c r="DL437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37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37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37" s="408"/>
      <c r="DP437" s="407" t="str">
        <f>+IF(BD_MO[[#This Row],[M o D]]&lt;&gt;"",IF(BD_MO[[#This Row],[M o D]]="M",BD_MO[[#This Row],[ROTURA TMH]]/2.65,BD_MO[[#This Row],[ROTURA TMH]]/2.4),"")</f>
        <v/>
      </c>
      <c r="DQ437" s="407"/>
      <c r="DR437" s="116" t="str">
        <f>IF(BD_MO[[#This Row],[TIPO AVANCE]]="Avance",((BD_MO[[#This Row],[AVANCE (m)]]/BD_MO[[#This Row],[AVANCE TEÓRICO]]))," ")</f>
        <v xml:space="preserve"> </v>
      </c>
      <c r="DS437" s="134"/>
      <c r="DT437" s="134"/>
      <c r="DU437" s="134"/>
      <c r="DV437" s="134"/>
      <c r="DW437" s="134"/>
      <c r="DX437" s="135"/>
      <c r="DY437" s="135"/>
      <c r="DZ437" s="135"/>
    </row>
    <row r="438" spans="1:130" s="115" customFormat="1" ht="18" customHeight="1" thickBot="1" x14ac:dyDescent="0.3">
      <c r="A438" s="423">
        <v>44676</v>
      </c>
      <c r="B438" s="410" t="s">
        <v>10647</v>
      </c>
      <c r="C438" s="410" t="s">
        <v>10668</v>
      </c>
      <c r="D438" s="411" t="s">
        <v>10717</v>
      </c>
      <c r="E438" s="412" t="str">
        <f>LEFT(BD_MO[[#This Row],[LABOR]],2)</f>
        <v>BO</v>
      </c>
      <c r="F438" s="413"/>
      <c r="G438" s="413" t="s">
        <v>10669</v>
      </c>
      <c r="H438" s="41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38" s="119" t="str">
        <f>IF(BD_MO[FECHA]&lt;&gt;"",VLOOKUP(BD_MO[LABOR],TB_CECO[[LABOR]:[CECO_T]],3,FALSE),"")</f>
        <v>CACHORRO</v>
      </c>
      <c r="J438" s="119" t="str">
        <f>IF(BD_MO[FECHA]&lt;&gt;"",VLOOKUP(BD_MO[LABOR],D_CECO!B:H,7,FALSE),"")</f>
        <v>SERVICIOS</v>
      </c>
      <c r="K438" s="119" t="str">
        <f>IF(BD_MO[FECHA]&lt;&gt;"",VLOOKUP(BD_MO[LABOR],D_CECO!B:H,4,FALSE),"")</f>
        <v>SERVICIOS</v>
      </c>
      <c r="L438" s="412"/>
      <c r="M438" s="410"/>
      <c r="N438" s="413"/>
      <c r="O438" s="414" t="s">
        <v>12118</v>
      </c>
      <c r="P438" s="414"/>
      <c r="Q438" s="414"/>
      <c r="R438" s="415"/>
      <c r="S438" s="416" t="str">
        <f>IFERROR(VLOOKUP(BD_MO[DNI 4],#REF!,2,FALSE)," ")</f>
        <v xml:space="preserve"> </v>
      </c>
      <c r="T438" s="417">
        <f>+IF(BD_MO[[#This Row],[FECHA]]&lt;&gt;"",COUNTA(BD_MO[[#This Row],[DNI]],BD_MO[[#This Row],[DNI 2]],BD_MO[[#This Row],[DNI 3]],BD_MO[[#This Row],[DNI 4]]),"")</f>
        <v>1</v>
      </c>
      <c r="U438" s="417"/>
      <c r="V438" s="417"/>
      <c r="W438" s="417"/>
      <c r="X438" s="417">
        <v>1</v>
      </c>
      <c r="Y438" s="418">
        <f>SUM(BD_MO[[#This Row],[LIMP]:[SERV]])</f>
        <v>1</v>
      </c>
      <c r="Z438" s="413"/>
      <c r="AA438" s="413" t="str">
        <f>+IF(BD_MO[[#This Row],[N° VALE]]&lt;&gt;"",1,"")</f>
        <v/>
      </c>
      <c r="AB438" s="410"/>
      <c r="AC438" s="413"/>
      <c r="AD438" s="413" t="str">
        <f>+IF(BD_MO[[#This Row],[N° VALE]]&lt;&gt;"",BD_MO[[#This Row],[FULMINANTE N° 08]]+BD_MO[CARMEX 7''],"")</f>
        <v/>
      </c>
      <c r="AE438" s="413"/>
      <c r="AF438" s="413" t="str">
        <f>+IF(BD_MO[[#This Row],[N° VALE]]&lt;&gt;"",BD_MO[[#This Row],[N° TALADROS]]+BD_MO[[#This Row],[N° TAL. VACIOS]],"")</f>
        <v/>
      </c>
      <c r="AG438" s="419"/>
      <c r="AH438" s="419"/>
      <c r="AI438" s="419"/>
      <c r="AJ438" s="419"/>
      <c r="AK438" s="419"/>
      <c r="AL438" s="419"/>
      <c r="AM438" s="412"/>
      <c r="AN438" s="413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38" s="413" t="str">
        <f>+IF(BD_MO[[#This Row],[N° VALE]]&lt;&gt;"",IF(BD_MO[[#This Row],[FULMINANTE N° 08]]&lt;&gt;"",BD_MO[[#This Row],[FULMINANTE N° 08]],IF(BD_MO[[#This Row],[CARMEX 7'']]&lt;&gt;0,0,"")),"")</f>
        <v/>
      </c>
      <c r="AP438" s="417" t="str">
        <f>+IF(BD_MO[[#This Row],[N° VALE]]&lt;&gt;"",BD_MO[[#This Row],[N°  TOTAL TALADROS]]*BD_MO[[#This Row],[BARRA]]*0.95,"")</f>
        <v/>
      </c>
      <c r="AQ438" s="417" t="str">
        <f>+IF(BD_MO[[#This Row],[N° VALE]]&lt;&gt;"",BD_MO[[#This Row],[EMULNOR 1000 (N° CART.)]]*PE_EMUL_1000[PE],"")</f>
        <v/>
      </c>
      <c r="AR438" s="417" t="str">
        <f>+IF(BD_MO[[#This Row],[N° VALE]]&lt;&gt;"",BD_MO[[#This Row],[EMULNOR 3000 (N° CART.)]]*PE_EMUL_3000[PE],"")</f>
        <v/>
      </c>
      <c r="AS438" s="417" t="str">
        <f>+IF(BD_MO[[#This Row],[N° VALE]]&lt;&gt;"",BD_MO[[#This Row],[PULVERULENTA (N° CART.)]]*PE_PULV_65[PE],"")</f>
        <v/>
      </c>
      <c r="AT438" s="417" t="str">
        <f>+IF(BD_MO[[#This Row],[N° DISP]]&lt;&gt;"",BD_MO[[#This Row],[SEMIGELATINA (N° CART.)]]*PE_SEMIGEL_65[PE],"")</f>
        <v/>
      </c>
      <c r="AU438" s="417" t="str">
        <f>+IF(BD_MO[N° VALE]&lt;&gt;"",BD_MO[[#This Row],[KG EXPLO SEMIGEL]]+BD_MO[[#This Row],[KG EXPLO PULVE]]+BD_MO[[#This Row],[KG EXPLO EMULN 3000]]+BD_MO[[#This Row],[KG EXPLO EMULN 1000]],"")</f>
        <v/>
      </c>
      <c r="AV438" s="413"/>
      <c r="AW438" s="413"/>
      <c r="AX438" s="413" t="str">
        <f>+IF(BD_MO[[#This Row],[MINERAL (U-35)]]&lt;&gt;"",BD_MO[[#This Row],[MINERAL (U-35)]]*1.45,"-")</f>
        <v>-</v>
      </c>
      <c r="AY438" s="413" t="str">
        <f>+IF(BD_MO[[#This Row],[DESMONTE (U-35)]]&lt;&gt;"",BD_MO[[#This Row],[DESMONTE (U-35)]]*1.23,"-")</f>
        <v>-</v>
      </c>
      <c r="AZ438" s="413"/>
      <c r="BA438" s="413"/>
      <c r="BB438" s="413"/>
      <c r="BC438" s="413"/>
      <c r="BD438" s="413"/>
      <c r="BE438" s="413"/>
      <c r="BF438" s="413"/>
      <c r="BG438" s="413"/>
      <c r="BH438" s="413"/>
      <c r="BI438" s="413"/>
      <c r="BJ438" s="413"/>
      <c r="BK438" s="413"/>
      <c r="BL438" s="413"/>
      <c r="BM438" s="413"/>
      <c r="BN438" s="412"/>
      <c r="BO438" s="413"/>
      <c r="BP438" s="413"/>
      <c r="BQ438" s="412"/>
      <c r="BR438" s="413"/>
      <c r="BS438" s="412"/>
      <c r="BT438" s="417"/>
      <c r="BU438" s="413"/>
      <c r="BV438" s="413"/>
      <c r="BW438" s="413"/>
      <c r="BX438" s="413"/>
      <c r="BY438" s="413"/>
      <c r="BZ438" s="413"/>
      <c r="CA438" s="413"/>
      <c r="CB438" s="413"/>
      <c r="CC438" s="413"/>
      <c r="CD438" s="413"/>
      <c r="CE438" s="413"/>
      <c r="CF438" s="413"/>
      <c r="CG438" s="413"/>
      <c r="CH438" s="413"/>
      <c r="CI438" s="413"/>
      <c r="CJ438" s="413"/>
      <c r="CK438" s="413"/>
      <c r="CL438" s="413"/>
      <c r="CM438" s="413"/>
      <c r="CN438" s="413"/>
      <c r="CO438" s="413"/>
      <c r="CP438" s="417">
        <f>+IF(BD_MO[[#This Row],[FECHA]]&lt;&gt;"",BD_MO[[#This Row],[PUNTAL 4"]]+BD_MO[[#This Row],[PUNTAL 5"]]+BD_MO[[#This Row],[PUNTAL 6"]]+BD_MO[[#This Row],[PUNTAL 7"]]+BD_MO[[#This Row],[PUNTAL 8"]],"")</f>
        <v>0</v>
      </c>
      <c r="CQ438" s="413"/>
      <c r="CR438" s="413"/>
      <c r="CS438" s="413"/>
      <c r="CT438" s="413"/>
      <c r="CU438" s="413"/>
      <c r="CV438" s="413"/>
      <c r="CW438" s="413"/>
      <c r="CX438" s="413"/>
      <c r="CY438" s="417"/>
      <c r="CZ438" s="417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38" s="417">
        <f>+IF(BD_MO[[#This Row],[FECHA]]&lt;&gt;"",BD_MO[[#This Row],[DURMIENTE2]]*6.561+BD_MO[[#This Row],[LISTONES]]*4.921+BD_MO[[#This Row],[TABLA 1"x8"x3m]]*6.561+BD_MO[[#This Row],[TABLA 2"x8"x3m]]*13.122,"")</f>
        <v>0</v>
      </c>
      <c r="DB438" s="417">
        <f>+IF(BD_MO[[#This Row],[FECHA]]&lt;&gt;"",BD_MO[[#This Row],[PIE2 MADERA ASERRADA]]*1.95,"")</f>
        <v>0</v>
      </c>
      <c r="DC438" s="417">
        <f>+IF(BD_MO[[#This Row],[FECHA]]&lt;&gt;"",BD_MO[[#This Row],[KG. MADERA REDONDA]]+BD_MO[[#This Row],[KG MADERA ASERRADA]],"")</f>
        <v>0</v>
      </c>
      <c r="DD438" s="42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38" s="413"/>
      <c r="DF438" s="413"/>
      <c r="DG438" s="413"/>
      <c r="DH438" s="413"/>
      <c r="DI438" s="42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38" s="421"/>
      <c r="DK438" s="421"/>
      <c r="DL438" s="42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38" s="42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38" s="42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38" s="422"/>
      <c r="DP438" s="421" t="str">
        <f>+IF(BD_MO[[#This Row],[M o D]]&lt;&gt;"",IF(BD_MO[[#This Row],[M o D]]="M",BD_MO[[#This Row],[ROTURA TMH]]/2.65,BD_MO[[#This Row],[ROTURA TMH]]/2.4),"")</f>
        <v/>
      </c>
      <c r="DQ438" s="421"/>
      <c r="DR438" s="484" t="str">
        <f>IF(BD_MO[[#This Row],[TIPO AVANCE]]="Avance",((BD_MO[[#This Row],[AVANCE (m)]]/BD_MO[[#This Row],[AVANCE TEÓRICO]]))," ")</f>
        <v xml:space="preserve"> </v>
      </c>
      <c r="DS438" s="113"/>
      <c r="DT438" s="113"/>
      <c r="DU438" s="113"/>
      <c r="DV438" s="113"/>
      <c r="DW438" s="113"/>
      <c r="DX438" s="114"/>
      <c r="DY438" s="114"/>
      <c r="DZ438" s="114"/>
    </row>
    <row r="439" spans="1:130" s="136" customFormat="1" ht="18" customHeight="1" x14ac:dyDescent="0.25">
      <c r="A439" s="395">
        <v>44676</v>
      </c>
      <c r="B439" s="396" t="s">
        <v>10655</v>
      </c>
      <c r="C439" s="396" t="s">
        <v>10672</v>
      </c>
      <c r="D439" s="94" t="s">
        <v>11827</v>
      </c>
      <c r="E439" s="398" t="str">
        <f>LEFT(BD_MO[[#This Row],[LABOR]],2)</f>
        <v>Tj</v>
      </c>
      <c r="F439" s="399" t="s">
        <v>10950</v>
      </c>
      <c r="G439" s="399" t="s">
        <v>10648</v>
      </c>
      <c r="H439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39" s="383" t="str">
        <f>IF(BD_MO[FECHA]&lt;&gt;"",VLOOKUP(BD_MO[LABOR],TB_CECO[[LABOR]:[CECO_T]],3,FALSE),"")</f>
        <v>VANESSA</v>
      </c>
      <c r="J439" s="383" t="str">
        <f>IF(BD_MO[FECHA]&lt;&gt;"",VLOOKUP(BD_MO[LABOR],D_CECO!B:H,7,FALSE),"")</f>
        <v>TAJO</v>
      </c>
      <c r="K439" s="383" t="str">
        <f>IF(BD_MO[FECHA]&lt;&gt;"",VLOOKUP(BD_MO[LABOR],D_CECO!B:H,4,FALSE),"")</f>
        <v>EXPLOTACION</v>
      </c>
      <c r="L439" s="398"/>
      <c r="M439" s="396" t="s">
        <v>10661</v>
      </c>
      <c r="N439" s="399"/>
      <c r="O439" s="400" t="s">
        <v>12194</v>
      </c>
      <c r="P439" s="400" t="s">
        <v>12332</v>
      </c>
      <c r="Q439" s="400"/>
      <c r="R439" s="401"/>
      <c r="S439" s="402" t="str">
        <f>IFERROR(VLOOKUP(BD_MO[DNI 4],#REF!,2,FALSE)," ")</f>
        <v xml:space="preserve"> </v>
      </c>
      <c r="T439" s="403">
        <f>+IF(BD_MO[[#This Row],[FECHA]]&lt;&gt;"",COUNTA(BD_MO[[#This Row],[DNI]],BD_MO[[#This Row],[DNI 2]],BD_MO[[#This Row],[DNI 3]],BD_MO[[#This Row],[DNI 4]]),"")</f>
        <v>2</v>
      </c>
      <c r="U439" s="403">
        <v>0.38</v>
      </c>
      <c r="V439" s="403">
        <v>0.28000000000000003</v>
      </c>
      <c r="W439" s="403">
        <v>0.76</v>
      </c>
      <c r="X439" s="403">
        <v>0.57999999999999996</v>
      </c>
      <c r="Y439" s="404">
        <f>SUM(BD_MO[[#This Row],[LIMP]:[SERV]])</f>
        <v>2</v>
      </c>
      <c r="Z439" s="399" t="s">
        <v>12389</v>
      </c>
      <c r="AA439" s="399">
        <f>+IF(BD_MO[[#This Row],[N° VALE]]&lt;&gt;"",1,"")</f>
        <v>1</v>
      </c>
      <c r="AB439" s="396" t="s">
        <v>10691</v>
      </c>
      <c r="AC439" s="399">
        <v>4</v>
      </c>
      <c r="AD439" s="399">
        <f>+IF(BD_MO[[#This Row],[N° VALE]]&lt;&gt;"",BD_MO[[#This Row],[FULMINANTE N° 08]]+BD_MO[CARMEX 7''],"")</f>
        <v>10</v>
      </c>
      <c r="AE439" s="399"/>
      <c r="AF439" s="399">
        <f>+IF(BD_MO[[#This Row],[N° VALE]]&lt;&gt;"",BD_MO[[#This Row],[N° TALADROS]]+BD_MO[[#This Row],[N° TAL. VACIOS]],"")</f>
        <v>10</v>
      </c>
      <c r="AG439" s="405">
        <v>20</v>
      </c>
      <c r="AH439" s="405">
        <v>20</v>
      </c>
      <c r="AI439" s="405"/>
      <c r="AJ439" s="405"/>
      <c r="AK439" s="405">
        <v>10</v>
      </c>
      <c r="AL439" s="405">
        <v>3</v>
      </c>
      <c r="AM439" s="398"/>
      <c r="AN439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39" s="399">
        <f>+IF(BD_MO[[#This Row],[N° VALE]]&lt;&gt;"",IF(BD_MO[[#This Row],[FULMINANTE N° 08]]&lt;&gt;"",BD_MO[[#This Row],[FULMINANTE N° 08]],IF(BD_MO[[#This Row],[CARMEX 7'']]&lt;&gt;0,0,"")),"")</f>
        <v>0</v>
      </c>
      <c r="AP439" s="403">
        <f>+IF(BD_MO[[#This Row],[N° VALE]]&lt;&gt;"",BD_MO[[#This Row],[N°  TOTAL TALADROS]]*BD_MO[[#This Row],[BARRA]]*0.95,"")</f>
        <v>38</v>
      </c>
      <c r="AQ439" s="403">
        <f>+IF(BD_MO[[#This Row],[N° VALE]]&lt;&gt;"",BD_MO[[#This Row],[EMULNOR 1000 (N° CART.)]]*PE_EMUL_1000[PE],"")</f>
        <v>1.8940000000000001</v>
      </c>
      <c r="AR439" s="403">
        <f>+IF(BD_MO[[#This Row],[N° VALE]]&lt;&gt;"",BD_MO[[#This Row],[EMULNOR 3000 (N° CART.)]]*PE_EMUL_3000[PE],"")</f>
        <v>1.923076923076924</v>
      </c>
      <c r="AS439" s="403">
        <f>+IF(BD_MO[[#This Row],[N° VALE]]&lt;&gt;"",BD_MO[[#This Row],[PULVERULENTA (N° CART.)]]*PE_PULV_65[PE],"")</f>
        <v>0</v>
      </c>
      <c r="AT439" s="403">
        <f>+IF(BD_MO[[#This Row],[N° DISP]]&lt;&gt;"",BD_MO[[#This Row],[SEMIGELATINA (N° CART.)]]*PE_SEMIGEL_65[PE],"")</f>
        <v>0</v>
      </c>
      <c r="AU439" s="403">
        <f>+IF(BD_MO[N° VALE]&lt;&gt;"",BD_MO[[#This Row],[KG EXPLO SEMIGEL]]+BD_MO[[#This Row],[KG EXPLO PULVE]]+BD_MO[[#This Row],[KG EXPLO EMULN 3000]]+BD_MO[[#This Row],[KG EXPLO EMULN 1000]],"")</f>
        <v>3.8170769230769244</v>
      </c>
      <c r="AV439" s="399">
        <v>10</v>
      </c>
      <c r="AW439" s="399"/>
      <c r="AX439" s="399">
        <f>+IF(BD_MO[[#This Row],[MINERAL (U-35)]]&lt;&gt;"",BD_MO[[#This Row],[MINERAL (U-35)]]*1.45,"-")</f>
        <v>14.5</v>
      </c>
      <c r="AY439" s="399" t="str">
        <f>+IF(BD_MO[[#This Row],[DESMONTE (U-35)]]&lt;&gt;"",BD_MO[[#This Row],[DESMONTE (U-35)]]*1.23,"-")</f>
        <v>-</v>
      </c>
      <c r="AZ439" s="399"/>
      <c r="BA439" s="399"/>
      <c r="BB439" s="399"/>
      <c r="BC439" s="399"/>
      <c r="BD439" s="399"/>
      <c r="BE439" s="399"/>
      <c r="BF439" s="399"/>
      <c r="BG439" s="399"/>
      <c r="BH439" s="399"/>
      <c r="BI439" s="399">
        <v>1</v>
      </c>
      <c r="BJ439" s="399"/>
      <c r="BK439" s="399"/>
      <c r="BL439" s="399"/>
      <c r="BM439" s="399"/>
      <c r="BN439" s="398">
        <v>4.8</v>
      </c>
      <c r="BO439" s="399"/>
      <c r="BP439" s="399"/>
      <c r="BQ439" s="398"/>
      <c r="BR439" s="399"/>
      <c r="BS439" s="398"/>
      <c r="BT439" s="403"/>
      <c r="BU439" s="399"/>
      <c r="BV439" s="399"/>
      <c r="BW439" s="399"/>
      <c r="BX439" s="399">
        <v>3</v>
      </c>
      <c r="BY439" s="399"/>
      <c r="BZ439" s="399"/>
      <c r="CA439" s="399"/>
      <c r="CB439" s="399"/>
      <c r="CC439" s="399"/>
      <c r="CD439" s="399"/>
      <c r="CE439" s="399"/>
      <c r="CF439" s="399"/>
      <c r="CG439" s="399"/>
      <c r="CH439" s="399"/>
      <c r="CI439" s="399"/>
      <c r="CJ439" s="399"/>
      <c r="CK439" s="399"/>
      <c r="CL439" s="399"/>
      <c r="CM439" s="399">
        <v>1</v>
      </c>
      <c r="CN439" s="399"/>
      <c r="CO439" s="399"/>
      <c r="CP439" s="403">
        <f>+IF(BD_MO[[#This Row],[FECHA]]&lt;&gt;"",BD_MO[[#This Row],[PUNTAL 4"]]+BD_MO[[#This Row],[PUNTAL 5"]]+BD_MO[[#This Row],[PUNTAL 6"]]+BD_MO[[#This Row],[PUNTAL 7"]]+BD_MO[[#This Row],[PUNTAL 8"]],"")</f>
        <v>1</v>
      </c>
      <c r="CQ439" s="399"/>
      <c r="CR439" s="399"/>
      <c r="CS439" s="399">
        <v>24</v>
      </c>
      <c r="CT439" s="399"/>
      <c r="CU439" s="399"/>
      <c r="CV439" s="399"/>
      <c r="CW439" s="399"/>
      <c r="CX439" s="399"/>
      <c r="CY439" s="403"/>
      <c r="CZ439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635.27400000000011</v>
      </c>
      <c r="DA439" s="403">
        <f>+IF(BD_MO[[#This Row],[FECHA]]&lt;&gt;"",BD_MO[[#This Row],[DURMIENTE2]]*6.561+BD_MO[[#This Row],[LISTONES]]*4.921+BD_MO[[#This Row],[TABLA 1"x8"x3m]]*6.561+BD_MO[[#This Row],[TABLA 2"x8"x3m]]*13.122,"")</f>
        <v>0</v>
      </c>
      <c r="DB439" s="403">
        <f>+IF(BD_MO[[#This Row],[FECHA]]&lt;&gt;"",BD_MO[[#This Row],[PIE2 MADERA ASERRADA]]*1.95,"")</f>
        <v>0</v>
      </c>
      <c r="DC439" s="403">
        <f>+IF(BD_MO[[#This Row],[FECHA]]&lt;&gt;"",BD_MO[[#This Row],[KG. MADERA REDONDA]]+BD_MO[[#This Row],[KG MADERA ASERRADA]],"")</f>
        <v>635.27400000000011</v>
      </c>
      <c r="DD439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312.76</v>
      </c>
      <c r="DE439" s="399"/>
      <c r="DF439" s="399"/>
      <c r="DG439" s="399"/>
      <c r="DH439" s="399"/>
      <c r="DI439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39" s="407"/>
      <c r="DK439" s="407"/>
      <c r="DL439" s="407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439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439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39" s="408">
        <v>9.0429999999999993</v>
      </c>
      <c r="DP439" s="407">
        <f>+IF(BD_MO[[#This Row],[M o D]]&lt;&gt;"",IF(BD_MO[[#This Row],[M o D]]="M",BD_MO[[#This Row],[ROTURA TMH]]/2.65,BD_MO[[#This Row],[ROTURA TMH]]/2.4),"")</f>
        <v>3.4124528301886792</v>
      </c>
      <c r="DQ439" s="407"/>
      <c r="DR439" s="116" t="str">
        <f>IF(BD_MO[[#This Row],[TIPO AVANCE]]="Avance",((BD_MO[[#This Row],[AVANCE (m)]]/BD_MO[[#This Row],[AVANCE TEÓRICO]]))," ")</f>
        <v xml:space="preserve"> </v>
      </c>
      <c r="DS439" s="134"/>
      <c r="DT439" s="134"/>
      <c r="DU439" s="134"/>
      <c r="DV439" s="134"/>
      <c r="DW439" s="134"/>
      <c r="DX439" s="135"/>
      <c r="DY439" s="135"/>
      <c r="DZ439" s="135"/>
    </row>
    <row r="440" spans="1:130" s="136" customFormat="1" ht="18" customHeight="1" x14ac:dyDescent="0.25">
      <c r="A440" s="395">
        <v>44676</v>
      </c>
      <c r="B440" s="396" t="s">
        <v>10655</v>
      </c>
      <c r="C440" s="396" t="s">
        <v>10672</v>
      </c>
      <c r="D440" s="397" t="s">
        <v>12465</v>
      </c>
      <c r="E440" s="398" t="str">
        <f>LEFT(BD_MO[[#This Row],[LABOR]],2)</f>
        <v>Sn</v>
      </c>
      <c r="F440" s="399" t="s">
        <v>10950</v>
      </c>
      <c r="G440" s="399" t="s">
        <v>10648</v>
      </c>
      <c r="H440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40" s="387" t="str">
        <f>IF(BD_MO[FECHA]&lt;&gt;"",VLOOKUP(BD_MO[LABOR],TB_CECO[[LABOR]:[CECO_T]],3,FALSE),"")</f>
        <v>VANESSA</v>
      </c>
      <c r="J440" s="387" t="str">
        <f>IF(BD_MO[FECHA]&lt;&gt;"",VLOOKUP(BD_MO[LABOR],D_CECO!B:H,7,FALSE),"")</f>
        <v>LINEAL</v>
      </c>
      <c r="K440" s="387" t="str">
        <f>IF(BD_MO[FECHA]&lt;&gt;"",VLOOKUP(BD_MO[LABOR],D_CECO!B:H,4,FALSE),"")</f>
        <v>EXPLORACION</v>
      </c>
      <c r="L440" s="398"/>
      <c r="M440" s="396" t="s">
        <v>10646</v>
      </c>
      <c r="N440" s="399"/>
      <c r="O440" s="400" t="s">
        <v>12205</v>
      </c>
      <c r="P440" s="400" t="s">
        <v>12195</v>
      </c>
      <c r="Q440" s="400"/>
      <c r="R440" s="401"/>
      <c r="S440" s="402" t="str">
        <f>IFERROR(VLOOKUP(BD_MO[DNI 4],#REF!,2,FALSE)," ")</f>
        <v xml:space="preserve"> </v>
      </c>
      <c r="T440" s="403">
        <v>1</v>
      </c>
      <c r="U440" s="403">
        <v>0.56999999999999995</v>
      </c>
      <c r="V440" s="403">
        <v>0.26</v>
      </c>
      <c r="W440" s="403"/>
      <c r="X440" s="403">
        <v>0.17</v>
      </c>
      <c r="Y440" s="404">
        <f>SUM(BD_MO[[#This Row],[LIMP]:[SERV]])</f>
        <v>1</v>
      </c>
      <c r="Z440" s="399" t="s">
        <v>12390</v>
      </c>
      <c r="AA440" s="399">
        <f>+IF(BD_MO[[#This Row],[N° VALE]]&lt;&gt;"",1,"")</f>
        <v>1</v>
      </c>
      <c r="AB440" s="396" t="s">
        <v>10709</v>
      </c>
      <c r="AC440" s="399">
        <v>4</v>
      </c>
      <c r="AD440" s="399">
        <f>+IF(BD_MO[[#This Row],[N° VALE]]&lt;&gt;"",BD_MO[[#This Row],[FULMINANTE N° 08]]+BD_MO[CARMEX 7''],"")</f>
        <v>18</v>
      </c>
      <c r="AE440" s="399"/>
      <c r="AF440" s="399">
        <f>+IF(BD_MO[[#This Row],[N° VALE]]&lt;&gt;"",BD_MO[[#This Row],[N° TALADROS]]+BD_MO[[#This Row],[N° TAL. VACIOS]],"")</f>
        <v>18</v>
      </c>
      <c r="AG440" s="405">
        <v>40</v>
      </c>
      <c r="AH440" s="405">
        <v>42</v>
      </c>
      <c r="AI440" s="405"/>
      <c r="AJ440" s="405"/>
      <c r="AK440" s="405">
        <v>18</v>
      </c>
      <c r="AL440" s="405">
        <v>3</v>
      </c>
      <c r="AM440" s="398"/>
      <c r="AN440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40" s="399">
        <f>+IF(BD_MO[[#This Row],[N° VALE]]&lt;&gt;"",IF(BD_MO[[#This Row],[FULMINANTE N° 08]]&lt;&gt;"",BD_MO[[#This Row],[FULMINANTE N° 08]],IF(BD_MO[[#This Row],[CARMEX 7'']]&lt;&gt;0,0,"")),"")</f>
        <v>0</v>
      </c>
      <c r="AP440" s="403">
        <f>+IF(BD_MO[[#This Row],[N° VALE]]&lt;&gt;"",BD_MO[[#This Row],[N°  TOTAL TALADROS]]*BD_MO[[#This Row],[BARRA]]*0.95,"")</f>
        <v>68.399999999999991</v>
      </c>
      <c r="AQ440" s="403">
        <f>+IF(BD_MO[[#This Row],[N° VALE]]&lt;&gt;"",BD_MO[[#This Row],[EMULNOR 1000 (N° CART.)]]*PE_EMUL_1000[PE],"")</f>
        <v>3.9774000000000003</v>
      </c>
      <c r="AR440" s="403">
        <f>+IF(BD_MO[[#This Row],[N° VALE]]&lt;&gt;"",BD_MO[[#This Row],[EMULNOR 3000 (N° CART.)]]*PE_EMUL_3000[PE],"")</f>
        <v>3.846153846153848</v>
      </c>
      <c r="AS440" s="403">
        <f>+IF(BD_MO[[#This Row],[N° VALE]]&lt;&gt;"",BD_MO[[#This Row],[PULVERULENTA (N° CART.)]]*PE_PULV_65[PE],"")</f>
        <v>0</v>
      </c>
      <c r="AT440" s="403">
        <f>+IF(BD_MO[[#This Row],[N° DISP]]&lt;&gt;"",BD_MO[[#This Row],[SEMIGELATINA (N° CART.)]]*PE_SEMIGEL_65[PE],"")</f>
        <v>0</v>
      </c>
      <c r="AU440" s="403">
        <f>+IF(BD_MO[N° VALE]&lt;&gt;"",BD_MO[[#This Row],[KG EXPLO SEMIGEL]]+BD_MO[[#This Row],[KG EXPLO PULVE]]+BD_MO[[#This Row],[KG EXPLO EMULN 3000]]+BD_MO[[#This Row],[KG EXPLO EMULN 1000]],"")</f>
        <v>7.8235538461538479</v>
      </c>
      <c r="AV440" s="399">
        <v>8</v>
      </c>
      <c r="AW440" s="399"/>
      <c r="AX440" s="399">
        <f>+IF(BD_MO[[#This Row],[MINERAL (U-35)]]&lt;&gt;"",BD_MO[[#This Row],[MINERAL (U-35)]]*1.45,"-")</f>
        <v>11.6</v>
      </c>
      <c r="AY440" s="399" t="str">
        <f>+IF(BD_MO[[#This Row],[DESMONTE (U-35)]]&lt;&gt;"",BD_MO[[#This Row],[DESMONTE (U-35)]]*1.23,"-")</f>
        <v>-</v>
      </c>
      <c r="AZ440" s="399"/>
      <c r="BA440" s="399"/>
      <c r="BB440" s="399"/>
      <c r="BC440" s="399"/>
      <c r="BD440" s="399"/>
      <c r="BE440" s="399"/>
      <c r="BF440" s="399"/>
      <c r="BG440" s="399"/>
      <c r="BH440" s="399"/>
      <c r="BI440" s="399"/>
      <c r="BJ440" s="399"/>
      <c r="BK440" s="399"/>
      <c r="BL440" s="399"/>
      <c r="BM440" s="399"/>
      <c r="BN440" s="398"/>
      <c r="BO440" s="399"/>
      <c r="BP440" s="399"/>
      <c r="BQ440" s="398"/>
      <c r="BR440" s="399"/>
      <c r="BS440" s="398"/>
      <c r="BT440" s="403"/>
      <c r="BU440" s="399"/>
      <c r="BV440" s="399"/>
      <c r="BW440" s="399"/>
      <c r="BX440" s="399"/>
      <c r="BY440" s="399"/>
      <c r="BZ440" s="399"/>
      <c r="CA440" s="399"/>
      <c r="CB440" s="399"/>
      <c r="CC440" s="399"/>
      <c r="CD440" s="399"/>
      <c r="CE440" s="399"/>
      <c r="CF440" s="399"/>
      <c r="CG440" s="399"/>
      <c r="CH440" s="399"/>
      <c r="CI440" s="399"/>
      <c r="CJ440" s="399"/>
      <c r="CK440" s="399"/>
      <c r="CL440" s="399"/>
      <c r="CM440" s="399"/>
      <c r="CN440" s="399"/>
      <c r="CO440" s="399"/>
      <c r="CP440" s="403">
        <f>+IF(BD_MO[[#This Row],[FECHA]]&lt;&gt;"",BD_MO[[#This Row],[PUNTAL 4"]]+BD_MO[[#This Row],[PUNTAL 5"]]+BD_MO[[#This Row],[PUNTAL 6"]]+BD_MO[[#This Row],[PUNTAL 7"]]+BD_MO[[#This Row],[PUNTAL 8"]],"")</f>
        <v>0</v>
      </c>
      <c r="CQ440" s="399"/>
      <c r="CR440" s="399"/>
      <c r="CS440" s="399"/>
      <c r="CT440" s="399"/>
      <c r="CU440" s="399"/>
      <c r="CV440" s="399"/>
      <c r="CW440" s="399"/>
      <c r="CX440" s="399"/>
      <c r="CY440" s="403"/>
      <c r="CZ440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40" s="403">
        <f>+IF(BD_MO[[#This Row],[FECHA]]&lt;&gt;"",BD_MO[[#This Row],[DURMIENTE2]]*6.561+BD_MO[[#This Row],[LISTONES]]*4.921+BD_MO[[#This Row],[TABLA 1"x8"x3m]]*6.561+BD_MO[[#This Row],[TABLA 2"x8"x3m]]*13.122,"")</f>
        <v>0</v>
      </c>
      <c r="DB440" s="403">
        <f>+IF(BD_MO[[#This Row],[FECHA]]&lt;&gt;"",BD_MO[[#This Row],[PIE2 MADERA ASERRADA]]*1.95,"")</f>
        <v>0</v>
      </c>
      <c r="DC440" s="403">
        <f>+IF(BD_MO[[#This Row],[FECHA]]&lt;&gt;"",BD_MO[[#This Row],[KG. MADERA REDONDA]]+BD_MO[[#This Row],[KG MADERA ASERRADA]],"")</f>
        <v>0</v>
      </c>
      <c r="DD440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40" s="399"/>
      <c r="DF440" s="399"/>
      <c r="DG440" s="399"/>
      <c r="DH440" s="399"/>
      <c r="DI440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40" s="407"/>
      <c r="DK440" s="407"/>
      <c r="DL440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40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40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40" s="408">
        <v>4.6151999999999997</v>
      </c>
      <c r="DP440" s="407">
        <f>+IF(BD_MO[[#This Row],[M o D]]&lt;&gt;"",IF(BD_MO[[#This Row],[M o D]]="M",BD_MO[[#This Row],[ROTURA TMH]]/2.65,BD_MO[[#This Row],[ROTURA TMH]]/2.4),"")</f>
        <v>1.7415849056603774</v>
      </c>
      <c r="DQ440" s="407">
        <v>1.02</v>
      </c>
      <c r="DR440" s="116">
        <f>IF(BD_MO[[#This Row],[TIPO AVANCE]]="Avance",((BD_MO[[#This Row],[AVANCE (m)]]/BD_MO[[#This Row],[AVANCE TEÓRICO]]))," ")</f>
        <v>0.94444444444444442</v>
      </c>
      <c r="DS440" s="134"/>
      <c r="DT440" s="134"/>
      <c r="DU440" s="134"/>
      <c r="DV440" s="134"/>
      <c r="DW440" s="134"/>
      <c r="DX440" s="135"/>
      <c r="DY440" s="135"/>
      <c r="DZ440" s="135"/>
    </row>
    <row r="441" spans="1:130" s="136" customFormat="1" ht="18" customHeight="1" x14ac:dyDescent="0.25">
      <c r="A441" s="395">
        <v>44676</v>
      </c>
      <c r="B441" s="396" t="s">
        <v>10655</v>
      </c>
      <c r="C441" s="396" t="s">
        <v>10672</v>
      </c>
      <c r="D441" s="397" t="s">
        <v>12465</v>
      </c>
      <c r="E441" s="398" t="str">
        <f>LEFT(BD_MO[[#This Row],[LABOR]],2)</f>
        <v>Sn</v>
      </c>
      <c r="F441" s="399" t="s">
        <v>10950</v>
      </c>
      <c r="G441" s="399" t="s">
        <v>10648</v>
      </c>
      <c r="H441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41" s="387" t="str">
        <f>IF(BD_MO[FECHA]&lt;&gt;"",VLOOKUP(BD_MO[LABOR],TB_CECO[[LABOR]:[CECO_T]],3,FALSE),"")</f>
        <v>VANESSA</v>
      </c>
      <c r="J441" s="387" t="str">
        <f>IF(BD_MO[FECHA]&lt;&gt;"",VLOOKUP(BD_MO[LABOR],D_CECO!B:H,7,FALSE),"")</f>
        <v>LINEAL</v>
      </c>
      <c r="K441" s="387" t="str">
        <f>IF(BD_MO[FECHA]&lt;&gt;"",VLOOKUP(BD_MO[LABOR],D_CECO!B:H,4,FALSE),"")</f>
        <v>EXPLORACION</v>
      </c>
      <c r="L441" s="398"/>
      <c r="M441" s="396" t="s">
        <v>10646</v>
      </c>
      <c r="N441" s="399"/>
      <c r="O441" s="400" t="s">
        <v>12205</v>
      </c>
      <c r="P441" s="400" t="s">
        <v>12195</v>
      </c>
      <c r="Q441" s="400"/>
      <c r="R441" s="401"/>
      <c r="S441" s="402" t="str">
        <f>IFERROR(VLOOKUP(BD_MO[DNI 4],#REF!,2,FALSE)," ")</f>
        <v xml:space="preserve"> </v>
      </c>
      <c r="T441" s="403">
        <v>1</v>
      </c>
      <c r="U441" s="403">
        <v>0.56999999999999995</v>
      </c>
      <c r="V441" s="403">
        <v>0.26</v>
      </c>
      <c r="W441" s="403"/>
      <c r="X441" s="403">
        <v>0.17</v>
      </c>
      <c r="Y441" s="404">
        <f>SUM(BD_MO[[#This Row],[LIMP]:[SERV]])</f>
        <v>1</v>
      </c>
      <c r="Z441" s="399" t="s">
        <v>12391</v>
      </c>
      <c r="AA441" s="399">
        <f>+IF(BD_MO[[#This Row],[N° VALE]]&lt;&gt;"",1,"")</f>
        <v>1</v>
      </c>
      <c r="AB441" s="396" t="s">
        <v>10709</v>
      </c>
      <c r="AC441" s="399">
        <v>4</v>
      </c>
      <c r="AD441" s="399">
        <f>+IF(BD_MO[[#This Row],[N° VALE]]&lt;&gt;"",BD_MO[[#This Row],[FULMINANTE N° 08]]+BD_MO[CARMEX 7''],"")</f>
        <v>18</v>
      </c>
      <c r="AE441" s="399"/>
      <c r="AF441" s="399">
        <f>+IF(BD_MO[[#This Row],[N° VALE]]&lt;&gt;"",BD_MO[[#This Row],[N° TALADROS]]+BD_MO[[#This Row],[N° TAL. VACIOS]],"")</f>
        <v>18</v>
      </c>
      <c r="AG441" s="405">
        <v>40</v>
      </c>
      <c r="AH441" s="405">
        <v>42</v>
      </c>
      <c r="AI441" s="405"/>
      <c r="AJ441" s="405"/>
      <c r="AK441" s="405">
        <v>18</v>
      </c>
      <c r="AL441" s="405">
        <v>3</v>
      </c>
      <c r="AM441" s="398"/>
      <c r="AN441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41" s="399">
        <f>+IF(BD_MO[[#This Row],[N° VALE]]&lt;&gt;"",IF(BD_MO[[#This Row],[FULMINANTE N° 08]]&lt;&gt;"",BD_MO[[#This Row],[FULMINANTE N° 08]],IF(BD_MO[[#This Row],[CARMEX 7'']]&lt;&gt;0,0,"")),"")</f>
        <v>0</v>
      </c>
      <c r="AP441" s="403">
        <f>+IF(BD_MO[[#This Row],[N° VALE]]&lt;&gt;"",BD_MO[[#This Row],[N°  TOTAL TALADROS]]*BD_MO[[#This Row],[BARRA]]*0.95,"")</f>
        <v>68.399999999999991</v>
      </c>
      <c r="AQ441" s="403">
        <f>+IF(BD_MO[[#This Row],[N° VALE]]&lt;&gt;"",BD_MO[[#This Row],[EMULNOR 1000 (N° CART.)]]*PE_EMUL_1000[PE],"")</f>
        <v>3.9774000000000003</v>
      </c>
      <c r="AR441" s="403">
        <f>+IF(BD_MO[[#This Row],[N° VALE]]&lt;&gt;"",BD_MO[[#This Row],[EMULNOR 3000 (N° CART.)]]*PE_EMUL_3000[PE],"")</f>
        <v>3.846153846153848</v>
      </c>
      <c r="AS441" s="403">
        <f>+IF(BD_MO[[#This Row],[N° VALE]]&lt;&gt;"",BD_MO[[#This Row],[PULVERULENTA (N° CART.)]]*PE_PULV_65[PE],"")</f>
        <v>0</v>
      </c>
      <c r="AT441" s="403">
        <f>+IF(BD_MO[[#This Row],[N° DISP]]&lt;&gt;"",BD_MO[[#This Row],[SEMIGELATINA (N° CART.)]]*PE_SEMIGEL_65[PE],"")</f>
        <v>0</v>
      </c>
      <c r="AU441" s="403">
        <f>+IF(BD_MO[N° VALE]&lt;&gt;"",BD_MO[[#This Row],[KG EXPLO SEMIGEL]]+BD_MO[[#This Row],[KG EXPLO PULVE]]+BD_MO[[#This Row],[KG EXPLO EMULN 3000]]+BD_MO[[#This Row],[KG EXPLO EMULN 1000]],"")</f>
        <v>7.8235538461538479</v>
      </c>
      <c r="AV441" s="399"/>
      <c r="AW441" s="399"/>
      <c r="AX441" s="399" t="str">
        <f>+IF(BD_MO[[#This Row],[MINERAL (U-35)]]&lt;&gt;"",BD_MO[[#This Row],[MINERAL (U-35)]]*1.45,"-")</f>
        <v>-</v>
      </c>
      <c r="AY441" s="399" t="str">
        <f>+IF(BD_MO[[#This Row],[DESMONTE (U-35)]]&lt;&gt;"",BD_MO[[#This Row],[DESMONTE (U-35)]]*1.23,"-")</f>
        <v>-</v>
      </c>
      <c r="AZ441" s="399"/>
      <c r="BA441" s="399"/>
      <c r="BB441" s="399"/>
      <c r="BC441" s="399"/>
      <c r="BD441" s="399"/>
      <c r="BE441" s="399"/>
      <c r="BF441" s="399"/>
      <c r="BG441" s="399"/>
      <c r="BH441" s="399"/>
      <c r="BI441" s="399"/>
      <c r="BJ441" s="399"/>
      <c r="BK441" s="399"/>
      <c r="BL441" s="399"/>
      <c r="BM441" s="399"/>
      <c r="BN441" s="398"/>
      <c r="BO441" s="399"/>
      <c r="BP441" s="399"/>
      <c r="BQ441" s="398"/>
      <c r="BR441" s="399"/>
      <c r="BS441" s="398"/>
      <c r="BT441" s="403"/>
      <c r="BU441" s="399"/>
      <c r="BV441" s="399"/>
      <c r="BW441" s="399"/>
      <c r="BX441" s="399"/>
      <c r="BY441" s="399"/>
      <c r="BZ441" s="399"/>
      <c r="CA441" s="399"/>
      <c r="CB441" s="399"/>
      <c r="CC441" s="399"/>
      <c r="CD441" s="399"/>
      <c r="CE441" s="399"/>
      <c r="CF441" s="399"/>
      <c r="CG441" s="399"/>
      <c r="CH441" s="399"/>
      <c r="CI441" s="399"/>
      <c r="CJ441" s="399"/>
      <c r="CK441" s="399"/>
      <c r="CL441" s="399"/>
      <c r="CM441" s="399"/>
      <c r="CN441" s="399"/>
      <c r="CO441" s="399"/>
      <c r="CP441" s="403">
        <f>+IF(BD_MO[[#This Row],[FECHA]]&lt;&gt;"",BD_MO[[#This Row],[PUNTAL 4"]]+BD_MO[[#This Row],[PUNTAL 5"]]+BD_MO[[#This Row],[PUNTAL 6"]]+BD_MO[[#This Row],[PUNTAL 7"]]+BD_MO[[#This Row],[PUNTAL 8"]],"")</f>
        <v>0</v>
      </c>
      <c r="CQ441" s="399"/>
      <c r="CR441" s="399"/>
      <c r="CS441" s="399"/>
      <c r="CT441" s="399"/>
      <c r="CU441" s="399"/>
      <c r="CV441" s="399"/>
      <c r="CW441" s="399"/>
      <c r="CX441" s="399"/>
      <c r="CY441" s="403"/>
      <c r="CZ441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41" s="403">
        <f>+IF(BD_MO[[#This Row],[FECHA]]&lt;&gt;"",BD_MO[[#This Row],[DURMIENTE2]]*6.561+BD_MO[[#This Row],[LISTONES]]*4.921+BD_MO[[#This Row],[TABLA 1"x8"x3m]]*6.561+BD_MO[[#This Row],[TABLA 2"x8"x3m]]*13.122,"")</f>
        <v>0</v>
      </c>
      <c r="DB441" s="403">
        <f>+IF(BD_MO[[#This Row],[FECHA]]&lt;&gt;"",BD_MO[[#This Row],[PIE2 MADERA ASERRADA]]*1.95,"")</f>
        <v>0</v>
      </c>
      <c r="DC441" s="403">
        <f>+IF(BD_MO[[#This Row],[FECHA]]&lt;&gt;"",BD_MO[[#This Row],[KG. MADERA REDONDA]]+BD_MO[[#This Row],[KG MADERA ASERRADA]],"")</f>
        <v>0</v>
      </c>
      <c r="DD441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41" s="399"/>
      <c r="DF441" s="399"/>
      <c r="DG441" s="399"/>
      <c r="DH441" s="399"/>
      <c r="DI441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41" s="407"/>
      <c r="DK441" s="407"/>
      <c r="DL441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41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41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41" s="408">
        <v>4.6151999999999997</v>
      </c>
      <c r="DP441" s="407">
        <f>+IF(BD_MO[[#This Row],[M o D]]&lt;&gt;"",IF(BD_MO[[#This Row],[M o D]]="M",BD_MO[[#This Row],[ROTURA TMH]]/2.65,BD_MO[[#This Row],[ROTURA TMH]]/2.4),"")</f>
        <v>1.7415849056603774</v>
      </c>
      <c r="DQ441" s="407">
        <v>1.03</v>
      </c>
      <c r="DR441" s="116">
        <f>IF(BD_MO[[#This Row],[TIPO AVANCE]]="Avance",((BD_MO[[#This Row],[AVANCE (m)]]/BD_MO[[#This Row],[AVANCE TEÓRICO]]))," ")</f>
        <v>0.95370370370370372</v>
      </c>
      <c r="DS441" s="134"/>
      <c r="DT441" s="134"/>
      <c r="DU441" s="134"/>
      <c r="DV441" s="134"/>
      <c r="DW441" s="134"/>
      <c r="DX441" s="135"/>
      <c r="DY441" s="135"/>
      <c r="DZ441" s="135"/>
    </row>
    <row r="442" spans="1:130" s="136" customFormat="1" ht="18" customHeight="1" x14ac:dyDescent="0.25">
      <c r="A442" s="395">
        <v>44676</v>
      </c>
      <c r="B442" s="396" t="s">
        <v>10655</v>
      </c>
      <c r="C442" s="396" t="s">
        <v>10672</v>
      </c>
      <c r="D442" s="397" t="s">
        <v>12465</v>
      </c>
      <c r="E442" s="344" t="str">
        <f>LEFT(BD_MO[[#This Row],[LABOR]],2)</f>
        <v>Sn</v>
      </c>
      <c r="F442" s="212" t="s">
        <v>10950</v>
      </c>
      <c r="G442" s="345" t="s">
        <v>10648</v>
      </c>
      <c r="H442" s="34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42" s="387" t="str">
        <f>IF(BD_MO[FECHA]&lt;&gt;"",VLOOKUP(BD_MO[LABOR],TB_CECO[[LABOR]:[CECO_T]],3,FALSE),"")</f>
        <v>VANESSA</v>
      </c>
      <c r="J442" s="387" t="str">
        <f>IF(BD_MO[FECHA]&lt;&gt;"",VLOOKUP(BD_MO[LABOR],D_CECO!B:H,7,FALSE),"")</f>
        <v>LINEAL</v>
      </c>
      <c r="K442" s="387" t="str">
        <f>IF(BD_MO[FECHA]&lt;&gt;"",VLOOKUP(BD_MO[LABOR],D_CECO!B:H,4,FALSE),"")</f>
        <v>EXPLORACION</v>
      </c>
      <c r="L442" s="344"/>
      <c r="M442" s="329" t="s">
        <v>10646</v>
      </c>
      <c r="N442" s="345"/>
      <c r="O442" s="93" t="s">
        <v>12333</v>
      </c>
      <c r="P442" s="93" t="s">
        <v>12201</v>
      </c>
      <c r="Q442" s="333"/>
      <c r="R442" s="346"/>
      <c r="S442" s="347" t="str">
        <f>IFERROR(VLOOKUP(BD_MO[DNI 4],#REF!,2,FALSE)," ")</f>
        <v xml:space="preserve"> </v>
      </c>
      <c r="T442" s="348">
        <f>+IF(BD_MO[[#This Row],[FECHA]]&lt;&gt;"",COUNTA(BD_MO[[#This Row],[DNI]],BD_MO[[#This Row],[DNI 2]],BD_MO[[#This Row],[DNI 3]],BD_MO[[#This Row],[DNI 4]]),"")</f>
        <v>2</v>
      </c>
      <c r="U442" s="348">
        <v>1.04</v>
      </c>
      <c r="V442" s="348">
        <v>0.38</v>
      </c>
      <c r="W442" s="348"/>
      <c r="X442" s="348">
        <v>0.57999999999999996</v>
      </c>
      <c r="Y442" s="337">
        <f>SUM(BD_MO[[#This Row],[LIMP]:[SERV]])</f>
        <v>2</v>
      </c>
      <c r="Z442" s="399" t="s">
        <v>12392</v>
      </c>
      <c r="AA442" s="345">
        <f>+IF(BD_MO[[#This Row],[N° VALE]]&lt;&gt;"",1,"")</f>
        <v>1</v>
      </c>
      <c r="AB442" s="329" t="s">
        <v>10709</v>
      </c>
      <c r="AC442" s="345">
        <v>4</v>
      </c>
      <c r="AD442" s="345">
        <f>+IF(BD_MO[[#This Row],[N° VALE]]&lt;&gt;"",BD_MO[[#This Row],[FULMINANTE N° 08]]+BD_MO[CARMEX 7''],"")</f>
        <v>18</v>
      </c>
      <c r="AE442" s="345"/>
      <c r="AF442" s="345">
        <f>+IF(BD_MO[[#This Row],[N° VALE]]&lt;&gt;"",BD_MO[[#This Row],[N° TALADROS]]+BD_MO[[#This Row],[N° TAL. VACIOS]],"")</f>
        <v>18</v>
      </c>
      <c r="AG442" s="349">
        <v>29</v>
      </c>
      <c r="AH442" s="349">
        <v>50</v>
      </c>
      <c r="AI442" s="349"/>
      <c r="AJ442" s="349"/>
      <c r="AK442" s="349">
        <v>18</v>
      </c>
      <c r="AL442" s="349">
        <v>2</v>
      </c>
      <c r="AM442" s="344"/>
      <c r="AN442" s="345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42" s="345">
        <f>+IF(BD_MO[[#This Row],[N° VALE]]&lt;&gt;"",IF(BD_MO[[#This Row],[FULMINANTE N° 08]]&lt;&gt;"",BD_MO[[#This Row],[FULMINANTE N° 08]],IF(BD_MO[[#This Row],[CARMEX 7'']]&lt;&gt;0,0,"")),"")</f>
        <v>0</v>
      </c>
      <c r="AP442" s="348">
        <f>+IF(BD_MO[[#This Row],[N° VALE]]&lt;&gt;"",BD_MO[[#This Row],[N°  TOTAL TALADROS]]*BD_MO[[#This Row],[BARRA]]*0.95,"")</f>
        <v>68.399999999999991</v>
      </c>
      <c r="AQ442" s="348">
        <f>+IF(BD_MO[[#This Row],[N° VALE]]&lt;&gt;"",BD_MO[[#This Row],[EMULNOR 1000 (N° CART.)]]*PE_EMUL_1000[PE],"")</f>
        <v>4.7350000000000003</v>
      </c>
      <c r="AR442" s="348">
        <f>+IF(BD_MO[[#This Row],[N° VALE]]&lt;&gt;"",BD_MO[[#This Row],[EMULNOR 3000 (N° CART.)]]*PE_EMUL_3000[PE],"")</f>
        <v>2.7884615384615397</v>
      </c>
      <c r="AS442" s="348">
        <f>+IF(BD_MO[[#This Row],[N° VALE]]&lt;&gt;"",BD_MO[[#This Row],[PULVERULENTA (N° CART.)]]*PE_PULV_65[PE],"")</f>
        <v>0</v>
      </c>
      <c r="AT442" s="348">
        <f>+IF(BD_MO[[#This Row],[N° DISP]]&lt;&gt;"",BD_MO[[#This Row],[SEMIGELATINA (N° CART.)]]*PE_SEMIGEL_65[PE],"")</f>
        <v>0</v>
      </c>
      <c r="AU442" s="348">
        <f>+IF(BD_MO[N° VALE]&lt;&gt;"",BD_MO[[#This Row],[KG EXPLO SEMIGEL]]+BD_MO[[#This Row],[KG EXPLO PULVE]]+BD_MO[[#This Row],[KG EXPLO EMULN 3000]]+BD_MO[[#This Row],[KG EXPLO EMULN 1000]],"")</f>
        <v>7.5234615384615395</v>
      </c>
      <c r="AV442" s="345"/>
      <c r="AW442" s="345"/>
      <c r="AX442" s="345" t="str">
        <f>+IF(BD_MO[[#This Row],[MINERAL (U-35)]]&lt;&gt;"",BD_MO[[#This Row],[MINERAL (U-35)]]*1.45,"-")</f>
        <v>-</v>
      </c>
      <c r="AY442" s="345" t="str">
        <f>+IF(BD_MO[[#This Row],[DESMONTE (U-35)]]&lt;&gt;"",BD_MO[[#This Row],[DESMONTE (U-35)]]*1.23,"-")</f>
        <v>-</v>
      </c>
      <c r="AZ442" s="345"/>
      <c r="BA442" s="345"/>
      <c r="BB442" s="345"/>
      <c r="BC442" s="345"/>
      <c r="BD442" s="345"/>
      <c r="BE442" s="345"/>
      <c r="BF442" s="345"/>
      <c r="BG442" s="345"/>
      <c r="BH442" s="345"/>
      <c r="BI442" s="345"/>
      <c r="BJ442" s="345"/>
      <c r="BK442" s="345"/>
      <c r="BL442" s="345"/>
      <c r="BM442" s="345"/>
      <c r="BN442" s="344"/>
      <c r="BO442" s="345"/>
      <c r="BP442" s="345"/>
      <c r="BQ442" s="344"/>
      <c r="BR442" s="345"/>
      <c r="BS442" s="344"/>
      <c r="BT442" s="348"/>
      <c r="BU442" s="345"/>
      <c r="BV442" s="345"/>
      <c r="BW442" s="345"/>
      <c r="BX442" s="345"/>
      <c r="BY442" s="345"/>
      <c r="BZ442" s="345"/>
      <c r="CA442" s="345"/>
      <c r="CB442" s="345"/>
      <c r="CC442" s="345"/>
      <c r="CD442" s="345"/>
      <c r="CE442" s="345"/>
      <c r="CF442" s="345"/>
      <c r="CG442" s="345"/>
      <c r="CH442" s="345"/>
      <c r="CI442" s="345"/>
      <c r="CJ442" s="345"/>
      <c r="CK442" s="345"/>
      <c r="CL442" s="345"/>
      <c r="CM442" s="345"/>
      <c r="CN442" s="345"/>
      <c r="CO442" s="345"/>
      <c r="CP442" s="348">
        <f>+IF(BD_MO[[#This Row],[FECHA]]&lt;&gt;"",BD_MO[[#This Row],[PUNTAL 4"]]+BD_MO[[#This Row],[PUNTAL 5"]]+BD_MO[[#This Row],[PUNTAL 6"]]+BD_MO[[#This Row],[PUNTAL 7"]]+BD_MO[[#This Row],[PUNTAL 8"]],"")</f>
        <v>0</v>
      </c>
      <c r="CQ442" s="345"/>
      <c r="CR442" s="345"/>
      <c r="CS442" s="345"/>
      <c r="CT442" s="345"/>
      <c r="CU442" s="345"/>
      <c r="CV442" s="345"/>
      <c r="CW442" s="345"/>
      <c r="CX442" s="345"/>
      <c r="CY442" s="348"/>
      <c r="CZ442" s="34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42" s="348">
        <f>+IF(BD_MO[[#This Row],[FECHA]]&lt;&gt;"",BD_MO[[#This Row],[DURMIENTE2]]*6.561+BD_MO[[#This Row],[LISTONES]]*4.921+BD_MO[[#This Row],[TABLA 1"x8"x3m]]*6.561+BD_MO[[#This Row],[TABLA 2"x8"x3m]]*13.122,"")</f>
        <v>0</v>
      </c>
      <c r="DB442" s="348">
        <f>+IF(BD_MO[[#This Row],[FECHA]]&lt;&gt;"",BD_MO[[#This Row],[PIE2 MADERA ASERRADA]]*1.95,"")</f>
        <v>0</v>
      </c>
      <c r="DC442" s="348">
        <f>+IF(BD_MO[[#This Row],[FECHA]]&lt;&gt;"",BD_MO[[#This Row],[KG. MADERA REDONDA]]+BD_MO[[#This Row],[KG MADERA ASERRADA]],"")</f>
        <v>0</v>
      </c>
      <c r="DD442" s="35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42" s="345"/>
      <c r="DF442" s="345"/>
      <c r="DG442" s="345"/>
      <c r="DH442" s="345"/>
      <c r="DI442" s="351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42" s="351"/>
      <c r="DK442" s="351"/>
      <c r="DL442" s="35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42" s="351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42" s="351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42" s="367">
        <v>4.6151999999999997</v>
      </c>
      <c r="DP442" s="351">
        <f>+IF(BD_MO[[#This Row],[M o D]]&lt;&gt;"",IF(BD_MO[[#This Row],[M o D]]="M",BD_MO[[#This Row],[ROTURA TMH]]/2.65,BD_MO[[#This Row],[ROTURA TMH]]/2.4),"")</f>
        <v>1.7415849056603774</v>
      </c>
      <c r="DQ442" s="351">
        <v>1.01</v>
      </c>
      <c r="DR442" s="116">
        <f>IF(BD_MO[[#This Row],[TIPO AVANCE]]="Avance",((BD_MO[[#This Row],[AVANCE (m)]]/BD_MO[[#This Row],[AVANCE TEÓRICO]]))," ")</f>
        <v>0.93518518518518512</v>
      </c>
      <c r="DS442" s="134"/>
      <c r="DT442" s="134"/>
      <c r="DU442" s="134"/>
      <c r="DV442" s="134"/>
      <c r="DW442" s="134"/>
      <c r="DX442" s="135"/>
      <c r="DY442" s="135"/>
      <c r="DZ442" s="135"/>
    </row>
    <row r="443" spans="1:130" s="136" customFormat="1" ht="18" customHeight="1" x14ac:dyDescent="0.25">
      <c r="A443" s="395">
        <v>44676</v>
      </c>
      <c r="B443" s="396" t="s">
        <v>10655</v>
      </c>
      <c r="C443" s="396" t="s">
        <v>10672</v>
      </c>
      <c r="D443" s="94" t="s">
        <v>11928</v>
      </c>
      <c r="E443" s="398" t="str">
        <f>LEFT(BD_MO[[#This Row],[LABOR]],2)</f>
        <v>Tj</v>
      </c>
      <c r="F443" s="399" t="s">
        <v>10950</v>
      </c>
      <c r="G443" s="399" t="s">
        <v>10648</v>
      </c>
      <c r="H443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43" s="383" t="str">
        <f>IF(BD_MO[FECHA]&lt;&gt;"",VLOOKUP(BD_MO[LABOR],TB_CECO[[LABOR]:[CECO_T]],3,FALSE),"")</f>
        <v>ESCONDIDA</v>
      </c>
      <c r="J443" s="383" t="str">
        <f>IF(BD_MO[FECHA]&lt;&gt;"",VLOOKUP(BD_MO[LABOR],D_CECO!B:H,7,FALSE),"")</f>
        <v>TAJO</v>
      </c>
      <c r="K443" s="383" t="str">
        <f>IF(BD_MO[FECHA]&lt;&gt;"",VLOOKUP(BD_MO[LABOR],D_CECO!B:H,4,FALSE),"")</f>
        <v>EXPLOTACION</v>
      </c>
      <c r="L443" s="398"/>
      <c r="M443" s="396" t="s">
        <v>10661</v>
      </c>
      <c r="N443" s="399"/>
      <c r="O443" s="400" t="s">
        <v>12192</v>
      </c>
      <c r="P443" s="400" t="s">
        <v>12207</v>
      </c>
      <c r="Q443" s="400"/>
      <c r="R443" s="401"/>
      <c r="S443" s="402" t="str">
        <f>IFERROR(VLOOKUP(BD_MO[DNI 4],#REF!,2,FALSE)," ")</f>
        <v xml:space="preserve"> </v>
      </c>
      <c r="T443" s="403">
        <f>+IF(BD_MO[[#This Row],[FECHA]]&lt;&gt;"",COUNTA(BD_MO[[#This Row],[DNI]],BD_MO[[#This Row],[DNI 2]],BD_MO[[#This Row],[DNI 3]],BD_MO[[#This Row],[DNI 4]]),"")</f>
        <v>2</v>
      </c>
      <c r="U443" s="403">
        <v>0.96</v>
      </c>
      <c r="V443" s="403">
        <v>0.28000000000000003</v>
      </c>
      <c r="W443" s="403"/>
      <c r="X443" s="403">
        <v>0.76</v>
      </c>
      <c r="Y443" s="404">
        <f>SUM(BD_MO[[#This Row],[LIMP]:[SERV]])</f>
        <v>2</v>
      </c>
      <c r="Z443" s="399" t="s">
        <v>12393</v>
      </c>
      <c r="AA443" s="399">
        <f>+IF(BD_MO[[#This Row],[N° VALE]]&lt;&gt;"",1,"")</f>
        <v>1</v>
      </c>
      <c r="AB443" s="396" t="s">
        <v>10659</v>
      </c>
      <c r="AC443" s="399">
        <v>4</v>
      </c>
      <c r="AD443" s="399">
        <f>+IF(BD_MO[[#This Row],[N° VALE]]&lt;&gt;"",BD_MO[[#This Row],[FULMINANTE N° 08]]+BD_MO[CARMEX 7''],"")</f>
        <v>13</v>
      </c>
      <c r="AE443" s="399"/>
      <c r="AF443" s="399">
        <f>+IF(BD_MO[[#This Row],[N° VALE]]&lt;&gt;"",BD_MO[[#This Row],[N° TALADROS]]+BD_MO[[#This Row],[N° TAL. VACIOS]],"")</f>
        <v>13</v>
      </c>
      <c r="AG443" s="405">
        <v>20</v>
      </c>
      <c r="AH443" s="405">
        <v>24</v>
      </c>
      <c r="AI443" s="405"/>
      <c r="AJ443" s="405"/>
      <c r="AK443" s="405">
        <v>13</v>
      </c>
      <c r="AL443" s="405">
        <v>3</v>
      </c>
      <c r="AM443" s="398"/>
      <c r="AN443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43" s="399">
        <f>+IF(BD_MO[[#This Row],[N° VALE]]&lt;&gt;"",IF(BD_MO[[#This Row],[FULMINANTE N° 08]]&lt;&gt;"",BD_MO[[#This Row],[FULMINANTE N° 08]],IF(BD_MO[[#This Row],[CARMEX 7'']]&lt;&gt;0,0,"")),"")</f>
        <v>0</v>
      </c>
      <c r="AP443" s="403">
        <f>+IF(BD_MO[[#This Row],[N° VALE]]&lt;&gt;"",BD_MO[[#This Row],[N°  TOTAL TALADROS]]*BD_MO[[#This Row],[BARRA]]*0.95,"")</f>
        <v>49.4</v>
      </c>
      <c r="AQ443" s="403">
        <f>+IF(BD_MO[[#This Row],[N° VALE]]&lt;&gt;"",BD_MO[[#This Row],[EMULNOR 1000 (N° CART.)]]*PE_EMUL_1000[PE],"")</f>
        <v>2.2728000000000002</v>
      </c>
      <c r="AR443" s="403">
        <f>+IF(BD_MO[[#This Row],[N° VALE]]&lt;&gt;"",BD_MO[[#This Row],[EMULNOR 3000 (N° CART.)]]*PE_EMUL_3000[PE],"")</f>
        <v>1.923076923076924</v>
      </c>
      <c r="AS443" s="403">
        <f>+IF(BD_MO[[#This Row],[N° VALE]]&lt;&gt;"",BD_MO[[#This Row],[PULVERULENTA (N° CART.)]]*PE_PULV_65[PE],"")</f>
        <v>0</v>
      </c>
      <c r="AT443" s="403">
        <f>+IF(BD_MO[[#This Row],[N° DISP]]&lt;&gt;"",BD_MO[[#This Row],[SEMIGELATINA (N° CART.)]]*PE_SEMIGEL_65[PE],"")</f>
        <v>0</v>
      </c>
      <c r="AU443" s="403">
        <f>+IF(BD_MO[N° VALE]&lt;&gt;"",BD_MO[[#This Row],[KG EXPLO SEMIGEL]]+BD_MO[[#This Row],[KG EXPLO PULVE]]+BD_MO[[#This Row],[KG EXPLO EMULN 3000]]+BD_MO[[#This Row],[KG EXPLO EMULN 1000]],"")</f>
        <v>4.1958769230769244</v>
      </c>
      <c r="AV443" s="399">
        <v>5</v>
      </c>
      <c r="AW443" s="399"/>
      <c r="AX443" s="399">
        <f>+IF(BD_MO[[#This Row],[MINERAL (U-35)]]&lt;&gt;"",BD_MO[[#This Row],[MINERAL (U-35)]]*1.45,"-")</f>
        <v>7.25</v>
      </c>
      <c r="AY443" s="399" t="str">
        <f>+IF(BD_MO[[#This Row],[DESMONTE (U-35)]]&lt;&gt;"",BD_MO[[#This Row],[DESMONTE (U-35)]]*1.23,"-")</f>
        <v>-</v>
      </c>
      <c r="AZ443" s="399"/>
      <c r="BA443" s="399"/>
      <c r="BB443" s="399"/>
      <c r="BC443" s="399"/>
      <c r="BD443" s="399"/>
      <c r="BE443" s="399"/>
      <c r="BF443" s="399"/>
      <c r="BG443" s="399"/>
      <c r="BH443" s="399"/>
      <c r="BI443" s="399"/>
      <c r="BJ443" s="399"/>
      <c r="BK443" s="399"/>
      <c r="BL443" s="399"/>
      <c r="BM443" s="399"/>
      <c r="BN443" s="398"/>
      <c r="BO443" s="399"/>
      <c r="BP443" s="399"/>
      <c r="BQ443" s="398"/>
      <c r="BR443" s="399"/>
      <c r="BS443" s="398"/>
      <c r="BT443" s="403"/>
      <c r="BU443" s="399"/>
      <c r="BV443" s="399"/>
      <c r="BW443" s="399"/>
      <c r="BX443" s="399"/>
      <c r="BY443" s="399"/>
      <c r="BZ443" s="399"/>
      <c r="CA443" s="399"/>
      <c r="CB443" s="399"/>
      <c r="CC443" s="399"/>
      <c r="CD443" s="399"/>
      <c r="CE443" s="399"/>
      <c r="CF443" s="399"/>
      <c r="CG443" s="399"/>
      <c r="CH443" s="399"/>
      <c r="CI443" s="399"/>
      <c r="CJ443" s="399"/>
      <c r="CK443" s="399"/>
      <c r="CL443" s="399"/>
      <c r="CM443" s="399"/>
      <c r="CN443" s="399"/>
      <c r="CO443" s="399"/>
      <c r="CP443" s="403">
        <f>+IF(BD_MO[[#This Row],[FECHA]]&lt;&gt;"",BD_MO[[#This Row],[PUNTAL 4"]]+BD_MO[[#This Row],[PUNTAL 5"]]+BD_MO[[#This Row],[PUNTAL 6"]]+BD_MO[[#This Row],[PUNTAL 7"]]+BD_MO[[#This Row],[PUNTAL 8"]],"")</f>
        <v>0</v>
      </c>
      <c r="CQ443" s="399"/>
      <c r="CR443" s="399"/>
      <c r="CS443" s="399"/>
      <c r="CT443" s="399"/>
      <c r="CU443" s="399"/>
      <c r="CV443" s="399"/>
      <c r="CW443" s="399"/>
      <c r="CX443" s="399"/>
      <c r="CY443" s="403"/>
      <c r="CZ443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43" s="403">
        <f>+IF(BD_MO[[#This Row],[FECHA]]&lt;&gt;"",BD_MO[[#This Row],[DURMIENTE2]]*6.561+BD_MO[[#This Row],[LISTONES]]*4.921+BD_MO[[#This Row],[TABLA 1"x8"x3m]]*6.561+BD_MO[[#This Row],[TABLA 2"x8"x3m]]*13.122,"")</f>
        <v>0</v>
      </c>
      <c r="DB443" s="403">
        <f>+IF(BD_MO[[#This Row],[FECHA]]&lt;&gt;"",BD_MO[[#This Row],[PIE2 MADERA ASERRADA]]*1.95,"")</f>
        <v>0</v>
      </c>
      <c r="DC443" s="403">
        <f>+IF(BD_MO[[#This Row],[FECHA]]&lt;&gt;"",BD_MO[[#This Row],[KG. MADERA REDONDA]]+BD_MO[[#This Row],[KG MADERA ASERRADA]],"")</f>
        <v>0</v>
      </c>
      <c r="DD443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43" s="399"/>
      <c r="DF443" s="399"/>
      <c r="DG443" s="399"/>
      <c r="DH443" s="399"/>
      <c r="DI443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43" s="407"/>
      <c r="DK443" s="407"/>
      <c r="DL443" s="407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3.03</v>
      </c>
      <c r="DM443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3.1511999999999998</v>
      </c>
      <c r="DN443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43" s="408">
        <v>9.4314999999999998</v>
      </c>
      <c r="DP443" s="407">
        <f>+IF(BD_MO[[#This Row],[M o D]]&lt;&gt;"",IF(BD_MO[[#This Row],[M o D]]="M",BD_MO[[#This Row],[ROTURA TMH]]/2.65,BD_MO[[#This Row],[ROTURA TMH]]/2.4),"")</f>
        <v>3.5590566037735849</v>
      </c>
      <c r="DQ443" s="407"/>
      <c r="DR443" s="116" t="str">
        <f>IF(BD_MO[[#This Row],[TIPO AVANCE]]="Avance",((BD_MO[[#This Row],[AVANCE (m)]]/BD_MO[[#This Row],[AVANCE TEÓRICO]]))," ")</f>
        <v xml:space="preserve"> </v>
      </c>
      <c r="DS443" s="134"/>
      <c r="DT443" s="134"/>
      <c r="DU443" s="134"/>
      <c r="DV443" s="134"/>
      <c r="DW443" s="134"/>
      <c r="DX443" s="135"/>
      <c r="DY443" s="135"/>
      <c r="DZ443" s="135"/>
    </row>
    <row r="444" spans="1:130" s="136" customFormat="1" ht="18" customHeight="1" x14ac:dyDescent="0.25">
      <c r="A444" s="395">
        <v>44676</v>
      </c>
      <c r="B444" s="396" t="s">
        <v>10655</v>
      </c>
      <c r="C444" s="396" t="s">
        <v>10672</v>
      </c>
      <c r="D444" s="94" t="s">
        <v>12339</v>
      </c>
      <c r="E444" s="398" t="str">
        <f>LEFT(BD_MO[[#This Row],[LABOR]],2)</f>
        <v>Tj</v>
      </c>
      <c r="F444" s="399" t="s">
        <v>10950</v>
      </c>
      <c r="G444" s="399" t="s">
        <v>10648</v>
      </c>
      <c r="H444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44" s="383" t="str">
        <f>IF(BD_MO[FECHA]&lt;&gt;"",VLOOKUP(BD_MO[LABOR],TB_CECO[[LABOR]:[CECO_T]],3,FALSE),"")</f>
        <v>ESCONDIDA</v>
      </c>
      <c r="J444" s="383" t="str">
        <f>IF(BD_MO[FECHA]&lt;&gt;"",VLOOKUP(BD_MO[LABOR],D_CECO!B:H,7,FALSE),"")</f>
        <v>TAJO</v>
      </c>
      <c r="K444" s="383" t="str">
        <f>IF(BD_MO[FECHA]&lt;&gt;"",VLOOKUP(BD_MO[LABOR],D_CECO!B:H,4,FALSE),"")</f>
        <v>EXPLOTACION</v>
      </c>
      <c r="L444" s="398"/>
      <c r="M444" s="396" t="s">
        <v>10679</v>
      </c>
      <c r="N444" s="399"/>
      <c r="O444" s="400" t="s">
        <v>12233</v>
      </c>
      <c r="P444" s="400" t="s">
        <v>12197</v>
      </c>
      <c r="Q444" s="400"/>
      <c r="R444" s="401"/>
      <c r="S444" s="402" t="str">
        <f>IFERROR(VLOOKUP(BD_MO[DNI 4],#REF!,2,FALSE)," ")</f>
        <v xml:space="preserve"> </v>
      </c>
      <c r="T444" s="403">
        <f>+IF(BD_MO[[#This Row],[FECHA]]&lt;&gt;"",COUNTA(BD_MO[[#This Row],[DNI]],BD_MO[[#This Row],[DNI 2]],BD_MO[[#This Row],[DNI 3]],BD_MO[[#This Row],[DNI 4]]),"")</f>
        <v>2</v>
      </c>
      <c r="U444" s="403">
        <v>0.96</v>
      </c>
      <c r="V444" s="403">
        <v>0.28000000000000003</v>
      </c>
      <c r="W444" s="403"/>
      <c r="X444" s="403">
        <v>0.76</v>
      </c>
      <c r="Y444" s="404">
        <f>SUM(BD_MO[[#This Row],[LIMP]:[SERV]])</f>
        <v>2</v>
      </c>
      <c r="Z444" s="399" t="s">
        <v>12394</v>
      </c>
      <c r="AA444" s="399">
        <f>+IF(BD_MO[[#This Row],[N° VALE]]&lt;&gt;"",1,"")</f>
        <v>1</v>
      </c>
      <c r="AB444" s="396" t="s">
        <v>10710</v>
      </c>
      <c r="AC444" s="399">
        <v>4</v>
      </c>
      <c r="AD444" s="399">
        <f>+IF(BD_MO[[#This Row],[N° VALE]]&lt;&gt;"",BD_MO[[#This Row],[FULMINANTE N° 08]]+BD_MO[CARMEX 7''],"")</f>
        <v>8</v>
      </c>
      <c r="AE444" s="399"/>
      <c r="AF444" s="399">
        <f>+IF(BD_MO[[#This Row],[N° VALE]]&lt;&gt;"",BD_MO[[#This Row],[N° TALADROS]]+BD_MO[[#This Row],[N° TAL. VACIOS]],"")</f>
        <v>8</v>
      </c>
      <c r="AG444" s="405"/>
      <c r="AH444" s="405">
        <v>12</v>
      </c>
      <c r="AI444" s="405"/>
      <c r="AJ444" s="405"/>
      <c r="AK444" s="405">
        <v>8</v>
      </c>
      <c r="AL444" s="405">
        <v>2</v>
      </c>
      <c r="AM444" s="398"/>
      <c r="AN444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44" s="399">
        <f>+IF(BD_MO[[#This Row],[N° VALE]]&lt;&gt;"",IF(BD_MO[[#This Row],[FULMINANTE N° 08]]&lt;&gt;"",BD_MO[[#This Row],[FULMINANTE N° 08]],IF(BD_MO[[#This Row],[CARMEX 7'']]&lt;&gt;0,0,"")),"")</f>
        <v>0</v>
      </c>
      <c r="AP444" s="403">
        <f>+IF(BD_MO[[#This Row],[N° VALE]]&lt;&gt;"",BD_MO[[#This Row],[N°  TOTAL TALADROS]]*BD_MO[[#This Row],[BARRA]]*0.95,"")</f>
        <v>30.4</v>
      </c>
      <c r="AQ444" s="403">
        <f>+IF(BD_MO[[#This Row],[N° VALE]]&lt;&gt;"",BD_MO[[#This Row],[EMULNOR 1000 (N° CART.)]]*PE_EMUL_1000[PE],"")</f>
        <v>1.1364000000000001</v>
      </c>
      <c r="AR444" s="403">
        <f>+IF(BD_MO[[#This Row],[N° VALE]]&lt;&gt;"",BD_MO[[#This Row],[EMULNOR 3000 (N° CART.)]]*PE_EMUL_3000[PE],"")</f>
        <v>0</v>
      </c>
      <c r="AS444" s="403">
        <f>+IF(BD_MO[[#This Row],[N° VALE]]&lt;&gt;"",BD_MO[[#This Row],[PULVERULENTA (N° CART.)]]*PE_PULV_65[PE],"")</f>
        <v>0</v>
      </c>
      <c r="AT444" s="403">
        <f>+IF(BD_MO[[#This Row],[N° DISP]]&lt;&gt;"",BD_MO[[#This Row],[SEMIGELATINA (N° CART.)]]*PE_SEMIGEL_65[PE],"")</f>
        <v>0</v>
      </c>
      <c r="AU444" s="403">
        <f>+IF(BD_MO[N° VALE]&lt;&gt;"",BD_MO[[#This Row],[KG EXPLO SEMIGEL]]+BD_MO[[#This Row],[KG EXPLO PULVE]]+BD_MO[[#This Row],[KG EXPLO EMULN 3000]]+BD_MO[[#This Row],[KG EXPLO EMULN 1000]],"")</f>
        <v>1.1364000000000001</v>
      </c>
      <c r="AV444" s="399"/>
      <c r="AW444" s="399">
        <v>3</v>
      </c>
      <c r="AX444" s="399" t="str">
        <f>+IF(BD_MO[[#This Row],[MINERAL (U-35)]]&lt;&gt;"",BD_MO[[#This Row],[MINERAL (U-35)]]*1.45,"-")</f>
        <v>-</v>
      </c>
      <c r="AY444" s="399">
        <f>+IF(BD_MO[[#This Row],[DESMONTE (U-35)]]&lt;&gt;"",BD_MO[[#This Row],[DESMONTE (U-35)]]*1.23,"-")</f>
        <v>3.69</v>
      </c>
      <c r="AZ444" s="399"/>
      <c r="BA444" s="399"/>
      <c r="BB444" s="399"/>
      <c r="BC444" s="399"/>
      <c r="BD444" s="399"/>
      <c r="BE444" s="399"/>
      <c r="BF444" s="399"/>
      <c r="BG444" s="399"/>
      <c r="BH444" s="399"/>
      <c r="BI444" s="399"/>
      <c r="BJ444" s="399"/>
      <c r="BK444" s="399"/>
      <c r="BL444" s="399"/>
      <c r="BM444" s="399"/>
      <c r="BN444" s="398"/>
      <c r="BO444" s="399"/>
      <c r="BP444" s="399"/>
      <c r="BQ444" s="398"/>
      <c r="BR444" s="399"/>
      <c r="BS444" s="398"/>
      <c r="BT444" s="403"/>
      <c r="BU444" s="399"/>
      <c r="BV444" s="399"/>
      <c r="BW444" s="399"/>
      <c r="BX444" s="399"/>
      <c r="BY444" s="399"/>
      <c r="BZ444" s="399"/>
      <c r="CA444" s="399"/>
      <c r="CB444" s="399"/>
      <c r="CC444" s="399"/>
      <c r="CD444" s="399"/>
      <c r="CE444" s="399"/>
      <c r="CF444" s="399"/>
      <c r="CG444" s="399"/>
      <c r="CH444" s="399"/>
      <c r="CI444" s="399"/>
      <c r="CJ444" s="399"/>
      <c r="CK444" s="399"/>
      <c r="CL444" s="399"/>
      <c r="CM444" s="399"/>
      <c r="CN444" s="399"/>
      <c r="CO444" s="399"/>
      <c r="CP444" s="403">
        <f>+IF(BD_MO[[#This Row],[FECHA]]&lt;&gt;"",BD_MO[[#This Row],[PUNTAL 4"]]+BD_MO[[#This Row],[PUNTAL 5"]]+BD_MO[[#This Row],[PUNTAL 6"]]+BD_MO[[#This Row],[PUNTAL 7"]]+BD_MO[[#This Row],[PUNTAL 8"]],"")</f>
        <v>0</v>
      </c>
      <c r="CQ444" s="399"/>
      <c r="CR444" s="399"/>
      <c r="CS444" s="399"/>
      <c r="CT444" s="399"/>
      <c r="CU444" s="399"/>
      <c r="CV444" s="399"/>
      <c r="CW444" s="399"/>
      <c r="CX444" s="399"/>
      <c r="CY444" s="403"/>
      <c r="CZ444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44" s="403">
        <f>+IF(BD_MO[[#This Row],[FECHA]]&lt;&gt;"",BD_MO[[#This Row],[DURMIENTE2]]*6.561+BD_MO[[#This Row],[LISTONES]]*4.921+BD_MO[[#This Row],[TABLA 1"x8"x3m]]*6.561+BD_MO[[#This Row],[TABLA 2"x8"x3m]]*13.122,"")</f>
        <v>0</v>
      </c>
      <c r="DB444" s="403">
        <f>+IF(BD_MO[[#This Row],[FECHA]]&lt;&gt;"",BD_MO[[#This Row],[PIE2 MADERA ASERRADA]]*1.95,"")</f>
        <v>0</v>
      </c>
      <c r="DC444" s="403">
        <f>+IF(BD_MO[[#This Row],[FECHA]]&lt;&gt;"",BD_MO[[#This Row],[KG. MADERA REDONDA]]+BD_MO[[#This Row],[KG MADERA ASERRADA]],"")</f>
        <v>0</v>
      </c>
      <c r="DD444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44" s="399"/>
      <c r="DF444" s="399"/>
      <c r="DG444" s="399"/>
      <c r="DH444" s="399"/>
      <c r="DI444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44" s="407"/>
      <c r="DK444" s="407"/>
      <c r="DL444" s="407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1.87</v>
      </c>
      <c r="DM444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1.9448000000000001</v>
      </c>
      <c r="DN444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44" s="408">
        <v>3.2944</v>
      </c>
      <c r="DP444" s="407">
        <f>+IF(BD_MO[[#This Row],[M o D]]&lt;&gt;"",IF(BD_MO[[#This Row],[M o D]]="M",BD_MO[[#This Row],[ROTURA TMH]]/2.65,BD_MO[[#This Row],[ROTURA TMH]]/2.4),"")</f>
        <v>1.2431698113207548</v>
      </c>
      <c r="DQ444" s="407"/>
      <c r="DR444" s="116" t="str">
        <f>IF(BD_MO[[#This Row],[TIPO AVANCE]]="Avance",((BD_MO[[#This Row],[AVANCE (m)]]/BD_MO[[#This Row],[AVANCE TEÓRICO]]))," ")</f>
        <v xml:space="preserve"> </v>
      </c>
      <c r="DS444" s="134"/>
      <c r="DT444" s="134"/>
      <c r="DU444" s="134"/>
      <c r="DV444" s="134"/>
      <c r="DW444" s="134"/>
      <c r="DX444" s="135"/>
      <c r="DY444" s="135"/>
      <c r="DZ444" s="135"/>
    </row>
    <row r="445" spans="1:130" s="136" customFormat="1" ht="18" customHeight="1" x14ac:dyDescent="0.25">
      <c r="A445" s="395">
        <v>44676</v>
      </c>
      <c r="B445" s="396" t="s">
        <v>10655</v>
      </c>
      <c r="C445" s="396" t="s">
        <v>10672</v>
      </c>
      <c r="D445" s="94" t="s">
        <v>11872</v>
      </c>
      <c r="E445" s="398" t="str">
        <f>LEFT(BD_MO[[#This Row],[LABOR]],2)</f>
        <v>PQ</v>
      </c>
      <c r="F445" s="399"/>
      <c r="G445" s="399" t="s">
        <v>10669</v>
      </c>
      <c r="H445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45" s="383" t="str">
        <f>IF(BD_MO[FECHA]&lt;&gt;"",VLOOKUP(BD_MO[LABOR],TB_CECO[[LABOR]:[CECO_T]],3,FALSE),"")</f>
        <v>ANDREA</v>
      </c>
      <c r="J445" s="383" t="str">
        <f>IF(BD_MO[FECHA]&lt;&gt;"",VLOOKUP(BD_MO[LABOR],D_CECO!B:H,7,FALSE),"")</f>
        <v>LINEAL</v>
      </c>
      <c r="K445" s="383" t="str">
        <f>IF(BD_MO[FECHA]&lt;&gt;"",VLOOKUP(BD_MO[LABOR],D_CECO!B:H,4,FALSE),"")</f>
        <v>EXPLOTACION</v>
      </c>
      <c r="L445" s="398"/>
      <c r="M445" s="396"/>
      <c r="N445" s="399"/>
      <c r="O445" s="400" t="s">
        <v>12199</v>
      </c>
      <c r="P445" s="400" t="s">
        <v>12220</v>
      </c>
      <c r="Q445" s="400" t="s">
        <v>12323</v>
      </c>
      <c r="R445" s="401"/>
      <c r="S445" s="402" t="str">
        <f>IFERROR(VLOOKUP(BD_MO[DNI 4],#REF!,2,FALSE)," ")</f>
        <v xml:space="preserve"> </v>
      </c>
      <c r="T445" s="403">
        <f>+IF(BD_MO[[#This Row],[FECHA]]&lt;&gt;"",COUNTA(BD_MO[[#This Row],[DNI]],BD_MO[[#This Row],[DNI 2]],BD_MO[[#This Row],[DNI 3]],BD_MO[[#This Row],[DNI 4]]),"")</f>
        <v>3</v>
      </c>
      <c r="U445" s="403"/>
      <c r="V445" s="403"/>
      <c r="W445" s="403"/>
      <c r="X445" s="403">
        <v>3</v>
      </c>
      <c r="Y445" s="404">
        <f>SUM(BD_MO[[#This Row],[LIMP]:[SERV]])</f>
        <v>3</v>
      </c>
      <c r="Z445" s="399"/>
      <c r="AA445" s="399" t="str">
        <f>+IF(BD_MO[[#This Row],[N° VALE]]&lt;&gt;"",1,"")</f>
        <v/>
      </c>
      <c r="AB445" s="396"/>
      <c r="AC445" s="399"/>
      <c r="AD445" s="399" t="str">
        <f>+IF(BD_MO[[#This Row],[N° VALE]]&lt;&gt;"",BD_MO[[#This Row],[FULMINANTE N° 08]]+BD_MO[CARMEX 7''],"")</f>
        <v/>
      </c>
      <c r="AE445" s="399"/>
      <c r="AF445" s="399" t="str">
        <f>+IF(BD_MO[[#This Row],[N° VALE]]&lt;&gt;"",BD_MO[[#This Row],[N° TALADROS]]+BD_MO[[#This Row],[N° TAL. VACIOS]],"")</f>
        <v/>
      </c>
      <c r="AG445" s="405"/>
      <c r="AH445" s="405"/>
      <c r="AI445" s="405"/>
      <c r="AJ445" s="405"/>
      <c r="AK445" s="405"/>
      <c r="AL445" s="405"/>
      <c r="AM445" s="398"/>
      <c r="AN445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45" s="399" t="str">
        <f>+IF(BD_MO[[#This Row],[N° VALE]]&lt;&gt;"",IF(BD_MO[[#This Row],[FULMINANTE N° 08]]&lt;&gt;"",BD_MO[[#This Row],[FULMINANTE N° 08]],IF(BD_MO[[#This Row],[CARMEX 7'']]&lt;&gt;0,0,"")),"")</f>
        <v/>
      </c>
      <c r="AP445" s="403" t="str">
        <f>+IF(BD_MO[[#This Row],[N° VALE]]&lt;&gt;"",BD_MO[[#This Row],[N°  TOTAL TALADROS]]*BD_MO[[#This Row],[BARRA]]*0.95,"")</f>
        <v/>
      </c>
      <c r="AQ445" s="403" t="str">
        <f>+IF(BD_MO[[#This Row],[N° VALE]]&lt;&gt;"",BD_MO[[#This Row],[EMULNOR 1000 (N° CART.)]]*PE_EMUL_1000[PE],"")</f>
        <v/>
      </c>
      <c r="AR445" s="403" t="str">
        <f>+IF(BD_MO[[#This Row],[N° VALE]]&lt;&gt;"",BD_MO[[#This Row],[EMULNOR 3000 (N° CART.)]]*PE_EMUL_3000[PE],"")</f>
        <v/>
      </c>
      <c r="AS445" s="403" t="str">
        <f>+IF(BD_MO[[#This Row],[N° VALE]]&lt;&gt;"",BD_MO[[#This Row],[PULVERULENTA (N° CART.)]]*PE_PULV_65[PE],"")</f>
        <v/>
      </c>
      <c r="AT445" s="403" t="str">
        <f>+IF(BD_MO[[#This Row],[N° DISP]]&lt;&gt;"",BD_MO[[#This Row],[SEMIGELATINA (N° CART.)]]*PE_SEMIGEL_65[PE],"")</f>
        <v/>
      </c>
      <c r="AU445" s="403" t="str">
        <f>+IF(BD_MO[N° VALE]&lt;&gt;"",BD_MO[[#This Row],[KG EXPLO SEMIGEL]]+BD_MO[[#This Row],[KG EXPLO PULVE]]+BD_MO[[#This Row],[KG EXPLO EMULN 3000]]+BD_MO[[#This Row],[KG EXPLO EMULN 1000]],"")</f>
        <v/>
      </c>
      <c r="AV445" s="399"/>
      <c r="AW445" s="399"/>
      <c r="AX445" s="399" t="str">
        <f>+IF(BD_MO[[#This Row],[MINERAL (U-35)]]&lt;&gt;"",BD_MO[[#This Row],[MINERAL (U-35)]]*1.45,"-")</f>
        <v>-</v>
      </c>
      <c r="AY445" s="399" t="str">
        <f>+IF(BD_MO[[#This Row],[DESMONTE (U-35)]]&lt;&gt;"",BD_MO[[#This Row],[DESMONTE (U-35)]]*1.23,"-")</f>
        <v>-</v>
      </c>
      <c r="AZ445" s="399"/>
      <c r="BA445" s="399"/>
      <c r="BB445" s="399"/>
      <c r="BC445" s="399"/>
      <c r="BD445" s="399"/>
      <c r="BE445" s="399"/>
      <c r="BF445" s="399"/>
      <c r="BG445" s="399"/>
      <c r="BH445" s="399"/>
      <c r="BI445" s="399"/>
      <c r="BJ445" s="399"/>
      <c r="BK445" s="399"/>
      <c r="BL445" s="399"/>
      <c r="BM445" s="399"/>
      <c r="BN445" s="398"/>
      <c r="BO445" s="399"/>
      <c r="BP445" s="399"/>
      <c r="BQ445" s="398"/>
      <c r="BR445" s="399"/>
      <c r="BS445" s="398"/>
      <c r="BT445" s="403"/>
      <c r="BU445" s="399"/>
      <c r="BV445" s="399"/>
      <c r="BW445" s="399"/>
      <c r="BX445" s="399"/>
      <c r="BY445" s="399"/>
      <c r="BZ445" s="399"/>
      <c r="CA445" s="399"/>
      <c r="CB445" s="399"/>
      <c r="CC445" s="399"/>
      <c r="CD445" s="399"/>
      <c r="CE445" s="399"/>
      <c r="CF445" s="399"/>
      <c r="CG445" s="399"/>
      <c r="CH445" s="399"/>
      <c r="CI445" s="399"/>
      <c r="CJ445" s="399"/>
      <c r="CK445" s="399"/>
      <c r="CL445" s="399"/>
      <c r="CM445" s="399"/>
      <c r="CN445" s="399"/>
      <c r="CO445" s="399"/>
      <c r="CP445" s="403">
        <f>+IF(BD_MO[[#This Row],[FECHA]]&lt;&gt;"",BD_MO[[#This Row],[PUNTAL 4"]]+BD_MO[[#This Row],[PUNTAL 5"]]+BD_MO[[#This Row],[PUNTAL 6"]]+BD_MO[[#This Row],[PUNTAL 7"]]+BD_MO[[#This Row],[PUNTAL 8"]],"")</f>
        <v>0</v>
      </c>
      <c r="CQ445" s="399"/>
      <c r="CR445" s="399"/>
      <c r="CS445" s="399"/>
      <c r="CT445" s="399"/>
      <c r="CU445" s="399"/>
      <c r="CV445" s="399"/>
      <c r="CW445" s="399"/>
      <c r="CX445" s="399"/>
      <c r="CY445" s="403"/>
      <c r="CZ445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45" s="403">
        <f>+IF(BD_MO[[#This Row],[FECHA]]&lt;&gt;"",BD_MO[[#This Row],[DURMIENTE2]]*6.561+BD_MO[[#This Row],[LISTONES]]*4.921+BD_MO[[#This Row],[TABLA 1"x8"x3m]]*6.561+BD_MO[[#This Row],[TABLA 2"x8"x3m]]*13.122,"")</f>
        <v>0</v>
      </c>
      <c r="DB445" s="403">
        <f>+IF(BD_MO[[#This Row],[FECHA]]&lt;&gt;"",BD_MO[[#This Row],[PIE2 MADERA ASERRADA]]*1.95,"")</f>
        <v>0</v>
      </c>
      <c r="DC445" s="403">
        <f>+IF(BD_MO[[#This Row],[FECHA]]&lt;&gt;"",BD_MO[[#This Row],[KG. MADERA REDONDA]]+BD_MO[[#This Row],[KG MADERA ASERRADA]],"")</f>
        <v>0</v>
      </c>
      <c r="DD445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45" s="399"/>
      <c r="DF445" s="399"/>
      <c r="DG445" s="399"/>
      <c r="DH445" s="399"/>
      <c r="DI445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45" s="407"/>
      <c r="DK445" s="407"/>
      <c r="DL445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45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45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45" s="408"/>
      <c r="DP445" s="407" t="str">
        <f>+IF(BD_MO[[#This Row],[M o D]]&lt;&gt;"",IF(BD_MO[[#This Row],[M o D]]="M",BD_MO[[#This Row],[ROTURA TMH]]/2.65,BD_MO[[#This Row],[ROTURA TMH]]/2.4),"")</f>
        <v/>
      </c>
      <c r="DQ445" s="407"/>
      <c r="DR445" s="116" t="str">
        <f>IF(BD_MO[[#This Row],[TIPO AVANCE]]="Avance",((BD_MO[[#This Row],[AVANCE (m)]]/BD_MO[[#This Row],[AVANCE TEÓRICO]]))," ")</f>
        <v xml:space="preserve"> </v>
      </c>
      <c r="DS445" s="134"/>
      <c r="DT445" s="134"/>
      <c r="DU445" s="134"/>
      <c r="DV445" s="134"/>
      <c r="DW445" s="134"/>
      <c r="DX445" s="135"/>
      <c r="DY445" s="135"/>
      <c r="DZ445" s="135"/>
    </row>
    <row r="446" spans="1:130" s="136" customFormat="1" ht="18" customHeight="1" x14ac:dyDescent="0.25">
      <c r="A446" s="395">
        <v>44676</v>
      </c>
      <c r="B446" s="396" t="s">
        <v>10655</v>
      </c>
      <c r="C446" s="396" t="s">
        <v>10672</v>
      </c>
      <c r="D446" s="94" t="s">
        <v>10952</v>
      </c>
      <c r="E446" s="398" t="str">
        <f>LEFT(BD_MO[[#This Row],[LABOR]],2)</f>
        <v>In</v>
      </c>
      <c r="F446" s="399"/>
      <c r="G446" s="399" t="s">
        <v>10669</v>
      </c>
      <c r="H446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46" s="383" t="str">
        <f>IF(BD_MO[FECHA]&lt;&gt;"",VLOOKUP(BD_MO[LABOR],TB_CECO[[LABOR]:[CECO_T]],3,FALSE),"")</f>
        <v>VANESSA</v>
      </c>
      <c r="J446" s="383" t="str">
        <f>IF(BD_MO[FECHA]&lt;&gt;"",VLOOKUP(BD_MO[LABOR],D_CECO!B:H,7,FALSE),"")</f>
        <v>LINEAL</v>
      </c>
      <c r="K446" s="383" t="str">
        <f>IF(BD_MO[FECHA]&lt;&gt;"",VLOOKUP(BD_MO[LABOR],D_CECO!B:H,4,FALSE),"")</f>
        <v>EXPLORACION</v>
      </c>
      <c r="L446" s="398"/>
      <c r="M446" s="396"/>
      <c r="N446" s="399"/>
      <c r="O446" s="400" t="s">
        <v>12388</v>
      </c>
      <c r="P446" s="400" t="s">
        <v>12234</v>
      </c>
      <c r="Q446" s="400"/>
      <c r="R446" s="401"/>
      <c r="S446" s="402" t="str">
        <f>IFERROR(VLOOKUP(BD_MO[DNI 4],#REF!,2,FALSE)," ")</f>
        <v xml:space="preserve"> </v>
      </c>
      <c r="T446" s="403">
        <f>+IF(BD_MO[[#This Row],[FECHA]]&lt;&gt;"",COUNTA(BD_MO[[#This Row],[DNI]],BD_MO[[#This Row],[DNI 2]],BD_MO[[#This Row],[DNI 3]],BD_MO[[#This Row],[DNI 4]]),"")</f>
        <v>2</v>
      </c>
      <c r="U446" s="403"/>
      <c r="V446" s="403"/>
      <c r="W446" s="403"/>
      <c r="X446" s="403">
        <v>2</v>
      </c>
      <c r="Y446" s="404">
        <f>SUM(BD_MO[[#This Row],[LIMP]:[SERV]])</f>
        <v>2</v>
      </c>
      <c r="Z446" s="399"/>
      <c r="AA446" s="399" t="str">
        <f>+IF(BD_MO[[#This Row],[N° VALE]]&lt;&gt;"",1,"")</f>
        <v/>
      </c>
      <c r="AB446" s="396"/>
      <c r="AC446" s="399"/>
      <c r="AD446" s="399" t="str">
        <f>+IF(BD_MO[[#This Row],[N° VALE]]&lt;&gt;"",BD_MO[[#This Row],[FULMINANTE N° 08]]+BD_MO[CARMEX 7''],"")</f>
        <v/>
      </c>
      <c r="AE446" s="399"/>
      <c r="AF446" s="399" t="str">
        <f>+IF(BD_MO[[#This Row],[N° VALE]]&lt;&gt;"",BD_MO[[#This Row],[N° TALADROS]]+BD_MO[[#This Row],[N° TAL. VACIOS]],"")</f>
        <v/>
      </c>
      <c r="AG446" s="405"/>
      <c r="AH446" s="405"/>
      <c r="AI446" s="405"/>
      <c r="AJ446" s="405"/>
      <c r="AK446" s="405"/>
      <c r="AL446" s="405"/>
      <c r="AM446" s="398"/>
      <c r="AN446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46" s="399" t="str">
        <f>+IF(BD_MO[[#This Row],[N° VALE]]&lt;&gt;"",IF(BD_MO[[#This Row],[FULMINANTE N° 08]]&lt;&gt;"",BD_MO[[#This Row],[FULMINANTE N° 08]],IF(BD_MO[[#This Row],[CARMEX 7'']]&lt;&gt;0,0,"")),"")</f>
        <v/>
      </c>
      <c r="AP446" s="403" t="str">
        <f>+IF(BD_MO[[#This Row],[N° VALE]]&lt;&gt;"",BD_MO[[#This Row],[N°  TOTAL TALADROS]]*BD_MO[[#This Row],[BARRA]]*0.95,"")</f>
        <v/>
      </c>
      <c r="AQ446" s="403" t="str">
        <f>+IF(BD_MO[[#This Row],[N° VALE]]&lt;&gt;"",BD_MO[[#This Row],[EMULNOR 1000 (N° CART.)]]*PE_EMUL_1000[PE],"")</f>
        <v/>
      </c>
      <c r="AR446" s="403" t="str">
        <f>+IF(BD_MO[[#This Row],[N° VALE]]&lt;&gt;"",BD_MO[[#This Row],[EMULNOR 3000 (N° CART.)]]*PE_EMUL_3000[PE],"")</f>
        <v/>
      </c>
      <c r="AS446" s="403" t="str">
        <f>+IF(BD_MO[[#This Row],[N° VALE]]&lt;&gt;"",BD_MO[[#This Row],[PULVERULENTA (N° CART.)]]*PE_PULV_65[PE],"")</f>
        <v/>
      </c>
      <c r="AT446" s="403" t="str">
        <f>+IF(BD_MO[[#This Row],[N° DISP]]&lt;&gt;"",BD_MO[[#This Row],[SEMIGELATINA (N° CART.)]]*PE_SEMIGEL_65[PE],"")</f>
        <v/>
      </c>
      <c r="AU446" s="403" t="str">
        <f>+IF(BD_MO[N° VALE]&lt;&gt;"",BD_MO[[#This Row],[KG EXPLO SEMIGEL]]+BD_MO[[#This Row],[KG EXPLO PULVE]]+BD_MO[[#This Row],[KG EXPLO EMULN 3000]]+BD_MO[[#This Row],[KG EXPLO EMULN 1000]],"")</f>
        <v/>
      </c>
      <c r="AV446" s="399"/>
      <c r="AW446" s="399"/>
      <c r="AX446" s="399" t="str">
        <f>+IF(BD_MO[[#This Row],[MINERAL (U-35)]]&lt;&gt;"",BD_MO[[#This Row],[MINERAL (U-35)]]*1.45,"-")</f>
        <v>-</v>
      </c>
      <c r="AY446" s="399" t="str">
        <f>+IF(BD_MO[[#This Row],[DESMONTE (U-35)]]&lt;&gt;"",BD_MO[[#This Row],[DESMONTE (U-35)]]*1.23,"-")</f>
        <v>-</v>
      </c>
      <c r="AZ446" s="399"/>
      <c r="BA446" s="399"/>
      <c r="BB446" s="399"/>
      <c r="BC446" s="399"/>
      <c r="BD446" s="399"/>
      <c r="BE446" s="399"/>
      <c r="BF446" s="399"/>
      <c r="BG446" s="399"/>
      <c r="BH446" s="399"/>
      <c r="BI446" s="399"/>
      <c r="BJ446" s="399"/>
      <c r="BK446" s="399"/>
      <c r="BL446" s="399"/>
      <c r="BM446" s="399"/>
      <c r="BN446" s="398"/>
      <c r="BO446" s="399"/>
      <c r="BP446" s="399"/>
      <c r="BQ446" s="398"/>
      <c r="BR446" s="399"/>
      <c r="BS446" s="398"/>
      <c r="BT446" s="403"/>
      <c r="BU446" s="399"/>
      <c r="BV446" s="399"/>
      <c r="BW446" s="399"/>
      <c r="BX446" s="399"/>
      <c r="BY446" s="399"/>
      <c r="BZ446" s="399"/>
      <c r="CA446" s="399"/>
      <c r="CB446" s="399"/>
      <c r="CC446" s="399"/>
      <c r="CD446" s="399"/>
      <c r="CE446" s="399"/>
      <c r="CF446" s="399"/>
      <c r="CG446" s="399"/>
      <c r="CH446" s="399"/>
      <c r="CI446" s="399"/>
      <c r="CJ446" s="399"/>
      <c r="CK446" s="399"/>
      <c r="CL446" s="399"/>
      <c r="CM446" s="399"/>
      <c r="CN446" s="399"/>
      <c r="CO446" s="399"/>
      <c r="CP446" s="403">
        <f>+IF(BD_MO[[#This Row],[FECHA]]&lt;&gt;"",BD_MO[[#This Row],[PUNTAL 4"]]+BD_MO[[#This Row],[PUNTAL 5"]]+BD_MO[[#This Row],[PUNTAL 6"]]+BD_MO[[#This Row],[PUNTAL 7"]]+BD_MO[[#This Row],[PUNTAL 8"]],"")</f>
        <v>0</v>
      </c>
      <c r="CQ446" s="399"/>
      <c r="CR446" s="399"/>
      <c r="CS446" s="399"/>
      <c r="CT446" s="399"/>
      <c r="CU446" s="399"/>
      <c r="CV446" s="399"/>
      <c r="CW446" s="399"/>
      <c r="CX446" s="399"/>
      <c r="CY446" s="403"/>
      <c r="CZ446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46" s="403">
        <f>+IF(BD_MO[[#This Row],[FECHA]]&lt;&gt;"",BD_MO[[#This Row],[DURMIENTE2]]*6.561+BD_MO[[#This Row],[LISTONES]]*4.921+BD_MO[[#This Row],[TABLA 1"x8"x3m]]*6.561+BD_MO[[#This Row],[TABLA 2"x8"x3m]]*13.122,"")</f>
        <v>0</v>
      </c>
      <c r="DB446" s="403">
        <f>+IF(BD_MO[[#This Row],[FECHA]]&lt;&gt;"",BD_MO[[#This Row],[PIE2 MADERA ASERRADA]]*1.95,"")</f>
        <v>0</v>
      </c>
      <c r="DC446" s="403">
        <f>+IF(BD_MO[[#This Row],[FECHA]]&lt;&gt;"",BD_MO[[#This Row],[KG. MADERA REDONDA]]+BD_MO[[#This Row],[KG MADERA ASERRADA]],"")</f>
        <v>0</v>
      </c>
      <c r="DD446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46" s="399"/>
      <c r="DF446" s="399"/>
      <c r="DG446" s="399"/>
      <c r="DH446" s="399"/>
      <c r="DI446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46" s="407"/>
      <c r="DK446" s="407"/>
      <c r="DL446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46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46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46" s="367"/>
      <c r="DP446" s="407" t="str">
        <f>+IF(BD_MO[[#This Row],[M o D]]&lt;&gt;"",IF(BD_MO[[#This Row],[M o D]]="M",BD_MO[[#This Row],[ROTURA TMH]]/2.65,BD_MO[[#This Row],[ROTURA TMH]]/2.4),"")</f>
        <v/>
      </c>
      <c r="DQ446" s="407"/>
      <c r="DR446" s="116" t="str">
        <f>IF(BD_MO[[#This Row],[TIPO AVANCE]]="Avance",((BD_MO[[#This Row],[AVANCE (m)]]/BD_MO[[#This Row],[AVANCE TEÓRICO]]))," ")</f>
        <v xml:space="preserve"> </v>
      </c>
      <c r="DS446" s="134"/>
      <c r="DT446" s="134"/>
      <c r="DU446" s="134"/>
      <c r="DV446" s="134"/>
      <c r="DW446" s="134"/>
      <c r="DX446" s="135"/>
      <c r="DY446" s="135"/>
      <c r="DZ446" s="135"/>
    </row>
    <row r="447" spans="1:130" s="136" customFormat="1" ht="18" customHeight="1" x14ac:dyDescent="0.25">
      <c r="A447" s="395">
        <v>44676</v>
      </c>
      <c r="B447" s="396" t="s">
        <v>10655</v>
      </c>
      <c r="C447" s="396" t="s">
        <v>10672</v>
      </c>
      <c r="D447" s="94" t="s">
        <v>10954</v>
      </c>
      <c r="E447" s="398" t="str">
        <f>LEFT(BD_MO[[#This Row],[LABOR]],2)</f>
        <v>MO</v>
      </c>
      <c r="F447" s="399"/>
      <c r="G447" s="399" t="s">
        <v>10669</v>
      </c>
      <c r="H447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47" s="383" t="str">
        <f>IF(BD_MO[FECHA]&lt;&gt;"",VLOOKUP(BD_MO[LABOR],TB_CECO[[LABOR]:[CECO_T]],3,FALSE),"")</f>
        <v>INCA</v>
      </c>
      <c r="J447" s="383" t="str">
        <f>IF(BD_MO[FECHA]&lt;&gt;"",VLOOKUP(BD_MO[LABOR],D_CECO!B:H,7,FALSE),"")</f>
        <v>SERVICIOS</v>
      </c>
      <c r="K447" s="383" t="str">
        <f>IF(BD_MO[FECHA]&lt;&gt;"",VLOOKUP(BD_MO[LABOR],D_CECO!B:H,4,FALSE),"")</f>
        <v>SERVICIOS</v>
      </c>
      <c r="L447" s="398"/>
      <c r="M447" s="396"/>
      <c r="N447" s="399"/>
      <c r="O447" s="400" t="s">
        <v>12221</v>
      </c>
      <c r="P447" s="400" t="s">
        <v>12209</v>
      </c>
      <c r="Q447" s="400"/>
      <c r="R447" s="401"/>
      <c r="S447" s="402" t="str">
        <f>IFERROR(VLOOKUP(BD_MO[DNI 4],#REF!,2,FALSE)," ")</f>
        <v xml:space="preserve"> </v>
      </c>
      <c r="T447" s="403">
        <f>+IF(BD_MO[[#This Row],[FECHA]]&lt;&gt;"",COUNTA(BD_MO[[#This Row],[DNI]],BD_MO[[#This Row],[DNI 2]],BD_MO[[#This Row],[DNI 3]],BD_MO[[#This Row],[DNI 4]]),"")</f>
        <v>2</v>
      </c>
      <c r="U447" s="403"/>
      <c r="V447" s="403"/>
      <c r="W447" s="403"/>
      <c r="X447" s="403">
        <v>2</v>
      </c>
      <c r="Y447" s="404">
        <f>SUM(BD_MO[[#This Row],[LIMP]:[SERV]])</f>
        <v>2</v>
      </c>
      <c r="Z447" s="399"/>
      <c r="AA447" s="399" t="str">
        <f>+IF(BD_MO[[#This Row],[N° VALE]]&lt;&gt;"",1,"")</f>
        <v/>
      </c>
      <c r="AB447" s="396"/>
      <c r="AC447" s="399"/>
      <c r="AD447" s="399" t="str">
        <f>+IF(BD_MO[[#This Row],[N° VALE]]&lt;&gt;"",BD_MO[[#This Row],[FULMINANTE N° 08]]+BD_MO[CARMEX 7''],"")</f>
        <v/>
      </c>
      <c r="AE447" s="399"/>
      <c r="AF447" s="399" t="str">
        <f>+IF(BD_MO[[#This Row],[N° VALE]]&lt;&gt;"",BD_MO[[#This Row],[N° TALADROS]]+BD_MO[[#This Row],[N° TAL. VACIOS]],"")</f>
        <v/>
      </c>
      <c r="AG447" s="405"/>
      <c r="AH447" s="405"/>
      <c r="AI447" s="405"/>
      <c r="AJ447" s="405"/>
      <c r="AK447" s="405"/>
      <c r="AL447" s="405"/>
      <c r="AM447" s="398"/>
      <c r="AN447" s="399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47" s="399" t="str">
        <f>+IF(BD_MO[[#This Row],[N° VALE]]&lt;&gt;"",IF(BD_MO[[#This Row],[FULMINANTE N° 08]]&lt;&gt;"",BD_MO[[#This Row],[FULMINANTE N° 08]],IF(BD_MO[[#This Row],[CARMEX 7'']]&lt;&gt;0,0,"")),"")</f>
        <v/>
      </c>
      <c r="AP447" s="403" t="str">
        <f>+IF(BD_MO[[#This Row],[N° VALE]]&lt;&gt;"",BD_MO[[#This Row],[N°  TOTAL TALADROS]]*BD_MO[[#This Row],[BARRA]]*0.95,"")</f>
        <v/>
      </c>
      <c r="AQ447" s="403" t="str">
        <f>+IF(BD_MO[[#This Row],[N° VALE]]&lt;&gt;"",BD_MO[[#This Row],[EMULNOR 1000 (N° CART.)]]*PE_EMUL_1000[PE],"")</f>
        <v/>
      </c>
      <c r="AR447" s="403" t="str">
        <f>+IF(BD_MO[[#This Row],[N° VALE]]&lt;&gt;"",BD_MO[[#This Row],[EMULNOR 3000 (N° CART.)]]*PE_EMUL_3000[PE],"")</f>
        <v/>
      </c>
      <c r="AS447" s="403" t="str">
        <f>+IF(BD_MO[[#This Row],[N° VALE]]&lt;&gt;"",BD_MO[[#This Row],[PULVERULENTA (N° CART.)]]*PE_PULV_65[PE],"")</f>
        <v/>
      </c>
      <c r="AT447" s="403" t="str">
        <f>+IF(BD_MO[[#This Row],[N° DISP]]&lt;&gt;"",BD_MO[[#This Row],[SEMIGELATINA (N° CART.)]]*PE_SEMIGEL_65[PE],"")</f>
        <v/>
      </c>
      <c r="AU447" s="403" t="str">
        <f>+IF(BD_MO[N° VALE]&lt;&gt;"",BD_MO[[#This Row],[KG EXPLO SEMIGEL]]+BD_MO[[#This Row],[KG EXPLO PULVE]]+BD_MO[[#This Row],[KG EXPLO EMULN 3000]]+BD_MO[[#This Row],[KG EXPLO EMULN 1000]],"")</f>
        <v/>
      </c>
      <c r="AV447" s="399"/>
      <c r="AW447" s="399"/>
      <c r="AX447" s="399" t="str">
        <f>+IF(BD_MO[[#This Row],[MINERAL (U-35)]]&lt;&gt;"",BD_MO[[#This Row],[MINERAL (U-35)]]*1.45,"-")</f>
        <v>-</v>
      </c>
      <c r="AY447" s="399" t="str">
        <f>+IF(BD_MO[[#This Row],[DESMONTE (U-35)]]&lt;&gt;"",BD_MO[[#This Row],[DESMONTE (U-35)]]*1.23,"-")</f>
        <v>-</v>
      </c>
      <c r="AZ447" s="399"/>
      <c r="BA447" s="399"/>
      <c r="BB447" s="399"/>
      <c r="BC447" s="399"/>
      <c r="BD447" s="399"/>
      <c r="BE447" s="399"/>
      <c r="BF447" s="399"/>
      <c r="BG447" s="399"/>
      <c r="BH447" s="399"/>
      <c r="BI447" s="399"/>
      <c r="BJ447" s="399"/>
      <c r="BK447" s="399"/>
      <c r="BL447" s="399"/>
      <c r="BM447" s="399"/>
      <c r="BN447" s="398"/>
      <c r="BO447" s="399"/>
      <c r="BP447" s="399"/>
      <c r="BQ447" s="398"/>
      <c r="BR447" s="399"/>
      <c r="BS447" s="398"/>
      <c r="BT447" s="403"/>
      <c r="BU447" s="399"/>
      <c r="BV447" s="399"/>
      <c r="BW447" s="399"/>
      <c r="BX447" s="399"/>
      <c r="BY447" s="399"/>
      <c r="BZ447" s="399"/>
      <c r="CA447" s="399"/>
      <c r="CB447" s="399"/>
      <c r="CC447" s="399"/>
      <c r="CD447" s="399"/>
      <c r="CE447" s="399"/>
      <c r="CF447" s="399"/>
      <c r="CG447" s="399"/>
      <c r="CH447" s="399"/>
      <c r="CI447" s="399"/>
      <c r="CJ447" s="399"/>
      <c r="CK447" s="399"/>
      <c r="CL447" s="399"/>
      <c r="CM447" s="399"/>
      <c r="CN447" s="399"/>
      <c r="CO447" s="399"/>
      <c r="CP447" s="403">
        <f>+IF(BD_MO[[#This Row],[FECHA]]&lt;&gt;"",BD_MO[[#This Row],[PUNTAL 4"]]+BD_MO[[#This Row],[PUNTAL 5"]]+BD_MO[[#This Row],[PUNTAL 6"]]+BD_MO[[#This Row],[PUNTAL 7"]]+BD_MO[[#This Row],[PUNTAL 8"]],"")</f>
        <v>0</v>
      </c>
      <c r="CQ447" s="399"/>
      <c r="CR447" s="399"/>
      <c r="CS447" s="399"/>
      <c r="CT447" s="399"/>
      <c r="CU447" s="399"/>
      <c r="CV447" s="399"/>
      <c r="CW447" s="399"/>
      <c r="CX447" s="399"/>
      <c r="CY447" s="403"/>
      <c r="CZ447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47" s="403">
        <f>+IF(BD_MO[[#This Row],[FECHA]]&lt;&gt;"",BD_MO[[#This Row],[DURMIENTE2]]*6.561+BD_MO[[#This Row],[LISTONES]]*4.921+BD_MO[[#This Row],[TABLA 1"x8"x3m]]*6.561+BD_MO[[#This Row],[TABLA 2"x8"x3m]]*13.122,"")</f>
        <v>0</v>
      </c>
      <c r="DB447" s="403">
        <f>+IF(BD_MO[[#This Row],[FECHA]]&lt;&gt;"",BD_MO[[#This Row],[PIE2 MADERA ASERRADA]]*1.95,"")</f>
        <v>0</v>
      </c>
      <c r="DC447" s="403">
        <f>+IF(BD_MO[[#This Row],[FECHA]]&lt;&gt;"",BD_MO[[#This Row],[KG. MADERA REDONDA]]+BD_MO[[#This Row],[KG MADERA ASERRADA]],"")</f>
        <v>0</v>
      </c>
      <c r="DD447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47" s="399"/>
      <c r="DF447" s="399"/>
      <c r="DG447" s="399"/>
      <c r="DH447" s="399"/>
      <c r="DI447" s="407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47" s="407"/>
      <c r="DK447" s="407"/>
      <c r="DL447" s="407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47" s="407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47" s="407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47" s="408"/>
      <c r="DP447" s="407" t="str">
        <f>+IF(BD_MO[[#This Row],[M o D]]&lt;&gt;"",IF(BD_MO[[#This Row],[M o D]]="M",BD_MO[[#This Row],[ROTURA TMH]]/2.65,BD_MO[[#This Row],[ROTURA TMH]]/2.4),"")</f>
        <v/>
      </c>
      <c r="DQ447" s="407"/>
      <c r="DR447" s="116" t="str">
        <f>IF(BD_MO[[#This Row],[TIPO AVANCE]]="Avance",((BD_MO[[#This Row],[AVANCE (m)]]/BD_MO[[#This Row],[AVANCE TEÓRICO]]))," ")</f>
        <v xml:space="preserve"> </v>
      </c>
      <c r="DS447" s="134"/>
      <c r="DT447" s="134"/>
      <c r="DU447" s="134"/>
      <c r="DV447" s="134"/>
      <c r="DW447" s="134"/>
      <c r="DX447" s="135"/>
      <c r="DY447" s="135"/>
      <c r="DZ447" s="135"/>
    </row>
    <row r="448" spans="1:130" s="115" customFormat="1" ht="18" customHeight="1" thickBot="1" x14ac:dyDescent="0.3">
      <c r="A448" s="423">
        <v>44676</v>
      </c>
      <c r="B448" s="410" t="s">
        <v>10655</v>
      </c>
      <c r="C448" s="410" t="s">
        <v>10672</v>
      </c>
      <c r="D448" s="118" t="s">
        <v>10717</v>
      </c>
      <c r="E448" s="412" t="str">
        <f>LEFT(BD_MO[[#This Row],[LABOR]],2)</f>
        <v>BO</v>
      </c>
      <c r="F448" s="413"/>
      <c r="G448" s="413" t="s">
        <v>10669</v>
      </c>
      <c r="H448" s="41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48" s="119" t="str">
        <f>IF(BD_MO[FECHA]&lt;&gt;"",VLOOKUP(BD_MO[LABOR],TB_CECO[[LABOR]:[CECO_T]],3,FALSE),"")</f>
        <v>CACHORRO</v>
      </c>
      <c r="J448" s="119" t="str">
        <f>IF(BD_MO[FECHA]&lt;&gt;"",VLOOKUP(BD_MO[LABOR],D_CECO!B:H,7,FALSE),"")</f>
        <v>SERVICIOS</v>
      </c>
      <c r="K448" s="119" t="str">
        <f>IF(BD_MO[FECHA]&lt;&gt;"",VLOOKUP(BD_MO[LABOR],D_CECO!B:H,4,FALSE),"")</f>
        <v>SERVICIOS</v>
      </c>
      <c r="L448" s="412"/>
      <c r="M448" s="410"/>
      <c r="N448" s="413"/>
      <c r="O448" s="414" t="s">
        <v>12196</v>
      </c>
      <c r="P448" s="414"/>
      <c r="Q448" s="414"/>
      <c r="R448" s="415"/>
      <c r="S448" s="416" t="str">
        <f>IFERROR(VLOOKUP(BD_MO[DNI 4],#REF!,2,FALSE)," ")</f>
        <v xml:space="preserve"> </v>
      </c>
      <c r="T448" s="417">
        <f>+IF(BD_MO[[#This Row],[FECHA]]&lt;&gt;"",COUNTA(BD_MO[[#This Row],[DNI]],BD_MO[[#This Row],[DNI 2]],BD_MO[[#This Row],[DNI 3]],BD_MO[[#This Row],[DNI 4]]),"")</f>
        <v>1</v>
      </c>
      <c r="U448" s="417"/>
      <c r="V448" s="417"/>
      <c r="W448" s="417"/>
      <c r="X448" s="417">
        <v>1</v>
      </c>
      <c r="Y448" s="418">
        <f>SUM(BD_MO[[#This Row],[LIMP]:[SERV]])</f>
        <v>1</v>
      </c>
      <c r="Z448" s="413"/>
      <c r="AA448" s="413" t="str">
        <f>+IF(BD_MO[[#This Row],[N° VALE]]&lt;&gt;"",1,"")</f>
        <v/>
      </c>
      <c r="AB448" s="410"/>
      <c r="AC448" s="413"/>
      <c r="AD448" s="413" t="str">
        <f>+IF(BD_MO[[#This Row],[N° VALE]]&lt;&gt;"",BD_MO[[#This Row],[FULMINANTE N° 08]]+BD_MO[CARMEX 7''],"")</f>
        <v/>
      </c>
      <c r="AE448" s="413"/>
      <c r="AF448" s="413" t="str">
        <f>+IF(BD_MO[[#This Row],[N° VALE]]&lt;&gt;"",BD_MO[[#This Row],[N° TALADROS]]+BD_MO[[#This Row],[N° TAL. VACIOS]],"")</f>
        <v/>
      </c>
      <c r="AG448" s="419"/>
      <c r="AH448" s="419"/>
      <c r="AI448" s="419"/>
      <c r="AJ448" s="419"/>
      <c r="AK448" s="419"/>
      <c r="AL448" s="419"/>
      <c r="AM448" s="412"/>
      <c r="AN448" s="413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48" s="413" t="str">
        <f>+IF(BD_MO[[#This Row],[N° VALE]]&lt;&gt;"",IF(BD_MO[[#This Row],[FULMINANTE N° 08]]&lt;&gt;"",BD_MO[[#This Row],[FULMINANTE N° 08]],IF(BD_MO[[#This Row],[CARMEX 7'']]&lt;&gt;0,0,"")),"")</f>
        <v/>
      </c>
      <c r="AP448" s="417" t="str">
        <f>+IF(BD_MO[[#This Row],[N° VALE]]&lt;&gt;"",BD_MO[[#This Row],[N°  TOTAL TALADROS]]*BD_MO[[#This Row],[BARRA]]*0.95,"")</f>
        <v/>
      </c>
      <c r="AQ448" s="417" t="str">
        <f>+IF(BD_MO[[#This Row],[N° VALE]]&lt;&gt;"",BD_MO[[#This Row],[EMULNOR 1000 (N° CART.)]]*PE_EMUL_1000[PE],"")</f>
        <v/>
      </c>
      <c r="AR448" s="417" t="str">
        <f>+IF(BD_MO[[#This Row],[N° VALE]]&lt;&gt;"",BD_MO[[#This Row],[EMULNOR 3000 (N° CART.)]]*PE_EMUL_3000[PE],"")</f>
        <v/>
      </c>
      <c r="AS448" s="417" t="str">
        <f>+IF(BD_MO[[#This Row],[N° VALE]]&lt;&gt;"",BD_MO[[#This Row],[PULVERULENTA (N° CART.)]]*PE_PULV_65[PE],"")</f>
        <v/>
      </c>
      <c r="AT448" s="417" t="str">
        <f>+IF(BD_MO[[#This Row],[N° DISP]]&lt;&gt;"",BD_MO[[#This Row],[SEMIGELATINA (N° CART.)]]*PE_SEMIGEL_65[PE],"")</f>
        <v/>
      </c>
      <c r="AU448" s="417" t="str">
        <f>+IF(BD_MO[N° VALE]&lt;&gt;"",BD_MO[[#This Row],[KG EXPLO SEMIGEL]]+BD_MO[[#This Row],[KG EXPLO PULVE]]+BD_MO[[#This Row],[KG EXPLO EMULN 3000]]+BD_MO[[#This Row],[KG EXPLO EMULN 1000]],"")</f>
        <v/>
      </c>
      <c r="AV448" s="413"/>
      <c r="AW448" s="413"/>
      <c r="AX448" s="413" t="str">
        <f>+IF(BD_MO[[#This Row],[MINERAL (U-35)]]&lt;&gt;"",BD_MO[[#This Row],[MINERAL (U-35)]]*1.45,"-")</f>
        <v>-</v>
      </c>
      <c r="AY448" s="413" t="str">
        <f>+IF(BD_MO[[#This Row],[DESMONTE (U-35)]]&lt;&gt;"",BD_MO[[#This Row],[DESMONTE (U-35)]]*1.23,"-")</f>
        <v>-</v>
      </c>
      <c r="AZ448" s="413"/>
      <c r="BA448" s="413"/>
      <c r="BB448" s="413"/>
      <c r="BC448" s="413"/>
      <c r="BD448" s="413"/>
      <c r="BE448" s="413"/>
      <c r="BF448" s="413"/>
      <c r="BG448" s="413"/>
      <c r="BH448" s="413"/>
      <c r="BI448" s="413"/>
      <c r="BJ448" s="413"/>
      <c r="BK448" s="413"/>
      <c r="BL448" s="413"/>
      <c r="BM448" s="413"/>
      <c r="BN448" s="412"/>
      <c r="BO448" s="413"/>
      <c r="BP448" s="413"/>
      <c r="BQ448" s="412"/>
      <c r="BR448" s="413"/>
      <c r="BS448" s="412"/>
      <c r="BT448" s="417"/>
      <c r="BU448" s="413"/>
      <c r="BV448" s="413"/>
      <c r="BW448" s="413"/>
      <c r="BX448" s="413"/>
      <c r="BY448" s="413"/>
      <c r="BZ448" s="413"/>
      <c r="CA448" s="413"/>
      <c r="CB448" s="413"/>
      <c r="CC448" s="413"/>
      <c r="CD448" s="413"/>
      <c r="CE448" s="413"/>
      <c r="CF448" s="413"/>
      <c r="CG448" s="413"/>
      <c r="CH448" s="413"/>
      <c r="CI448" s="413"/>
      <c r="CJ448" s="413"/>
      <c r="CK448" s="413"/>
      <c r="CL448" s="413"/>
      <c r="CM448" s="413"/>
      <c r="CN448" s="413"/>
      <c r="CO448" s="413"/>
      <c r="CP448" s="417">
        <f>+IF(BD_MO[[#This Row],[FECHA]]&lt;&gt;"",BD_MO[[#This Row],[PUNTAL 4"]]+BD_MO[[#This Row],[PUNTAL 5"]]+BD_MO[[#This Row],[PUNTAL 6"]]+BD_MO[[#This Row],[PUNTAL 7"]]+BD_MO[[#This Row],[PUNTAL 8"]],"")</f>
        <v>0</v>
      </c>
      <c r="CQ448" s="413"/>
      <c r="CR448" s="413"/>
      <c r="CS448" s="413"/>
      <c r="CT448" s="413"/>
      <c r="CU448" s="413"/>
      <c r="CV448" s="413"/>
      <c r="CW448" s="413"/>
      <c r="CX448" s="413"/>
      <c r="CY448" s="417"/>
      <c r="CZ448" s="417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48" s="417">
        <f>+IF(BD_MO[[#This Row],[FECHA]]&lt;&gt;"",BD_MO[[#This Row],[DURMIENTE2]]*6.561+BD_MO[[#This Row],[LISTONES]]*4.921+BD_MO[[#This Row],[TABLA 1"x8"x3m]]*6.561+BD_MO[[#This Row],[TABLA 2"x8"x3m]]*13.122,"")</f>
        <v>0</v>
      </c>
      <c r="DB448" s="417">
        <f>+IF(BD_MO[[#This Row],[FECHA]]&lt;&gt;"",BD_MO[[#This Row],[PIE2 MADERA ASERRADA]]*1.95,"")</f>
        <v>0</v>
      </c>
      <c r="DC448" s="417">
        <f>+IF(BD_MO[[#This Row],[FECHA]]&lt;&gt;"",BD_MO[[#This Row],[KG. MADERA REDONDA]]+BD_MO[[#This Row],[KG MADERA ASERRADA]],"")</f>
        <v>0</v>
      </c>
      <c r="DD448" s="42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48" s="413"/>
      <c r="DF448" s="413"/>
      <c r="DG448" s="413"/>
      <c r="DH448" s="413"/>
      <c r="DI448" s="42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48" s="421"/>
      <c r="DK448" s="421"/>
      <c r="DL448" s="42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48" s="42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48" s="42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48" s="422"/>
      <c r="DP448" s="421" t="str">
        <f>+IF(BD_MO[[#This Row],[M o D]]&lt;&gt;"",IF(BD_MO[[#This Row],[M o D]]="M",BD_MO[[#This Row],[ROTURA TMH]]/2.65,BD_MO[[#This Row],[ROTURA TMH]]/2.4),"")</f>
        <v/>
      </c>
      <c r="DQ448" s="421"/>
      <c r="DR448" s="484" t="str">
        <f>IF(BD_MO[[#This Row],[TIPO AVANCE]]="Avance",((BD_MO[[#This Row],[AVANCE (m)]]/BD_MO[[#This Row],[AVANCE TEÓRICO]]))," ")</f>
        <v xml:space="preserve"> </v>
      </c>
      <c r="DS448" s="113"/>
      <c r="DT448" s="113"/>
      <c r="DU448" s="113"/>
      <c r="DV448" s="113"/>
      <c r="DW448" s="113"/>
      <c r="DX448" s="114"/>
      <c r="DY448" s="114"/>
      <c r="DZ448" s="114"/>
    </row>
    <row r="449" spans="1:130" s="136" customFormat="1" ht="18" customHeight="1" x14ac:dyDescent="0.25">
      <c r="A449" s="92">
        <v>44677</v>
      </c>
      <c r="B449" s="40" t="s">
        <v>10647</v>
      </c>
      <c r="C449" s="40" t="s">
        <v>10668</v>
      </c>
      <c r="D449" s="94" t="s">
        <v>11928</v>
      </c>
      <c r="E449" s="383" t="str">
        <f>LEFT(BD_MO[[#This Row],[LABOR]],2)</f>
        <v>Tj</v>
      </c>
      <c r="F449" s="212" t="s">
        <v>10950</v>
      </c>
      <c r="G449" s="212" t="s">
        <v>10648</v>
      </c>
      <c r="H449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49" s="383" t="str">
        <f>IF(BD_MO[FECHA]&lt;&gt;"",VLOOKUP(BD_MO[LABOR],TB_CECO[[LABOR]:[CECO_T]],3,FALSE),"")</f>
        <v>ESCONDIDA</v>
      </c>
      <c r="J449" s="383" t="str">
        <f>IF(BD_MO[FECHA]&lt;&gt;"",VLOOKUP(BD_MO[LABOR],D_CECO!B:H,7,FALSE),"")</f>
        <v>TAJO</v>
      </c>
      <c r="K449" s="383" t="str">
        <f>IF(BD_MO[FECHA]&lt;&gt;"",VLOOKUP(BD_MO[LABOR],D_CECO!B:H,4,FALSE),"")</f>
        <v>EXPLOTACION</v>
      </c>
      <c r="L449" s="383"/>
      <c r="M449" s="40" t="s">
        <v>10661</v>
      </c>
      <c r="N449" s="212"/>
      <c r="O449" s="93" t="s">
        <v>12101</v>
      </c>
      <c r="P449" s="93" t="s">
        <v>12305</v>
      </c>
      <c r="Q449" s="93"/>
      <c r="R449" s="384"/>
      <c r="S449" s="385" t="str">
        <f>IFERROR(VLOOKUP(BD_MO[DNI 4],#REF!,2,FALSE)," ")</f>
        <v xml:space="preserve"> </v>
      </c>
      <c r="T449" s="386">
        <f>+IF(BD_MO[[#This Row],[FECHA]]&lt;&gt;"",COUNTA(BD_MO[[#This Row],[DNI]],BD_MO[[#This Row],[DNI 2]],BD_MO[[#This Row],[DNI 3]],BD_MO[[#This Row],[DNI 4]]),"")</f>
        <v>2</v>
      </c>
      <c r="U449" s="386">
        <v>0.9</v>
      </c>
      <c r="V449" s="386">
        <v>0.3</v>
      </c>
      <c r="W449" s="386">
        <v>0.6</v>
      </c>
      <c r="X449" s="386">
        <v>0.2</v>
      </c>
      <c r="Y449" s="86">
        <f>SUM(BD_MO[[#This Row],[LIMP]:[SERV]])</f>
        <v>1.9999999999999998</v>
      </c>
      <c r="Z449" s="212" t="s">
        <v>12397</v>
      </c>
      <c r="AA449" s="212">
        <f>+IF(BD_MO[[#This Row],[N° VALE]]&lt;&gt;"",1,"")</f>
        <v>1</v>
      </c>
      <c r="AB449" s="40" t="s">
        <v>10659</v>
      </c>
      <c r="AC449" s="212">
        <v>4</v>
      </c>
      <c r="AD449" s="212">
        <f>+IF(BD_MO[[#This Row],[N° VALE]]&lt;&gt;"",BD_MO[[#This Row],[FULMINANTE N° 08]]+BD_MO[CARMEX 7''],"")</f>
        <v>2</v>
      </c>
      <c r="AE449" s="212"/>
      <c r="AF449" s="212">
        <f>+IF(BD_MO[[#This Row],[N° VALE]]&lt;&gt;"",BD_MO[[#This Row],[N° TALADROS]]+BD_MO[[#This Row],[N° TAL. VACIOS]],"")</f>
        <v>2</v>
      </c>
      <c r="AG449" s="387"/>
      <c r="AH449" s="387">
        <v>13</v>
      </c>
      <c r="AI449" s="387"/>
      <c r="AJ449" s="387"/>
      <c r="AK449" s="387">
        <v>2</v>
      </c>
      <c r="AL449" s="387">
        <v>2</v>
      </c>
      <c r="AM449" s="383"/>
      <c r="AN449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49" s="212">
        <f>+IF(BD_MO[[#This Row],[N° VALE]]&lt;&gt;"",IF(BD_MO[[#This Row],[FULMINANTE N° 08]]&lt;&gt;"",BD_MO[[#This Row],[FULMINANTE N° 08]],IF(BD_MO[[#This Row],[CARMEX 7'']]&lt;&gt;0,0,"")),"")</f>
        <v>0</v>
      </c>
      <c r="AP449" s="386">
        <f>+IF(BD_MO[[#This Row],[N° VALE]]&lt;&gt;"",BD_MO[[#This Row],[N°  TOTAL TALADROS]]*BD_MO[[#This Row],[BARRA]]*0.95,"")</f>
        <v>7.6</v>
      </c>
      <c r="AQ449" s="386">
        <f>+IF(BD_MO[[#This Row],[N° VALE]]&lt;&gt;"",BD_MO[[#This Row],[EMULNOR 1000 (N° CART.)]]*PE_EMUL_1000[PE],"")</f>
        <v>1.2311000000000001</v>
      </c>
      <c r="AR449" s="386">
        <f>+IF(BD_MO[[#This Row],[N° VALE]]&lt;&gt;"",BD_MO[[#This Row],[EMULNOR 3000 (N° CART.)]]*PE_EMUL_3000[PE],"")</f>
        <v>0</v>
      </c>
      <c r="AS449" s="386">
        <f>+IF(BD_MO[[#This Row],[N° VALE]]&lt;&gt;"",BD_MO[[#This Row],[PULVERULENTA (N° CART.)]]*PE_PULV_65[PE],"")</f>
        <v>0</v>
      </c>
      <c r="AT449" s="386">
        <f>+IF(BD_MO[[#This Row],[N° DISP]]&lt;&gt;"",BD_MO[[#This Row],[SEMIGELATINA (N° CART.)]]*PE_SEMIGEL_65[PE],"")</f>
        <v>0</v>
      </c>
      <c r="AU449" s="386">
        <f>+IF(BD_MO[N° VALE]&lt;&gt;"",BD_MO[[#This Row],[KG EXPLO SEMIGEL]]+BD_MO[[#This Row],[KG EXPLO PULVE]]+BD_MO[[#This Row],[KG EXPLO EMULN 3000]]+BD_MO[[#This Row],[KG EXPLO EMULN 1000]],"")</f>
        <v>1.2311000000000001</v>
      </c>
      <c r="AV449" s="212"/>
      <c r="AW449" s="212"/>
      <c r="AX449" s="212" t="str">
        <f>+IF(BD_MO[[#This Row],[MINERAL (U-35)]]&lt;&gt;"",BD_MO[[#This Row],[MINERAL (U-35)]]*1.45,"-")</f>
        <v>-</v>
      </c>
      <c r="AY449" s="212" t="str">
        <f>+IF(BD_MO[[#This Row],[DESMONTE (U-35)]]&lt;&gt;"",BD_MO[[#This Row],[DESMONTE (U-35)]]*1.23,"-")</f>
        <v>-</v>
      </c>
      <c r="AZ449" s="212"/>
      <c r="BA449" s="212"/>
      <c r="BB449" s="212"/>
      <c r="BC449" s="212"/>
      <c r="BD449" s="212"/>
      <c r="BE449" s="212"/>
      <c r="BF449" s="212"/>
      <c r="BG449" s="212"/>
      <c r="BH449" s="212"/>
      <c r="BI449" s="212">
        <v>1</v>
      </c>
      <c r="BJ449" s="212"/>
      <c r="BK449" s="212"/>
      <c r="BL449" s="212"/>
      <c r="BM449" s="212"/>
      <c r="BN449" s="383"/>
      <c r="BO449" s="212">
        <v>1</v>
      </c>
      <c r="BP449" s="212"/>
      <c r="BQ449" s="383"/>
      <c r="BR449" s="212"/>
      <c r="BS449" s="383"/>
      <c r="BT449" s="386"/>
      <c r="BU449" s="212"/>
      <c r="BV449" s="212"/>
      <c r="BW449" s="212"/>
      <c r="BX449" s="212"/>
      <c r="BY449" s="212"/>
      <c r="BZ449" s="212"/>
      <c r="CA449" s="212"/>
      <c r="CB449" s="212"/>
      <c r="CC449" s="212"/>
      <c r="CD449" s="212"/>
      <c r="CE449" s="212"/>
      <c r="CF449" s="212"/>
      <c r="CG449" s="212"/>
      <c r="CH449" s="212"/>
      <c r="CI449" s="212"/>
      <c r="CJ449" s="212"/>
      <c r="CK449" s="212"/>
      <c r="CL449" s="212"/>
      <c r="CM449" s="212"/>
      <c r="CN449" s="212"/>
      <c r="CO449" s="212">
        <v>2</v>
      </c>
      <c r="CP449" s="386">
        <f>+IF(BD_MO[[#This Row],[FECHA]]&lt;&gt;"",BD_MO[[#This Row],[PUNTAL 4"]]+BD_MO[[#This Row],[PUNTAL 5"]]+BD_MO[[#This Row],[PUNTAL 6"]]+BD_MO[[#This Row],[PUNTAL 7"]]+BD_MO[[#This Row],[PUNTAL 8"]],"")</f>
        <v>2</v>
      </c>
      <c r="CQ449" s="212"/>
      <c r="CR449" s="212"/>
      <c r="CS449" s="212"/>
      <c r="CT449" s="212"/>
      <c r="CU449" s="212"/>
      <c r="CV449" s="212"/>
      <c r="CW449" s="212"/>
      <c r="CX449" s="212"/>
      <c r="CY449" s="386"/>
      <c r="CZ449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159.55199999999999</v>
      </c>
      <c r="DA449" s="386">
        <f>+IF(BD_MO[[#This Row],[FECHA]]&lt;&gt;"",BD_MO[[#This Row],[DURMIENTE2]]*6.561+BD_MO[[#This Row],[LISTONES]]*4.921+BD_MO[[#This Row],[TABLA 1"x8"x3m]]*6.561+BD_MO[[#This Row],[TABLA 2"x8"x3m]]*13.122,"")</f>
        <v>0</v>
      </c>
      <c r="DB449" s="386">
        <f>+IF(BD_MO[[#This Row],[FECHA]]&lt;&gt;"",BD_MO[[#This Row],[PIE2 MADERA ASERRADA]]*1.95,"")</f>
        <v>0</v>
      </c>
      <c r="DC449" s="386">
        <f>+IF(BD_MO[[#This Row],[FECHA]]&lt;&gt;"",BD_MO[[#This Row],[KG. MADERA REDONDA]]+BD_MO[[#This Row],[KG MADERA ASERRADA]],"")</f>
        <v>159.55199999999999</v>
      </c>
      <c r="DD449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35.6</v>
      </c>
      <c r="DE449" s="212"/>
      <c r="DF449" s="212"/>
      <c r="DG449" s="212"/>
      <c r="DH449" s="212"/>
      <c r="DI449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49" s="228"/>
      <c r="DK449" s="228"/>
      <c r="DL449" s="228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0.47</v>
      </c>
      <c r="DM449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0.48880000000000001</v>
      </c>
      <c r="DN449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49" s="408">
        <v>1.4510000000000001</v>
      </c>
      <c r="DP449" s="228">
        <f>+IF(BD_MO[[#This Row],[M o D]]&lt;&gt;"",IF(BD_MO[[#This Row],[M o D]]="M",BD_MO[[#This Row],[ROTURA TMH]]/2.65,BD_MO[[#This Row],[ROTURA TMH]]/2.4),"")</f>
        <v>0.54754716981132079</v>
      </c>
      <c r="DQ449" s="228"/>
      <c r="DR449" s="116" t="str">
        <f>IF(BD_MO[[#This Row],[TIPO AVANCE]]="Avance",((BD_MO[[#This Row],[AVANCE (m)]]/BD_MO[[#This Row],[AVANCE TEÓRICO]]))," ")</f>
        <v xml:space="preserve"> </v>
      </c>
      <c r="DS449" s="134"/>
      <c r="DT449" s="134"/>
      <c r="DU449" s="134"/>
      <c r="DV449" s="134"/>
      <c r="DW449" s="134"/>
      <c r="DX449" s="135"/>
      <c r="DY449" s="135"/>
      <c r="DZ449" s="135"/>
    </row>
    <row r="450" spans="1:130" s="136" customFormat="1" ht="18" customHeight="1" x14ac:dyDescent="0.25">
      <c r="A450" s="92">
        <v>44677</v>
      </c>
      <c r="B450" s="40" t="s">
        <v>10647</v>
      </c>
      <c r="C450" s="40" t="s">
        <v>10668</v>
      </c>
      <c r="D450" s="397" t="s">
        <v>12465</v>
      </c>
      <c r="E450" s="383" t="str">
        <f>LEFT(BD_MO[[#This Row],[LABOR]],2)</f>
        <v>Sn</v>
      </c>
      <c r="F450" s="212" t="s">
        <v>10950</v>
      </c>
      <c r="G450" s="212" t="s">
        <v>10648</v>
      </c>
      <c r="H450" s="38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50" s="387" t="str">
        <f>IF(BD_MO[FECHA]&lt;&gt;"",VLOOKUP(BD_MO[LABOR],TB_CECO[[LABOR]:[CECO_T]],3,FALSE),"")</f>
        <v>VANESSA</v>
      </c>
      <c r="J450" s="387" t="str">
        <f>IF(BD_MO[FECHA]&lt;&gt;"",VLOOKUP(BD_MO[LABOR],D_CECO!B:H,7,FALSE),"")</f>
        <v>LINEAL</v>
      </c>
      <c r="K450" s="387" t="str">
        <f>IF(BD_MO[FECHA]&lt;&gt;"",VLOOKUP(BD_MO[LABOR],D_CECO!B:H,4,FALSE),"")</f>
        <v>EXPLORACION</v>
      </c>
      <c r="L450" s="383"/>
      <c r="M450" s="40" t="s">
        <v>10646</v>
      </c>
      <c r="N450" s="212"/>
      <c r="O450" s="93" t="s">
        <v>12091</v>
      </c>
      <c r="P450" s="93" t="s">
        <v>12159</v>
      </c>
      <c r="Q450" s="93" t="s">
        <v>12395</v>
      </c>
      <c r="R450" s="384"/>
      <c r="S450" s="385" t="str">
        <f>IFERROR(VLOOKUP(BD_MO[DNI 4],#REF!,2,FALSE)," ")</f>
        <v xml:space="preserve"> </v>
      </c>
      <c r="T450" s="386">
        <v>1.5</v>
      </c>
      <c r="U450" s="386">
        <v>0.7</v>
      </c>
      <c r="V450" s="386">
        <v>0.6</v>
      </c>
      <c r="W450" s="386"/>
      <c r="X450" s="386">
        <v>0.2</v>
      </c>
      <c r="Y450" s="86">
        <f>SUM(BD_MO[[#This Row],[LIMP]:[SERV]])</f>
        <v>1.4999999999999998</v>
      </c>
      <c r="Z450" s="212" t="s">
        <v>12398</v>
      </c>
      <c r="AA450" s="212">
        <f>+IF(BD_MO[[#This Row],[N° VALE]]&lt;&gt;"",1,"")</f>
        <v>1</v>
      </c>
      <c r="AB450" s="40" t="s">
        <v>10709</v>
      </c>
      <c r="AC450" s="212">
        <v>4</v>
      </c>
      <c r="AD450" s="212">
        <f>+IF(BD_MO[[#This Row],[N° VALE]]&lt;&gt;"",BD_MO[[#This Row],[FULMINANTE N° 08]]+BD_MO[CARMEX 7''],"")</f>
        <v>18</v>
      </c>
      <c r="AE450" s="212">
        <v>3</v>
      </c>
      <c r="AF450" s="212">
        <f>+IF(BD_MO[[#This Row],[N° VALE]]&lt;&gt;"",BD_MO[[#This Row],[N° TALADROS]]+BD_MO[[#This Row],[N° TAL. VACIOS]],"")</f>
        <v>21</v>
      </c>
      <c r="AG450" s="387">
        <v>36</v>
      </c>
      <c r="AH450" s="387">
        <v>46</v>
      </c>
      <c r="AI450" s="387"/>
      <c r="AJ450" s="387"/>
      <c r="AK450" s="387">
        <v>18</v>
      </c>
      <c r="AL450" s="387">
        <v>4</v>
      </c>
      <c r="AM450" s="383"/>
      <c r="AN450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50" s="212">
        <f>+IF(BD_MO[[#This Row],[N° VALE]]&lt;&gt;"",IF(BD_MO[[#This Row],[FULMINANTE N° 08]]&lt;&gt;"",BD_MO[[#This Row],[FULMINANTE N° 08]],IF(BD_MO[[#This Row],[CARMEX 7'']]&lt;&gt;0,0,"")),"")</f>
        <v>0</v>
      </c>
      <c r="AP450" s="386">
        <f>+IF(BD_MO[[#This Row],[N° VALE]]&lt;&gt;"",BD_MO[[#This Row],[N°  TOTAL TALADROS]]*BD_MO[[#This Row],[BARRA]]*0.95,"")</f>
        <v>79.8</v>
      </c>
      <c r="AQ450" s="386">
        <f>+IF(BD_MO[[#This Row],[N° VALE]]&lt;&gt;"",BD_MO[[#This Row],[EMULNOR 1000 (N° CART.)]]*PE_EMUL_1000[PE],"")</f>
        <v>4.3562000000000003</v>
      </c>
      <c r="AR450" s="386">
        <f>+IF(BD_MO[[#This Row],[N° VALE]]&lt;&gt;"",BD_MO[[#This Row],[EMULNOR 3000 (N° CART.)]]*PE_EMUL_3000[PE],"")</f>
        <v>3.4615384615384635</v>
      </c>
      <c r="AS450" s="386">
        <f>+IF(BD_MO[[#This Row],[N° VALE]]&lt;&gt;"",BD_MO[[#This Row],[PULVERULENTA (N° CART.)]]*PE_PULV_65[PE],"")</f>
        <v>0</v>
      </c>
      <c r="AT450" s="386">
        <f>+IF(BD_MO[[#This Row],[N° DISP]]&lt;&gt;"",BD_MO[[#This Row],[SEMIGELATINA (N° CART.)]]*PE_SEMIGEL_65[PE],"")</f>
        <v>0</v>
      </c>
      <c r="AU450" s="386">
        <f>+IF(BD_MO[N° VALE]&lt;&gt;"",BD_MO[[#This Row],[KG EXPLO SEMIGEL]]+BD_MO[[#This Row],[KG EXPLO PULVE]]+BD_MO[[#This Row],[KG EXPLO EMULN 3000]]+BD_MO[[#This Row],[KG EXPLO EMULN 1000]],"")</f>
        <v>7.8177384615384637</v>
      </c>
      <c r="AV450" s="212"/>
      <c r="AW450" s="212"/>
      <c r="AX450" s="212" t="str">
        <f>+IF(BD_MO[[#This Row],[MINERAL (U-35)]]&lt;&gt;"",BD_MO[[#This Row],[MINERAL (U-35)]]*1.45,"-")</f>
        <v>-</v>
      </c>
      <c r="AY450" s="212" t="str">
        <f>+IF(BD_MO[[#This Row],[DESMONTE (U-35)]]&lt;&gt;"",BD_MO[[#This Row],[DESMONTE (U-35)]]*1.23,"-")</f>
        <v>-</v>
      </c>
      <c r="AZ450" s="212"/>
      <c r="BA450" s="212"/>
      <c r="BB450" s="212"/>
      <c r="BC450" s="212"/>
      <c r="BD450" s="212"/>
      <c r="BE450" s="212"/>
      <c r="BF450" s="212"/>
      <c r="BG450" s="212"/>
      <c r="BH450" s="212"/>
      <c r="BI450" s="212"/>
      <c r="BJ450" s="212"/>
      <c r="BK450" s="212"/>
      <c r="BL450" s="212"/>
      <c r="BM450" s="212"/>
      <c r="BN450" s="383"/>
      <c r="BO450" s="212"/>
      <c r="BP450" s="212"/>
      <c r="BQ450" s="383"/>
      <c r="BR450" s="212"/>
      <c r="BS450" s="383"/>
      <c r="BT450" s="386"/>
      <c r="BU450" s="212"/>
      <c r="BV450" s="212"/>
      <c r="BW450" s="212"/>
      <c r="BX450" s="212"/>
      <c r="BY450" s="212"/>
      <c r="BZ450" s="212"/>
      <c r="CA450" s="212"/>
      <c r="CB450" s="212"/>
      <c r="CC450" s="212"/>
      <c r="CD450" s="212"/>
      <c r="CE450" s="212"/>
      <c r="CF450" s="212"/>
      <c r="CG450" s="212"/>
      <c r="CH450" s="212"/>
      <c r="CI450" s="212"/>
      <c r="CJ450" s="212"/>
      <c r="CK450" s="212"/>
      <c r="CL450" s="212"/>
      <c r="CM450" s="212"/>
      <c r="CN450" s="212"/>
      <c r="CO450" s="212"/>
      <c r="CP450" s="386">
        <f>+IF(BD_MO[[#This Row],[FECHA]]&lt;&gt;"",BD_MO[[#This Row],[PUNTAL 4"]]+BD_MO[[#This Row],[PUNTAL 5"]]+BD_MO[[#This Row],[PUNTAL 6"]]+BD_MO[[#This Row],[PUNTAL 7"]]+BD_MO[[#This Row],[PUNTAL 8"]],"")</f>
        <v>0</v>
      </c>
      <c r="CQ450" s="212"/>
      <c r="CR450" s="212"/>
      <c r="CS450" s="212"/>
      <c r="CT450" s="212"/>
      <c r="CU450" s="212"/>
      <c r="CV450" s="212"/>
      <c r="CW450" s="212"/>
      <c r="CX450" s="212"/>
      <c r="CY450" s="386"/>
      <c r="CZ450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50" s="386">
        <f>+IF(BD_MO[[#This Row],[FECHA]]&lt;&gt;"",BD_MO[[#This Row],[DURMIENTE2]]*6.561+BD_MO[[#This Row],[LISTONES]]*4.921+BD_MO[[#This Row],[TABLA 1"x8"x3m]]*6.561+BD_MO[[#This Row],[TABLA 2"x8"x3m]]*13.122,"")</f>
        <v>0</v>
      </c>
      <c r="DB450" s="386">
        <f>+IF(BD_MO[[#This Row],[FECHA]]&lt;&gt;"",BD_MO[[#This Row],[PIE2 MADERA ASERRADA]]*1.95,"")</f>
        <v>0</v>
      </c>
      <c r="DC450" s="386">
        <f>+IF(BD_MO[[#This Row],[FECHA]]&lt;&gt;"",BD_MO[[#This Row],[KG. MADERA REDONDA]]+BD_MO[[#This Row],[KG MADERA ASERRADA]],"")</f>
        <v>0</v>
      </c>
      <c r="DD450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50" s="212"/>
      <c r="DF450" s="212"/>
      <c r="DG450" s="212"/>
      <c r="DH450" s="212"/>
      <c r="DI450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50" s="228"/>
      <c r="DK450" s="228"/>
      <c r="DL450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50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50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50" s="367">
        <v>4.6151999999999997</v>
      </c>
      <c r="DP450" s="228">
        <f>+IF(BD_MO[[#This Row],[M o D]]&lt;&gt;"",IF(BD_MO[[#This Row],[M o D]]="M",BD_MO[[#This Row],[ROTURA TMH]]/2.65,BD_MO[[#This Row],[ROTURA TMH]]/2.4),"")</f>
        <v>1.7415849056603774</v>
      </c>
      <c r="DQ450" s="228">
        <v>1.02</v>
      </c>
      <c r="DR450" s="116">
        <f>IF(BD_MO[[#This Row],[TIPO AVANCE]]="Avance",((BD_MO[[#This Row],[AVANCE (m)]]/BD_MO[[#This Row],[AVANCE TEÓRICO]]))," ")</f>
        <v>0.94444444444444442</v>
      </c>
      <c r="DS450" s="134"/>
      <c r="DT450" s="134"/>
      <c r="DU450" s="134"/>
      <c r="DV450" s="134"/>
      <c r="DW450" s="134"/>
      <c r="DX450" s="135"/>
      <c r="DY450" s="135"/>
      <c r="DZ450" s="135"/>
    </row>
    <row r="451" spans="1:130" s="136" customFormat="1" ht="18" customHeight="1" x14ac:dyDescent="0.25">
      <c r="A451" s="92">
        <v>44677</v>
      </c>
      <c r="B451" s="40" t="s">
        <v>10647</v>
      </c>
      <c r="C451" s="40" t="s">
        <v>10668</v>
      </c>
      <c r="D451" s="397" t="s">
        <v>12465</v>
      </c>
      <c r="E451" s="383" t="str">
        <f>LEFT(BD_MO[[#This Row],[LABOR]],2)</f>
        <v>Sn</v>
      </c>
      <c r="F451" s="212" t="s">
        <v>10950</v>
      </c>
      <c r="G451" s="212" t="s">
        <v>10648</v>
      </c>
      <c r="H451" s="38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51" s="387" t="str">
        <f>IF(BD_MO[FECHA]&lt;&gt;"",VLOOKUP(BD_MO[LABOR],TB_CECO[[LABOR]:[CECO_T]],3,FALSE),"")</f>
        <v>VANESSA</v>
      </c>
      <c r="J451" s="387" t="str">
        <f>IF(BD_MO[FECHA]&lt;&gt;"",VLOOKUP(BD_MO[LABOR],D_CECO!B:H,7,FALSE),"")</f>
        <v>LINEAL</v>
      </c>
      <c r="K451" s="387" t="str">
        <f>IF(BD_MO[FECHA]&lt;&gt;"",VLOOKUP(BD_MO[LABOR],D_CECO!B:H,4,FALSE),"")</f>
        <v>EXPLORACION</v>
      </c>
      <c r="L451" s="383"/>
      <c r="M451" s="40" t="s">
        <v>10646</v>
      </c>
      <c r="N451" s="212"/>
      <c r="O451" s="93" t="s">
        <v>12091</v>
      </c>
      <c r="P451" s="93" t="s">
        <v>12159</v>
      </c>
      <c r="Q451" s="93" t="s">
        <v>12395</v>
      </c>
      <c r="R451" s="384"/>
      <c r="S451" s="385" t="str">
        <f>IFERROR(VLOOKUP(BD_MO[DNI 4],#REF!,2,FALSE)," ")</f>
        <v xml:space="preserve"> </v>
      </c>
      <c r="T451" s="386">
        <v>1.5</v>
      </c>
      <c r="U451" s="386">
        <v>0.7</v>
      </c>
      <c r="V451" s="386">
        <v>0.6</v>
      </c>
      <c r="W451" s="386"/>
      <c r="X451" s="386">
        <v>0.2</v>
      </c>
      <c r="Y451" s="86">
        <f>SUM(BD_MO[[#This Row],[LIMP]:[SERV]])</f>
        <v>1.4999999999999998</v>
      </c>
      <c r="Z451" s="212" t="s">
        <v>12399</v>
      </c>
      <c r="AA451" s="212">
        <f>+IF(BD_MO[[#This Row],[N° VALE]]&lt;&gt;"",1,"")</f>
        <v>1</v>
      </c>
      <c r="AB451" s="40" t="s">
        <v>10709</v>
      </c>
      <c r="AC451" s="212">
        <v>4</v>
      </c>
      <c r="AD451" s="212">
        <f>+IF(BD_MO[[#This Row],[N° VALE]]&lt;&gt;"",BD_MO[[#This Row],[FULMINANTE N° 08]]+BD_MO[CARMEX 7''],"")</f>
        <v>18</v>
      </c>
      <c r="AE451" s="212">
        <v>3</v>
      </c>
      <c r="AF451" s="212">
        <f>+IF(BD_MO[[#This Row],[N° VALE]]&lt;&gt;"",BD_MO[[#This Row],[N° TALADROS]]+BD_MO[[#This Row],[N° TAL. VACIOS]],"")</f>
        <v>21</v>
      </c>
      <c r="AG451" s="387">
        <v>36</v>
      </c>
      <c r="AH451" s="387">
        <v>46</v>
      </c>
      <c r="AI451" s="387"/>
      <c r="AJ451" s="387"/>
      <c r="AK451" s="387">
        <v>18</v>
      </c>
      <c r="AL451" s="387">
        <v>4</v>
      </c>
      <c r="AM451" s="383"/>
      <c r="AN451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51" s="212">
        <f>+IF(BD_MO[[#This Row],[N° VALE]]&lt;&gt;"",IF(BD_MO[[#This Row],[FULMINANTE N° 08]]&lt;&gt;"",BD_MO[[#This Row],[FULMINANTE N° 08]],IF(BD_MO[[#This Row],[CARMEX 7'']]&lt;&gt;0,0,"")),"")</f>
        <v>0</v>
      </c>
      <c r="AP451" s="386">
        <f>+IF(BD_MO[[#This Row],[N° VALE]]&lt;&gt;"",BD_MO[[#This Row],[N°  TOTAL TALADROS]]*BD_MO[[#This Row],[BARRA]]*0.95,"")</f>
        <v>79.8</v>
      </c>
      <c r="AQ451" s="386">
        <f>+IF(BD_MO[[#This Row],[N° VALE]]&lt;&gt;"",BD_MO[[#This Row],[EMULNOR 1000 (N° CART.)]]*PE_EMUL_1000[PE],"")</f>
        <v>4.3562000000000003</v>
      </c>
      <c r="AR451" s="386">
        <f>+IF(BD_MO[[#This Row],[N° VALE]]&lt;&gt;"",BD_MO[[#This Row],[EMULNOR 3000 (N° CART.)]]*PE_EMUL_3000[PE],"")</f>
        <v>3.4615384615384635</v>
      </c>
      <c r="AS451" s="386">
        <f>+IF(BD_MO[[#This Row],[N° VALE]]&lt;&gt;"",BD_MO[[#This Row],[PULVERULENTA (N° CART.)]]*PE_PULV_65[PE],"")</f>
        <v>0</v>
      </c>
      <c r="AT451" s="386">
        <f>+IF(BD_MO[[#This Row],[N° DISP]]&lt;&gt;"",BD_MO[[#This Row],[SEMIGELATINA (N° CART.)]]*PE_SEMIGEL_65[PE],"")</f>
        <v>0</v>
      </c>
      <c r="AU451" s="386">
        <f>+IF(BD_MO[N° VALE]&lt;&gt;"",BD_MO[[#This Row],[KG EXPLO SEMIGEL]]+BD_MO[[#This Row],[KG EXPLO PULVE]]+BD_MO[[#This Row],[KG EXPLO EMULN 3000]]+BD_MO[[#This Row],[KG EXPLO EMULN 1000]],"")</f>
        <v>7.8177384615384637</v>
      </c>
      <c r="AV451" s="212"/>
      <c r="AW451" s="212"/>
      <c r="AX451" s="212" t="str">
        <f>+IF(BD_MO[[#This Row],[MINERAL (U-35)]]&lt;&gt;"",BD_MO[[#This Row],[MINERAL (U-35)]]*1.45,"-")</f>
        <v>-</v>
      </c>
      <c r="AY451" s="212" t="str">
        <f>+IF(BD_MO[[#This Row],[DESMONTE (U-35)]]&lt;&gt;"",BD_MO[[#This Row],[DESMONTE (U-35)]]*1.23,"-")</f>
        <v>-</v>
      </c>
      <c r="AZ451" s="212"/>
      <c r="BA451" s="212"/>
      <c r="BB451" s="212"/>
      <c r="BC451" s="212"/>
      <c r="BD451" s="212"/>
      <c r="BE451" s="212"/>
      <c r="BF451" s="212"/>
      <c r="BG451" s="212"/>
      <c r="BH451" s="212"/>
      <c r="BI451" s="212"/>
      <c r="BJ451" s="212"/>
      <c r="BK451" s="212"/>
      <c r="BL451" s="212"/>
      <c r="BM451" s="212"/>
      <c r="BN451" s="383"/>
      <c r="BO451" s="212"/>
      <c r="BP451" s="212"/>
      <c r="BQ451" s="383"/>
      <c r="BR451" s="212"/>
      <c r="BS451" s="383"/>
      <c r="BT451" s="386"/>
      <c r="BU451" s="212"/>
      <c r="BV451" s="212"/>
      <c r="BW451" s="212"/>
      <c r="BX451" s="212"/>
      <c r="BY451" s="212"/>
      <c r="BZ451" s="212"/>
      <c r="CA451" s="212"/>
      <c r="CB451" s="212"/>
      <c r="CC451" s="212"/>
      <c r="CD451" s="212"/>
      <c r="CE451" s="212"/>
      <c r="CF451" s="212"/>
      <c r="CG451" s="212"/>
      <c r="CH451" s="212"/>
      <c r="CI451" s="212"/>
      <c r="CJ451" s="212"/>
      <c r="CK451" s="212"/>
      <c r="CL451" s="212"/>
      <c r="CM451" s="212"/>
      <c r="CN451" s="212"/>
      <c r="CO451" s="212"/>
      <c r="CP451" s="386">
        <f>+IF(BD_MO[[#This Row],[FECHA]]&lt;&gt;"",BD_MO[[#This Row],[PUNTAL 4"]]+BD_MO[[#This Row],[PUNTAL 5"]]+BD_MO[[#This Row],[PUNTAL 6"]]+BD_MO[[#This Row],[PUNTAL 7"]]+BD_MO[[#This Row],[PUNTAL 8"]],"")</f>
        <v>0</v>
      </c>
      <c r="CQ451" s="212"/>
      <c r="CR451" s="212"/>
      <c r="CS451" s="212"/>
      <c r="CT451" s="212"/>
      <c r="CU451" s="212"/>
      <c r="CV451" s="212"/>
      <c r="CW451" s="212"/>
      <c r="CX451" s="212"/>
      <c r="CY451" s="386"/>
      <c r="CZ451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51" s="386">
        <f>+IF(BD_MO[[#This Row],[FECHA]]&lt;&gt;"",BD_MO[[#This Row],[DURMIENTE2]]*6.561+BD_MO[[#This Row],[LISTONES]]*4.921+BD_MO[[#This Row],[TABLA 1"x8"x3m]]*6.561+BD_MO[[#This Row],[TABLA 2"x8"x3m]]*13.122,"")</f>
        <v>0</v>
      </c>
      <c r="DB451" s="386">
        <f>+IF(BD_MO[[#This Row],[FECHA]]&lt;&gt;"",BD_MO[[#This Row],[PIE2 MADERA ASERRADA]]*1.95,"")</f>
        <v>0</v>
      </c>
      <c r="DC451" s="386">
        <f>+IF(BD_MO[[#This Row],[FECHA]]&lt;&gt;"",BD_MO[[#This Row],[KG. MADERA REDONDA]]+BD_MO[[#This Row],[KG MADERA ASERRADA]],"")</f>
        <v>0</v>
      </c>
      <c r="DD451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51" s="212"/>
      <c r="DF451" s="212"/>
      <c r="DG451" s="212"/>
      <c r="DH451" s="212"/>
      <c r="DI451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51" s="228"/>
      <c r="DK451" s="228"/>
      <c r="DL451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51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51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51" s="408">
        <v>4.6151999999999997</v>
      </c>
      <c r="DP451" s="228">
        <f>+IF(BD_MO[[#This Row],[M o D]]&lt;&gt;"",IF(BD_MO[[#This Row],[M o D]]="M",BD_MO[[#This Row],[ROTURA TMH]]/2.65,BD_MO[[#This Row],[ROTURA TMH]]/2.4),"")</f>
        <v>1.7415849056603774</v>
      </c>
      <c r="DQ451" s="228">
        <v>1.04</v>
      </c>
      <c r="DR451" s="116">
        <f>IF(BD_MO[[#This Row],[TIPO AVANCE]]="Avance",((BD_MO[[#This Row],[AVANCE (m)]]/BD_MO[[#This Row],[AVANCE TEÓRICO]]))," ")</f>
        <v>0.96296296296296291</v>
      </c>
      <c r="DS451" s="134"/>
      <c r="DT451" s="134"/>
      <c r="DU451" s="134"/>
      <c r="DV451" s="134"/>
      <c r="DW451" s="134"/>
      <c r="DX451" s="135"/>
      <c r="DY451" s="135"/>
      <c r="DZ451" s="135"/>
    </row>
    <row r="452" spans="1:130" s="136" customFormat="1" ht="18" customHeight="1" x14ac:dyDescent="0.25">
      <c r="A452" s="92">
        <v>44677</v>
      </c>
      <c r="B452" s="40" t="s">
        <v>10647</v>
      </c>
      <c r="C452" s="40" t="s">
        <v>10668</v>
      </c>
      <c r="D452" s="94" t="s">
        <v>11806</v>
      </c>
      <c r="E452" s="383" t="str">
        <f>LEFT(BD_MO[[#This Row],[LABOR]],2)</f>
        <v>CX</v>
      </c>
      <c r="F452" s="212"/>
      <c r="G452" s="212" t="s">
        <v>10662</v>
      </c>
      <c r="H452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452" s="383" t="str">
        <f>IF(BD_MO[FECHA]&lt;&gt;"",VLOOKUP(BD_MO[LABOR],TB_CECO[[LABOR]:[CECO_T]],3,FALSE),"")</f>
        <v>CACHORRO</v>
      </c>
      <c r="J452" s="383" t="str">
        <f>IF(BD_MO[FECHA]&lt;&gt;"",VLOOKUP(BD_MO[LABOR],D_CECO!B:H,7,FALSE),"")</f>
        <v>LINEAL</v>
      </c>
      <c r="K452" s="383" t="str">
        <f>IF(BD_MO[FECHA]&lt;&gt;"",VLOOKUP(BD_MO[LABOR],D_CECO!B:H,4,FALSE),"")</f>
        <v>EXPLORACION</v>
      </c>
      <c r="L452" s="383"/>
      <c r="M452" s="40"/>
      <c r="N452" s="212"/>
      <c r="O452" s="93" t="s">
        <v>12095</v>
      </c>
      <c r="P452" s="93" t="s">
        <v>12088</v>
      </c>
      <c r="Q452" s="93"/>
      <c r="R452" s="384"/>
      <c r="S452" s="385" t="str">
        <f>IFERROR(VLOOKUP(BD_MO[DNI 4],#REF!,2,FALSE)," ")</f>
        <v xml:space="preserve"> </v>
      </c>
      <c r="T452" s="386">
        <f>+IF(BD_MO[[#This Row],[FECHA]]&lt;&gt;"",COUNTA(BD_MO[[#This Row],[DNI]],BD_MO[[#This Row],[DNI 2]],BD_MO[[#This Row],[DNI 3]],BD_MO[[#This Row],[DNI 4]]),"")</f>
        <v>2</v>
      </c>
      <c r="U452" s="386"/>
      <c r="V452" s="386"/>
      <c r="W452" s="386">
        <v>1.2</v>
      </c>
      <c r="X452" s="386">
        <v>0.8</v>
      </c>
      <c r="Y452" s="86">
        <f>SUM(BD_MO[[#This Row],[LIMP]:[SERV]])</f>
        <v>2</v>
      </c>
      <c r="Z452" s="212"/>
      <c r="AA452" s="212" t="str">
        <f>+IF(BD_MO[[#This Row],[N° VALE]]&lt;&gt;"",1,"")</f>
        <v/>
      </c>
      <c r="AB452" s="40"/>
      <c r="AC452" s="212"/>
      <c r="AD452" s="212" t="str">
        <f>+IF(BD_MO[[#This Row],[N° VALE]]&lt;&gt;"",BD_MO[[#This Row],[FULMINANTE N° 08]]+BD_MO[CARMEX 7''],"")</f>
        <v/>
      </c>
      <c r="AE452" s="212"/>
      <c r="AF452" s="212" t="str">
        <f>+IF(BD_MO[[#This Row],[N° VALE]]&lt;&gt;"",BD_MO[[#This Row],[N° TALADROS]]+BD_MO[[#This Row],[N° TAL. VACIOS]],"")</f>
        <v/>
      </c>
      <c r="AG452" s="387"/>
      <c r="AH452" s="387"/>
      <c r="AI452" s="387"/>
      <c r="AJ452" s="387"/>
      <c r="AK452" s="387"/>
      <c r="AL452" s="387"/>
      <c r="AM452" s="383"/>
      <c r="AN452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52" s="212" t="str">
        <f>+IF(BD_MO[[#This Row],[N° VALE]]&lt;&gt;"",IF(BD_MO[[#This Row],[FULMINANTE N° 08]]&lt;&gt;"",BD_MO[[#This Row],[FULMINANTE N° 08]],IF(BD_MO[[#This Row],[CARMEX 7'']]&lt;&gt;0,0,"")),"")</f>
        <v/>
      </c>
      <c r="AP452" s="386" t="str">
        <f>+IF(BD_MO[[#This Row],[N° VALE]]&lt;&gt;"",BD_MO[[#This Row],[N°  TOTAL TALADROS]]*BD_MO[[#This Row],[BARRA]]*0.95,"")</f>
        <v/>
      </c>
      <c r="AQ452" s="386" t="str">
        <f>+IF(BD_MO[[#This Row],[N° VALE]]&lt;&gt;"",BD_MO[[#This Row],[EMULNOR 1000 (N° CART.)]]*PE_EMUL_1000[PE],"")</f>
        <v/>
      </c>
      <c r="AR452" s="386" t="str">
        <f>+IF(BD_MO[[#This Row],[N° VALE]]&lt;&gt;"",BD_MO[[#This Row],[EMULNOR 3000 (N° CART.)]]*PE_EMUL_3000[PE],"")</f>
        <v/>
      </c>
      <c r="AS452" s="386" t="str">
        <f>+IF(BD_MO[[#This Row],[N° VALE]]&lt;&gt;"",BD_MO[[#This Row],[PULVERULENTA (N° CART.)]]*PE_PULV_65[PE],"")</f>
        <v/>
      </c>
      <c r="AT452" s="386" t="str">
        <f>+IF(BD_MO[[#This Row],[N° DISP]]&lt;&gt;"",BD_MO[[#This Row],[SEMIGELATINA (N° CART.)]]*PE_SEMIGEL_65[PE],"")</f>
        <v/>
      </c>
      <c r="AU452" s="386" t="str">
        <f>+IF(BD_MO[N° VALE]&lt;&gt;"",BD_MO[[#This Row],[KG EXPLO SEMIGEL]]+BD_MO[[#This Row],[KG EXPLO PULVE]]+BD_MO[[#This Row],[KG EXPLO EMULN 3000]]+BD_MO[[#This Row],[KG EXPLO EMULN 1000]],"")</f>
        <v/>
      </c>
      <c r="AV452" s="212"/>
      <c r="AW452" s="212"/>
      <c r="AX452" s="212" t="str">
        <f>+IF(BD_MO[[#This Row],[MINERAL (U-35)]]&lt;&gt;"",BD_MO[[#This Row],[MINERAL (U-35)]]*1.45,"-")</f>
        <v>-</v>
      </c>
      <c r="AY452" s="212" t="str">
        <f>+IF(BD_MO[[#This Row],[DESMONTE (U-35)]]&lt;&gt;"",BD_MO[[#This Row],[DESMONTE (U-35)]]*1.23,"-")</f>
        <v>-</v>
      </c>
      <c r="AZ452" s="212">
        <v>1</v>
      </c>
      <c r="BA452" s="212"/>
      <c r="BB452" s="212"/>
      <c r="BC452" s="212"/>
      <c r="BD452" s="212"/>
      <c r="BE452" s="212"/>
      <c r="BF452" s="212">
        <v>3</v>
      </c>
      <c r="BG452" s="212"/>
      <c r="BH452" s="212"/>
      <c r="BI452" s="212"/>
      <c r="BJ452" s="212"/>
      <c r="BK452" s="212"/>
      <c r="BL452" s="212"/>
      <c r="BM452" s="212"/>
      <c r="BN452" s="383"/>
      <c r="BO452" s="212"/>
      <c r="BP452" s="212"/>
      <c r="BQ452" s="383"/>
      <c r="BR452" s="212"/>
      <c r="BS452" s="383"/>
      <c r="BT452" s="386"/>
      <c r="BU452" s="212"/>
      <c r="BV452" s="212"/>
      <c r="BW452" s="212"/>
      <c r="BX452" s="212"/>
      <c r="BY452" s="212"/>
      <c r="BZ452" s="212"/>
      <c r="CA452" s="212"/>
      <c r="CB452" s="212"/>
      <c r="CC452" s="212"/>
      <c r="CD452" s="212"/>
      <c r="CE452" s="212"/>
      <c r="CF452" s="212"/>
      <c r="CG452" s="212"/>
      <c r="CH452" s="212"/>
      <c r="CI452" s="212"/>
      <c r="CJ452" s="212"/>
      <c r="CK452" s="212"/>
      <c r="CL452" s="212"/>
      <c r="CM452" s="212">
        <v>6</v>
      </c>
      <c r="CN452" s="212"/>
      <c r="CO452" s="212">
        <v>6</v>
      </c>
      <c r="CP452" s="386">
        <f>+IF(BD_MO[[#This Row],[FECHA]]&lt;&gt;"",BD_MO[[#This Row],[PUNTAL 4"]]+BD_MO[[#This Row],[PUNTAL 5"]]+BD_MO[[#This Row],[PUNTAL 6"]]+BD_MO[[#This Row],[PUNTAL 7"]]+BD_MO[[#This Row],[PUNTAL 8"]],"")</f>
        <v>12</v>
      </c>
      <c r="CQ452" s="212"/>
      <c r="CR452" s="212"/>
      <c r="CS452" s="212"/>
      <c r="CT452" s="212"/>
      <c r="CU452" s="212"/>
      <c r="CV452" s="212"/>
      <c r="CW452" s="212"/>
      <c r="CX452" s="212"/>
      <c r="CY452" s="386"/>
      <c r="CZ452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747.9</v>
      </c>
      <c r="DA452" s="386">
        <f>+IF(BD_MO[[#This Row],[FECHA]]&lt;&gt;"",BD_MO[[#This Row],[DURMIENTE2]]*6.561+BD_MO[[#This Row],[LISTONES]]*4.921+BD_MO[[#This Row],[TABLA 1"x8"x3m]]*6.561+BD_MO[[#This Row],[TABLA 2"x8"x3m]]*13.122,"")</f>
        <v>0</v>
      </c>
      <c r="DB452" s="386">
        <f>+IF(BD_MO[[#This Row],[FECHA]]&lt;&gt;"",BD_MO[[#This Row],[PIE2 MADERA ASERRADA]]*1.95,"")</f>
        <v>0</v>
      </c>
      <c r="DC452" s="386">
        <f>+IF(BD_MO[[#This Row],[FECHA]]&lt;&gt;"",BD_MO[[#This Row],[KG. MADERA REDONDA]]+BD_MO[[#This Row],[KG MADERA ASERRADA]],"")</f>
        <v>747.9</v>
      </c>
      <c r="DD452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213.60000000000002</v>
      </c>
      <c r="DE452" s="212"/>
      <c r="DF452" s="212"/>
      <c r="DG452" s="212"/>
      <c r="DH452" s="212"/>
      <c r="DI452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52" s="228"/>
      <c r="DK452" s="228"/>
      <c r="DL452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52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52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52" s="408"/>
      <c r="DP452" s="228" t="str">
        <f>+IF(BD_MO[[#This Row],[M o D]]&lt;&gt;"",IF(BD_MO[[#This Row],[M o D]]="M",BD_MO[[#This Row],[ROTURA TMH]]/2.65,BD_MO[[#This Row],[ROTURA TMH]]/2.4),"")</f>
        <v/>
      </c>
      <c r="DQ452" s="228"/>
      <c r="DR452" s="116" t="str">
        <f>IF(BD_MO[[#This Row],[TIPO AVANCE]]="Avance",((BD_MO[[#This Row],[AVANCE (m)]]/BD_MO[[#This Row],[AVANCE TEÓRICO]]))," ")</f>
        <v xml:space="preserve"> </v>
      </c>
      <c r="DS452" s="134"/>
      <c r="DT452" s="134"/>
      <c r="DU452" s="134"/>
      <c r="DV452" s="134"/>
      <c r="DW452" s="134"/>
      <c r="DX452" s="135"/>
      <c r="DY452" s="135"/>
      <c r="DZ452" s="135"/>
    </row>
    <row r="453" spans="1:130" s="136" customFormat="1" ht="18" customHeight="1" x14ac:dyDescent="0.25">
      <c r="A453" s="92">
        <v>44677</v>
      </c>
      <c r="B453" s="40" t="s">
        <v>10647</v>
      </c>
      <c r="C453" s="40" t="s">
        <v>10668</v>
      </c>
      <c r="D453" s="94" t="s">
        <v>11806</v>
      </c>
      <c r="E453" s="383" t="str">
        <f>LEFT(BD_MO[[#This Row],[LABOR]],2)</f>
        <v>CX</v>
      </c>
      <c r="F453" s="212"/>
      <c r="G453" s="212" t="s">
        <v>10662</v>
      </c>
      <c r="H453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453" s="383" t="str">
        <f>IF(BD_MO[FECHA]&lt;&gt;"",VLOOKUP(BD_MO[LABOR],TB_CECO[[LABOR]:[CECO_T]],3,FALSE),"")</f>
        <v>CACHORRO</v>
      </c>
      <c r="J453" s="383" t="str">
        <f>IF(BD_MO[FECHA]&lt;&gt;"",VLOOKUP(BD_MO[LABOR],D_CECO!B:H,7,FALSE),"")</f>
        <v>LINEAL</v>
      </c>
      <c r="K453" s="383" t="str">
        <f>IF(BD_MO[FECHA]&lt;&gt;"",VLOOKUP(BD_MO[LABOR],D_CECO!B:H,4,FALSE),"")</f>
        <v>EXPLORACION</v>
      </c>
      <c r="L453" s="383"/>
      <c r="M453" s="40"/>
      <c r="N453" s="212"/>
      <c r="O453" s="93" t="s">
        <v>12306</v>
      </c>
      <c r="P453" s="93" t="s">
        <v>12093</v>
      </c>
      <c r="Q453" s="93"/>
      <c r="R453" s="384"/>
      <c r="S453" s="385" t="str">
        <f>IFERROR(VLOOKUP(BD_MO[DNI 4],#REF!,2,FALSE)," ")</f>
        <v xml:space="preserve"> </v>
      </c>
      <c r="T453" s="386">
        <f>+IF(BD_MO[[#This Row],[FECHA]]&lt;&gt;"",COUNTA(BD_MO[[#This Row],[DNI]],BD_MO[[#This Row],[DNI 2]],BD_MO[[#This Row],[DNI 3]],BD_MO[[#This Row],[DNI 4]]),"")</f>
        <v>2</v>
      </c>
      <c r="U453" s="386"/>
      <c r="V453" s="386"/>
      <c r="W453" s="386">
        <v>1.2</v>
      </c>
      <c r="X453" s="386">
        <v>0.8</v>
      </c>
      <c r="Y453" s="86">
        <f>SUM(BD_MO[[#This Row],[LIMP]:[SERV]])</f>
        <v>2</v>
      </c>
      <c r="Z453" s="212"/>
      <c r="AA453" s="212" t="str">
        <f>+IF(BD_MO[[#This Row],[N° VALE]]&lt;&gt;"",1,"")</f>
        <v/>
      </c>
      <c r="AB453" s="40"/>
      <c r="AC453" s="212"/>
      <c r="AD453" s="212" t="str">
        <f>+IF(BD_MO[[#This Row],[N° VALE]]&lt;&gt;"",BD_MO[[#This Row],[FULMINANTE N° 08]]+BD_MO[CARMEX 7''],"")</f>
        <v/>
      </c>
      <c r="AE453" s="212"/>
      <c r="AF453" s="212" t="str">
        <f>+IF(BD_MO[[#This Row],[N° VALE]]&lt;&gt;"",BD_MO[[#This Row],[N° TALADROS]]+BD_MO[[#This Row],[N° TAL. VACIOS]],"")</f>
        <v/>
      </c>
      <c r="AG453" s="387"/>
      <c r="AH453" s="387"/>
      <c r="AI453" s="387"/>
      <c r="AJ453" s="387"/>
      <c r="AK453" s="387"/>
      <c r="AL453" s="387"/>
      <c r="AM453" s="383"/>
      <c r="AN453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53" s="212" t="str">
        <f>+IF(BD_MO[[#This Row],[N° VALE]]&lt;&gt;"",IF(BD_MO[[#This Row],[FULMINANTE N° 08]]&lt;&gt;"",BD_MO[[#This Row],[FULMINANTE N° 08]],IF(BD_MO[[#This Row],[CARMEX 7'']]&lt;&gt;0,0,"")),"")</f>
        <v/>
      </c>
      <c r="AP453" s="386" t="str">
        <f>+IF(BD_MO[[#This Row],[N° VALE]]&lt;&gt;"",BD_MO[[#This Row],[N°  TOTAL TALADROS]]*BD_MO[[#This Row],[BARRA]]*0.95,"")</f>
        <v/>
      </c>
      <c r="AQ453" s="386" t="str">
        <f>+IF(BD_MO[[#This Row],[N° VALE]]&lt;&gt;"",BD_MO[[#This Row],[EMULNOR 1000 (N° CART.)]]*PE_EMUL_1000[PE],"")</f>
        <v/>
      </c>
      <c r="AR453" s="386" t="str">
        <f>+IF(BD_MO[[#This Row],[N° VALE]]&lt;&gt;"",BD_MO[[#This Row],[EMULNOR 3000 (N° CART.)]]*PE_EMUL_3000[PE],"")</f>
        <v/>
      </c>
      <c r="AS453" s="386" t="str">
        <f>+IF(BD_MO[[#This Row],[N° VALE]]&lt;&gt;"",BD_MO[[#This Row],[PULVERULENTA (N° CART.)]]*PE_PULV_65[PE],"")</f>
        <v/>
      </c>
      <c r="AT453" s="386" t="str">
        <f>+IF(BD_MO[[#This Row],[N° DISP]]&lt;&gt;"",BD_MO[[#This Row],[SEMIGELATINA (N° CART.)]]*PE_SEMIGEL_65[PE],"")</f>
        <v/>
      </c>
      <c r="AU453" s="386" t="str">
        <f>+IF(BD_MO[N° VALE]&lt;&gt;"",BD_MO[[#This Row],[KG EXPLO SEMIGEL]]+BD_MO[[#This Row],[KG EXPLO PULVE]]+BD_MO[[#This Row],[KG EXPLO EMULN 3000]]+BD_MO[[#This Row],[KG EXPLO EMULN 1000]],"")</f>
        <v/>
      </c>
      <c r="AV453" s="212"/>
      <c r="AW453" s="212"/>
      <c r="AX453" s="212" t="str">
        <f>+IF(BD_MO[[#This Row],[MINERAL (U-35)]]&lt;&gt;"",BD_MO[[#This Row],[MINERAL (U-35)]]*1.45,"-")</f>
        <v>-</v>
      </c>
      <c r="AY453" s="212" t="str">
        <f>+IF(BD_MO[[#This Row],[DESMONTE (U-35)]]&lt;&gt;"",BD_MO[[#This Row],[DESMONTE (U-35)]]*1.23,"-")</f>
        <v>-</v>
      </c>
      <c r="AZ453" s="212">
        <v>1</v>
      </c>
      <c r="BA453" s="212"/>
      <c r="BB453" s="212"/>
      <c r="BC453" s="212"/>
      <c r="BD453" s="212"/>
      <c r="BE453" s="212"/>
      <c r="BF453" s="212">
        <v>3</v>
      </c>
      <c r="BG453" s="212"/>
      <c r="BH453" s="212"/>
      <c r="BI453" s="212"/>
      <c r="BJ453" s="212"/>
      <c r="BK453" s="212"/>
      <c r="BL453" s="212"/>
      <c r="BM453" s="212"/>
      <c r="BN453" s="383"/>
      <c r="BO453" s="212"/>
      <c r="BP453" s="212"/>
      <c r="BQ453" s="383"/>
      <c r="BR453" s="212"/>
      <c r="BS453" s="383"/>
      <c r="BT453" s="386"/>
      <c r="BU453" s="212"/>
      <c r="BV453" s="212"/>
      <c r="BW453" s="212"/>
      <c r="BX453" s="212"/>
      <c r="BY453" s="212"/>
      <c r="BZ453" s="212"/>
      <c r="CA453" s="212"/>
      <c r="CB453" s="212"/>
      <c r="CC453" s="212"/>
      <c r="CD453" s="212"/>
      <c r="CE453" s="212"/>
      <c r="CF453" s="212"/>
      <c r="CG453" s="212"/>
      <c r="CH453" s="212"/>
      <c r="CI453" s="212"/>
      <c r="CJ453" s="212"/>
      <c r="CK453" s="212"/>
      <c r="CL453" s="212"/>
      <c r="CM453" s="212"/>
      <c r="CN453" s="212"/>
      <c r="CO453" s="212"/>
      <c r="CP453" s="386">
        <f>+IF(BD_MO[[#This Row],[FECHA]]&lt;&gt;"",BD_MO[[#This Row],[PUNTAL 4"]]+BD_MO[[#This Row],[PUNTAL 5"]]+BD_MO[[#This Row],[PUNTAL 6"]]+BD_MO[[#This Row],[PUNTAL 7"]]+BD_MO[[#This Row],[PUNTAL 8"]],"")</f>
        <v>0</v>
      </c>
      <c r="CQ453" s="212"/>
      <c r="CR453" s="212"/>
      <c r="CS453" s="212"/>
      <c r="CT453" s="212"/>
      <c r="CU453" s="212"/>
      <c r="CV453" s="212"/>
      <c r="CW453" s="212"/>
      <c r="CX453" s="212"/>
      <c r="CY453" s="386"/>
      <c r="CZ453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53" s="386">
        <f>+IF(BD_MO[[#This Row],[FECHA]]&lt;&gt;"",BD_MO[[#This Row],[DURMIENTE2]]*6.561+BD_MO[[#This Row],[LISTONES]]*4.921+BD_MO[[#This Row],[TABLA 1"x8"x3m]]*6.561+BD_MO[[#This Row],[TABLA 2"x8"x3m]]*13.122,"")</f>
        <v>0</v>
      </c>
      <c r="DB453" s="386">
        <f>+IF(BD_MO[[#This Row],[FECHA]]&lt;&gt;"",BD_MO[[#This Row],[PIE2 MADERA ASERRADA]]*1.95,"")</f>
        <v>0</v>
      </c>
      <c r="DC453" s="386">
        <f>+IF(BD_MO[[#This Row],[FECHA]]&lt;&gt;"",BD_MO[[#This Row],[KG. MADERA REDONDA]]+BD_MO[[#This Row],[KG MADERA ASERRADA]],"")</f>
        <v>0</v>
      </c>
      <c r="DD453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53" s="212"/>
      <c r="DF453" s="212"/>
      <c r="DG453" s="212"/>
      <c r="DH453" s="212"/>
      <c r="DI453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53" s="228"/>
      <c r="DK453" s="228"/>
      <c r="DL453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53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53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53" s="408"/>
      <c r="DP453" s="228" t="str">
        <f>+IF(BD_MO[[#This Row],[M o D]]&lt;&gt;"",IF(BD_MO[[#This Row],[M o D]]="M",BD_MO[[#This Row],[ROTURA TMH]]/2.65,BD_MO[[#This Row],[ROTURA TMH]]/2.4),"")</f>
        <v/>
      </c>
      <c r="DQ453" s="228"/>
      <c r="DR453" s="116" t="str">
        <f>IF(BD_MO[[#This Row],[TIPO AVANCE]]="Avance",((BD_MO[[#This Row],[AVANCE (m)]]/BD_MO[[#This Row],[AVANCE TEÓRICO]]))," ")</f>
        <v xml:space="preserve"> </v>
      </c>
      <c r="DS453" s="134"/>
      <c r="DT453" s="134"/>
      <c r="DU453" s="134"/>
      <c r="DV453" s="134"/>
      <c r="DW453" s="134"/>
      <c r="DX453" s="135"/>
      <c r="DY453" s="135"/>
      <c r="DZ453" s="135"/>
    </row>
    <row r="454" spans="1:130" s="136" customFormat="1" ht="18" customHeight="1" x14ac:dyDescent="0.25">
      <c r="A454" s="92">
        <v>44677</v>
      </c>
      <c r="B454" s="40" t="s">
        <v>10647</v>
      </c>
      <c r="C454" s="40" t="s">
        <v>10668</v>
      </c>
      <c r="D454" s="94" t="s">
        <v>10952</v>
      </c>
      <c r="E454" s="383" t="str">
        <f>LEFT(BD_MO[[#This Row],[LABOR]],2)</f>
        <v>In</v>
      </c>
      <c r="F454" s="212"/>
      <c r="G454" s="212" t="s">
        <v>10669</v>
      </c>
      <c r="H454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54" s="383" t="str">
        <f>IF(BD_MO[FECHA]&lt;&gt;"",VLOOKUP(BD_MO[LABOR],TB_CECO[[LABOR]:[CECO_T]],3,FALSE),"")</f>
        <v>VANESSA</v>
      </c>
      <c r="J454" s="383" t="str">
        <f>IF(BD_MO[FECHA]&lt;&gt;"",VLOOKUP(BD_MO[LABOR],D_CECO!B:H,7,FALSE),"")</f>
        <v>LINEAL</v>
      </c>
      <c r="K454" s="383" t="str">
        <f>IF(BD_MO[FECHA]&lt;&gt;"",VLOOKUP(BD_MO[LABOR],D_CECO!B:H,4,FALSE),"")</f>
        <v>EXPLORACION</v>
      </c>
      <c r="L454" s="383"/>
      <c r="M454" s="40"/>
      <c r="N454" s="212"/>
      <c r="O454" s="93" t="s">
        <v>12092</v>
      </c>
      <c r="P454" s="93" t="s">
        <v>12099</v>
      </c>
      <c r="Q454" s="93"/>
      <c r="R454" s="384"/>
      <c r="S454" s="385" t="str">
        <f>IFERROR(VLOOKUP(BD_MO[DNI 4],#REF!,2,FALSE)," ")</f>
        <v xml:space="preserve"> </v>
      </c>
      <c r="T454" s="386">
        <f>+IF(BD_MO[[#This Row],[FECHA]]&lt;&gt;"",COUNTA(BD_MO[[#This Row],[DNI]],BD_MO[[#This Row],[DNI 2]],BD_MO[[#This Row],[DNI 3]],BD_MO[[#This Row],[DNI 4]]),"")</f>
        <v>2</v>
      </c>
      <c r="U454" s="386"/>
      <c r="V454" s="386"/>
      <c r="W454" s="386"/>
      <c r="X454" s="386">
        <v>2</v>
      </c>
      <c r="Y454" s="86">
        <f>SUM(BD_MO[[#This Row],[LIMP]:[SERV]])</f>
        <v>2</v>
      </c>
      <c r="Z454" s="212"/>
      <c r="AA454" s="212" t="str">
        <f>+IF(BD_MO[[#This Row],[N° VALE]]&lt;&gt;"",1,"")</f>
        <v/>
      </c>
      <c r="AB454" s="40"/>
      <c r="AC454" s="212"/>
      <c r="AD454" s="212" t="str">
        <f>+IF(BD_MO[[#This Row],[N° VALE]]&lt;&gt;"",BD_MO[[#This Row],[FULMINANTE N° 08]]+BD_MO[CARMEX 7''],"")</f>
        <v/>
      </c>
      <c r="AE454" s="212"/>
      <c r="AF454" s="212" t="str">
        <f>+IF(BD_MO[[#This Row],[N° VALE]]&lt;&gt;"",BD_MO[[#This Row],[N° TALADROS]]+BD_MO[[#This Row],[N° TAL. VACIOS]],"")</f>
        <v/>
      </c>
      <c r="AG454" s="387"/>
      <c r="AH454" s="387"/>
      <c r="AI454" s="387"/>
      <c r="AJ454" s="387"/>
      <c r="AK454" s="387"/>
      <c r="AL454" s="387"/>
      <c r="AM454" s="383"/>
      <c r="AN454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54" s="212" t="str">
        <f>+IF(BD_MO[[#This Row],[N° VALE]]&lt;&gt;"",IF(BD_MO[[#This Row],[FULMINANTE N° 08]]&lt;&gt;"",BD_MO[[#This Row],[FULMINANTE N° 08]],IF(BD_MO[[#This Row],[CARMEX 7'']]&lt;&gt;0,0,"")),"")</f>
        <v/>
      </c>
      <c r="AP454" s="386" t="str">
        <f>+IF(BD_MO[[#This Row],[N° VALE]]&lt;&gt;"",BD_MO[[#This Row],[N°  TOTAL TALADROS]]*BD_MO[[#This Row],[BARRA]]*0.95,"")</f>
        <v/>
      </c>
      <c r="AQ454" s="386" t="str">
        <f>+IF(BD_MO[[#This Row],[N° VALE]]&lt;&gt;"",BD_MO[[#This Row],[EMULNOR 1000 (N° CART.)]]*PE_EMUL_1000[PE],"")</f>
        <v/>
      </c>
      <c r="AR454" s="386" t="str">
        <f>+IF(BD_MO[[#This Row],[N° VALE]]&lt;&gt;"",BD_MO[[#This Row],[EMULNOR 3000 (N° CART.)]]*PE_EMUL_3000[PE],"")</f>
        <v/>
      </c>
      <c r="AS454" s="386" t="str">
        <f>+IF(BD_MO[[#This Row],[N° VALE]]&lt;&gt;"",BD_MO[[#This Row],[PULVERULENTA (N° CART.)]]*PE_PULV_65[PE],"")</f>
        <v/>
      </c>
      <c r="AT454" s="386" t="str">
        <f>+IF(BD_MO[[#This Row],[N° DISP]]&lt;&gt;"",BD_MO[[#This Row],[SEMIGELATINA (N° CART.)]]*PE_SEMIGEL_65[PE],"")</f>
        <v/>
      </c>
      <c r="AU454" s="386" t="str">
        <f>+IF(BD_MO[N° VALE]&lt;&gt;"",BD_MO[[#This Row],[KG EXPLO SEMIGEL]]+BD_MO[[#This Row],[KG EXPLO PULVE]]+BD_MO[[#This Row],[KG EXPLO EMULN 3000]]+BD_MO[[#This Row],[KG EXPLO EMULN 1000]],"")</f>
        <v/>
      </c>
      <c r="AV454" s="212"/>
      <c r="AW454" s="212"/>
      <c r="AX454" s="212" t="str">
        <f>+IF(BD_MO[[#This Row],[MINERAL (U-35)]]&lt;&gt;"",BD_MO[[#This Row],[MINERAL (U-35)]]*1.45,"-")</f>
        <v>-</v>
      </c>
      <c r="AY454" s="212" t="str">
        <f>+IF(BD_MO[[#This Row],[DESMONTE (U-35)]]&lt;&gt;"",BD_MO[[#This Row],[DESMONTE (U-35)]]*1.23,"-")</f>
        <v>-</v>
      </c>
      <c r="AZ454" s="212"/>
      <c r="BA454" s="212"/>
      <c r="BB454" s="212"/>
      <c r="BC454" s="212"/>
      <c r="BD454" s="212"/>
      <c r="BE454" s="212"/>
      <c r="BF454" s="212"/>
      <c r="BG454" s="212"/>
      <c r="BH454" s="212"/>
      <c r="BI454" s="212"/>
      <c r="BJ454" s="212"/>
      <c r="BK454" s="212"/>
      <c r="BL454" s="212"/>
      <c r="BM454" s="212"/>
      <c r="BN454" s="383"/>
      <c r="BO454" s="212"/>
      <c r="BP454" s="212"/>
      <c r="BQ454" s="383"/>
      <c r="BR454" s="212"/>
      <c r="BS454" s="383"/>
      <c r="BT454" s="386"/>
      <c r="BU454" s="212"/>
      <c r="BV454" s="212"/>
      <c r="BW454" s="212"/>
      <c r="BX454" s="212"/>
      <c r="BY454" s="212"/>
      <c r="BZ454" s="212"/>
      <c r="CA454" s="212"/>
      <c r="CB454" s="212"/>
      <c r="CC454" s="212"/>
      <c r="CD454" s="212"/>
      <c r="CE454" s="212"/>
      <c r="CF454" s="212"/>
      <c r="CG454" s="212"/>
      <c r="CH454" s="212"/>
      <c r="CI454" s="212"/>
      <c r="CJ454" s="212"/>
      <c r="CK454" s="212"/>
      <c r="CL454" s="212"/>
      <c r="CM454" s="212"/>
      <c r="CN454" s="212"/>
      <c r="CO454" s="212"/>
      <c r="CP454" s="386">
        <f>+IF(BD_MO[[#This Row],[FECHA]]&lt;&gt;"",BD_MO[[#This Row],[PUNTAL 4"]]+BD_MO[[#This Row],[PUNTAL 5"]]+BD_MO[[#This Row],[PUNTAL 6"]]+BD_MO[[#This Row],[PUNTAL 7"]]+BD_MO[[#This Row],[PUNTAL 8"]],"")</f>
        <v>0</v>
      </c>
      <c r="CQ454" s="212"/>
      <c r="CR454" s="212"/>
      <c r="CS454" s="212"/>
      <c r="CT454" s="212"/>
      <c r="CU454" s="212"/>
      <c r="CV454" s="212"/>
      <c r="CW454" s="212"/>
      <c r="CX454" s="212"/>
      <c r="CY454" s="386"/>
      <c r="CZ454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54" s="386">
        <f>+IF(BD_MO[[#This Row],[FECHA]]&lt;&gt;"",BD_MO[[#This Row],[DURMIENTE2]]*6.561+BD_MO[[#This Row],[LISTONES]]*4.921+BD_MO[[#This Row],[TABLA 1"x8"x3m]]*6.561+BD_MO[[#This Row],[TABLA 2"x8"x3m]]*13.122,"")</f>
        <v>0</v>
      </c>
      <c r="DB454" s="386">
        <f>+IF(BD_MO[[#This Row],[FECHA]]&lt;&gt;"",BD_MO[[#This Row],[PIE2 MADERA ASERRADA]]*1.95,"")</f>
        <v>0</v>
      </c>
      <c r="DC454" s="386">
        <f>+IF(BD_MO[[#This Row],[FECHA]]&lt;&gt;"",BD_MO[[#This Row],[KG. MADERA REDONDA]]+BD_MO[[#This Row],[KG MADERA ASERRADA]],"")</f>
        <v>0</v>
      </c>
      <c r="DD454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54" s="212"/>
      <c r="DF454" s="212"/>
      <c r="DG454" s="212"/>
      <c r="DH454" s="212"/>
      <c r="DI454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54" s="228"/>
      <c r="DK454" s="228"/>
      <c r="DL454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54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54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54" s="367"/>
      <c r="DP454" s="228" t="str">
        <f>+IF(BD_MO[[#This Row],[M o D]]&lt;&gt;"",IF(BD_MO[[#This Row],[M o D]]="M",BD_MO[[#This Row],[ROTURA TMH]]/2.65,BD_MO[[#This Row],[ROTURA TMH]]/2.4),"")</f>
        <v/>
      </c>
      <c r="DQ454" s="228"/>
      <c r="DR454" s="116" t="str">
        <f>IF(BD_MO[[#This Row],[TIPO AVANCE]]="Avance",((BD_MO[[#This Row],[AVANCE (m)]]/BD_MO[[#This Row],[AVANCE TEÓRICO]]))," ")</f>
        <v xml:space="preserve"> </v>
      </c>
      <c r="DS454" s="134"/>
      <c r="DT454" s="134"/>
      <c r="DU454" s="134"/>
      <c r="DV454" s="134"/>
      <c r="DW454" s="134"/>
      <c r="DX454" s="135"/>
      <c r="DY454" s="135"/>
      <c r="DZ454" s="135"/>
    </row>
    <row r="455" spans="1:130" s="136" customFormat="1" ht="18" customHeight="1" x14ac:dyDescent="0.25">
      <c r="A455" s="92">
        <v>44677</v>
      </c>
      <c r="B455" s="40" t="s">
        <v>10647</v>
      </c>
      <c r="C455" s="40" t="s">
        <v>10668</v>
      </c>
      <c r="D455" s="94" t="s">
        <v>11872</v>
      </c>
      <c r="E455" s="383" t="str">
        <f>LEFT(BD_MO[[#This Row],[LABOR]],2)</f>
        <v>PQ</v>
      </c>
      <c r="F455" s="212"/>
      <c r="G455" s="212" t="s">
        <v>10669</v>
      </c>
      <c r="H455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55" s="383" t="str">
        <f>IF(BD_MO[FECHA]&lt;&gt;"",VLOOKUP(BD_MO[LABOR],TB_CECO[[LABOR]:[CECO_T]],3,FALSE),"")</f>
        <v>ANDREA</v>
      </c>
      <c r="J455" s="383" t="str">
        <f>IF(BD_MO[FECHA]&lt;&gt;"",VLOOKUP(BD_MO[LABOR],D_CECO!B:H,7,FALSE),"")</f>
        <v>LINEAL</v>
      </c>
      <c r="K455" s="383" t="str">
        <f>IF(BD_MO[FECHA]&lt;&gt;"",VLOOKUP(BD_MO[LABOR],D_CECO!B:H,4,FALSE),"")</f>
        <v>EXPLOTACION</v>
      </c>
      <c r="L455" s="383"/>
      <c r="M455" s="40"/>
      <c r="N455" s="212"/>
      <c r="O455" s="93" t="s">
        <v>12097</v>
      </c>
      <c r="P455" s="93" t="s">
        <v>12090</v>
      </c>
      <c r="Q455" s="93" t="s">
        <v>12396</v>
      </c>
      <c r="R455" s="384"/>
      <c r="S455" s="385" t="str">
        <f>IFERROR(VLOOKUP(BD_MO[DNI 4],#REF!,2,FALSE)," ")</f>
        <v xml:space="preserve"> </v>
      </c>
      <c r="T455" s="386">
        <f>+IF(BD_MO[[#This Row],[FECHA]]&lt;&gt;"",COUNTA(BD_MO[[#This Row],[DNI]],BD_MO[[#This Row],[DNI 2]],BD_MO[[#This Row],[DNI 3]],BD_MO[[#This Row],[DNI 4]]),"")</f>
        <v>3</v>
      </c>
      <c r="U455" s="386"/>
      <c r="V455" s="386"/>
      <c r="W455" s="386"/>
      <c r="X455" s="386">
        <v>3</v>
      </c>
      <c r="Y455" s="86">
        <f>SUM(BD_MO[[#This Row],[LIMP]:[SERV]])</f>
        <v>3</v>
      </c>
      <c r="Z455" s="212"/>
      <c r="AA455" s="212" t="str">
        <f>+IF(BD_MO[[#This Row],[N° VALE]]&lt;&gt;"",1,"")</f>
        <v/>
      </c>
      <c r="AB455" s="40"/>
      <c r="AC455" s="212"/>
      <c r="AD455" s="212" t="str">
        <f>+IF(BD_MO[[#This Row],[N° VALE]]&lt;&gt;"",BD_MO[[#This Row],[FULMINANTE N° 08]]+BD_MO[CARMEX 7''],"")</f>
        <v/>
      </c>
      <c r="AE455" s="212"/>
      <c r="AF455" s="212" t="str">
        <f>+IF(BD_MO[[#This Row],[N° VALE]]&lt;&gt;"",BD_MO[[#This Row],[N° TALADROS]]+BD_MO[[#This Row],[N° TAL. VACIOS]],"")</f>
        <v/>
      </c>
      <c r="AG455" s="387"/>
      <c r="AH455" s="387"/>
      <c r="AI455" s="387"/>
      <c r="AJ455" s="387"/>
      <c r="AK455" s="387"/>
      <c r="AL455" s="387"/>
      <c r="AM455" s="383"/>
      <c r="AN455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55" s="212" t="str">
        <f>+IF(BD_MO[[#This Row],[N° VALE]]&lt;&gt;"",IF(BD_MO[[#This Row],[FULMINANTE N° 08]]&lt;&gt;"",BD_MO[[#This Row],[FULMINANTE N° 08]],IF(BD_MO[[#This Row],[CARMEX 7'']]&lt;&gt;0,0,"")),"")</f>
        <v/>
      </c>
      <c r="AP455" s="386" t="str">
        <f>+IF(BD_MO[[#This Row],[N° VALE]]&lt;&gt;"",BD_MO[[#This Row],[N°  TOTAL TALADROS]]*BD_MO[[#This Row],[BARRA]]*0.95,"")</f>
        <v/>
      </c>
      <c r="AQ455" s="386" t="str">
        <f>+IF(BD_MO[[#This Row],[N° VALE]]&lt;&gt;"",BD_MO[[#This Row],[EMULNOR 1000 (N° CART.)]]*PE_EMUL_1000[PE],"")</f>
        <v/>
      </c>
      <c r="AR455" s="386" t="str">
        <f>+IF(BD_MO[[#This Row],[N° VALE]]&lt;&gt;"",BD_MO[[#This Row],[EMULNOR 3000 (N° CART.)]]*PE_EMUL_3000[PE],"")</f>
        <v/>
      </c>
      <c r="AS455" s="386" t="str">
        <f>+IF(BD_MO[[#This Row],[N° VALE]]&lt;&gt;"",BD_MO[[#This Row],[PULVERULENTA (N° CART.)]]*PE_PULV_65[PE],"")</f>
        <v/>
      </c>
      <c r="AT455" s="386" t="str">
        <f>+IF(BD_MO[[#This Row],[N° DISP]]&lt;&gt;"",BD_MO[[#This Row],[SEMIGELATINA (N° CART.)]]*PE_SEMIGEL_65[PE],"")</f>
        <v/>
      </c>
      <c r="AU455" s="386" t="str">
        <f>+IF(BD_MO[N° VALE]&lt;&gt;"",BD_MO[[#This Row],[KG EXPLO SEMIGEL]]+BD_MO[[#This Row],[KG EXPLO PULVE]]+BD_MO[[#This Row],[KG EXPLO EMULN 3000]]+BD_MO[[#This Row],[KG EXPLO EMULN 1000]],"")</f>
        <v/>
      </c>
      <c r="AV455" s="212"/>
      <c r="AW455" s="212"/>
      <c r="AX455" s="212" t="str">
        <f>+IF(BD_MO[[#This Row],[MINERAL (U-35)]]&lt;&gt;"",BD_MO[[#This Row],[MINERAL (U-35)]]*1.45,"-")</f>
        <v>-</v>
      </c>
      <c r="AY455" s="212" t="str">
        <f>+IF(BD_MO[[#This Row],[DESMONTE (U-35)]]&lt;&gt;"",BD_MO[[#This Row],[DESMONTE (U-35)]]*1.23,"-")</f>
        <v>-</v>
      </c>
      <c r="AZ455" s="212"/>
      <c r="BA455" s="212"/>
      <c r="BB455" s="212"/>
      <c r="BC455" s="212"/>
      <c r="BD455" s="212"/>
      <c r="BE455" s="212"/>
      <c r="BF455" s="212"/>
      <c r="BG455" s="212"/>
      <c r="BH455" s="212"/>
      <c r="BI455" s="212"/>
      <c r="BJ455" s="212"/>
      <c r="BK455" s="212"/>
      <c r="BL455" s="212"/>
      <c r="BM455" s="212"/>
      <c r="BN455" s="383"/>
      <c r="BO455" s="212"/>
      <c r="BP455" s="212"/>
      <c r="BQ455" s="383"/>
      <c r="BR455" s="212"/>
      <c r="BS455" s="383"/>
      <c r="BT455" s="386"/>
      <c r="BU455" s="212"/>
      <c r="BV455" s="212"/>
      <c r="BW455" s="212"/>
      <c r="BX455" s="212"/>
      <c r="BY455" s="212"/>
      <c r="BZ455" s="212"/>
      <c r="CA455" s="212"/>
      <c r="CB455" s="212"/>
      <c r="CC455" s="212"/>
      <c r="CD455" s="212"/>
      <c r="CE455" s="212"/>
      <c r="CF455" s="212"/>
      <c r="CG455" s="212"/>
      <c r="CH455" s="212"/>
      <c r="CI455" s="212"/>
      <c r="CJ455" s="212"/>
      <c r="CK455" s="212"/>
      <c r="CL455" s="212"/>
      <c r="CM455" s="212"/>
      <c r="CN455" s="212"/>
      <c r="CO455" s="212"/>
      <c r="CP455" s="386">
        <f>+IF(BD_MO[[#This Row],[FECHA]]&lt;&gt;"",BD_MO[[#This Row],[PUNTAL 4"]]+BD_MO[[#This Row],[PUNTAL 5"]]+BD_MO[[#This Row],[PUNTAL 6"]]+BD_MO[[#This Row],[PUNTAL 7"]]+BD_MO[[#This Row],[PUNTAL 8"]],"")</f>
        <v>0</v>
      </c>
      <c r="CQ455" s="212"/>
      <c r="CR455" s="212"/>
      <c r="CS455" s="212"/>
      <c r="CT455" s="212"/>
      <c r="CU455" s="212"/>
      <c r="CV455" s="212"/>
      <c r="CW455" s="212"/>
      <c r="CX455" s="212"/>
      <c r="CY455" s="386"/>
      <c r="CZ455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55" s="386">
        <f>+IF(BD_MO[[#This Row],[FECHA]]&lt;&gt;"",BD_MO[[#This Row],[DURMIENTE2]]*6.561+BD_MO[[#This Row],[LISTONES]]*4.921+BD_MO[[#This Row],[TABLA 1"x8"x3m]]*6.561+BD_MO[[#This Row],[TABLA 2"x8"x3m]]*13.122,"")</f>
        <v>0</v>
      </c>
      <c r="DB455" s="386">
        <f>+IF(BD_MO[[#This Row],[FECHA]]&lt;&gt;"",BD_MO[[#This Row],[PIE2 MADERA ASERRADA]]*1.95,"")</f>
        <v>0</v>
      </c>
      <c r="DC455" s="386">
        <f>+IF(BD_MO[[#This Row],[FECHA]]&lt;&gt;"",BD_MO[[#This Row],[KG. MADERA REDONDA]]+BD_MO[[#This Row],[KG MADERA ASERRADA]],"")</f>
        <v>0</v>
      </c>
      <c r="DD455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55" s="212"/>
      <c r="DF455" s="212"/>
      <c r="DG455" s="212"/>
      <c r="DH455" s="212"/>
      <c r="DI455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55" s="228"/>
      <c r="DK455" s="228"/>
      <c r="DL455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55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55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55" s="408"/>
      <c r="DP455" s="228" t="str">
        <f>+IF(BD_MO[[#This Row],[M o D]]&lt;&gt;"",IF(BD_MO[[#This Row],[M o D]]="M",BD_MO[[#This Row],[ROTURA TMH]]/2.65,BD_MO[[#This Row],[ROTURA TMH]]/2.4),"")</f>
        <v/>
      </c>
      <c r="DQ455" s="228"/>
      <c r="DR455" s="116" t="str">
        <f>IF(BD_MO[[#This Row],[TIPO AVANCE]]="Avance",((BD_MO[[#This Row],[AVANCE (m)]]/BD_MO[[#This Row],[AVANCE TEÓRICO]]))," ")</f>
        <v xml:space="preserve"> </v>
      </c>
      <c r="DS455" s="134"/>
      <c r="DT455" s="134"/>
      <c r="DU455" s="134"/>
      <c r="DV455" s="134"/>
      <c r="DW455" s="134"/>
      <c r="DX455" s="135"/>
      <c r="DY455" s="135"/>
      <c r="DZ455" s="135"/>
    </row>
    <row r="456" spans="1:130" s="136" customFormat="1" ht="18" customHeight="1" x14ac:dyDescent="0.25">
      <c r="A456" s="92">
        <v>44677</v>
      </c>
      <c r="B456" s="40" t="s">
        <v>10647</v>
      </c>
      <c r="C456" s="40" t="s">
        <v>10668</v>
      </c>
      <c r="D456" s="94" t="s">
        <v>10954</v>
      </c>
      <c r="E456" s="383" t="str">
        <f>LEFT(BD_MO[[#This Row],[LABOR]],2)</f>
        <v>MO</v>
      </c>
      <c r="F456" s="212"/>
      <c r="G456" s="212" t="s">
        <v>10669</v>
      </c>
      <c r="H456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56" s="383" t="str">
        <f>IF(BD_MO[FECHA]&lt;&gt;"",VLOOKUP(BD_MO[LABOR],TB_CECO[[LABOR]:[CECO_T]],3,FALSE),"")</f>
        <v>INCA</v>
      </c>
      <c r="J456" s="383" t="str">
        <f>IF(BD_MO[FECHA]&lt;&gt;"",VLOOKUP(BD_MO[LABOR],D_CECO!B:H,7,FALSE),"")</f>
        <v>SERVICIOS</v>
      </c>
      <c r="K456" s="383" t="str">
        <f>IF(BD_MO[FECHA]&lt;&gt;"",VLOOKUP(BD_MO[LABOR],D_CECO!B:H,4,FALSE),"")</f>
        <v>SERVICIOS</v>
      </c>
      <c r="L456" s="383"/>
      <c r="M456" s="40"/>
      <c r="N456" s="212"/>
      <c r="O456" s="93" t="s">
        <v>12098</v>
      </c>
      <c r="P456" s="93" t="s">
        <v>12162</v>
      </c>
      <c r="Q456" s="93"/>
      <c r="R456" s="384"/>
      <c r="S456" s="385" t="str">
        <f>IFERROR(VLOOKUP(BD_MO[DNI 4],#REF!,2,FALSE)," ")</f>
        <v xml:space="preserve"> </v>
      </c>
      <c r="T456" s="386">
        <f>+IF(BD_MO[[#This Row],[FECHA]]&lt;&gt;"",COUNTA(BD_MO[[#This Row],[DNI]],BD_MO[[#This Row],[DNI 2]],BD_MO[[#This Row],[DNI 3]],BD_MO[[#This Row],[DNI 4]]),"")</f>
        <v>2</v>
      </c>
      <c r="U456" s="386"/>
      <c r="V456" s="386"/>
      <c r="W456" s="386"/>
      <c r="X456" s="386">
        <v>2</v>
      </c>
      <c r="Y456" s="86">
        <f>SUM(BD_MO[[#This Row],[LIMP]:[SERV]])</f>
        <v>2</v>
      </c>
      <c r="Z456" s="212"/>
      <c r="AA456" s="212" t="str">
        <f>+IF(BD_MO[[#This Row],[N° VALE]]&lt;&gt;"",1,"")</f>
        <v/>
      </c>
      <c r="AB456" s="40"/>
      <c r="AC456" s="212"/>
      <c r="AD456" s="212" t="str">
        <f>+IF(BD_MO[[#This Row],[N° VALE]]&lt;&gt;"",BD_MO[[#This Row],[FULMINANTE N° 08]]+BD_MO[CARMEX 7''],"")</f>
        <v/>
      </c>
      <c r="AE456" s="212"/>
      <c r="AF456" s="212" t="str">
        <f>+IF(BD_MO[[#This Row],[N° VALE]]&lt;&gt;"",BD_MO[[#This Row],[N° TALADROS]]+BD_MO[[#This Row],[N° TAL. VACIOS]],"")</f>
        <v/>
      </c>
      <c r="AG456" s="387"/>
      <c r="AH456" s="387"/>
      <c r="AI456" s="387"/>
      <c r="AJ456" s="387"/>
      <c r="AK456" s="387"/>
      <c r="AL456" s="387"/>
      <c r="AM456" s="383"/>
      <c r="AN456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56" s="212" t="str">
        <f>+IF(BD_MO[[#This Row],[N° VALE]]&lt;&gt;"",IF(BD_MO[[#This Row],[FULMINANTE N° 08]]&lt;&gt;"",BD_MO[[#This Row],[FULMINANTE N° 08]],IF(BD_MO[[#This Row],[CARMEX 7'']]&lt;&gt;0,0,"")),"")</f>
        <v/>
      </c>
      <c r="AP456" s="386" t="str">
        <f>+IF(BD_MO[[#This Row],[N° VALE]]&lt;&gt;"",BD_MO[[#This Row],[N°  TOTAL TALADROS]]*BD_MO[[#This Row],[BARRA]]*0.95,"")</f>
        <v/>
      </c>
      <c r="AQ456" s="386" t="str">
        <f>+IF(BD_MO[[#This Row],[N° VALE]]&lt;&gt;"",BD_MO[[#This Row],[EMULNOR 1000 (N° CART.)]]*PE_EMUL_1000[PE],"")</f>
        <v/>
      </c>
      <c r="AR456" s="386" t="str">
        <f>+IF(BD_MO[[#This Row],[N° VALE]]&lt;&gt;"",BD_MO[[#This Row],[EMULNOR 3000 (N° CART.)]]*PE_EMUL_3000[PE],"")</f>
        <v/>
      </c>
      <c r="AS456" s="386" t="str">
        <f>+IF(BD_MO[[#This Row],[N° VALE]]&lt;&gt;"",BD_MO[[#This Row],[PULVERULENTA (N° CART.)]]*PE_PULV_65[PE],"")</f>
        <v/>
      </c>
      <c r="AT456" s="386" t="str">
        <f>+IF(BD_MO[[#This Row],[N° DISP]]&lt;&gt;"",BD_MO[[#This Row],[SEMIGELATINA (N° CART.)]]*PE_SEMIGEL_65[PE],"")</f>
        <v/>
      </c>
      <c r="AU456" s="386" t="str">
        <f>+IF(BD_MO[N° VALE]&lt;&gt;"",BD_MO[[#This Row],[KG EXPLO SEMIGEL]]+BD_MO[[#This Row],[KG EXPLO PULVE]]+BD_MO[[#This Row],[KG EXPLO EMULN 3000]]+BD_MO[[#This Row],[KG EXPLO EMULN 1000]],"")</f>
        <v/>
      </c>
      <c r="AV456" s="212"/>
      <c r="AW456" s="212"/>
      <c r="AX456" s="212" t="str">
        <f>+IF(BD_MO[[#This Row],[MINERAL (U-35)]]&lt;&gt;"",BD_MO[[#This Row],[MINERAL (U-35)]]*1.45,"-")</f>
        <v>-</v>
      </c>
      <c r="AY456" s="212" t="str">
        <f>+IF(BD_MO[[#This Row],[DESMONTE (U-35)]]&lt;&gt;"",BD_MO[[#This Row],[DESMONTE (U-35)]]*1.23,"-")</f>
        <v>-</v>
      </c>
      <c r="AZ456" s="212"/>
      <c r="BA456" s="212"/>
      <c r="BB456" s="212"/>
      <c r="BC456" s="212"/>
      <c r="BD456" s="212"/>
      <c r="BE456" s="212"/>
      <c r="BF456" s="212"/>
      <c r="BG456" s="212"/>
      <c r="BH456" s="212"/>
      <c r="BI456" s="212"/>
      <c r="BJ456" s="212"/>
      <c r="BK456" s="212"/>
      <c r="BL456" s="212"/>
      <c r="BM456" s="212"/>
      <c r="BN456" s="383"/>
      <c r="BO456" s="212"/>
      <c r="BP456" s="212"/>
      <c r="BQ456" s="383"/>
      <c r="BR456" s="212"/>
      <c r="BS456" s="383"/>
      <c r="BT456" s="386"/>
      <c r="BU456" s="212"/>
      <c r="BV456" s="212"/>
      <c r="BW456" s="212"/>
      <c r="BX456" s="212"/>
      <c r="BY456" s="212"/>
      <c r="BZ456" s="212"/>
      <c r="CA456" s="212"/>
      <c r="CB456" s="212"/>
      <c r="CC456" s="212"/>
      <c r="CD456" s="212"/>
      <c r="CE456" s="212"/>
      <c r="CF456" s="212"/>
      <c r="CG456" s="212"/>
      <c r="CH456" s="212"/>
      <c r="CI456" s="212"/>
      <c r="CJ456" s="212"/>
      <c r="CK456" s="212"/>
      <c r="CL456" s="212"/>
      <c r="CM456" s="212"/>
      <c r="CN456" s="212"/>
      <c r="CO456" s="212"/>
      <c r="CP456" s="386">
        <f>+IF(BD_MO[[#This Row],[FECHA]]&lt;&gt;"",BD_MO[[#This Row],[PUNTAL 4"]]+BD_MO[[#This Row],[PUNTAL 5"]]+BD_MO[[#This Row],[PUNTAL 6"]]+BD_MO[[#This Row],[PUNTAL 7"]]+BD_MO[[#This Row],[PUNTAL 8"]],"")</f>
        <v>0</v>
      </c>
      <c r="CQ456" s="212"/>
      <c r="CR456" s="212"/>
      <c r="CS456" s="212"/>
      <c r="CT456" s="212"/>
      <c r="CU456" s="212"/>
      <c r="CV456" s="212"/>
      <c r="CW456" s="212"/>
      <c r="CX456" s="212"/>
      <c r="CY456" s="386"/>
      <c r="CZ456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56" s="386">
        <f>+IF(BD_MO[[#This Row],[FECHA]]&lt;&gt;"",BD_MO[[#This Row],[DURMIENTE2]]*6.561+BD_MO[[#This Row],[LISTONES]]*4.921+BD_MO[[#This Row],[TABLA 1"x8"x3m]]*6.561+BD_MO[[#This Row],[TABLA 2"x8"x3m]]*13.122,"")</f>
        <v>0</v>
      </c>
      <c r="DB456" s="386">
        <f>+IF(BD_MO[[#This Row],[FECHA]]&lt;&gt;"",BD_MO[[#This Row],[PIE2 MADERA ASERRADA]]*1.95,"")</f>
        <v>0</v>
      </c>
      <c r="DC456" s="386">
        <f>+IF(BD_MO[[#This Row],[FECHA]]&lt;&gt;"",BD_MO[[#This Row],[KG. MADERA REDONDA]]+BD_MO[[#This Row],[KG MADERA ASERRADA]],"")</f>
        <v>0</v>
      </c>
      <c r="DD456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56" s="212"/>
      <c r="DF456" s="212"/>
      <c r="DG456" s="212"/>
      <c r="DH456" s="212"/>
      <c r="DI456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56" s="228"/>
      <c r="DK456" s="228"/>
      <c r="DL456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56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56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56" s="408"/>
      <c r="DP456" s="228" t="str">
        <f>+IF(BD_MO[[#This Row],[M o D]]&lt;&gt;"",IF(BD_MO[[#This Row],[M o D]]="M",BD_MO[[#This Row],[ROTURA TMH]]/2.65,BD_MO[[#This Row],[ROTURA TMH]]/2.4),"")</f>
        <v/>
      </c>
      <c r="DQ456" s="228"/>
      <c r="DR456" s="116" t="str">
        <f>IF(BD_MO[[#This Row],[TIPO AVANCE]]="Avance",((BD_MO[[#This Row],[AVANCE (m)]]/BD_MO[[#This Row],[AVANCE TEÓRICO]]))," ")</f>
        <v xml:space="preserve"> </v>
      </c>
      <c r="DS456" s="134"/>
      <c r="DT456" s="134"/>
      <c r="DU456" s="134"/>
      <c r="DV456" s="134"/>
      <c r="DW456" s="134"/>
      <c r="DX456" s="135"/>
      <c r="DY456" s="135"/>
      <c r="DZ456" s="135"/>
    </row>
    <row r="457" spans="1:130" s="115" customFormat="1" ht="18" customHeight="1" thickBot="1" x14ac:dyDescent="0.3">
      <c r="A457" s="130">
        <v>44677</v>
      </c>
      <c r="B457" s="117" t="s">
        <v>10647</v>
      </c>
      <c r="C457" s="117" t="s">
        <v>10668</v>
      </c>
      <c r="D457" s="118" t="s">
        <v>10717</v>
      </c>
      <c r="E457" s="119" t="str">
        <f>LEFT(BD_MO[[#This Row],[LABOR]],2)</f>
        <v>BO</v>
      </c>
      <c r="F457" s="120"/>
      <c r="G457" s="120" t="s">
        <v>10669</v>
      </c>
      <c r="H457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57" s="119" t="str">
        <f>IF(BD_MO[FECHA]&lt;&gt;"",VLOOKUP(BD_MO[LABOR],TB_CECO[[LABOR]:[CECO_T]],3,FALSE),"")</f>
        <v>CACHORRO</v>
      </c>
      <c r="J457" s="119" t="str">
        <f>IF(BD_MO[FECHA]&lt;&gt;"",VLOOKUP(BD_MO[LABOR],D_CECO!B:H,7,FALSE),"")</f>
        <v>SERVICIOS</v>
      </c>
      <c r="K457" s="119" t="str">
        <f>IF(BD_MO[FECHA]&lt;&gt;"",VLOOKUP(BD_MO[LABOR],D_CECO!B:H,4,FALSE),"")</f>
        <v>SERVICIOS</v>
      </c>
      <c r="L457" s="119"/>
      <c r="M457" s="117"/>
      <c r="N457" s="120"/>
      <c r="O457" s="121" t="s">
        <v>12118</v>
      </c>
      <c r="P457" s="121"/>
      <c r="Q457" s="121"/>
      <c r="R457" s="122"/>
      <c r="S457" s="123" t="str">
        <f>IFERROR(VLOOKUP(BD_MO[DNI 4],#REF!,2,FALSE)," ")</f>
        <v xml:space="preserve"> </v>
      </c>
      <c r="T457" s="124">
        <f>+IF(BD_MO[[#This Row],[FECHA]]&lt;&gt;"",COUNTA(BD_MO[[#This Row],[DNI]],BD_MO[[#This Row],[DNI 2]],BD_MO[[#This Row],[DNI 3]],BD_MO[[#This Row],[DNI 4]]),"")</f>
        <v>1</v>
      </c>
      <c r="U457" s="124"/>
      <c r="V457" s="124"/>
      <c r="W457" s="124"/>
      <c r="X457" s="124">
        <v>1</v>
      </c>
      <c r="Y457" s="125">
        <f>SUM(BD_MO[[#This Row],[LIMP]:[SERV]])</f>
        <v>1</v>
      </c>
      <c r="Z457" s="120"/>
      <c r="AA457" s="120" t="str">
        <f>+IF(BD_MO[[#This Row],[N° VALE]]&lt;&gt;"",1,"")</f>
        <v/>
      </c>
      <c r="AB457" s="117"/>
      <c r="AC457" s="120"/>
      <c r="AD457" s="120" t="str">
        <f>+IF(BD_MO[[#This Row],[N° VALE]]&lt;&gt;"",BD_MO[[#This Row],[FULMINANTE N° 08]]+BD_MO[CARMEX 7''],"")</f>
        <v/>
      </c>
      <c r="AE457" s="120"/>
      <c r="AF457" s="120" t="str">
        <f>+IF(BD_MO[[#This Row],[N° VALE]]&lt;&gt;"",BD_MO[[#This Row],[N° TALADROS]]+BD_MO[[#This Row],[N° TAL. VACIOS]],"")</f>
        <v/>
      </c>
      <c r="AG457" s="126"/>
      <c r="AH457" s="126"/>
      <c r="AI457" s="126"/>
      <c r="AJ457" s="126"/>
      <c r="AK457" s="126"/>
      <c r="AL457" s="126"/>
      <c r="AM457" s="119"/>
      <c r="AN457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57" s="120" t="str">
        <f>+IF(BD_MO[[#This Row],[N° VALE]]&lt;&gt;"",IF(BD_MO[[#This Row],[FULMINANTE N° 08]]&lt;&gt;"",BD_MO[[#This Row],[FULMINANTE N° 08]],IF(BD_MO[[#This Row],[CARMEX 7'']]&lt;&gt;0,0,"")),"")</f>
        <v/>
      </c>
      <c r="AP457" s="124" t="str">
        <f>+IF(BD_MO[[#This Row],[N° VALE]]&lt;&gt;"",BD_MO[[#This Row],[N°  TOTAL TALADROS]]*BD_MO[[#This Row],[BARRA]]*0.95,"")</f>
        <v/>
      </c>
      <c r="AQ457" s="124" t="str">
        <f>+IF(BD_MO[[#This Row],[N° VALE]]&lt;&gt;"",BD_MO[[#This Row],[EMULNOR 1000 (N° CART.)]]*PE_EMUL_1000[PE],"")</f>
        <v/>
      </c>
      <c r="AR457" s="124" t="str">
        <f>+IF(BD_MO[[#This Row],[N° VALE]]&lt;&gt;"",BD_MO[[#This Row],[EMULNOR 3000 (N° CART.)]]*PE_EMUL_3000[PE],"")</f>
        <v/>
      </c>
      <c r="AS457" s="124" t="str">
        <f>+IF(BD_MO[[#This Row],[N° VALE]]&lt;&gt;"",BD_MO[[#This Row],[PULVERULENTA (N° CART.)]]*PE_PULV_65[PE],"")</f>
        <v/>
      </c>
      <c r="AT457" s="124" t="str">
        <f>+IF(BD_MO[[#This Row],[N° DISP]]&lt;&gt;"",BD_MO[[#This Row],[SEMIGELATINA (N° CART.)]]*PE_SEMIGEL_65[PE],"")</f>
        <v/>
      </c>
      <c r="AU457" s="124" t="str">
        <f>+IF(BD_MO[N° VALE]&lt;&gt;"",BD_MO[[#This Row],[KG EXPLO SEMIGEL]]+BD_MO[[#This Row],[KG EXPLO PULVE]]+BD_MO[[#This Row],[KG EXPLO EMULN 3000]]+BD_MO[[#This Row],[KG EXPLO EMULN 1000]],"")</f>
        <v/>
      </c>
      <c r="AV457" s="120"/>
      <c r="AW457" s="120"/>
      <c r="AX457" s="120" t="str">
        <f>+IF(BD_MO[[#This Row],[MINERAL (U-35)]]&lt;&gt;"",BD_MO[[#This Row],[MINERAL (U-35)]]*1.45,"-")</f>
        <v>-</v>
      </c>
      <c r="AY457" s="120" t="str">
        <f>+IF(BD_MO[[#This Row],[DESMONTE (U-35)]]&lt;&gt;"",BD_MO[[#This Row],[DESMONTE (U-35)]]*1.23,"-")</f>
        <v>-</v>
      </c>
      <c r="AZ457" s="120"/>
      <c r="BA457" s="120"/>
      <c r="BB457" s="120"/>
      <c r="BC457" s="120"/>
      <c r="BD457" s="120"/>
      <c r="BE457" s="120"/>
      <c r="BF457" s="120"/>
      <c r="BG457" s="120"/>
      <c r="BH457" s="120"/>
      <c r="BI457" s="120"/>
      <c r="BJ457" s="120"/>
      <c r="BK457" s="120"/>
      <c r="BL457" s="120"/>
      <c r="BM457" s="120"/>
      <c r="BN457" s="119"/>
      <c r="BO457" s="120"/>
      <c r="BP457" s="120"/>
      <c r="BQ457" s="119"/>
      <c r="BR457" s="120"/>
      <c r="BS457" s="119"/>
      <c r="BT457" s="124"/>
      <c r="BU457" s="120"/>
      <c r="BV457" s="120"/>
      <c r="BW457" s="120"/>
      <c r="BX457" s="120"/>
      <c r="BY457" s="120"/>
      <c r="BZ457" s="120"/>
      <c r="CA457" s="120"/>
      <c r="CB457" s="120"/>
      <c r="CC457" s="120"/>
      <c r="CD457" s="120"/>
      <c r="CE457" s="120"/>
      <c r="CF457" s="120"/>
      <c r="CG457" s="120"/>
      <c r="CH457" s="120"/>
      <c r="CI457" s="120"/>
      <c r="CJ457" s="120"/>
      <c r="CK457" s="120"/>
      <c r="CL457" s="120"/>
      <c r="CM457" s="120"/>
      <c r="CN457" s="120"/>
      <c r="CO457" s="120"/>
      <c r="CP457" s="124">
        <f>+IF(BD_MO[[#This Row],[FECHA]]&lt;&gt;"",BD_MO[[#This Row],[PUNTAL 4"]]+BD_MO[[#This Row],[PUNTAL 5"]]+BD_MO[[#This Row],[PUNTAL 6"]]+BD_MO[[#This Row],[PUNTAL 7"]]+BD_MO[[#This Row],[PUNTAL 8"]],"")</f>
        <v>0</v>
      </c>
      <c r="CQ457" s="120"/>
      <c r="CR457" s="120"/>
      <c r="CS457" s="120"/>
      <c r="CT457" s="120"/>
      <c r="CU457" s="120"/>
      <c r="CV457" s="120"/>
      <c r="CW457" s="120"/>
      <c r="CX457" s="120"/>
      <c r="CY457" s="124"/>
      <c r="CZ457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57" s="124">
        <f>+IF(BD_MO[[#This Row],[FECHA]]&lt;&gt;"",BD_MO[[#This Row],[DURMIENTE2]]*6.561+BD_MO[[#This Row],[LISTONES]]*4.921+BD_MO[[#This Row],[TABLA 1"x8"x3m]]*6.561+BD_MO[[#This Row],[TABLA 2"x8"x3m]]*13.122,"")</f>
        <v>0</v>
      </c>
      <c r="DB457" s="124">
        <f>+IF(BD_MO[[#This Row],[FECHA]]&lt;&gt;"",BD_MO[[#This Row],[PIE2 MADERA ASERRADA]]*1.95,"")</f>
        <v>0</v>
      </c>
      <c r="DC457" s="124">
        <f>+IF(BD_MO[[#This Row],[FECHA]]&lt;&gt;"",BD_MO[[#This Row],[KG. MADERA REDONDA]]+BD_MO[[#This Row],[KG MADERA ASERRADA]],"")</f>
        <v>0</v>
      </c>
      <c r="DD457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57" s="120"/>
      <c r="DF457" s="120"/>
      <c r="DG457" s="120"/>
      <c r="DH457" s="120"/>
      <c r="DI457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57" s="128"/>
      <c r="DK457" s="128"/>
      <c r="DL457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57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57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57" s="422"/>
      <c r="DP457" s="128" t="str">
        <f>+IF(BD_MO[[#This Row],[M o D]]&lt;&gt;"",IF(BD_MO[[#This Row],[M o D]]="M",BD_MO[[#This Row],[ROTURA TMH]]/2.65,BD_MO[[#This Row],[ROTURA TMH]]/2.4),"")</f>
        <v/>
      </c>
      <c r="DQ457" s="128"/>
      <c r="DR457" s="484" t="str">
        <f>IF(BD_MO[[#This Row],[TIPO AVANCE]]="Avance",((BD_MO[[#This Row],[AVANCE (m)]]/BD_MO[[#This Row],[AVANCE TEÓRICO]]))," ")</f>
        <v xml:space="preserve"> </v>
      </c>
      <c r="DS457" s="113"/>
      <c r="DT457" s="113"/>
      <c r="DU457" s="113"/>
      <c r="DV457" s="113"/>
      <c r="DW457" s="113"/>
      <c r="DX457" s="114"/>
      <c r="DY457" s="114"/>
      <c r="DZ457" s="114"/>
    </row>
    <row r="458" spans="1:130" s="136" customFormat="1" ht="18" customHeight="1" x14ac:dyDescent="0.25">
      <c r="A458" s="92">
        <v>44677</v>
      </c>
      <c r="B458" s="40" t="s">
        <v>10655</v>
      </c>
      <c r="C458" s="40" t="s">
        <v>10672</v>
      </c>
      <c r="D458" s="94" t="s">
        <v>11827</v>
      </c>
      <c r="E458" s="383" t="str">
        <f>LEFT(BD_MO[[#This Row],[LABOR]],2)</f>
        <v>Tj</v>
      </c>
      <c r="F458" s="212" t="s">
        <v>10950</v>
      </c>
      <c r="G458" s="212" t="s">
        <v>10648</v>
      </c>
      <c r="H458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58" s="383" t="str">
        <f>IF(BD_MO[FECHA]&lt;&gt;"",VLOOKUP(BD_MO[LABOR],TB_CECO[[LABOR]:[CECO_T]],3,FALSE),"")</f>
        <v>VANESSA</v>
      </c>
      <c r="J458" s="383" t="str">
        <f>IF(BD_MO[FECHA]&lt;&gt;"",VLOOKUP(BD_MO[LABOR],D_CECO!B:H,7,FALSE),"")</f>
        <v>TAJO</v>
      </c>
      <c r="K458" s="383" t="str">
        <f>IF(BD_MO[FECHA]&lt;&gt;"",VLOOKUP(BD_MO[LABOR],D_CECO!B:H,4,FALSE),"")</f>
        <v>EXPLOTACION</v>
      </c>
      <c r="L458" s="383"/>
      <c r="M458" s="40" t="s">
        <v>10661</v>
      </c>
      <c r="N458" s="212"/>
      <c r="O458" s="93" t="s">
        <v>12194</v>
      </c>
      <c r="P458" s="93" t="s">
        <v>12332</v>
      </c>
      <c r="Q458" s="93"/>
      <c r="R458" s="384"/>
      <c r="S458" s="385" t="str">
        <f>IFERROR(VLOOKUP(BD_MO[DNI 4],#REF!,2,FALSE)," ")</f>
        <v xml:space="preserve"> </v>
      </c>
      <c r="T458" s="386">
        <v>1</v>
      </c>
      <c r="U458" s="386"/>
      <c r="V458" s="386">
        <v>0.14000000000000001</v>
      </c>
      <c r="W458" s="386">
        <v>0.48</v>
      </c>
      <c r="X458" s="386">
        <v>0.38</v>
      </c>
      <c r="Y458" s="86">
        <f>SUM(BD_MO[[#This Row],[LIMP]:[SERV]])</f>
        <v>1</v>
      </c>
      <c r="Z458" s="212" t="s">
        <v>12400</v>
      </c>
      <c r="AA458" s="212">
        <f>+IF(BD_MO[[#This Row],[N° VALE]]&lt;&gt;"",1,"")</f>
        <v>1</v>
      </c>
      <c r="AB458" s="40" t="s">
        <v>10691</v>
      </c>
      <c r="AC458" s="212">
        <v>4</v>
      </c>
      <c r="AD458" s="212">
        <f>+IF(BD_MO[[#This Row],[N° VALE]]&lt;&gt;"",BD_MO[[#This Row],[FULMINANTE N° 08]]+BD_MO[CARMEX 7''],"")</f>
        <v>10</v>
      </c>
      <c r="AE458" s="212"/>
      <c r="AF458" s="212">
        <f>+IF(BD_MO[[#This Row],[N° VALE]]&lt;&gt;"",BD_MO[[#This Row],[N° TALADROS]]+BD_MO[[#This Row],[N° TAL. VACIOS]],"")</f>
        <v>10</v>
      </c>
      <c r="AG458" s="387">
        <v>10</v>
      </c>
      <c r="AH458" s="387">
        <v>30</v>
      </c>
      <c r="AI458" s="387"/>
      <c r="AJ458" s="387"/>
      <c r="AK458" s="387">
        <v>10</v>
      </c>
      <c r="AL458" s="387">
        <v>2</v>
      </c>
      <c r="AM458" s="383"/>
      <c r="AN458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58" s="212">
        <f>+IF(BD_MO[[#This Row],[N° VALE]]&lt;&gt;"",IF(BD_MO[[#This Row],[FULMINANTE N° 08]]&lt;&gt;"",BD_MO[[#This Row],[FULMINANTE N° 08]],IF(BD_MO[[#This Row],[CARMEX 7'']]&lt;&gt;0,0,"")),"")</f>
        <v>0</v>
      </c>
      <c r="AP458" s="386">
        <f>+IF(BD_MO[[#This Row],[N° VALE]]&lt;&gt;"",BD_MO[[#This Row],[N°  TOTAL TALADROS]]*BD_MO[[#This Row],[BARRA]]*0.95,"")</f>
        <v>38</v>
      </c>
      <c r="AQ458" s="386">
        <f>+IF(BD_MO[[#This Row],[N° VALE]]&lt;&gt;"",BD_MO[[#This Row],[EMULNOR 1000 (N° CART.)]]*PE_EMUL_1000[PE],"")</f>
        <v>2.8410000000000002</v>
      </c>
      <c r="AR458" s="386">
        <f>+IF(BD_MO[[#This Row],[N° VALE]]&lt;&gt;"",BD_MO[[#This Row],[EMULNOR 3000 (N° CART.)]]*PE_EMUL_3000[PE],"")</f>
        <v>0.96153846153846201</v>
      </c>
      <c r="AS458" s="386">
        <f>+IF(BD_MO[[#This Row],[N° VALE]]&lt;&gt;"",BD_MO[[#This Row],[PULVERULENTA (N° CART.)]]*PE_PULV_65[PE],"")</f>
        <v>0</v>
      </c>
      <c r="AT458" s="386">
        <f>+IF(BD_MO[[#This Row],[N° DISP]]&lt;&gt;"",BD_MO[[#This Row],[SEMIGELATINA (N° CART.)]]*PE_SEMIGEL_65[PE],"")</f>
        <v>0</v>
      </c>
      <c r="AU458" s="386">
        <f>+IF(BD_MO[N° VALE]&lt;&gt;"",BD_MO[[#This Row],[KG EXPLO SEMIGEL]]+BD_MO[[#This Row],[KG EXPLO PULVE]]+BD_MO[[#This Row],[KG EXPLO EMULN 3000]]+BD_MO[[#This Row],[KG EXPLO EMULN 1000]],"")</f>
        <v>3.8025384615384623</v>
      </c>
      <c r="AV458" s="212"/>
      <c r="AW458" s="212"/>
      <c r="AX458" s="212" t="str">
        <f>+IF(BD_MO[[#This Row],[MINERAL (U-35)]]&lt;&gt;"",BD_MO[[#This Row],[MINERAL (U-35)]]*1.45,"-")</f>
        <v>-</v>
      </c>
      <c r="AY458" s="212" t="str">
        <f>+IF(BD_MO[[#This Row],[DESMONTE (U-35)]]&lt;&gt;"",BD_MO[[#This Row],[DESMONTE (U-35)]]*1.23,"-")</f>
        <v>-</v>
      </c>
      <c r="AZ458" s="212"/>
      <c r="BA458" s="212"/>
      <c r="BB458" s="212"/>
      <c r="BC458" s="212"/>
      <c r="BD458" s="212"/>
      <c r="BE458" s="212"/>
      <c r="BF458" s="212"/>
      <c r="BG458" s="212"/>
      <c r="BH458" s="212"/>
      <c r="BI458" s="212">
        <v>1</v>
      </c>
      <c r="BJ458" s="212"/>
      <c r="BK458" s="212"/>
      <c r="BL458" s="212"/>
      <c r="BM458" s="212"/>
      <c r="BN458" s="383"/>
      <c r="BO458" s="212"/>
      <c r="BP458" s="212"/>
      <c r="BQ458" s="383"/>
      <c r="BR458" s="212"/>
      <c r="BS458" s="383"/>
      <c r="BT458" s="386"/>
      <c r="BU458" s="212"/>
      <c r="BV458" s="212"/>
      <c r="BW458" s="212">
        <v>4</v>
      </c>
      <c r="BX458" s="212"/>
      <c r="BY458" s="212"/>
      <c r="BZ458" s="212"/>
      <c r="CA458" s="212"/>
      <c r="CB458" s="212"/>
      <c r="CC458" s="212"/>
      <c r="CD458" s="212"/>
      <c r="CE458" s="212"/>
      <c r="CF458" s="212"/>
      <c r="CG458" s="212"/>
      <c r="CH458" s="212"/>
      <c r="CI458" s="212"/>
      <c r="CJ458" s="212"/>
      <c r="CK458" s="212"/>
      <c r="CL458" s="212"/>
      <c r="CM458" s="212"/>
      <c r="CN458" s="212">
        <v>1</v>
      </c>
      <c r="CO458" s="212"/>
      <c r="CP458" s="386">
        <f>+IF(BD_MO[[#This Row],[FECHA]]&lt;&gt;"",BD_MO[[#This Row],[PUNTAL 4"]]+BD_MO[[#This Row],[PUNTAL 5"]]+BD_MO[[#This Row],[PUNTAL 6"]]+BD_MO[[#This Row],[PUNTAL 7"]]+BD_MO[[#This Row],[PUNTAL 8"]],"")</f>
        <v>1</v>
      </c>
      <c r="CQ458" s="212"/>
      <c r="CR458" s="212"/>
      <c r="CS458" s="212">
        <v>6</v>
      </c>
      <c r="CT458" s="212"/>
      <c r="CU458" s="212"/>
      <c r="CV458" s="212"/>
      <c r="CW458" s="212"/>
      <c r="CX458" s="212"/>
      <c r="CY458" s="386"/>
      <c r="CZ458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208.67900000000003</v>
      </c>
      <c r="DA458" s="386">
        <f>+IF(BD_MO[[#This Row],[FECHA]]&lt;&gt;"",BD_MO[[#This Row],[DURMIENTE2]]*6.561+BD_MO[[#This Row],[LISTONES]]*4.921+BD_MO[[#This Row],[TABLA 1"x8"x3m]]*6.561+BD_MO[[#This Row],[TABLA 2"x8"x3m]]*13.122,"")</f>
        <v>0</v>
      </c>
      <c r="DB458" s="386">
        <f>+IF(BD_MO[[#This Row],[FECHA]]&lt;&gt;"",BD_MO[[#This Row],[PIE2 MADERA ASERRADA]]*1.95,"")</f>
        <v>0</v>
      </c>
      <c r="DC458" s="386">
        <f>+IF(BD_MO[[#This Row],[FECHA]]&lt;&gt;"",BD_MO[[#This Row],[KG. MADERA REDONDA]]+BD_MO[[#This Row],[KG MADERA ASERRADA]],"")</f>
        <v>208.67900000000003</v>
      </c>
      <c r="DD458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91.539999999999992</v>
      </c>
      <c r="DE458" s="212"/>
      <c r="DF458" s="212"/>
      <c r="DG458" s="212"/>
      <c r="DH458" s="212"/>
      <c r="DI458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58" s="228"/>
      <c r="DK458" s="228"/>
      <c r="DL458" s="228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458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458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58" s="367">
        <v>9.0429999999999993</v>
      </c>
      <c r="DP458" s="228">
        <f>+IF(BD_MO[[#This Row],[M o D]]&lt;&gt;"",IF(BD_MO[[#This Row],[M o D]]="M",BD_MO[[#This Row],[ROTURA TMH]]/2.65,BD_MO[[#This Row],[ROTURA TMH]]/2.4),"")</f>
        <v>3.4124528301886792</v>
      </c>
      <c r="DQ458" s="228"/>
      <c r="DR458" s="116" t="str">
        <f>IF(BD_MO[[#This Row],[TIPO AVANCE]]="Avance",((BD_MO[[#This Row],[AVANCE (m)]]/BD_MO[[#This Row],[AVANCE TEÓRICO]]))," ")</f>
        <v xml:space="preserve"> </v>
      </c>
      <c r="DS458" s="134"/>
      <c r="DT458" s="134"/>
      <c r="DU458" s="134"/>
      <c r="DV458" s="134"/>
      <c r="DW458" s="134"/>
      <c r="DX458" s="135"/>
      <c r="DY458" s="135"/>
      <c r="DZ458" s="135"/>
    </row>
    <row r="459" spans="1:130" s="136" customFormat="1" ht="18" customHeight="1" x14ac:dyDescent="0.25">
      <c r="A459" s="92">
        <v>44677</v>
      </c>
      <c r="B459" s="40" t="s">
        <v>10655</v>
      </c>
      <c r="C459" s="40" t="s">
        <v>10672</v>
      </c>
      <c r="D459" s="94" t="s">
        <v>11827</v>
      </c>
      <c r="E459" s="383" t="str">
        <f>LEFT(BD_MO[[#This Row],[LABOR]],2)</f>
        <v>Tj</v>
      </c>
      <c r="F459" s="212" t="s">
        <v>10950</v>
      </c>
      <c r="G459" s="212" t="s">
        <v>10648</v>
      </c>
      <c r="H459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59" s="383" t="str">
        <f>IF(BD_MO[FECHA]&lt;&gt;"",VLOOKUP(BD_MO[LABOR],TB_CECO[[LABOR]:[CECO_T]],3,FALSE),"")</f>
        <v>VANESSA</v>
      </c>
      <c r="J459" s="383" t="str">
        <f>IF(BD_MO[FECHA]&lt;&gt;"",VLOOKUP(BD_MO[LABOR],D_CECO!B:H,7,FALSE),"")</f>
        <v>TAJO</v>
      </c>
      <c r="K459" s="383" t="str">
        <f>IF(BD_MO[FECHA]&lt;&gt;"",VLOOKUP(BD_MO[LABOR],D_CECO!B:H,4,FALSE),"")</f>
        <v>EXPLOTACION</v>
      </c>
      <c r="L459" s="383"/>
      <c r="M459" s="40" t="s">
        <v>10661</v>
      </c>
      <c r="N459" s="212"/>
      <c r="O459" s="93" t="s">
        <v>12194</v>
      </c>
      <c r="P459" s="93" t="s">
        <v>12332</v>
      </c>
      <c r="Q459" s="93"/>
      <c r="R459" s="384"/>
      <c r="S459" s="385" t="str">
        <f>IFERROR(VLOOKUP(BD_MO[DNI 4],#REF!,2,FALSE)," ")</f>
        <v xml:space="preserve"> </v>
      </c>
      <c r="T459" s="386">
        <v>1</v>
      </c>
      <c r="U459" s="386"/>
      <c r="V459" s="386">
        <v>0.14000000000000001</v>
      </c>
      <c r="W459" s="386">
        <v>0.48</v>
      </c>
      <c r="X459" s="386">
        <v>0.38</v>
      </c>
      <c r="Y459" s="86">
        <f>SUM(BD_MO[[#This Row],[LIMP]:[SERV]])</f>
        <v>1</v>
      </c>
      <c r="Z459" s="212" t="s">
        <v>12401</v>
      </c>
      <c r="AA459" s="212">
        <f>+IF(BD_MO[[#This Row],[N° VALE]]&lt;&gt;"",1,"")</f>
        <v>1</v>
      </c>
      <c r="AB459" s="40" t="s">
        <v>10691</v>
      </c>
      <c r="AC459" s="212">
        <v>4</v>
      </c>
      <c r="AD459" s="212">
        <f>+IF(BD_MO[[#This Row],[N° VALE]]&lt;&gt;"",BD_MO[[#This Row],[FULMINANTE N° 08]]+BD_MO[CARMEX 7''],"")</f>
        <v>10</v>
      </c>
      <c r="AE459" s="212"/>
      <c r="AF459" s="212">
        <f>+IF(BD_MO[[#This Row],[N° VALE]]&lt;&gt;"",BD_MO[[#This Row],[N° TALADROS]]+BD_MO[[#This Row],[N° TAL. VACIOS]],"")</f>
        <v>10</v>
      </c>
      <c r="AG459" s="387">
        <v>20</v>
      </c>
      <c r="AH459" s="387">
        <v>20</v>
      </c>
      <c r="AI459" s="387"/>
      <c r="AJ459" s="387"/>
      <c r="AK459" s="387">
        <v>10</v>
      </c>
      <c r="AL459" s="387">
        <v>2</v>
      </c>
      <c r="AM459" s="383"/>
      <c r="AN459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59" s="212">
        <f>+IF(BD_MO[[#This Row],[N° VALE]]&lt;&gt;"",IF(BD_MO[[#This Row],[FULMINANTE N° 08]]&lt;&gt;"",BD_MO[[#This Row],[FULMINANTE N° 08]],IF(BD_MO[[#This Row],[CARMEX 7'']]&lt;&gt;0,0,"")),"")</f>
        <v>0</v>
      </c>
      <c r="AP459" s="386">
        <f>+IF(BD_MO[[#This Row],[N° VALE]]&lt;&gt;"",BD_MO[[#This Row],[N°  TOTAL TALADROS]]*BD_MO[[#This Row],[BARRA]]*0.95,"")</f>
        <v>38</v>
      </c>
      <c r="AQ459" s="386">
        <f>+IF(BD_MO[[#This Row],[N° VALE]]&lt;&gt;"",BD_MO[[#This Row],[EMULNOR 1000 (N° CART.)]]*PE_EMUL_1000[PE],"")</f>
        <v>1.8940000000000001</v>
      </c>
      <c r="AR459" s="386">
        <f>+IF(BD_MO[[#This Row],[N° VALE]]&lt;&gt;"",BD_MO[[#This Row],[EMULNOR 3000 (N° CART.)]]*PE_EMUL_3000[PE],"")</f>
        <v>1.923076923076924</v>
      </c>
      <c r="AS459" s="386">
        <f>+IF(BD_MO[[#This Row],[N° VALE]]&lt;&gt;"",BD_MO[[#This Row],[PULVERULENTA (N° CART.)]]*PE_PULV_65[PE],"")</f>
        <v>0</v>
      </c>
      <c r="AT459" s="386">
        <f>+IF(BD_MO[[#This Row],[N° DISP]]&lt;&gt;"",BD_MO[[#This Row],[SEMIGELATINA (N° CART.)]]*PE_SEMIGEL_65[PE],"")</f>
        <v>0</v>
      </c>
      <c r="AU459" s="386">
        <f>+IF(BD_MO[N° VALE]&lt;&gt;"",BD_MO[[#This Row],[KG EXPLO SEMIGEL]]+BD_MO[[#This Row],[KG EXPLO PULVE]]+BD_MO[[#This Row],[KG EXPLO EMULN 3000]]+BD_MO[[#This Row],[KG EXPLO EMULN 1000]],"")</f>
        <v>3.8170769230769244</v>
      </c>
      <c r="AV459" s="212"/>
      <c r="AW459" s="212"/>
      <c r="AX459" s="212" t="str">
        <f>+IF(BD_MO[[#This Row],[MINERAL (U-35)]]&lt;&gt;"",BD_MO[[#This Row],[MINERAL (U-35)]]*1.45,"-")</f>
        <v>-</v>
      </c>
      <c r="AY459" s="212" t="str">
        <f>+IF(BD_MO[[#This Row],[DESMONTE (U-35)]]&lt;&gt;"",BD_MO[[#This Row],[DESMONTE (U-35)]]*1.23,"-")</f>
        <v>-</v>
      </c>
      <c r="AZ459" s="212"/>
      <c r="BA459" s="212"/>
      <c r="BB459" s="212"/>
      <c r="BC459" s="212"/>
      <c r="BD459" s="212"/>
      <c r="BE459" s="212"/>
      <c r="BF459" s="212"/>
      <c r="BG459" s="212"/>
      <c r="BH459" s="212"/>
      <c r="BI459" s="212"/>
      <c r="BJ459" s="212"/>
      <c r="BK459" s="212"/>
      <c r="BL459" s="212"/>
      <c r="BM459" s="212"/>
      <c r="BN459" s="383"/>
      <c r="BO459" s="212"/>
      <c r="BP459" s="212"/>
      <c r="BQ459" s="383"/>
      <c r="BR459" s="212"/>
      <c r="BS459" s="383"/>
      <c r="BT459" s="386"/>
      <c r="BU459" s="212"/>
      <c r="BV459" s="212"/>
      <c r="BW459" s="212"/>
      <c r="BX459" s="212"/>
      <c r="BY459" s="212"/>
      <c r="BZ459" s="212"/>
      <c r="CA459" s="212"/>
      <c r="CB459" s="212"/>
      <c r="CC459" s="212"/>
      <c r="CD459" s="212"/>
      <c r="CE459" s="212"/>
      <c r="CF459" s="212"/>
      <c r="CG459" s="212"/>
      <c r="CH459" s="212"/>
      <c r="CI459" s="212"/>
      <c r="CJ459" s="212"/>
      <c r="CK459" s="212"/>
      <c r="CL459" s="212"/>
      <c r="CM459" s="212"/>
      <c r="CN459" s="212"/>
      <c r="CO459" s="212"/>
      <c r="CP459" s="386">
        <f>+IF(BD_MO[[#This Row],[FECHA]]&lt;&gt;"",BD_MO[[#This Row],[PUNTAL 4"]]+BD_MO[[#This Row],[PUNTAL 5"]]+BD_MO[[#This Row],[PUNTAL 6"]]+BD_MO[[#This Row],[PUNTAL 7"]]+BD_MO[[#This Row],[PUNTAL 8"]],"")</f>
        <v>0</v>
      </c>
      <c r="CQ459" s="212"/>
      <c r="CR459" s="212"/>
      <c r="CS459" s="212"/>
      <c r="CT459" s="212"/>
      <c r="CU459" s="212"/>
      <c r="CV459" s="212"/>
      <c r="CW459" s="212"/>
      <c r="CX459" s="212"/>
      <c r="CY459" s="386"/>
      <c r="CZ459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59" s="386">
        <f>+IF(BD_MO[[#This Row],[FECHA]]&lt;&gt;"",BD_MO[[#This Row],[DURMIENTE2]]*6.561+BD_MO[[#This Row],[LISTONES]]*4.921+BD_MO[[#This Row],[TABLA 1"x8"x3m]]*6.561+BD_MO[[#This Row],[TABLA 2"x8"x3m]]*13.122,"")</f>
        <v>0</v>
      </c>
      <c r="DB459" s="386">
        <f>+IF(BD_MO[[#This Row],[FECHA]]&lt;&gt;"",BD_MO[[#This Row],[PIE2 MADERA ASERRADA]]*1.95,"")</f>
        <v>0</v>
      </c>
      <c r="DC459" s="386">
        <f>+IF(BD_MO[[#This Row],[FECHA]]&lt;&gt;"",BD_MO[[#This Row],[KG. MADERA REDONDA]]+BD_MO[[#This Row],[KG MADERA ASERRADA]],"")</f>
        <v>0</v>
      </c>
      <c r="DD459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59" s="212"/>
      <c r="DF459" s="212"/>
      <c r="DG459" s="212"/>
      <c r="DH459" s="212"/>
      <c r="DI459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59" s="228"/>
      <c r="DK459" s="228"/>
      <c r="DL459" s="228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459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459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59" s="408">
        <v>9.0429999999999993</v>
      </c>
      <c r="DP459" s="228">
        <f>+IF(BD_MO[[#This Row],[M o D]]&lt;&gt;"",IF(BD_MO[[#This Row],[M o D]]="M",BD_MO[[#This Row],[ROTURA TMH]]/2.65,BD_MO[[#This Row],[ROTURA TMH]]/2.4),"")</f>
        <v>3.4124528301886792</v>
      </c>
      <c r="DQ459" s="228"/>
      <c r="DR459" s="116" t="str">
        <f>IF(BD_MO[[#This Row],[TIPO AVANCE]]="Avance",((BD_MO[[#This Row],[AVANCE (m)]]/BD_MO[[#This Row],[AVANCE TEÓRICO]]))," ")</f>
        <v xml:space="preserve"> </v>
      </c>
      <c r="DS459" s="134"/>
      <c r="DT459" s="134"/>
      <c r="DU459" s="134"/>
      <c r="DV459" s="134"/>
      <c r="DW459" s="134"/>
      <c r="DX459" s="135"/>
      <c r="DY459" s="135"/>
      <c r="DZ459" s="135"/>
    </row>
    <row r="460" spans="1:130" s="136" customFormat="1" ht="18" customHeight="1" x14ac:dyDescent="0.25">
      <c r="A460" s="92">
        <v>44677</v>
      </c>
      <c r="B460" s="40" t="s">
        <v>10655</v>
      </c>
      <c r="C460" s="40" t="s">
        <v>10672</v>
      </c>
      <c r="D460" s="397" t="s">
        <v>12465</v>
      </c>
      <c r="E460" s="383" t="str">
        <f>LEFT(BD_MO[[#This Row],[LABOR]],2)</f>
        <v>Sn</v>
      </c>
      <c r="F460" s="212" t="s">
        <v>10950</v>
      </c>
      <c r="G460" s="212" t="s">
        <v>10648</v>
      </c>
      <c r="H460" s="38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60" s="387" t="str">
        <f>IF(BD_MO[FECHA]&lt;&gt;"",VLOOKUP(BD_MO[LABOR],TB_CECO[[LABOR]:[CECO_T]],3,FALSE),"")</f>
        <v>VANESSA</v>
      </c>
      <c r="J460" s="387" t="str">
        <f>IF(BD_MO[FECHA]&lt;&gt;"",VLOOKUP(BD_MO[LABOR],D_CECO!B:H,7,FALSE),"")</f>
        <v>LINEAL</v>
      </c>
      <c r="K460" s="387" t="str">
        <f>IF(BD_MO[FECHA]&lt;&gt;"",VLOOKUP(BD_MO[LABOR],D_CECO!B:H,4,FALSE),"")</f>
        <v>EXPLORACION</v>
      </c>
      <c r="L460" s="383"/>
      <c r="M460" s="40" t="s">
        <v>10646</v>
      </c>
      <c r="N460" s="212"/>
      <c r="O460" s="93" t="s">
        <v>12205</v>
      </c>
      <c r="P460" s="93" t="s">
        <v>12195</v>
      </c>
      <c r="Q460" s="93"/>
      <c r="R460" s="384"/>
      <c r="S460" s="385" t="str">
        <f>IFERROR(VLOOKUP(BD_MO[DNI 4],#REF!,2,FALSE)," ")</f>
        <v xml:space="preserve"> </v>
      </c>
      <c r="T460" s="386">
        <v>1</v>
      </c>
      <c r="U460" s="386">
        <v>0.52</v>
      </c>
      <c r="V460" s="386">
        <v>0.28999999999999998</v>
      </c>
      <c r="W460" s="386"/>
      <c r="X460" s="386">
        <v>0.19</v>
      </c>
      <c r="Y460" s="86">
        <f>SUM(BD_MO[[#This Row],[LIMP]:[SERV]])</f>
        <v>1</v>
      </c>
      <c r="Z460" s="212" t="s">
        <v>12402</v>
      </c>
      <c r="AA460" s="212">
        <f>+IF(BD_MO[[#This Row],[N° VALE]]&lt;&gt;"",1,"")</f>
        <v>1</v>
      </c>
      <c r="AB460" s="40" t="s">
        <v>10709</v>
      </c>
      <c r="AC460" s="212">
        <v>4</v>
      </c>
      <c r="AD460" s="212">
        <f>+IF(BD_MO[[#This Row],[N° VALE]]&lt;&gt;"",BD_MO[[#This Row],[FULMINANTE N° 08]]+BD_MO[CARMEX 7''],"")</f>
        <v>18</v>
      </c>
      <c r="AE460" s="212">
        <v>4</v>
      </c>
      <c r="AF460" s="212">
        <f>+IF(BD_MO[[#This Row],[N° VALE]]&lt;&gt;"",BD_MO[[#This Row],[N° TALADROS]]+BD_MO[[#This Row],[N° TAL. VACIOS]],"")</f>
        <v>22</v>
      </c>
      <c r="AG460" s="387">
        <v>40</v>
      </c>
      <c r="AH460" s="387">
        <v>42</v>
      </c>
      <c r="AI460" s="387"/>
      <c r="AJ460" s="387"/>
      <c r="AK460" s="387">
        <v>18</v>
      </c>
      <c r="AL460" s="387">
        <v>3</v>
      </c>
      <c r="AM460" s="383"/>
      <c r="AN460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60" s="212">
        <f>+IF(BD_MO[[#This Row],[N° VALE]]&lt;&gt;"",IF(BD_MO[[#This Row],[FULMINANTE N° 08]]&lt;&gt;"",BD_MO[[#This Row],[FULMINANTE N° 08]],IF(BD_MO[[#This Row],[CARMEX 7'']]&lt;&gt;0,0,"")),"")</f>
        <v>0</v>
      </c>
      <c r="AP460" s="386">
        <f>+IF(BD_MO[[#This Row],[N° VALE]]&lt;&gt;"",BD_MO[[#This Row],[N°  TOTAL TALADROS]]*BD_MO[[#This Row],[BARRA]]*0.95,"")</f>
        <v>83.6</v>
      </c>
      <c r="AQ460" s="386">
        <f>+IF(BD_MO[[#This Row],[N° VALE]]&lt;&gt;"",BD_MO[[#This Row],[EMULNOR 1000 (N° CART.)]]*PE_EMUL_1000[PE],"")</f>
        <v>3.9774000000000003</v>
      </c>
      <c r="AR460" s="386">
        <f>+IF(BD_MO[[#This Row],[N° VALE]]&lt;&gt;"",BD_MO[[#This Row],[EMULNOR 3000 (N° CART.)]]*PE_EMUL_3000[PE],"")</f>
        <v>3.846153846153848</v>
      </c>
      <c r="AS460" s="386">
        <f>+IF(BD_MO[[#This Row],[N° VALE]]&lt;&gt;"",BD_MO[[#This Row],[PULVERULENTA (N° CART.)]]*PE_PULV_65[PE],"")</f>
        <v>0</v>
      </c>
      <c r="AT460" s="386">
        <f>+IF(BD_MO[[#This Row],[N° DISP]]&lt;&gt;"",BD_MO[[#This Row],[SEMIGELATINA (N° CART.)]]*PE_SEMIGEL_65[PE],"")</f>
        <v>0</v>
      </c>
      <c r="AU460" s="386">
        <f>+IF(BD_MO[N° VALE]&lt;&gt;"",BD_MO[[#This Row],[KG EXPLO SEMIGEL]]+BD_MO[[#This Row],[KG EXPLO PULVE]]+BD_MO[[#This Row],[KG EXPLO EMULN 3000]]+BD_MO[[#This Row],[KG EXPLO EMULN 1000]],"")</f>
        <v>7.8235538461538479</v>
      </c>
      <c r="AV460" s="212"/>
      <c r="AW460" s="212"/>
      <c r="AX460" s="212" t="str">
        <f>+IF(BD_MO[[#This Row],[MINERAL (U-35)]]&lt;&gt;"",BD_MO[[#This Row],[MINERAL (U-35)]]*1.45,"-")</f>
        <v>-</v>
      </c>
      <c r="AY460" s="212" t="str">
        <f>+IF(BD_MO[[#This Row],[DESMONTE (U-35)]]&lt;&gt;"",BD_MO[[#This Row],[DESMONTE (U-35)]]*1.23,"-")</f>
        <v>-</v>
      </c>
      <c r="AZ460" s="212"/>
      <c r="BA460" s="212"/>
      <c r="BB460" s="212"/>
      <c r="BC460" s="212"/>
      <c r="BD460" s="212"/>
      <c r="BE460" s="212"/>
      <c r="BF460" s="212"/>
      <c r="BG460" s="212"/>
      <c r="BH460" s="212"/>
      <c r="BI460" s="212"/>
      <c r="BJ460" s="212"/>
      <c r="BK460" s="212"/>
      <c r="BL460" s="212"/>
      <c r="BM460" s="212"/>
      <c r="BN460" s="383"/>
      <c r="BO460" s="212"/>
      <c r="BP460" s="212"/>
      <c r="BQ460" s="383"/>
      <c r="BR460" s="212"/>
      <c r="BS460" s="383"/>
      <c r="BT460" s="386"/>
      <c r="BU460" s="212"/>
      <c r="BV460" s="212"/>
      <c r="BW460" s="212"/>
      <c r="BX460" s="212"/>
      <c r="BY460" s="212"/>
      <c r="BZ460" s="212"/>
      <c r="CA460" s="212"/>
      <c r="CB460" s="212"/>
      <c r="CC460" s="212"/>
      <c r="CD460" s="212"/>
      <c r="CE460" s="212"/>
      <c r="CF460" s="212"/>
      <c r="CG460" s="212"/>
      <c r="CH460" s="212"/>
      <c r="CI460" s="212"/>
      <c r="CJ460" s="212"/>
      <c r="CK460" s="212"/>
      <c r="CL460" s="212"/>
      <c r="CM460" s="212"/>
      <c r="CN460" s="212"/>
      <c r="CO460" s="212"/>
      <c r="CP460" s="386">
        <f>+IF(BD_MO[[#This Row],[FECHA]]&lt;&gt;"",BD_MO[[#This Row],[PUNTAL 4"]]+BD_MO[[#This Row],[PUNTAL 5"]]+BD_MO[[#This Row],[PUNTAL 6"]]+BD_MO[[#This Row],[PUNTAL 7"]]+BD_MO[[#This Row],[PUNTAL 8"]],"")</f>
        <v>0</v>
      </c>
      <c r="CQ460" s="212"/>
      <c r="CR460" s="212"/>
      <c r="CS460" s="212"/>
      <c r="CT460" s="212"/>
      <c r="CU460" s="212"/>
      <c r="CV460" s="212"/>
      <c r="CW460" s="212"/>
      <c r="CX460" s="212"/>
      <c r="CY460" s="386"/>
      <c r="CZ460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60" s="386">
        <f>+IF(BD_MO[[#This Row],[FECHA]]&lt;&gt;"",BD_MO[[#This Row],[DURMIENTE2]]*6.561+BD_MO[[#This Row],[LISTONES]]*4.921+BD_MO[[#This Row],[TABLA 1"x8"x3m]]*6.561+BD_MO[[#This Row],[TABLA 2"x8"x3m]]*13.122,"")</f>
        <v>0</v>
      </c>
      <c r="DB460" s="386">
        <f>+IF(BD_MO[[#This Row],[FECHA]]&lt;&gt;"",BD_MO[[#This Row],[PIE2 MADERA ASERRADA]]*1.95,"")</f>
        <v>0</v>
      </c>
      <c r="DC460" s="386">
        <f>+IF(BD_MO[[#This Row],[FECHA]]&lt;&gt;"",BD_MO[[#This Row],[KG. MADERA REDONDA]]+BD_MO[[#This Row],[KG MADERA ASERRADA]],"")</f>
        <v>0</v>
      </c>
      <c r="DD460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60" s="212"/>
      <c r="DF460" s="212"/>
      <c r="DG460" s="212"/>
      <c r="DH460" s="212"/>
      <c r="DI460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60" s="228"/>
      <c r="DK460" s="228"/>
      <c r="DL460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60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60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60" s="408">
        <v>4.6151999999999997</v>
      </c>
      <c r="DP460" s="228">
        <f>+IF(BD_MO[[#This Row],[M o D]]&lt;&gt;"",IF(BD_MO[[#This Row],[M o D]]="M",BD_MO[[#This Row],[ROTURA TMH]]/2.65,BD_MO[[#This Row],[ROTURA TMH]]/2.4),"")</f>
        <v>1.7415849056603774</v>
      </c>
      <c r="DQ460" s="228">
        <v>1</v>
      </c>
      <c r="DR460" s="116">
        <f>IF(BD_MO[[#This Row],[TIPO AVANCE]]="Avance",((BD_MO[[#This Row],[AVANCE (m)]]/BD_MO[[#This Row],[AVANCE TEÓRICO]]))," ")</f>
        <v>0.92592592592592582</v>
      </c>
      <c r="DS460" s="134"/>
      <c r="DT460" s="134"/>
      <c r="DU460" s="134"/>
      <c r="DV460" s="134"/>
      <c r="DW460" s="134"/>
      <c r="DX460" s="135"/>
      <c r="DY460" s="135"/>
      <c r="DZ460" s="135"/>
    </row>
    <row r="461" spans="1:130" s="136" customFormat="1" ht="18" customHeight="1" x14ac:dyDescent="0.25">
      <c r="A461" s="92">
        <v>44677</v>
      </c>
      <c r="B461" s="40" t="s">
        <v>10655</v>
      </c>
      <c r="C461" s="40" t="s">
        <v>10672</v>
      </c>
      <c r="D461" s="397" t="s">
        <v>12465</v>
      </c>
      <c r="E461" s="383" t="str">
        <f>LEFT(BD_MO[[#This Row],[LABOR]],2)</f>
        <v>Sn</v>
      </c>
      <c r="F461" s="212" t="s">
        <v>10950</v>
      </c>
      <c r="G461" s="212" t="s">
        <v>10648</v>
      </c>
      <c r="H461" s="38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61" s="387" t="str">
        <f>IF(BD_MO[FECHA]&lt;&gt;"",VLOOKUP(BD_MO[LABOR],TB_CECO[[LABOR]:[CECO_T]],3,FALSE),"")</f>
        <v>VANESSA</v>
      </c>
      <c r="J461" s="387" t="str">
        <f>IF(BD_MO[FECHA]&lt;&gt;"",VLOOKUP(BD_MO[LABOR],D_CECO!B:H,7,FALSE),"")</f>
        <v>LINEAL</v>
      </c>
      <c r="K461" s="387" t="str">
        <f>IF(BD_MO[FECHA]&lt;&gt;"",VLOOKUP(BD_MO[LABOR],D_CECO!B:H,4,FALSE),"")</f>
        <v>EXPLORACION</v>
      </c>
      <c r="L461" s="383"/>
      <c r="M461" s="40" t="s">
        <v>10646</v>
      </c>
      <c r="N461" s="212"/>
      <c r="O461" s="93" t="s">
        <v>12205</v>
      </c>
      <c r="P461" s="93" t="s">
        <v>12195</v>
      </c>
      <c r="Q461" s="93"/>
      <c r="R461" s="384"/>
      <c r="S461" s="385" t="str">
        <f>IFERROR(VLOOKUP(BD_MO[DNI 4],#REF!,2,FALSE)," ")</f>
        <v xml:space="preserve"> </v>
      </c>
      <c r="T461" s="386">
        <v>1</v>
      </c>
      <c r="U461" s="386">
        <v>0.52</v>
      </c>
      <c r="V461" s="386">
        <v>0.28999999999999998</v>
      </c>
      <c r="W461" s="386"/>
      <c r="X461" s="386">
        <v>0.19</v>
      </c>
      <c r="Y461" s="86">
        <f>SUM(BD_MO[[#This Row],[LIMP]:[SERV]])</f>
        <v>1</v>
      </c>
      <c r="Z461" s="212" t="s">
        <v>12403</v>
      </c>
      <c r="AA461" s="212">
        <f>+IF(BD_MO[[#This Row],[N° VALE]]&lt;&gt;"",1,"")</f>
        <v>1</v>
      </c>
      <c r="AB461" s="40" t="s">
        <v>10709</v>
      </c>
      <c r="AC461" s="212">
        <v>4</v>
      </c>
      <c r="AD461" s="212">
        <f>+IF(BD_MO[[#This Row],[N° VALE]]&lt;&gt;"",BD_MO[[#This Row],[FULMINANTE N° 08]]+BD_MO[CARMEX 7''],"")</f>
        <v>16</v>
      </c>
      <c r="AE461" s="212">
        <v>4</v>
      </c>
      <c r="AF461" s="212">
        <f>+IF(BD_MO[[#This Row],[N° VALE]]&lt;&gt;"",BD_MO[[#This Row],[N° TALADROS]]+BD_MO[[#This Row],[N° TAL. VACIOS]],"")</f>
        <v>20</v>
      </c>
      <c r="AG461" s="387">
        <v>38</v>
      </c>
      <c r="AH461" s="387">
        <v>42</v>
      </c>
      <c r="AI461" s="387"/>
      <c r="AJ461" s="387"/>
      <c r="AK461" s="387">
        <v>16</v>
      </c>
      <c r="AL461" s="387">
        <v>3</v>
      </c>
      <c r="AM461" s="383"/>
      <c r="AN461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61" s="212">
        <f>+IF(BD_MO[[#This Row],[N° VALE]]&lt;&gt;"",IF(BD_MO[[#This Row],[FULMINANTE N° 08]]&lt;&gt;"",BD_MO[[#This Row],[FULMINANTE N° 08]],IF(BD_MO[[#This Row],[CARMEX 7'']]&lt;&gt;0,0,"")),"")</f>
        <v>0</v>
      </c>
      <c r="AP461" s="386">
        <f>+IF(BD_MO[[#This Row],[N° VALE]]&lt;&gt;"",BD_MO[[#This Row],[N°  TOTAL TALADROS]]*BD_MO[[#This Row],[BARRA]]*0.95,"")</f>
        <v>76</v>
      </c>
      <c r="AQ461" s="386">
        <f>+IF(BD_MO[[#This Row],[N° VALE]]&lt;&gt;"",BD_MO[[#This Row],[EMULNOR 1000 (N° CART.)]]*PE_EMUL_1000[PE],"")</f>
        <v>3.9774000000000003</v>
      </c>
      <c r="AR461" s="386">
        <f>+IF(BD_MO[[#This Row],[N° VALE]]&lt;&gt;"",BD_MO[[#This Row],[EMULNOR 3000 (N° CART.)]]*PE_EMUL_3000[PE],"")</f>
        <v>3.6538461538461555</v>
      </c>
      <c r="AS461" s="386">
        <f>+IF(BD_MO[[#This Row],[N° VALE]]&lt;&gt;"",BD_MO[[#This Row],[PULVERULENTA (N° CART.)]]*PE_PULV_65[PE],"")</f>
        <v>0</v>
      </c>
      <c r="AT461" s="386">
        <f>+IF(BD_MO[[#This Row],[N° DISP]]&lt;&gt;"",BD_MO[[#This Row],[SEMIGELATINA (N° CART.)]]*PE_SEMIGEL_65[PE],"")</f>
        <v>0</v>
      </c>
      <c r="AU461" s="386">
        <f>+IF(BD_MO[N° VALE]&lt;&gt;"",BD_MO[[#This Row],[KG EXPLO SEMIGEL]]+BD_MO[[#This Row],[KG EXPLO PULVE]]+BD_MO[[#This Row],[KG EXPLO EMULN 3000]]+BD_MO[[#This Row],[KG EXPLO EMULN 1000]],"")</f>
        <v>7.6312461538461562</v>
      </c>
      <c r="AV461" s="212"/>
      <c r="AW461" s="212"/>
      <c r="AX461" s="212" t="str">
        <f>+IF(BD_MO[[#This Row],[MINERAL (U-35)]]&lt;&gt;"",BD_MO[[#This Row],[MINERAL (U-35)]]*1.45,"-")</f>
        <v>-</v>
      </c>
      <c r="AY461" s="212" t="str">
        <f>+IF(BD_MO[[#This Row],[DESMONTE (U-35)]]&lt;&gt;"",BD_MO[[#This Row],[DESMONTE (U-35)]]*1.23,"-")</f>
        <v>-</v>
      </c>
      <c r="AZ461" s="212"/>
      <c r="BA461" s="212"/>
      <c r="BB461" s="212"/>
      <c r="BC461" s="212"/>
      <c r="BD461" s="212"/>
      <c r="BE461" s="212"/>
      <c r="BF461" s="212"/>
      <c r="BG461" s="212"/>
      <c r="BH461" s="212"/>
      <c r="BI461" s="212"/>
      <c r="BJ461" s="212"/>
      <c r="BK461" s="212"/>
      <c r="BL461" s="212"/>
      <c r="BM461" s="212"/>
      <c r="BN461" s="383"/>
      <c r="BO461" s="212"/>
      <c r="BP461" s="212"/>
      <c r="BQ461" s="383"/>
      <c r="BR461" s="212"/>
      <c r="BS461" s="383"/>
      <c r="BT461" s="386"/>
      <c r="BU461" s="212"/>
      <c r="BV461" s="212"/>
      <c r="BW461" s="212"/>
      <c r="BX461" s="212"/>
      <c r="BY461" s="212"/>
      <c r="BZ461" s="212"/>
      <c r="CA461" s="212"/>
      <c r="CB461" s="212"/>
      <c r="CC461" s="212"/>
      <c r="CD461" s="212"/>
      <c r="CE461" s="212"/>
      <c r="CF461" s="212"/>
      <c r="CG461" s="212"/>
      <c r="CH461" s="212"/>
      <c r="CI461" s="212"/>
      <c r="CJ461" s="212"/>
      <c r="CK461" s="212"/>
      <c r="CL461" s="212"/>
      <c r="CM461" s="212"/>
      <c r="CN461" s="212"/>
      <c r="CO461" s="212"/>
      <c r="CP461" s="386">
        <f>+IF(BD_MO[[#This Row],[FECHA]]&lt;&gt;"",BD_MO[[#This Row],[PUNTAL 4"]]+BD_MO[[#This Row],[PUNTAL 5"]]+BD_MO[[#This Row],[PUNTAL 6"]]+BD_MO[[#This Row],[PUNTAL 7"]]+BD_MO[[#This Row],[PUNTAL 8"]],"")</f>
        <v>0</v>
      </c>
      <c r="CQ461" s="212"/>
      <c r="CR461" s="212"/>
      <c r="CS461" s="212"/>
      <c r="CT461" s="212"/>
      <c r="CU461" s="212"/>
      <c r="CV461" s="212"/>
      <c r="CW461" s="212"/>
      <c r="CX461" s="212"/>
      <c r="CY461" s="386"/>
      <c r="CZ461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61" s="386">
        <f>+IF(BD_MO[[#This Row],[FECHA]]&lt;&gt;"",BD_MO[[#This Row],[DURMIENTE2]]*6.561+BD_MO[[#This Row],[LISTONES]]*4.921+BD_MO[[#This Row],[TABLA 1"x8"x3m]]*6.561+BD_MO[[#This Row],[TABLA 2"x8"x3m]]*13.122,"")</f>
        <v>0</v>
      </c>
      <c r="DB461" s="386">
        <f>+IF(BD_MO[[#This Row],[FECHA]]&lt;&gt;"",BD_MO[[#This Row],[PIE2 MADERA ASERRADA]]*1.95,"")</f>
        <v>0</v>
      </c>
      <c r="DC461" s="386">
        <f>+IF(BD_MO[[#This Row],[FECHA]]&lt;&gt;"",BD_MO[[#This Row],[KG. MADERA REDONDA]]+BD_MO[[#This Row],[KG MADERA ASERRADA]],"")</f>
        <v>0</v>
      </c>
      <c r="DD461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61" s="212"/>
      <c r="DF461" s="212"/>
      <c r="DG461" s="212"/>
      <c r="DH461" s="212"/>
      <c r="DI461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61" s="228"/>
      <c r="DK461" s="228"/>
      <c r="DL461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61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61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61" s="389">
        <v>4.3587999999999996</v>
      </c>
      <c r="DP461" s="228">
        <f>+IF(BD_MO[[#This Row],[M o D]]&lt;&gt;"",IF(BD_MO[[#This Row],[M o D]]="M",BD_MO[[#This Row],[ROTURA TMH]]/2.65,BD_MO[[#This Row],[ROTURA TMH]]/2.4),"")</f>
        <v>1.6448301886792451</v>
      </c>
      <c r="DQ461" s="228">
        <v>1.02</v>
      </c>
      <c r="DR461" s="116">
        <f>IF(BD_MO[[#This Row],[TIPO AVANCE]]="Avance",((BD_MO[[#This Row],[AVANCE (m)]]/BD_MO[[#This Row],[AVANCE TEÓRICO]]))," ")</f>
        <v>0.94444444444444442</v>
      </c>
      <c r="DS461" s="134"/>
      <c r="DT461" s="134"/>
      <c r="DU461" s="134"/>
      <c r="DV461" s="134"/>
      <c r="DW461" s="134"/>
      <c r="DX461" s="135"/>
      <c r="DY461" s="135"/>
      <c r="DZ461" s="135"/>
    </row>
    <row r="462" spans="1:130" s="136" customFormat="1" ht="18" customHeight="1" x14ac:dyDescent="0.25">
      <c r="A462" s="92">
        <v>44677</v>
      </c>
      <c r="B462" s="40" t="s">
        <v>10655</v>
      </c>
      <c r="C462" s="40" t="s">
        <v>10672</v>
      </c>
      <c r="D462" s="94" t="s">
        <v>12339</v>
      </c>
      <c r="E462" s="383" t="str">
        <f>LEFT(BD_MO[[#This Row],[LABOR]],2)</f>
        <v>Tj</v>
      </c>
      <c r="F462" s="212"/>
      <c r="G462" s="212" t="s">
        <v>10662</v>
      </c>
      <c r="H462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462" s="383" t="str">
        <f>IF(BD_MO[FECHA]&lt;&gt;"",VLOOKUP(BD_MO[LABOR],TB_CECO[[LABOR]:[CECO_T]],3,FALSE),"")</f>
        <v>ESCONDIDA</v>
      </c>
      <c r="J462" s="383" t="str">
        <f>IF(BD_MO[FECHA]&lt;&gt;"",VLOOKUP(BD_MO[LABOR],D_CECO!B:H,7,FALSE),"")</f>
        <v>TAJO</v>
      </c>
      <c r="K462" s="383" t="str">
        <f>IF(BD_MO[FECHA]&lt;&gt;"",VLOOKUP(BD_MO[LABOR],D_CECO!B:H,4,FALSE),"")</f>
        <v>EXPLOTACION</v>
      </c>
      <c r="L462" s="383"/>
      <c r="M462" s="40"/>
      <c r="N462" s="212"/>
      <c r="O462" s="93" t="s">
        <v>12233</v>
      </c>
      <c r="P462" s="93" t="s">
        <v>12197</v>
      </c>
      <c r="Q462" s="93"/>
      <c r="R462" s="384"/>
      <c r="S462" s="385" t="str">
        <f>IFERROR(VLOOKUP(BD_MO[DNI 4],#REF!,2,FALSE)," ")</f>
        <v xml:space="preserve"> </v>
      </c>
      <c r="T462" s="386">
        <f>+IF(BD_MO[[#This Row],[FECHA]]&lt;&gt;"",COUNTA(BD_MO[[#This Row],[DNI]],BD_MO[[#This Row],[DNI 2]],BD_MO[[#This Row],[DNI 3]],BD_MO[[#This Row],[DNI 4]]),"")</f>
        <v>2</v>
      </c>
      <c r="U462" s="386"/>
      <c r="V462" s="386"/>
      <c r="W462" s="386">
        <v>1.04</v>
      </c>
      <c r="X462" s="386">
        <v>0.96</v>
      </c>
      <c r="Y462" s="86">
        <f>SUM(BD_MO[[#This Row],[LIMP]:[SERV]])</f>
        <v>2</v>
      </c>
      <c r="Z462" s="212"/>
      <c r="AA462" s="212" t="str">
        <f>+IF(BD_MO[[#This Row],[N° VALE]]&lt;&gt;"",1,"")</f>
        <v/>
      </c>
      <c r="AB462" s="40"/>
      <c r="AC462" s="212"/>
      <c r="AD462" s="212" t="str">
        <f>+IF(BD_MO[[#This Row],[N° VALE]]&lt;&gt;"",BD_MO[[#This Row],[FULMINANTE N° 08]]+BD_MO[CARMEX 7''],"")</f>
        <v/>
      </c>
      <c r="AE462" s="212"/>
      <c r="AF462" s="212" t="str">
        <f>+IF(BD_MO[[#This Row],[N° VALE]]&lt;&gt;"",BD_MO[[#This Row],[N° TALADROS]]+BD_MO[[#This Row],[N° TAL. VACIOS]],"")</f>
        <v/>
      </c>
      <c r="AG462" s="387"/>
      <c r="AH462" s="387"/>
      <c r="AI462" s="387"/>
      <c r="AJ462" s="387"/>
      <c r="AK462" s="387"/>
      <c r="AL462" s="387"/>
      <c r="AM462" s="383"/>
      <c r="AN462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62" s="212" t="str">
        <f>+IF(BD_MO[[#This Row],[N° VALE]]&lt;&gt;"",IF(BD_MO[[#This Row],[FULMINANTE N° 08]]&lt;&gt;"",BD_MO[[#This Row],[FULMINANTE N° 08]],IF(BD_MO[[#This Row],[CARMEX 7'']]&lt;&gt;0,0,"")),"")</f>
        <v/>
      </c>
      <c r="AP462" s="386" t="str">
        <f>+IF(BD_MO[[#This Row],[N° VALE]]&lt;&gt;"",BD_MO[[#This Row],[N°  TOTAL TALADROS]]*BD_MO[[#This Row],[BARRA]]*0.95,"")</f>
        <v/>
      </c>
      <c r="AQ462" s="386" t="str">
        <f>+IF(BD_MO[[#This Row],[N° VALE]]&lt;&gt;"",BD_MO[[#This Row],[EMULNOR 1000 (N° CART.)]]*PE_EMUL_1000[PE],"")</f>
        <v/>
      </c>
      <c r="AR462" s="386" t="str">
        <f>+IF(BD_MO[[#This Row],[N° VALE]]&lt;&gt;"",BD_MO[[#This Row],[EMULNOR 3000 (N° CART.)]]*PE_EMUL_3000[PE],"")</f>
        <v/>
      </c>
      <c r="AS462" s="386" t="str">
        <f>+IF(BD_MO[[#This Row],[N° VALE]]&lt;&gt;"",BD_MO[[#This Row],[PULVERULENTA (N° CART.)]]*PE_PULV_65[PE],"")</f>
        <v/>
      </c>
      <c r="AT462" s="386" t="str">
        <f>+IF(BD_MO[[#This Row],[N° DISP]]&lt;&gt;"",BD_MO[[#This Row],[SEMIGELATINA (N° CART.)]]*PE_SEMIGEL_65[PE],"")</f>
        <v/>
      </c>
      <c r="AU462" s="386" t="str">
        <f>+IF(BD_MO[N° VALE]&lt;&gt;"",BD_MO[[#This Row],[KG EXPLO SEMIGEL]]+BD_MO[[#This Row],[KG EXPLO PULVE]]+BD_MO[[#This Row],[KG EXPLO EMULN 3000]]+BD_MO[[#This Row],[KG EXPLO EMULN 1000]],"")</f>
        <v/>
      </c>
      <c r="AV462" s="212"/>
      <c r="AW462" s="212"/>
      <c r="AX462" s="212" t="str">
        <f>+IF(BD_MO[[#This Row],[MINERAL (U-35)]]&lt;&gt;"",BD_MO[[#This Row],[MINERAL (U-35)]]*1.45,"-")</f>
        <v>-</v>
      </c>
      <c r="AY462" s="212" t="str">
        <f>+IF(BD_MO[[#This Row],[DESMONTE (U-35)]]&lt;&gt;"",BD_MO[[#This Row],[DESMONTE (U-35)]]*1.23,"-")</f>
        <v>-</v>
      </c>
      <c r="AZ462" s="212"/>
      <c r="BA462" s="212"/>
      <c r="BB462" s="212"/>
      <c r="BC462" s="212"/>
      <c r="BD462" s="212"/>
      <c r="BE462" s="212"/>
      <c r="BF462" s="212"/>
      <c r="BG462" s="212"/>
      <c r="BH462" s="212"/>
      <c r="BI462" s="212">
        <v>2</v>
      </c>
      <c r="BJ462" s="212"/>
      <c r="BK462" s="212"/>
      <c r="BL462" s="212"/>
      <c r="BM462" s="212"/>
      <c r="BN462" s="383"/>
      <c r="BO462" s="212"/>
      <c r="BP462" s="212"/>
      <c r="BQ462" s="383"/>
      <c r="BR462" s="212">
        <v>3.6</v>
      </c>
      <c r="BS462" s="383"/>
      <c r="BT462" s="386"/>
      <c r="BU462" s="212"/>
      <c r="BV462" s="212"/>
      <c r="BW462" s="212"/>
      <c r="BX462" s="212"/>
      <c r="BY462" s="212"/>
      <c r="BZ462" s="212"/>
      <c r="CA462" s="212"/>
      <c r="CB462" s="212"/>
      <c r="CC462" s="212"/>
      <c r="CD462" s="212"/>
      <c r="CE462" s="212"/>
      <c r="CF462" s="212"/>
      <c r="CG462" s="212"/>
      <c r="CH462" s="212"/>
      <c r="CI462" s="212"/>
      <c r="CJ462" s="212"/>
      <c r="CK462" s="212"/>
      <c r="CL462" s="212">
        <v>6</v>
      </c>
      <c r="CM462" s="212">
        <v>6</v>
      </c>
      <c r="CN462" s="212">
        <v>2</v>
      </c>
      <c r="CO462" s="212"/>
      <c r="CP462" s="386">
        <f>+IF(BD_MO[[#This Row],[FECHA]]&lt;&gt;"",BD_MO[[#This Row],[PUNTAL 4"]]+BD_MO[[#This Row],[PUNTAL 5"]]+BD_MO[[#This Row],[PUNTAL 6"]]+BD_MO[[#This Row],[PUNTAL 7"]]+BD_MO[[#This Row],[PUNTAL 8"]],"")</f>
        <v>14</v>
      </c>
      <c r="CQ462" s="212"/>
      <c r="CR462" s="212"/>
      <c r="CS462" s="212"/>
      <c r="CT462" s="212"/>
      <c r="CU462" s="212"/>
      <c r="CV462" s="212"/>
      <c r="CW462" s="212"/>
      <c r="CX462" s="212"/>
      <c r="CY462" s="386"/>
      <c r="CZ462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578.38</v>
      </c>
      <c r="DA462" s="386">
        <f>+IF(BD_MO[[#This Row],[FECHA]]&lt;&gt;"",BD_MO[[#This Row],[DURMIENTE2]]*6.561+BD_MO[[#This Row],[LISTONES]]*4.921+BD_MO[[#This Row],[TABLA 1"x8"x3m]]*6.561+BD_MO[[#This Row],[TABLA 2"x8"x3m]]*13.122,"")</f>
        <v>0</v>
      </c>
      <c r="DB462" s="386">
        <f>+IF(BD_MO[[#This Row],[FECHA]]&lt;&gt;"",BD_MO[[#This Row],[PIE2 MADERA ASERRADA]]*1.95,"")</f>
        <v>0</v>
      </c>
      <c r="DC462" s="386">
        <f>+IF(BD_MO[[#This Row],[FECHA]]&lt;&gt;"",BD_MO[[#This Row],[KG. MADERA REDONDA]]+BD_MO[[#This Row],[KG MADERA ASERRADA]],"")</f>
        <v>578.38</v>
      </c>
      <c r="DD462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249.20000000000002</v>
      </c>
      <c r="DE462" s="212"/>
      <c r="DF462" s="212"/>
      <c r="DG462" s="212"/>
      <c r="DH462" s="212"/>
      <c r="DI462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62" s="228"/>
      <c r="DK462" s="228"/>
      <c r="DL462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62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62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62" s="367"/>
      <c r="DP462" s="228" t="str">
        <f>+IF(BD_MO[[#This Row],[M o D]]&lt;&gt;"",IF(BD_MO[[#This Row],[M o D]]="M",BD_MO[[#This Row],[ROTURA TMH]]/2.65,BD_MO[[#This Row],[ROTURA TMH]]/2.4),"")</f>
        <v/>
      </c>
      <c r="DQ462" s="228"/>
      <c r="DR462" s="116" t="str">
        <f>IF(BD_MO[[#This Row],[TIPO AVANCE]]="Avance",((BD_MO[[#This Row],[AVANCE (m)]]/BD_MO[[#This Row],[AVANCE TEÓRICO]]))," ")</f>
        <v xml:space="preserve"> </v>
      </c>
      <c r="DS462" s="134"/>
      <c r="DT462" s="134"/>
      <c r="DU462" s="134"/>
      <c r="DV462" s="134"/>
      <c r="DW462" s="134"/>
      <c r="DX462" s="135"/>
      <c r="DY462" s="135"/>
      <c r="DZ462" s="135"/>
    </row>
    <row r="463" spans="1:130" s="136" customFormat="1" ht="18" customHeight="1" x14ac:dyDescent="0.25">
      <c r="A463" s="92">
        <v>44677</v>
      </c>
      <c r="B463" s="40" t="s">
        <v>10655</v>
      </c>
      <c r="C463" s="40" t="s">
        <v>10672</v>
      </c>
      <c r="D463" s="94" t="s">
        <v>11806</v>
      </c>
      <c r="E463" s="383" t="str">
        <f>LEFT(BD_MO[[#This Row],[LABOR]],2)</f>
        <v>CX</v>
      </c>
      <c r="F463" s="212"/>
      <c r="G463" s="212" t="s">
        <v>10673</v>
      </c>
      <c r="H463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REHABILITACION</v>
      </c>
      <c r="I463" s="383" t="str">
        <f>IF(BD_MO[FECHA]&lt;&gt;"",VLOOKUP(BD_MO[LABOR],TB_CECO[[LABOR]:[CECO_T]],3,FALSE),"")</f>
        <v>CACHORRO</v>
      </c>
      <c r="J463" s="383" t="str">
        <f>IF(BD_MO[FECHA]&lt;&gt;"",VLOOKUP(BD_MO[LABOR],D_CECO!B:H,7,FALSE),"")</f>
        <v>LINEAL</v>
      </c>
      <c r="K463" s="383" t="str">
        <f>IF(BD_MO[FECHA]&lt;&gt;"",VLOOKUP(BD_MO[LABOR],D_CECO!B:H,4,FALSE),"")</f>
        <v>EXPLORACION</v>
      </c>
      <c r="L463" s="383"/>
      <c r="M463" s="40"/>
      <c r="N463" s="212"/>
      <c r="O463" s="93" t="s">
        <v>12192</v>
      </c>
      <c r="P463" s="93" t="s">
        <v>12207</v>
      </c>
      <c r="Q463" s="93"/>
      <c r="R463" s="384"/>
      <c r="S463" s="385" t="str">
        <f>IFERROR(VLOOKUP(BD_MO[DNI 4],#REF!,2,FALSE)," ")</f>
        <v xml:space="preserve"> </v>
      </c>
      <c r="T463" s="386">
        <f>+IF(BD_MO[[#This Row],[FECHA]]&lt;&gt;"",COUNTA(BD_MO[[#This Row],[DNI]],BD_MO[[#This Row],[DNI 2]],BD_MO[[#This Row],[DNI 3]],BD_MO[[#This Row],[DNI 4]]),"")</f>
        <v>2</v>
      </c>
      <c r="U463" s="386">
        <v>0.28000000000000003</v>
      </c>
      <c r="V463" s="386"/>
      <c r="W463" s="386">
        <v>0.96</v>
      </c>
      <c r="X463" s="386">
        <v>0.76</v>
      </c>
      <c r="Y463" s="86">
        <f>SUM(BD_MO[[#This Row],[LIMP]:[SERV]])</f>
        <v>2</v>
      </c>
      <c r="Z463" s="212"/>
      <c r="AA463" s="212" t="str">
        <f>+IF(BD_MO[[#This Row],[N° VALE]]&lt;&gt;"",1,"")</f>
        <v/>
      </c>
      <c r="AB463" s="40"/>
      <c r="AC463" s="212"/>
      <c r="AD463" s="212" t="str">
        <f>+IF(BD_MO[[#This Row],[N° VALE]]&lt;&gt;"",BD_MO[[#This Row],[FULMINANTE N° 08]]+BD_MO[CARMEX 7''],"")</f>
        <v/>
      </c>
      <c r="AE463" s="212"/>
      <c r="AF463" s="212" t="str">
        <f>+IF(BD_MO[[#This Row],[N° VALE]]&lt;&gt;"",BD_MO[[#This Row],[N° TALADROS]]+BD_MO[[#This Row],[N° TAL. VACIOS]],"")</f>
        <v/>
      </c>
      <c r="AG463" s="387"/>
      <c r="AH463" s="387"/>
      <c r="AI463" s="387"/>
      <c r="AJ463" s="387"/>
      <c r="AK463" s="387"/>
      <c r="AL463" s="387"/>
      <c r="AM463" s="383"/>
      <c r="AN463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63" s="212" t="str">
        <f>+IF(BD_MO[[#This Row],[N° VALE]]&lt;&gt;"",IF(BD_MO[[#This Row],[FULMINANTE N° 08]]&lt;&gt;"",BD_MO[[#This Row],[FULMINANTE N° 08]],IF(BD_MO[[#This Row],[CARMEX 7'']]&lt;&gt;0,0,"")),"")</f>
        <v/>
      </c>
      <c r="AP463" s="386" t="str">
        <f>+IF(BD_MO[[#This Row],[N° VALE]]&lt;&gt;"",BD_MO[[#This Row],[N°  TOTAL TALADROS]]*BD_MO[[#This Row],[BARRA]]*0.95,"")</f>
        <v/>
      </c>
      <c r="AQ463" s="386" t="str">
        <f>+IF(BD_MO[[#This Row],[N° VALE]]&lt;&gt;"",BD_MO[[#This Row],[EMULNOR 1000 (N° CART.)]]*PE_EMUL_1000[PE],"")</f>
        <v/>
      </c>
      <c r="AR463" s="386" t="str">
        <f>+IF(BD_MO[[#This Row],[N° VALE]]&lt;&gt;"",BD_MO[[#This Row],[EMULNOR 3000 (N° CART.)]]*PE_EMUL_3000[PE],"")</f>
        <v/>
      </c>
      <c r="AS463" s="386" t="str">
        <f>+IF(BD_MO[[#This Row],[N° VALE]]&lt;&gt;"",BD_MO[[#This Row],[PULVERULENTA (N° CART.)]]*PE_PULV_65[PE],"")</f>
        <v/>
      </c>
      <c r="AT463" s="386" t="str">
        <f>+IF(BD_MO[[#This Row],[N° DISP]]&lt;&gt;"",BD_MO[[#This Row],[SEMIGELATINA (N° CART.)]]*PE_SEMIGEL_65[PE],"")</f>
        <v/>
      </c>
      <c r="AU463" s="386" t="str">
        <f>+IF(BD_MO[N° VALE]&lt;&gt;"",BD_MO[[#This Row],[KG EXPLO SEMIGEL]]+BD_MO[[#This Row],[KG EXPLO PULVE]]+BD_MO[[#This Row],[KG EXPLO EMULN 3000]]+BD_MO[[#This Row],[KG EXPLO EMULN 1000]],"")</f>
        <v/>
      </c>
      <c r="AV463" s="212"/>
      <c r="AW463" s="212"/>
      <c r="AX463" s="212" t="str">
        <f>+IF(BD_MO[[#This Row],[MINERAL (U-35)]]&lt;&gt;"",BD_MO[[#This Row],[MINERAL (U-35)]]*1.45,"-")</f>
        <v>-</v>
      </c>
      <c r="AY463" s="212" t="str">
        <f>+IF(BD_MO[[#This Row],[DESMONTE (U-35)]]&lt;&gt;"",BD_MO[[#This Row],[DESMONTE (U-35)]]*1.23,"-")</f>
        <v>-</v>
      </c>
      <c r="AZ463" s="212">
        <v>1</v>
      </c>
      <c r="BA463" s="212"/>
      <c r="BB463" s="212"/>
      <c r="BC463" s="212"/>
      <c r="BD463" s="212"/>
      <c r="BE463" s="212"/>
      <c r="BF463" s="212"/>
      <c r="BG463" s="212"/>
      <c r="BH463" s="212"/>
      <c r="BI463" s="212"/>
      <c r="BJ463" s="212"/>
      <c r="BK463" s="212"/>
      <c r="BL463" s="212"/>
      <c r="BM463" s="212"/>
      <c r="BN463" s="383"/>
      <c r="BO463" s="212"/>
      <c r="BP463" s="212"/>
      <c r="BQ463" s="383"/>
      <c r="BR463" s="212"/>
      <c r="BS463" s="383"/>
      <c r="BT463" s="386">
        <v>5.49</v>
      </c>
      <c r="BU463" s="212"/>
      <c r="BV463" s="212"/>
      <c r="BW463" s="212"/>
      <c r="BX463" s="212"/>
      <c r="BY463" s="212"/>
      <c r="BZ463" s="212"/>
      <c r="CA463" s="212"/>
      <c r="CB463" s="212"/>
      <c r="CC463" s="212"/>
      <c r="CD463" s="212"/>
      <c r="CE463" s="212"/>
      <c r="CF463" s="212"/>
      <c r="CG463" s="212"/>
      <c r="CH463" s="212"/>
      <c r="CI463" s="212"/>
      <c r="CJ463" s="212"/>
      <c r="CK463" s="212"/>
      <c r="CL463" s="212">
        <v>2</v>
      </c>
      <c r="CM463" s="212">
        <v>2</v>
      </c>
      <c r="CN463" s="212"/>
      <c r="CO463" s="212">
        <v>3</v>
      </c>
      <c r="CP463" s="386">
        <f>+IF(BD_MO[[#This Row],[FECHA]]&lt;&gt;"",BD_MO[[#This Row],[PUNTAL 4"]]+BD_MO[[#This Row],[PUNTAL 5"]]+BD_MO[[#This Row],[PUNTAL 6"]]+BD_MO[[#This Row],[PUNTAL 7"]]+BD_MO[[#This Row],[PUNTAL 8"]],"")</f>
        <v>7</v>
      </c>
      <c r="CQ463" s="212"/>
      <c r="CR463" s="212"/>
      <c r="CS463" s="212">
        <v>10</v>
      </c>
      <c r="CT463" s="212"/>
      <c r="CU463" s="212"/>
      <c r="CV463" s="212"/>
      <c r="CW463" s="212"/>
      <c r="CX463" s="212"/>
      <c r="CY463" s="386"/>
      <c r="CZ463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637.40200000000004</v>
      </c>
      <c r="DA463" s="386">
        <f>+IF(BD_MO[[#This Row],[FECHA]]&lt;&gt;"",BD_MO[[#This Row],[DURMIENTE2]]*6.561+BD_MO[[#This Row],[LISTONES]]*4.921+BD_MO[[#This Row],[TABLA 1"x8"x3m]]*6.561+BD_MO[[#This Row],[TABLA 2"x8"x3m]]*13.122,"")</f>
        <v>0</v>
      </c>
      <c r="DB463" s="386">
        <f>+IF(BD_MO[[#This Row],[FECHA]]&lt;&gt;"",BD_MO[[#This Row],[PIE2 MADERA ASERRADA]]*1.95,"")</f>
        <v>0</v>
      </c>
      <c r="DC463" s="386">
        <f>+IF(BD_MO[[#This Row],[FECHA]]&lt;&gt;"",BD_MO[[#This Row],[KG. MADERA REDONDA]]+BD_MO[[#This Row],[KG MADERA ASERRADA]],"")</f>
        <v>637.40200000000004</v>
      </c>
      <c r="DD463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247.5</v>
      </c>
      <c r="DE463" s="212"/>
      <c r="DF463" s="212"/>
      <c r="DG463" s="212"/>
      <c r="DH463" s="212"/>
      <c r="DI463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63" s="228"/>
      <c r="DK463" s="228"/>
      <c r="DL463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63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63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63" s="408"/>
      <c r="DP463" s="228" t="str">
        <f>+IF(BD_MO[[#This Row],[M o D]]&lt;&gt;"",IF(BD_MO[[#This Row],[M o D]]="M",BD_MO[[#This Row],[ROTURA TMH]]/2.65,BD_MO[[#This Row],[ROTURA TMH]]/2.4),"")</f>
        <v/>
      </c>
      <c r="DQ463" s="228"/>
      <c r="DR463" s="116" t="str">
        <f>IF(BD_MO[[#This Row],[TIPO AVANCE]]="Avance",((BD_MO[[#This Row],[AVANCE (m)]]/BD_MO[[#This Row],[AVANCE TEÓRICO]]))," ")</f>
        <v xml:space="preserve"> </v>
      </c>
      <c r="DS463" s="134"/>
      <c r="DT463" s="134"/>
      <c r="DU463" s="134"/>
      <c r="DV463" s="134"/>
      <c r="DW463" s="134"/>
      <c r="DX463" s="135"/>
      <c r="DY463" s="135"/>
      <c r="DZ463" s="135"/>
    </row>
    <row r="464" spans="1:130" s="136" customFormat="1" ht="18" customHeight="1" x14ac:dyDescent="0.25">
      <c r="A464" s="92">
        <v>44677</v>
      </c>
      <c r="B464" s="40" t="s">
        <v>10655</v>
      </c>
      <c r="C464" s="40" t="s">
        <v>10672</v>
      </c>
      <c r="D464" s="94" t="s">
        <v>11872</v>
      </c>
      <c r="E464" s="383" t="str">
        <f>LEFT(BD_MO[[#This Row],[LABOR]],2)</f>
        <v>PQ</v>
      </c>
      <c r="F464" s="212"/>
      <c r="G464" s="212" t="s">
        <v>10669</v>
      </c>
      <c r="H464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64" s="383" t="str">
        <f>IF(BD_MO[FECHA]&lt;&gt;"",VLOOKUP(BD_MO[LABOR],TB_CECO[[LABOR]:[CECO_T]],3,FALSE),"")</f>
        <v>ANDREA</v>
      </c>
      <c r="J464" s="383" t="str">
        <f>IF(BD_MO[FECHA]&lt;&gt;"",VLOOKUP(BD_MO[LABOR],D_CECO!B:H,7,FALSE),"")</f>
        <v>LINEAL</v>
      </c>
      <c r="K464" s="383" t="str">
        <f>IF(BD_MO[FECHA]&lt;&gt;"",VLOOKUP(BD_MO[LABOR],D_CECO!B:H,4,FALSE),"")</f>
        <v>EXPLOTACION</v>
      </c>
      <c r="L464" s="383"/>
      <c r="M464" s="40"/>
      <c r="N464" s="212"/>
      <c r="O464" s="93" t="s">
        <v>12199</v>
      </c>
      <c r="P464" s="93" t="s">
        <v>12220</v>
      </c>
      <c r="Q464" s="93" t="s">
        <v>12323</v>
      </c>
      <c r="R464" s="384"/>
      <c r="S464" s="385" t="str">
        <f>IFERROR(VLOOKUP(BD_MO[DNI 4],#REF!,2,FALSE)," ")</f>
        <v xml:space="preserve"> </v>
      </c>
      <c r="T464" s="386">
        <f>+IF(BD_MO[[#This Row],[FECHA]]&lt;&gt;"",COUNTA(BD_MO[[#This Row],[DNI]],BD_MO[[#This Row],[DNI 2]],BD_MO[[#This Row],[DNI 3]],BD_MO[[#This Row],[DNI 4]]),"")</f>
        <v>3</v>
      </c>
      <c r="U464" s="386"/>
      <c r="V464" s="386"/>
      <c r="W464" s="386"/>
      <c r="X464" s="386">
        <v>3</v>
      </c>
      <c r="Y464" s="86">
        <f>SUM(BD_MO[[#This Row],[LIMP]:[SERV]])</f>
        <v>3</v>
      </c>
      <c r="Z464" s="212"/>
      <c r="AA464" s="212" t="str">
        <f>+IF(BD_MO[[#This Row],[N° VALE]]&lt;&gt;"",1,"")</f>
        <v/>
      </c>
      <c r="AB464" s="40"/>
      <c r="AC464" s="212"/>
      <c r="AD464" s="212" t="str">
        <f>+IF(BD_MO[[#This Row],[N° VALE]]&lt;&gt;"",BD_MO[[#This Row],[FULMINANTE N° 08]]+BD_MO[CARMEX 7''],"")</f>
        <v/>
      </c>
      <c r="AE464" s="212"/>
      <c r="AF464" s="212" t="str">
        <f>+IF(BD_MO[[#This Row],[N° VALE]]&lt;&gt;"",BD_MO[[#This Row],[N° TALADROS]]+BD_MO[[#This Row],[N° TAL. VACIOS]],"")</f>
        <v/>
      </c>
      <c r="AG464" s="387"/>
      <c r="AH464" s="387"/>
      <c r="AI464" s="387"/>
      <c r="AJ464" s="387"/>
      <c r="AK464" s="387"/>
      <c r="AL464" s="387"/>
      <c r="AM464" s="383"/>
      <c r="AN464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64" s="212" t="str">
        <f>+IF(BD_MO[[#This Row],[N° VALE]]&lt;&gt;"",IF(BD_MO[[#This Row],[FULMINANTE N° 08]]&lt;&gt;"",BD_MO[[#This Row],[FULMINANTE N° 08]],IF(BD_MO[[#This Row],[CARMEX 7'']]&lt;&gt;0,0,"")),"")</f>
        <v/>
      </c>
      <c r="AP464" s="386" t="str">
        <f>+IF(BD_MO[[#This Row],[N° VALE]]&lt;&gt;"",BD_MO[[#This Row],[N°  TOTAL TALADROS]]*BD_MO[[#This Row],[BARRA]]*0.95,"")</f>
        <v/>
      </c>
      <c r="AQ464" s="386" t="str">
        <f>+IF(BD_MO[[#This Row],[N° VALE]]&lt;&gt;"",BD_MO[[#This Row],[EMULNOR 1000 (N° CART.)]]*PE_EMUL_1000[PE],"")</f>
        <v/>
      </c>
      <c r="AR464" s="386" t="str">
        <f>+IF(BD_MO[[#This Row],[N° VALE]]&lt;&gt;"",BD_MO[[#This Row],[EMULNOR 3000 (N° CART.)]]*PE_EMUL_3000[PE],"")</f>
        <v/>
      </c>
      <c r="AS464" s="386" t="str">
        <f>+IF(BD_MO[[#This Row],[N° VALE]]&lt;&gt;"",BD_MO[[#This Row],[PULVERULENTA (N° CART.)]]*PE_PULV_65[PE],"")</f>
        <v/>
      </c>
      <c r="AT464" s="386" t="str">
        <f>+IF(BD_MO[[#This Row],[N° DISP]]&lt;&gt;"",BD_MO[[#This Row],[SEMIGELATINA (N° CART.)]]*PE_SEMIGEL_65[PE],"")</f>
        <v/>
      </c>
      <c r="AU464" s="386" t="str">
        <f>+IF(BD_MO[N° VALE]&lt;&gt;"",BD_MO[[#This Row],[KG EXPLO SEMIGEL]]+BD_MO[[#This Row],[KG EXPLO PULVE]]+BD_MO[[#This Row],[KG EXPLO EMULN 3000]]+BD_MO[[#This Row],[KG EXPLO EMULN 1000]],"")</f>
        <v/>
      </c>
      <c r="AV464" s="212"/>
      <c r="AW464" s="212"/>
      <c r="AX464" s="212" t="str">
        <f>+IF(BD_MO[[#This Row],[MINERAL (U-35)]]&lt;&gt;"",BD_MO[[#This Row],[MINERAL (U-35)]]*1.45,"-")</f>
        <v>-</v>
      </c>
      <c r="AY464" s="212" t="str">
        <f>+IF(BD_MO[[#This Row],[DESMONTE (U-35)]]&lt;&gt;"",BD_MO[[#This Row],[DESMONTE (U-35)]]*1.23,"-")</f>
        <v>-</v>
      </c>
      <c r="AZ464" s="212"/>
      <c r="BA464" s="212"/>
      <c r="BB464" s="212"/>
      <c r="BC464" s="212"/>
      <c r="BD464" s="212"/>
      <c r="BE464" s="212"/>
      <c r="BF464" s="212"/>
      <c r="BG464" s="212"/>
      <c r="BH464" s="212"/>
      <c r="BI464" s="212"/>
      <c r="BJ464" s="212"/>
      <c r="BK464" s="212"/>
      <c r="BL464" s="212"/>
      <c r="BM464" s="212"/>
      <c r="BN464" s="383"/>
      <c r="BO464" s="212"/>
      <c r="BP464" s="212"/>
      <c r="BQ464" s="383"/>
      <c r="BR464" s="212"/>
      <c r="BS464" s="383"/>
      <c r="BT464" s="386"/>
      <c r="BU464" s="212"/>
      <c r="BV464" s="212"/>
      <c r="BW464" s="212"/>
      <c r="BX464" s="212"/>
      <c r="BY464" s="212"/>
      <c r="BZ464" s="212"/>
      <c r="CA464" s="212"/>
      <c r="CB464" s="212"/>
      <c r="CC464" s="212"/>
      <c r="CD464" s="212"/>
      <c r="CE464" s="212"/>
      <c r="CF464" s="212"/>
      <c r="CG464" s="212"/>
      <c r="CH464" s="212"/>
      <c r="CI464" s="212"/>
      <c r="CJ464" s="212"/>
      <c r="CK464" s="212"/>
      <c r="CL464" s="212"/>
      <c r="CM464" s="212"/>
      <c r="CN464" s="212"/>
      <c r="CO464" s="212"/>
      <c r="CP464" s="386">
        <f>+IF(BD_MO[[#This Row],[FECHA]]&lt;&gt;"",BD_MO[[#This Row],[PUNTAL 4"]]+BD_MO[[#This Row],[PUNTAL 5"]]+BD_MO[[#This Row],[PUNTAL 6"]]+BD_MO[[#This Row],[PUNTAL 7"]]+BD_MO[[#This Row],[PUNTAL 8"]],"")</f>
        <v>0</v>
      </c>
      <c r="CQ464" s="212"/>
      <c r="CR464" s="212"/>
      <c r="CS464" s="212"/>
      <c r="CT464" s="212"/>
      <c r="CU464" s="212"/>
      <c r="CV464" s="212"/>
      <c r="CW464" s="212"/>
      <c r="CX464" s="212"/>
      <c r="CY464" s="386"/>
      <c r="CZ464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64" s="386">
        <f>+IF(BD_MO[[#This Row],[FECHA]]&lt;&gt;"",BD_MO[[#This Row],[DURMIENTE2]]*6.561+BD_MO[[#This Row],[LISTONES]]*4.921+BD_MO[[#This Row],[TABLA 1"x8"x3m]]*6.561+BD_MO[[#This Row],[TABLA 2"x8"x3m]]*13.122,"")</f>
        <v>0</v>
      </c>
      <c r="DB464" s="386">
        <f>+IF(BD_MO[[#This Row],[FECHA]]&lt;&gt;"",BD_MO[[#This Row],[PIE2 MADERA ASERRADA]]*1.95,"")</f>
        <v>0</v>
      </c>
      <c r="DC464" s="386">
        <f>+IF(BD_MO[[#This Row],[FECHA]]&lt;&gt;"",BD_MO[[#This Row],[KG. MADERA REDONDA]]+BD_MO[[#This Row],[KG MADERA ASERRADA]],"")</f>
        <v>0</v>
      </c>
      <c r="DD464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64" s="212"/>
      <c r="DF464" s="212"/>
      <c r="DG464" s="212" t="s">
        <v>12238</v>
      </c>
      <c r="DH464" s="212">
        <v>8</v>
      </c>
      <c r="DI464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64" s="228"/>
      <c r="DK464" s="228"/>
      <c r="DL464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64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64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64" s="408"/>
      <c r="DP464" s="228" t="str">
        <f>+IF(BD_MO[[#This Row],[M o D]]&lt;&gt;"",IF(BD_MO[[#This Row],[M o D]]="M",BD_MO[[#This Row],[ROTURA TMH]]/2.65,BD_MO[[#This Row],[ROTURA TMH]]/2.4),"")</f>
        <v/>
      </c>
      <c r="DQ464" s="228"/>
      <c r="DR464" s="116" t="str">
        <f>IF(BD_MO[[#This Row],[TIPO AVANCE]]="Avance",((BD_MO[[#This Row],[AVANCE (m)]]/BD_MO[[#This Row],[AVANCE TEÓRICO]]))," ")</f>
        <v xml:space="preserve"> </v>
      </c>
      <c r="DS464" s="134"/>
      <c r="DT464" s="134"/>
      <c r="DU464" s="134"/>
      <c r="DV464" s="134"/>
      <c r="DW464" s="134"/>
      <c r="DX464" s="135"/>
      <c r="DY464" s="135"/>
      <c r="DZ464" s="135"/>
    </row>
    <row r="465" spans="1:130" s="136" customFormat="1" ht="18" customHeight="1" x14ac:dyDescent="0.25">
      <c r="A465" s="92">
        <v>44677</v>
      </c>
      <c r="B465" s="40" t="s">
        <v>10655</v>
      </c>
      <c r="C465" s="40" t="s">
        <v>10672</v>
      </c>
      <c r="D465" s="94" t="s">
        <v>10952</v>
      </c>
      <c r="E465" s="383" t="str">
        <f>LEFT(BD_MO[[#This Row],[LABOR]],2)</f>
        <v>In</v>
      </c>
      <c r="F465" s="212"/>
      <c r="G465" s="212" t="s">
        <v>10669</v>
      </c>
      <c r="H465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65" s="383" t="str">
        <f>IF(BD_MO[FECHA]&lt;&gt;"",VLOOKUP(BD_MO[LABOR],TB_CECO[[LABOR]:[CECO_T]],3,FALSE),"")</f>
        <v>VANESSA</v>
      </c>
      <c r="J465" s="383" t="str">
        <f>IF(BD_MO[FECHA]&lt;&gt;"",VLOOKUP(BD_MO[LABOR],D_CECO!B:H,7,FALSE),"")</f>
        <v>LINEAL</v>
      </c>
      <c r="K465" s="383" t="str">
        <f>IF(BD_MO[FECHA]&lt;&gt;"",VLOOKUP(BD_MO[LABOR],D_CECO!B:H,4,FALSE),"")</f>
        <v>EXPLORACION</v>
      </c>
      <c r="L465" s="383"/>
      <c r="M465" s="40"/>
      <c r="N465" s="212"/>
      <c r="O465" s="93" t="s">
        <v>12198</v>
      </c>
      <c r="P465" s="93" t="s">
        <v>12234</v>
      </c>
      <c r="Q465" s="93"/>
      <c r="R465" s="384"/>
      <c r="S465" s="385" t="str">
        <f>IFERROR(VLOOKUP(BD_MO[DNI 4],#REF!,2,FALSE)," ")</f>
        <v xml:space="preserve"> </v>
      </c>
      <c r="T465" s="386">
        <f>+IF(BD_MO[[#This Row],[FECHA]]&lt;&gt;"",COUNTA(BD_MO[[#This Row],[DNI]],BD_MO[[#This Row],[DNI 2]],BD_MO[[#This Row],[DNI 3]],BD_MO[[#This Row],[DNI 4]]),"")</f>
        <v>2</v>
      </c>
      <c r="U465" s="386"/>
      <c r="V465" s="386"/>
      <c r="W465" s="386"/>
      <c r="X465" s="386">
        <v>2</v>
      </c>
      <c r="Y465" s="86">
        <f>SUM(BD_MO[[#This Row],[LIMP]:[SERV]])</f>
        <v>2</v>
      </c>
      <c r="Z465" s="212"/>
      <c r="AA465" s="212" t="str">
        <f>+IF(BD_MO[[#This Row],[N° VALE]]&lt;&gt;"",1,"")</f>
        <v/>
      </c>
      <c r="AB465" s="40"/>
      <c r="AC465" s="212"/>
      <c r="AD465" s="212" t="str">
        <f>+IF(BD_MO[[#This Row],[N° VALE]]&lt;&gt;"",BD_MO[[#This Row],[FULMINANTE N° 08]]+BD_MO[CARMEX 7''],"")</f>
        <v/>
      </c>
      <c r="AE465" s="212"/>
      <c r="AF465" s="212" t="str">
        <f>+IF(BD_MO[[#This Row],[N° VALE]]&lt;&gt;"",BD_MO[[#This Row],[N° TALADROS]]+BD_MO[[#This Row],[N° TAL. VACIOS]],"")</f>
        <v/>
      </c>
      <c r="AG465" s="387"/>
      <c r="AH465" s="387"/>
      <c r="AI465" s="387"/>
      <c r="AJ465" s="387"/>
      <c r="AK465" s="387"/>
      <c r="AL465" s="387"/>
      <c r="AM465" s="383"/>
      <c r="AN465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65" s="212" t="str">
        <f>+IF(BD_MO[[#This Row],[N° VALE]]&lt;&gt;"",IF(BD_MO[[#This Row],[FULMINANTE N° 08]]&lt;&gt;"",BD_MO[[#This Row],[FULMINANTE N° 08]],IF(BD_MO[[#This Row],[CARMEX 7'']]&lt;&gt;0,0,"")),"")</f>
        <v/>
      </c>
      <c r="AP465" s="386" t="str">
        <f>+IF(BD_MO[[#This Row],[N° VALE]]&lt;&gt;"",BD_MO[[#This Row],[N°  TOTAL TALADROS]]*BD_MO[[#This Row],[BARRA]]*0.95,"")</f>
        <v/>
      </c>
      <c r="AQ465" s="386" t="str">
        <f>+IF(BD_MO[[#This Row],[N° VALE]]&lt;&gt;"",BD_MO[[#This Row],[EMULNOR 1000 (N° CART.)]]*PE_EMUL_1000[PE],"")</f>
        <v/>
      </c>
      <c r="AR465" s="386" t="str">
        <f>+IF(BD_MO[[#This Row],[N° VALE]]&lt;&gt;"",BD_MO[[#This Row],[EMULNOR 3000 (N° CART.)]]*PE_EMUL_3000[PE],"")</f>
        <v/>
      </c>
      <c r="AS465" s="386" t="str">
        <f>+IF(BD_MO[[#This Row],[N° VALE]]&lt;&gt;"",BD_MO[[#This Row],[PULVERULENTA (N° CART.)]]*PE_PULV_65[PE],"")</f>
        <v/>
      </c>
      <c r="AT465" s="386" t="str">
        <f>+IF(BD_MO[[#This Row],[N° DISP]]&lt;&gt;"",BD_MO[[#This Row],[SEMIGELATINA (N° CART.)]]*PE_SEMIGEL_65[PE],"")</f>
        <v/>
      </c>
      <c r="AU465" s="386" t="str">
        <f>+IF(BD_MO[N° VALE]&lt;&gt;"",BD_MO[[#This Row],[KG EXPLO SEMIGEL]]+BD_MO[[#This Row],[KG EXPLO PULVE]]+BD_MO[[#This Row],[KG EXPLO EMULN 3000]]+BD_MO[[#This Row],[KG EXPLO EMULN 1000]],"")</f>
        <v/>
      </c>
      <c r="AV465" s="212"/>
      <c r="AW465" s="212"/>
      <c r="AX465" s="212" t="str">
        <f>+IF(BD_MO[[#This Row],[MINERAL (U-35)]]&lt;&gt;"",BD_MO[[#This Row],[MINERAL (U-35)]]*1.45,"-")</f>
        <v>-</v>
      </c>
      <c r="AY465" s="212" t="str">
        <f>+IF(BD_MO[[#This Row],[DESMONTE (U-35)]]&lt;&gt;"",BD_MO[[#This Row],[DESMONTE (U-35)]]*1.23,"-")</f>
        <v>-</v>
      </c>
      <c r="AZ465" s="212"/>
      <c r="BA465" s="212"/>
      <c r="BB465" s="212"/>
      <c r="BC465" s="212"/>
      <c r="BD465" s="212"/>
      <c r="BE465" s="212"/>
      <c r="BF465" s="212"/>
      <c r="BG465" s="212"/>
      <c r="BH465" s="212"/>
      <c r="BI465" s="212"/>
      <c r="BJ465" s="212"/>
      <c r="BK465" s="212"/>
      <c r="BL465" s="212"/>
      <c r="BM465" s="212"/>
      <c r="BN465" s="383"/>
      <c r="BO465" s="212"/>
      <c r="BP465" s="212"/>
      <c r="BQ465" s="383"/>
      <c r="BR465" s="212"/>
      <c r="BS465" s="383"/>
      <c r="BT465" s="386"/>
      <c r="BU465" s="212"/>
      <c r="BV465" s="212"/>
      <c r="BW465" s="212"/>
      <c r="BX465" s="212"/>
      <c r="BY465" s="212"/>
      <c r="BZ465" s="212"/>
      <c r="CA465" s="212"/>
      <c r="CB465" s="212"/>
      <c r="CC465" s="212"/>
      <c r="CD465" s="212"/>
      <c r="CE465" s="212"/>
      <c r="CF465" s="212"/>
      <c r="CG465" s="212"/>
      <c r="CH465" s="212"/>
      <c r="CI465" s="212"/>
      <c r="CJ465" s="212"/>
      <c r="CK465" s="212"/>
      <c r="CL465" s="212"/>
      <c r="CM465" s="212"/>
      <c r="CN465" s="212"/>
      <c r="CO465" s="212"/>
      <c r="CP465" s="386">
        <f>+IF(BD_MO[[#This Row],[FECHA]]&lt;&gt;"",BD_MO[[#This Row],[PUNTAL 4"]]+BD_MO[[#This Row],[PUNTAL 5"]]+BD_MO[[#This Row],[PUNTAL 6"]]+BD_MO[[#This Row],[PUNTAL 7"]]+BD_MO[[#This Row],[PUNTAL 8"]],"")</f>
        <v>0</v>
      </c>
      <c r="CQ465" s="212"/>
      <c r="CR465" s="212"/>
      <c r="CS465" s="212"/>
      <c r="CT465" s="212"/>
      <c r="CU465" s="212"/>
      <c r="CV465" s="212"/>
      <c r="CW465" s="212"/>
      <c r="CX465" s="212"/>
      <c r="CY465" s="386"/>
      <c r="CZ465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65" s="386">
        <f>+IF(BD_MO[[#This Row],[FECHA]]&lt;&gt;"",BD_MO[[#This Row],[DURMIENTE2]]*6.561+BD_MO[[#This Row],[LISTONES]]*4.921+BD_MO[[#This Row],[TABLA 1"x8"x3m]]*6.561+BD_MO[[#This Row],[TABLA 2"x8"x3m]]*13.122,"")</f>
        <v>0</v>
      </c>
      <c r="DB465" s="386">
        <f>+IF(BD_MO[[#This Row],[FECHA]]&lt;&gt;"",BD_MO[[#This Row],[PIE2 MADERA ASERRADA]]*1.95,"")</f>
        <v>0</v>
      </c>
      <c r="DC465" s="386">
        <f>+IF(BD_MO[[#This Row],[FECHA]]&lt;&gt;"",BD_MO[[#This Row],[KG. MADERA REDONDA]]+BD_MO[[#This Row],[KG MADERA ASERRADA]],"")</f>
        <v>0</v>
      </c>
      <c r="DD465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65" s="212"/>
      <c r="DF465" s="212"/>
      <c r="DG465" s="212" t="s">
        <v>12404</v>
      </c>
      <c r="DH465" s="212">
        <v>8</v>
      </c>
      <c r="DI465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65" s="228"/>
      <c r="DK465" s="228"/>
      <c r="DL465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65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65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65" s="408"/>
      <c r="DP465" s="228" t="str">
        <f>+IF(BD_MO[[#This Row],[M o D]]&lt;&gt;"",IF(BD_MO[[#This Row],[M o D]]="M",BD_MO[[#This Row],[ROTURA TMH]]/2.65,BD_MO[[#This Row],[ROTURA TMH]]/2.4),"")</f>
        <v/>
      </c>
      <c r="DQ465" s="228"/>
      <c r="DR465" s="116" t="str">
        <f>IF(BD_MO[[#This Row],[TIPO AVANCE]]="Avance",((BD_MO[[#This Row],[AVANCE (m)]]/BD_MO[[#This Row],[AVANCE TEÓRICO]]))," ")</f>
        <v xml:space="preserve"> </v>
      </c>
      <c r="DS465" s="134"/>
      <c r="DT465" s="134"/>
      <c r="DU465" s="134"/>
      <c r="DV465" s="134"/>
      <c r="DW465" s="134"/>
      <c r="DX465" s="135"/>
      <c r="DY465" s="135"/>
      <c r="DZ465" s="135"/>
    </row>
    <row r="466" spans="1:130" s="136" customFormat="1" ht="18" customHeight="1" x14ac:dyDescent="0.25">
      <c r="A466" s="92">
        <v>44677</v>
      </c>
      <c r="B466" s="40" t="s">
        <v>10655</v>
      </c>
      <c r="C466" s="40" t="s">
        <v>10672</v>
      </c>
      <c r="D466" s="94" t="s">
        <v>10954</v>
      </c>
      <c r="E466" s="383" t="str">
        <f>LEFT(BD_MO[[#This Row],[LABOR]],2)</f>
        <v>MO</v>
      </c>
      <c r="F466" s="212"/>
      <c r="G466" s="212" t="s">
        <v>10669</v>
      </c>
      <c r="H466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66" s="383" t="str">
        <f>IF(BD_MO[FECHA]&lt;&gt;"",VLOOKUP(BD_MO[LABOR],TB_CECO[[LABOR]:[CECO_T]],3,FALSE),"")</f>
        <v>INCA</v>
      </c>
      <c r="J466" s="383" t="str">
        <f>IF(BD_MO[FECHA]&lt;&gt;"",VLOOKUP(BD_MO[LABOR],D_CECO!B:H,7,FALSE),"")</f>
        <v>SERVICIOS</v>
      </c>
      <c r="K466" s="383" t="str">
        <f>IF(BD_MO[FECHA]&lt;&gt;"",VLOOKUP(BD_MO[LABOR],D_CECO!B:H,4,FALSE),"")</f>
        <v>SERVICIOS</v>
      </c>
      <c r="L466" s="383"/>
      <c r="M466" s="40"/>
      <c r="N466" s="212"/>
      <c r="O466" s="93" t="s">
        <v>12221</v>
      </c>
      <c r="P466" s="93" t="s">
        <v>12209</v>
      </c>
      <c r="Q466" s="93"/>
      <c r="R466" s="384"/>
      <c r="S466" s="385" t="str">
        <f>IFERROR(VLOOKUP(BD_MO[DNI 4],#REF!,2,FALSE)," ")</f>
        <v xml:space="preserve"> </v>
      </c>
      <c r="T466" s="386">
        <f>+IF(BD_MO[[#This Row],[FECHA]]&lt;&gt;"",COUNTA(BD_MO[[#This Row],[DNI]],BD_MO[[#This Row],[DNI 2]],BD_MO[[#This Row],[DNI 3]],BD_MO[[#This Row],[DNI 4]]),"")</f>
        <v>2</v>
      </c>
      <c r="U466" s="386"/>
      <c r="V466" s="386"/>
      <c r="W466" s="386"/>
      <c r="X466" s="386">
        <v>2</v>
      </c>
      <c r="Y466" s="86">
        <f>SUM(BD_MO[[#This Row],[LIMP]:[SERV]])</f>
        <v>2</v>
      </c>
      <c r="Z466" s="212"/>
      <c r="AA466" s="212" t="str">
        <f>+IF(BD_MO[[#This Row],[N° VALE]]&lt;&gt;"",1,"")</f>
        <v/>
      </c>
      <c r="AB466" s="40"/>
      <c r="AC466" s="212"/>
      <c r="AD466" s="212" t="str">
        <f>+IF(BD_MO[[#This Row],[N° VALE]]&lt;&gt;"",BD_MO[[#This Row],[FULMINANTE N° 08]]+BD_MO[CARMEX 7''],"")</f>
        <v/>
      </c>
      <c r="AE466" s="212"/>
      <c r="AF466" s="212" t="str">
        <f>+IF(BD_MO[[#This Row],[N° VALE]]&lt;&gt;"",BD_MO[[#This Row],[N° TALADROS]]+BD_MO[[#This Row],[N° TAL. VACIOS]],"")</f>
        <v/>
      </c>
      <c r="AG466" s="387"/>
      <c r="AH466" s="387"/>
      <c r="AI466" s="387"/>
      <c r="AJ466" s="387"/>
      <c r="AK466" s="387"/>
      <c r="AL466" s="387"/>
      <c r="AM466" s="383"/>
      <c r="AN466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66" s="212" t="str">
        <f>+IF(BD_MO[[#This Row],[N° VALE]]&lt;&gt;"",IF(BD_MO[[#This Row],[FULMINANTE N° 08]]&lt;&gt;"",BD_MO[[#This Row],[FULMINANTE N° 08]],IF(BD_MO[[#This Row],[CARMEX 7'']]&lt;&gt;0,0,"")),"")</f>
        <v/>
      </c>
      <c r="AP466" s="386" t="str">
        <f>+IF(BD_MO[[#This Row],[N° VALE]]&lt;&gt;"",BD_MO[[#This Row],[N°  TOTAL TALADROS]]*BD_MO[[#This Row],[BARRA]]*0.95,"")</f>
        <v/>
      </c>
      <c r="AQ466" s="386" t="str">
        <f>+IF(BD_MO[[#This Row],[N° VALE]]&lt;&gt;"",BD_MO[[#This Row],[EMULNOR 1000 (N° CART.)]]*PE_EMUL_1000[PE],"")</f>
        <v/>
      </c>
      <c r="AR466" s="386" t="str">
        <f>+IF(BD_MO[[#This Row],[N° VALE]]&lt;&gt;"",BD_MO[[#This Row],[EMULNOR 3000 (N° CART.)]]*PE_EMUL_3000[PE],"")</f>
        <v/>
      </c>
      <c r="AS466" s="386" t="str">
        <f>+IF(BD_MO[[#This Row],[N° VALE]]&lt;&gt;"",BD_MO[[#This Row],[PULVERULENTA (N° CART.)]]*PE_PULV_65[PE],"")</f>
        <v/>
      </c>
      <c r="AT466" s="386" t="str">
        <f>+IF(BD_MO[[#This Row],[N° DISP]]&lt;&gt;"",BD_MO[[#This Row],[SEMIGELATINA (N° CART.)]]*PE_SEMIGEL_65[PE],"")</f>
        <v/>
      </c>
      <c r="AU466" s="386" t="str">
        <f>+IF(BD_MO[N° VALE]&lt;&gt;"",BD_MO[[#This Row],[KG EXPLO SEMIGEL]]+BD_MO[[#This Row],[KG EXPLO PULVE]]+BD_MO[[#This Row],[KG EXPLO EMULN 3000]]+BD_MO[[#This Row],[KG EXPLO EMULN 1000]],"")</f>
        <v/>
      </c>
      <c r="AV466" s="212"/>
      <c r="AW466" s="212"/>
      <c r="AX466" s="212" t="str">
        <f>+IF(BD_MO[[#This Row],[MINERAL (U-35)]]&lt;&gt;"",BD_MO[[#This Row],[MINERAL (U-35)]]*1.45,"-")</f>
        <v>-</v>
      </c>
      <c r="AY466" s="212" t="str">
        <f>+IF(BD_MO[[#This Row],[DESMONTE (U-35)]]&lt;&gt;"",BD_MO[[#This Row],[DESMONTE (U-35)]]*1.23,"-")</f>
        <v>-</v>
      </c>
      <c r="AZ466" s="212"/>
      <c r="BA466" s="212"/>
      <c r="BB466" s="212"/>
      <c r="BC466" s="212"/>
      <c r="BD466" s="212"/>
      <c r="BE466" s="212"/>
      <c r="BF466" s="212"/>
      <c r="BG466" s="212"/>
      <c r="BH466" s="212"/>
      <c r="BI466" s="212"/>
      <c r="BJ466" s="212"/>
      <c r="BK466" s="212"/>
      <c r="BL466" s="212"/>
      <c r="BM466" s="212"/>
      <c r="BN466" s="383"/>
      <c r="BO466" s="212"/>
      <c r="BP466" s="212"/>
      <c r="BQ466" s="383"/>
      <c r="BR466" s="212"/>
      <c r="BS466" s="383"/>
      <c r="BT466" s="386"/>
      <c r="BU466" s="212"/>
      <c r="BV466" s="212"/>
      <c r="BW466" s="212"/>
      <c r="BX466" s="212"/>
      <c r="BY466" s="212"/>
      <c r="BZ466" s="212"/>
      <c r="CA466" s="212"/>
      <c r="CB466" s="212"/>
      <c r="CC466" s="212"/>
      <c r="CD466" s="212"/>
      <c r="CE466" s="212"/>
      <c r="CF466" s="212"/>
      <c r="CG466" s="212"/>
      <c r="CH466" s="212"/>
      <c r="CI466" s="212"/>
      <c r="CJ466" s="212"/>
      <c r="CK466" s="212"/>
      <c r="CL466" s="212"/>
      <c r="CM466" s="212"/>
      <c r="CN466" s="212"/>
      <c r="CO466" s="212"/>
      <c r="CP466" s="386">
        <f>+IF(BD_MO[[#This Row],[FECHA]]&lt;&gt;"",BD_MO[[#This Row],[PUNTAL 4"]]+BD_MO[[#This Row],[PUNTAL 5"]]+BD_MO[[#This Row],[PUNTAL 6"]]+BD_MO[[#This Row],[PUNTAL 7"]]+BD_MO[[#This Row],[PUNTAL 8"]],"")</f>
        <v>0</v>
      </c>
      <c r="CQ466" s="212"/>
      <c r="CR466" s="212"/>
      <c r="CS466" s="212"/>
      <c r="CT466" s="212"/>
      <c r="CU466" s="212"/>
      <c r="CV466" s="212"/>
      <c r="CW466" s="212"/>
      <c r="CX466" s="212"/>
      <c r="CY466" s="386"/>
      <c r="CZ466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66" s="386">
        <f>+IF(BD_MO[[#This Row],[FECHA]]&lt;&gt;"",BD_MO[[#This Row],[DURMIENTE2]]*6.561+BD_MO[[#This Row],[LISTONES]]*4.921+BD_MO[[#This Row],[TABLA 1"x8"x3m]]*6.561+BD_MO[[#This Row],[TABLA 2"x8"x3m]]*13.122,"")</f>
        <v>0</v>
      </c>
      <c r="DB466" s="386">
        <f>+IF(BD_MO[[#This Row],[FECHA]]&lt;&gt;"",BD_MO[[#This Row],[PIE2 MADERA ASERRADA]]*1.95,"")</f>
        <v>0</v>
      </c>
      <c r="DC466" s="386">
        <f>+IF(BD_MO[[#This Row],[FECHA]]&lt;&gt;"",BD_MO[[#This Row],[KG. MADERA REDONDA]]+BD_MO[[#This Row],[KG MADERA ASERRADA]],"")</f>
        <v>0</v>
      </c>
      <c r="DD466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66" s="212"/>
      <c r="DF466" s="212"/>
      <c r="DG466" s="212"/>
      <c r="DH466" s="212"/>
      <c r="DI466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66" s="228"/>
      <c r="DK466" s="228"/>
      <c r="DL466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66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66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66" s="367"/>
      <c r="DP466" s="228" t="str">
        <f>+IF(BD_MO[[#This Row],[M o D]]&lt;&gt;"",IF(BD_MO[[#This Row],[M o D]]="M",BD_MO[[#This Row],[ROTURA TMH]]/2.65,BD_MO[[#This Row],[ROTURA TMH]]/2.4),"")</f>
        <v/>
      </c>
      <c r="DQ466" s="228"/>
      <c r="DR466" s="116" t="str">
        <f>IF(BD_MO[[#This Row],[TIPO AVANCE]]="Avance",((BD_MO[[#This Row],[AVANCE (m)]]/BD_MO[[#This Row],[AVANCE TEÓRICO]]))," ")</f>
        <v xml:space="preserve"> </v>
      </c>
      <c r="DS466" s="134"/>
      <c r="DT466" s="134"/>
      <c r="DU466" s="134"/>
      <c r="DV466" s="134"/>
      <c r="DW466" s="134"/>
      <c r="DX466" s="135"/>
      <c r="DY466" s="135"/>
      <c r="DZ466" s="135"/>
    </row>
    <row r="467" spans="1:130" s="136" customFormat="1" ht="18" customHeight="1" x14ac:dyDescent="0.25">
      <c r="A467" s="92">
        <v>44677</v>
      </c>
      <c r="B467" s="40" t="s">
        <v>10655</v>
      </c>
      <c r="C467" s="40" t="s">
        <v>10672</v>
      </c>
      <c r="D467" s="94" t="s">
        <v>10717</v>
      </c>
      <c r="E467" s="383" t="str">
        <f>LEFT(BD_MO[[#This Row],[LABOR]],2)</f>
        <v>BO</v>
      </c>
      <c r="F467" s="212"/>
      <c r="G467" s="212" t="s">
        <v>10669</v>
      </c>
      <c r="H467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67" s="383" t="str">
        <f>IF(BD_MO[FECHA]&lt;&gt;"",VLOOKUP(BD_MO[LABOR],TB_CECO[[LABOR]:[CECO_T]],3,FALSE),"")</f>
        <v>CACHORRO</v>
      </c>
      <c r="J467" s="383" t="str">
        <f>IF(BD_MO[FECHA]&lt;&gt;"",VLOOKUP(BD_MO[LABOR],D_CECO!B:H,7,FALSE),"")</f>
        <v>SERVICIOS</v>
      </c>
      <c r="K467" s="383" t="str">
        <f>IF(BD_MO[FECHA]&lt;&gt;"",VLOOKUP(BD_MO[LABOR],D_CECO!B:H,4,FALSE),"")</f>
        <v>SERVICIOS</v>
      </c>
      <c r="L467" s="383"/>
      <c r="M467" s="40"/>
      <c r="N467" s="212"/>
      <c r="O467" s="93" t="s">
        <v>12196</v>
      </c>
      <c r="P467" s="93"/>
      <c r="Q467" s="93"/>
      <c r="R467" s="384"/>
      <c r="S467" s="385" t="str">
        <f>IFERROR(VLOOKUP(BD_MO[DNI 4],#REF!,2,FALSE)," ")</f>
        <v xml:space="preserve"> </v>
      </c>
      <c r="T467" s="386">
        <f>+IF(BD_MO[[#This Row],[FECHA]]&lt;&gt;"",COUNTA(BD_MO[[#This Row],[DNI]],BD_MO[[#This Row],[DNI 2]],BD_MO[[#This Row],[DNI 3]],BD_MO[[#This Row],[DNI 4]]),"")</f>
        <v>1</v>
      </c>
      <c r="U467" s="386"/>
      <c r="V467" s="386"/>
      <c r="W467" s="386"/>
      <c r="X467" s="386">
        <v>1</v>
      </c>
      <c r="Y467" s="86">
        <f>SUM(BD_MO[[#This Row],[LIMP]:[SERV]])</f>
        <v>1</v>
      </c>
      <c r="Z467" s="212"/>
      <c r="AA467" s="212" t="str">
        <f>+IF(BD_MO[[#This Row],[N° VALE]]&lt;&gt;"",1,"")</f>
        <v/>
      </c>
      <c r="AB467" s="40"/>
      <c r="AC467" s="212"/>
      <c r="AD467" s="212" t="str">
        <f>+IF(BD_MO[[#This Row],[N° VALE]]&lt;&gt;"",BD_MO[[#This Row],[FULMINANTE N° 08]]+BD_MO[CARMEX 7''],"")</f>
        <v/>
      </c>
      <c r="AE467" s="212"/>
      <c r="AF467" s="212" t="str">
        <f>+IF(BD_MO[[#This Row],[N° VALE]]&lt;&gt;"",BD_MO[[#This Row],[N° TALADROS]]+BD_MO[[#This Row],[N° TAL. VACIOS]],"")</f>
        <v/>
      </c>
      <c r="AG467" s="387"/>
      <c r="AH467" s="387"/>
      <c r="AI467" s="387"/>
      <c r="AJ467" s="387"/>
      <c r="AK467" s="387"/>
      <c r="AL467" s="387"/>
      <c r="AM467" s="383"/>
      <c r="AN467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67" s="212" t="str">
        <f>+IF(BD_MO[[#This Row],[N° VALE]]&lt;&gt;"",IF(BD_MO[[#This Row],[FULMINANTE N° 08]]&lt;&gt;"",BD_MO[[#This Row],[FULMINANTE N° 08]],IF(BD_MO[[#This Row],[CARMEX 7'']]&lt;&gt;0,0,"")),"")</f>
        <v/>
      </c>
      <c r="AP467" s="386" t="str">
        <f>+IF(BD_MO[[#This Row],[N° VALE]]&lt;&gt;"",BD_MO[[#This Row],[N°  TOTAL TALADROS]]*BD_MO[[#This Row],[BARRA]]*0.95,"")</f>
        <v/>
      </c>
      <c r="AQ467" s="386" t="str">
        <f>+IF(BD_MO[[#This Row],[N° VALE]]&lt;&gt;"",BD_MO[[#This Row],[EMULNOR 1000 (N° CART.)]]*PE_EMUL_1000[PE],"")</f>
        <v/>
      </c>
      <c r="AR467" s="386" t="str">
        <f>+IF(BD_MO[[#This Row],[N° VALE]]&lt;&gt;"",BD_MO[[#This Row],[EMULNOR 3000 (N° CART.)]]*PE_EMUL_3000[PE],"")</f>
        <v/>
      </c>
      <c r="AS467" s="386" t="str">
        <f>+IF(BD_MO[[#This Row],[N° VALE]]&lt;&gt;"",BD_MO[[#This Row],[PULVERULENTA (N° CART.)]]*PE_PULV_65[PE],"")</f>
        <v/>
      </c>
      <c r="AT467" s="386" t="str">
        <f>+IF(BD_MO[[#This Row],[N° DISP]]&lt;&gt;"",BD_MO[[#This Row],[SEMIGELATINA (N° CART.)]]*PE_SEMIGEL_65[PE],"")</f>
        <v/>
      </c>
      <c r="AU467" s="386" t="str">
        <f>+IF(BD_MO[N° VALE]&lt;&gt;"",BD_MO[[#This Row],[KG EXPLO SEMIGEL]]+BD_MO[[#This Row],[KG EXPLO PULVE]]+BD_MO[[#This Row],[KG EXPLO EMULN 3000]]+BD_MO[[#This Row],[KG EXPLO EMULN 1000]],"")</f>
        <v/>
      </c>
      <c r="AV467" s="212"/>
      <c r="AW467" s="212"/>
      <c r="AX467" s="212" t="str">
        <f>+IF(BD_MO[[#This Row],[MINERAL (U-35)]]&lt;&gt;"",BD_MO[[#This Row],[MINERAL (U-35)]]*1.45,"-")</f>
        <v>-</v>
      </c>
      <c r="AY467" s="212" t="str">
        <f>+IF(BD_MO[[#This Row],[DESMONTE (U-35)]]&lt;&gt;"",BD_MO[[#This Row],[DESMONTE (U-35)]]*1.23,"-")</f>
        <v>-</v>
      </c>
      <c r="AZ467" s="212"/>
      <c r="BA467" s="212"/>
      <c r="BB467" s="212"/>
      <c r="BC467" s="212"/>
      <c r="BD467" s="212"/>
      <c r="BE467" s="212"/>
      <c r="BF467" s="212"/>
      <c r="BG467" s="212"/>
      <c r="BH467" s="212"/>
      <c r="BI467" s="212"/>
      <c r="BJ467" s="212"/>
      <c r="BK467" s="212"/>
      <c r="BL467" s="212"/>
      <c r="BM467" s="212"/>
      <c r="BN467" s="383"/>
      <c r="BO467" s="212"/>
      <c r="BP467" s="212"/>
      <c r="BQ467" s="383"/>
      <c r="BR467" s="212"/>
      <c r="BS467" s="383"/>
      <c r="BT467" s="386"/>
      <c r="BU467" s="212"/>
      <c r="BV467" s="212"/>
      <c r="BW467" s="212"/>
      <c r="BX467" s="212"/>
      <c r="BY467" s="212"/>
      <c r="BZ467" s="212"/>
      <c r="CA467" s="212"/>
      <c r="CB467" s="212"/>
      <c r="CC467" s="212"/>
      <c r="CD467" s="212"/>
      <c r="CE467" s="212"/>
      <c r="CF467" s="212"/>
      <c r="CG467" s="212"/>
      <c r="CH467" s="212"/>
      <c r="CI467" s="212"/>
      <c r="CJ467" s="212"/>
      <c r="CK467" s="212"/>
      <c r="CL467" s="212"/>
      <c r="CM467" s="212"/>
      <c r="CN467" s="212"/>
      <c r="CO467" s="212"/>
      <c r="CP467" s="386">
        <f>+IF(BD_MO[[#This Row],[FECHA]]&lt;&gt;"",BD_MO[[#This Row],[PUNTAL 4"]]+BD_MO[[#This Row],[PUNTAL 5"]]+BD_MO[[#This Row],[PUNTAL 6"]]+BD_MO[[#This Row],[PUNTAL 7"]]+BD_MO[[#This Row],[PUNTAL 8"]],"")</f>
        <v>0</v>
      </c>
      <c r="CQ467" s="212"/>
      <c r="CR467" s="212"/>
      <c r="CS467" s="212"/>
      <c r="CT467" s="212"/>
      <c r="CU467" s="212"/>
      <c r="CV467" s="212"/>
      <c r="CW467" s="212"/>
      <c r="CX467" s="212"/>
      <c r="CY467" s="386"/>
      <c r="CZ467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67" s="386">
        <f>+IF(BD_MO[[#This Row],[FECHA]]&lt;&gt;"",BD_MO[[#This Row],[DURMIENTE2]]*6.561+BD_MO[[#This Row],[LISTONES]]*4.921+BD_MO[[#This Row],[TABLA 1"x8"x3m]]*6.561+BD_MO[[#This Row],[TABLA 2"x8"x3m]]*13.122,"")</f>
        <v>0</v>
      </c>
      <c r="DB467" s="386">
        <f>+IF(BD_MO[[#This Row],[FECHA]]&lt;&gt;"",BD_MO[[#This Row],[PIE2 MADERA ASERRADA]]*1.95,"")</f>
        <v>0</v>
      </c>
      <c r="DC467" s="386">
        <f>+IF(BD_MO[[#This Row],[FECHA]]&lt;&gt;"",BD_MO[[#This Row],[KG. MADERA REDONDA]]+BD_MO[[#This Row],[KG MADERA ASERRADA]],"")</f>
        <v>0</v>
      </c>
      <c r="DD467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67" s="212"/>
      <c r="DF467" s="212"/>
      <c r="DG467" s="212"/>
      <c r="DH467" s="212"/>
      <c r="DI467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67" s="228"/>
      <c r="DK467" s="228"/>
      <c r="DL467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67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67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67" s="408"/>
      <c r="DP467" s="228" t="str">
        <f>+IF(BD_MO[[#This Row],[M o D]]&lt;&gt;"",IF(BD_MO[[#This Row],[M o D]]="M",BD_MO[[#This Row],[ROTURA TMH]]/2.65,BD_MO[[#This Row],[ROTURA TMH]]/2.4),"")</f>
        <v/>
      </c>
      <c r="DQ467" s="228"/>
      <c r="DR467" s="116" t="str">
        <f>IF(BD_MO[[#This Row],[TIPO AVANCE]]="Avance",((BD_MO[[#This Row],[AVANCE (m)]]/BD_MO[[#This Row],[AVANCE TEÓRICO]]))," ")</f>
        <v xml:space="preserve"> </v>
      </c>
      <c r="DS467" s="134"/>
      <c r="DT467" s="134"/>
      <c r="DU467" s="134"/>
      <c r="DV467" s="134"/>
      <c r="DW467" s="134"/>
      <c r="DX467" s="135"/>
      <c r="DY467" s="135"/>
      <c r="DZ467" s="135"/>
    </row>
    <row r="468" spans="1:130" s="115" customFormat="1" ht="18" customHeight="1" thickBot="1" x14ac:dyDescent="0.3">
      <c r="A468" s="130">
        <v>44677</v>
      </c>
      <c r="B468" s="117" t="s">
        <v>10655</v>
      </c>
      <c r="C468" s="117" t="s">
        <v>10672</v>
      </c>
      <c r="D468" s="411" t="s">
        <v>12465</v>
      </c>
      <c r="E468" s="412" t="str">
        <f>LEFT(BD_MO[[#This Row],[LABOR]],2)</f>
        <v>Sn</v>
      </c>
      <c r="F468" s="413"/>
      <c r="G468" s="413" t="s">
        <v>10669</v>
      </c>
      <c r="H468" s="41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68" s="491" t="str">
        <f>IF(BD_MO[FECHA]&lt;&gt;"",VLOOKUP(BD_MO[LABOR],TB_CECO[[LABOR]:[CECO_T]],3,FALSE),"")</f>
        <v>VANESSA</v>
      </c>
      <c r="J468" s="491" t="str">
        <f>IF(BD_MO[FECHA]&lt;&gt;"",VLOOKUP(BD_MO[LABOR],D_CECO!B:H,7,FALSE),"")</f>
        <v>LINEAL</v>
      </c>
      <c r="K468" s="491" t="str">
        <f>IF(BD_MO[FECHA]&lt;&gt;"",VLOOKUP(BD_MO[LABOR],D_CECO!B:H,4,FALSE),"")</f>
        <v>EXPLORACION</v>
      </c>
      <c r="L468" s="412"/>
      <c r="M468" s="410"/>
      <c r="N468" s="413"/>
      <c r="O468" s="121" t="s">
        <v>12333</v>
      </c>
      <c r="P468" s="121" t="s">
        <v>12201</v>
      </c>
      <c r="Q468" s="414"/>
      <c r="R468" s="415"/>
      <c r="S468" s="416" t="str">
        <f>IFERROR(VLOOKUP(BD_MO[DNI 4],#REF!,2,FALSE)," ")</f>
        <v xml:space="preserve"> </v>
      </c>
      <c r="T468" s="417">
        <f>+IF(BD_MO[[#This Row],[FECHA]]&lt;&gt;"",COUNTA(BD_MO[[#This Row],[DNI]],BD_MO[[#This Row],[DNI 2]],BD_MO[[#This Row],[DNI 3]],BD_MO[[#This Row],[DNI 4]]),"")</f>
        <v>2</v>
      </c>
      <c r="U468" s="417"/>
      <c r="V468" s="417"/>
      <c r="W468" s="417"/>
      <c r="X468" s="417">
        <v>2</v>
      </c>
      <c r="Y468" s="418">
        <f>SUM(BD_MO[[#This Row],[LIMP]:[SERV]])</f>
        <v>2</v>
      </c>
      <c r="Z468" s="413"/>
      <c r="AA468" s="413" t="str">
        <f>+IF(BD_MO[[#This Row],[N° VALE]]&lt;&gt;"",1,"")</f>
        <v/>
      </c>
      <c r="AB468" s="410"/>
      <c r="AC468" s="413"/>
      <c r="AD468" s="413" t="str">
        <f>+IF(BD_MO[[#This Row],[N° VALE]]&lt;&gt;"",BD_MO[[#This Row],[FULMINANTE N° 08]]+BD_MO[CARMEX 7''],"")</f>
        <v/>
      </c>
      <c r="AE468" s="413"/>
      <c r="AF468" s="413" t="str">
        <f>+IF(BD_MO[[#This Row],[N° VALE]]&lt;&gt;"",BD_MO[[#This Row],[N° TALADROS]]+BD_MO[[#This Row],[N° TAL. VACIOS]],"")</f>
        <v/>
      </c>
      <c r="AG468" s="419"/>
      <c r="AH468" s="419"/>
      <c r="AI468" s="419"/>
      <c r="AJ468" s="419"/>
      <c r="AK468" s="419"/>
      <c r="AL468" s="419"/>
      <c r="AM468" s="412"/>
      <c r="AN468" s="413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68" s="413" t="str">
        <f>+IF(BD_MO[[#This Row],[N° VALE]]&lt;&gt;"",IF(BD_MO[[#This Row],[FULMINANTE N° 08]]&lt;&gt;"",BD_MO[[#This Row],[FULMINANTE N° 08]],IF(BD_MO[[#This Row],[CARMEX 7'']]&lt;&gt;0,0,"")),"")</f>
        <v/>
      </c>
      <c r="AP468" s="417" t="str">
        <f>+IF(BD_MO[[#This Row],[N° VALE]]&lt;&gt;"",BD_MO[[#This Row],[N°  TOTAL TALADROS]]*BD_MO[[#This Row],[BARRA]]*0.95,"")</f>
        <v/>
      </c>
      <c r="AQ468" s="417" t="str">
        <f>+IF(BD_MO[[#This Row],[N° VALE]]&lt;&gt;"",BD_MO[[#This Row],[EMULNOR 1000 (N° CART.)]]*PE_EMUL_1000[PE],"")</f>
        <v/>
      </c>
      <c r="AR468" s="417" t="str">
        <f>+IF(BD_MO[[#This Row],[N° VALE]]&lt;&gt;"",BD_MO[[#This Row],[EMULNOR 3000 (N° CART.)]]*PE_EMUL_3000[PE],"")</f>
        <v/>
      </c>
      <c r="AS468" s="417" t="str">
        <f>+IF(BD_MO[[#This Row],[N° VALE]]&lt;&gt;"",BD_MO[[#This Row],[PULVERULENTA (N° CART.)]]*PE_PULV_65[PE],"")</f>
        <v/>
      </c>
      <c r="AT468" s="417" t="str">
        <f>+IF(BD_MO[[#This Row],[N° DISP]]&lt;&gt;"",BD_MO[[#This Row],[SEMIGELATINA (N° CART.)]]*PE_SEMIGEL_65[PE],"")</f>
        <v/>
      </c>
      <c r="AU468" s="417" t="str">
        <f>+IF(BD_MO[N° VALE]&lt;&gt;"",BD_MO[[#This Row],[KG EXPLO SEMIGEL]]+BD_MO[[#This Row],[KG EXPLO PULVE]]+BD_MO[[#This Row],[KG EXPLO EMULN 3000]]+BD_MO[[#This Row],[KG EXPLO EMULN 1000]],"")</f>
        <v/>
      </c>
      <c r="AV468" s="413"/>
      <c r="AW468" s="413"/>
      <c r="AX468" s="413" t="str">
        <f>+IF(BD_MO[[#This Row],[MINERAL (U-35)]]&lt;&gt;"",BD_MO[[#This Row],[MINERAL (U-35)]]*1.45,"-")</f>
        <v>-</v>
      </c>
      <c r="AY468" s="413" t="str">
        <f>+IF(BD_MO[[#This Row],[DESMONTE (U-35)]]&lt;&gt;"",BD_MO[[#This Row],[DESMONTE (U-35)]]*1.23,"-")</f>
        <v>-</v>
      </c>
      <c r="AZ468" s="413"/>
      <c r="BA468" s="413"/>
      <c r="BB468" s="413"/>
      <c r="BC468" s="413"/>
      <c r="BD468" s="413"/>
      <c r="BE468" s="413"/>
      <c r="BF468" s="413"/>
      <c r="BG468" s="413"/>
      <c r="BH468" s="413"/>
      <c r="BI468" s="413"/>
      <c r="BJ468" s="413"/>
      <c r="BK468" s="413"/>
      <c r="BL468" s="413"/>
      <c r="BM468" s="413"/>
      <c r="BN468" s="412"/>
      <c r="BO468" s="413"/>
      <c r="BP468" s="413"/>
      <c r="BQ468" s="412"/>
      <c r="BR468" s="413"/>
      <c r="BS468" s="412"/>
      <c r="BT468" s="417"/>
      <c r="BU468" s="413"/>
      <c r="BV468" s="413"/>
      <c r="BW468" s="413"/>
      <c r="BX468" s="413"/>
      <c r="BY468" s="413"/>
      <c r="BZ468" s="413"/>
      <c r="CA468" s="413"/>
      <c r="CB468" s="413"/>
      <c r="CC468" s="413"/>
      <c r="CD468" s="413"/>
      <c r="CE468" s="413"/>
      <c r="CF468" s="413"/>
      <c r="CG468" s="413"/>
      <c r="CH468" s="413"/>
      <c r="CI468" s="413"/>
      <c r="CJ468" s="413"/>
      <c r="CK468" s="413"/>
      <c r="CL468" s="413"/>
      <c r="CM468" s="413"/>
      <c r="CN468" s="413"/>
      <c r="CO468" s="413"/>
      <c r="CP468" s="417">
        <f>+IF(BD_MO[[#This Row],[FECHA]]&lt;&gt;"",BD_MO[[#This Row],[PUNTAL 4"]]+BD_MO[[#This Row],[PUNTAL 5"]]+BD_MO[[#This Row],[PUNTAL 6"]]+BD_MO[[#This Row],[PUNTAL 7"]]+BD_MO[[#This Row],[PUNTAL 8"]],"")</f>
        <v>0</v>
      </c>
      <c r="CQ468" s="413"/>
      <c r="CR468" s="413"/>
      <c r="CS468" s="413"/>
      <c r="CT468" s="413"/>
      <c r="CU468" s="413"/>
      <c r="CV468" s="413"/>
      <c r="CW468" s="413"/>
      <c r="CX468" s="413"/>
      <c r="CY468" s="417"/>
      <c r="CZ468" s="417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68" s="417">
        <f>+IF(BD_MO[[#This Row],[FECHA]]&lt;&gt;"",BD_MO[[#This Row],[DURMIENTE2]]*6.561+BD_MO[[#This Row],[LISTONES]]*4.921+BD_MO[[#This Row],[TABLA 1"x8"x3m]]*6.561+BD_MO[[#This Row],[TABLA 2"x8"x3m]]*13.122,"")</f>
        <v>0</v>
      </c>
      <c r="DB468" s="417">
        <f>+IF(BD_MO[[#This Row],[FECHA]]&lt;&gt;"",BD_MO[[#This Row],[PIE2 MADERA ASERRADA]]*1.95,"")</f>
        <v>0</v>
      </c>
      <c r="DC468" s="417">
        <f>+IF(BD_MO[[#This Row],[FECHA]]&lt;&gt;"",BD_MO[[#This Row],[KG. MADERA REDONDA]]+BD_MO[[#This Row],[KG MADERA ASERRADA]],"")</f>
        <v>0</v>
      </c>
      <c r="DD468" s="42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68" s="413"/>
      <c r="DF468" s="413"/>
      <c r="DG468" s="413"/>
      <c r="DH468" s="413"/>
      <c r="DI468" s="42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68" s="421"/>
      <c r="DK468" s="421"/>
      <c r="DL468" s="42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68" s="42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68" s="42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68" s="422"/>
      <c r="DP468" s="421" t="str">
        <f>+IF(BD_MO[[#This Row],[M o D]]&lt;&gt;"",IF(BD_MO[[#This Row],[M o D]]="M",BD_MO[[#This Row],[ROTURA TMH]]/2.65,BD_MO[[#This Row],[ROTURA TMH]]/2.4),"")</f>
        <v/>
      </c>
      <c r="DQ468" s="421"/>
      <c r="DR468" s="484" t="str">
        <f>IF(BD_MO[[#This Row],[TIPO AVANCE]]="Avance",((BD_MO[[#This Row],[AVANCE (m)]]/BD_MO[[#This Row],[AVANCE TEÓRICO]]))," ")</f>
        <v xml:space="preserve"> </v>
      </c>
      <c r="DS468" s="113"/>
      <c r="DT468" s="113"/>
      <c r="DU468" s="113"/>
      <c r="DV468" s="113"/>
      <c r="DW468" s="113"/>
      <c r="DX468" s="114"/>
      <c r="DY468" s="114"/>
      <c r="DZ468" s="114"/>
    </row>
    <row r="469" spans="1:130" s="136" customFormat="1" ht="18" customHeight="1" x14ac:dyDescent="0.25">
      <c r="A469" s="92">
        <v>44678</v>
      </c>
      <c r="B469" s="40" t="s">
        <v>10647</v>
      </c>
      <c r="C469" s="40" t="s">
        <v>10668</v>
      </c>
      <c r="D469" s="94" t="s">
        <v>11827</v>
      </c>
      <c r="E469" s="383" t="str">
        <f>LEFT(BD_MO[[#This Row],[LABOR]],2)</f>
        <v>Tj</v>
      </c>
      <c r="F469" s="212" t="s">
        <v>10950</v>
      </c>
      <c r="G469" s="212" t="s">
        <v>10648</v>
      </c>
      <c r="H469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69" s="383" t="str">
        <f>IF(BD_MO[FECHA]&lt;&gt;"",VLOOKUP(BD_MO[LABOR],TB_CECO[[LABOR]:[CECO_T]],3,FALSE),"")</f>
        <v>VANESSA</v>
      </c>
      <c r="J469" s="383" t="str">
        <f>IF(BD_MO[FECHA]&lt;&gt;"",VLOOKUP(BD_MO[LABOR],D_CECO!B:H,7,FALSE),"")</f>
        <v>TAJO</v>
      </c>
      <c r="K469" s="383" t="str">
        <f>IF(BD_MO[FECHA]&lt;&gt;"",VLOOKUP(BD_MO[LABOR],D_CECO!B:H,4,FALSE),"")</f>
        <v>EXPLOTACION</v>
      </c>
      <c r="L469" s="383"/>
      <c r="M469" s="40" t="s">
        <v>10661</v>
      </c>
      <c r="N469" s="212"/>
      <c r="O469" s="93" t="s">
        <v>12405</v>
      </c>
      <c r="P469" s="93" t="s">
        <v>12088</v>
      </c>
      <c r="Q469" s="93"/>
      <c r="R469" s="384"/>
      <c r="S469" s="385" t="str">
        <f>IFERROR(VLOOKUP(BD_MO[DNI 4],#REF!,2,FALSE)," ")</f>
        <v xml:space="preserve"> </v>
      </c>
      <c r="T469" s="386">
        <v>1</v>
      </c>
      <c r="U469" s="386"/>
      <c r="V469" s="386">
        <v>0.2</v>
      </c>
      <c r="W469" s="386">
        <v>0.4</v>
      </c>
      <c r="X469" s="386">
        <v>0.4</v>
      </c>
      <c r="Y469" s="86">
        <f>SUM(BD_MO[[#This Row],[LIMP]:[SERV]])</f>
        <v>1</v>
      </c>
      <c r="Z469" s="212" t="s">
        <v>12408</v>
      </c>
      <c r="AA469" s="212">
        <f>+IF(BD_MO[[#This Row],[N° VALE]]&lt;&gt;"",1,"")</f>
        <v>1</v>
      </c>
      <c r="AB469" s="40" t="s">
        <v>10652</v>
      </c>
      <c r="AC469" s="212">
        <v>4</v>
      </c>
      <c r="AD469" s="212">
        <f>+IF(BD_MO[[#This Row],[N° VALE]]&lt;&gt;"",BD_MO[[#This Row],[FULMINANTE N° 08]]+BD_MO[CARMEX 7''],"")</f>
        <v>10</v>
      </c>
      <c r="AE469" s="212"/>
      <c r="AF469" s="212">
        <f>+IF(BD_MO[[#This Row],[N° VALE]]&lt;&gt;"",BD_MO[[#This Row],[N° TALADROS]]+BD_MO[[#This Row],[N° TAL. VACIOS]],"")</f>
        <v>10</v>
      </c>
      <c r="AG469" s="387">
        <v>10</v>
      </c>
      <c r="AH469" s="387">
        <v>30</v>
      </c>
      <c r="AI469" s="387"/>
      <c r="AJ469" s="387"/>
      <c r="AK469" s="387">
        <v>10</v>
      </c>
      <c r="AL469" s="387">
        <v>2</v>
      </c>
      <c r="AM469" s="383"/>
      <c r="AN469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69" s="212">
        <f>+IF(BD_MO[[#This Row],[N° VALE]]&lt;&gt;"",IF(BD_MO[[#This Row],[FULMINANTE N° 08]]&lt;&gt;"",BD_MO[[#This Row],[FULMINANTE N° 08]],IF(BD_MO[[#This Row],[CARMEX 7'']]&lt;&gt;0,0,"")),"")</f>
        <v>0</v>
      </c>
      <c r="AP469" s="386">
        <f>+IF(BD_MO[[#This Row],[N° VALE]]&lt;&gt;"",BD_MO[[#This Row],[N°  TOTAL TALADROS]]*BD_MO[[#This Row],[BARRA]]*0.95,"")</f>
        <v>38</v>
      </c>
      <c r="AQ469" s="386">
        <f>+IF(BD_MO[[#This Row],[N° VALE]]&lt;&gt;"",BD_MO[[#This Row],[EMULNOR 1000 (N° CART.)]]*PE_EMUL_1000[PE],"")</f>
        <v>2.8410000000000002</v>
      </c>
      <c r="AR469" s="386">
        <f>+IF(BD_MO[[#This Row],[N° VALE]]&lt;&gt;"",BD_MO[[#This Row],[EMULNOR 3000 (N° CART.)]]*PE_EMUL_3000[PE],"")</f>
        <v>0.96153846153846201</v>
      </c>
      <c r="AS469" s="386">
        <f>+IF(BD_MO[[#This Row],[N° VALE]]&lt;&gt;"",BD_MO[[#This Row],[PULVERULENTA (N° CART.)]]*PE_PULV_65[PE],"")</f>
        <v>0</v>
      </c>
      <c r="AT469" s="386">
        <f>+IF(BD_MO[[#This Row],[N° DISP]]&lt;&gt;"",BD_MO[[#This Row],[SEMIGELATINA (N° CART.)]]*PE_SEMIGEL_65[PE],"")</f>
        <v>0</v>
      </c>
      <c r="AU469" s="386">
        <f>+IF(BD_MO[N° VALE]&lt;&gt;"",BD_MO[[#This Row],[KG EXPLO SEMIGEL]]+BD_MO[[#This Row],[KG EXPLO PULVE]]+BD_MO[[#This Row],[KG EXPLO EMULN 3000]]+BD_MO[[#This Row],[KG EXPLO EMULN 1000]],"")</f>
        <v>3.8025384615384623</v>
      </c>
      <c r="AV469" s="212">
        <v>5</v>
      </c>
      <c r="AW469" s="212"/>
      <c r="AX469" s="212">
        <f>+IF(BD_MO[[#This Row],[MINERAL (U-35)]]&lt;&gt;"",BD_MO[[#This Row],[MINERAL (U-35)]]*1.45,"-")</f>
        <v>7.25</v>
      </c>
      <c r="AY469" s="212" t="str">
        <f>+IF(BD_MO[[#This Row],[DESMONTE (U-35)]]&lt;&gt;"",BD_MO[[#This Row],[DESMONTE (U-35)]]*1.23,"-")</f>
        <v>-</v>
      </c>
      <c r="AZ469" s="212"/>
      <c r="BA469" s="212"/>
      <c r="BB469" s="212"/>
      <c r="BC469" s="212"/>
      <c r="BD469" s="212"/>
      <c r="BE469" s="212"/>
      <c r="BF469" s="212"/>
      <c r="BG469" s="212"/>
      <c r="BH469" s="212"/>
      <c r="BI469" s="212">
        <v>2</v>
      </c>
      <c r="BJ469" s="212"/>
      <c r="BK469" s="212"/>
      <c r="BL469" s="212"/>
      <c r="BM469" s="212"/>
      <c r="BN469" s="383"/>
      <c r="BO469" s="212"/>
      <c r="BP469" s="212"/>
      <c r="BQ469" s="383"/>
      <c r="BR469" s="212"/>
      <c r="BS469" s="383"/>
      <c r="BT469" s="386"/>
      <c r="BU469" s="212"/>
      <c r="BV469" s="212"/>
      <c r="BW469" s="212"/>
      <c r="BX469" s="212">
        <v>3</v>
      </c>
      <c r="BY469" s="212"/>
      <c r="BZ469" s="212">
        <v>3</v>
      </c>
      <c r="CA469" s="212"/>
      <c r="CB469" s="212"/>
      <c r="CC469" s="212"/>
      <c r="CD469" s="212"/>
      <c r="CE469" s="212"/>
      <c r="CF469" s="212"/>
      <c r="CG469" s="212"/>
      <c r="CH469" s="212"/>
      <c r="CI469" s="212"/>
      <c r="CJ469" s="212"/>
      <c r="CK469" s="212"/>
      <c r="CL469" s="212"/>
      <c r="CM469" s="212">
        <v>12</v>
      </c>
      <c r="CN469" s="212"/>
      <c r="CO469" s="212">
        <v>2</v>
      </c>
      <c r="CP469" s="386">
        <f>+IF(BD_MO[[#This Row],[FECHA]]&lt;&gt;"",BD_MO[[#This Row],[PUNTAL 4"]]+BD_MO[[#This Row],[PUNTAL 5"]]+BD_MO[[#This Row],[PUNTAL 6"]]+BD_MO[[#This Row],[PUNTAL 7"]]+BD_MO[[#This Row],[PUNTAL 8"]],"")</f>
        <v>14</v>
      </c>
      <c r="CQ469" s="212">
        <v>14</v>
      </c>
      <c r="CR469" s="212"/>
      <c r="CS469" s="212"/>
      <c r="CT469" s="212"/>
      <c r="CU469" s="212"/>
      <c r="CV469" s="212"/>
      <c r="CW469" s="212"/>
      <c r="CX469" s="212"/>
      <c r="CY469" s="386"/>
      <c r="CZ469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1838.172</v>
      </c>
      <c r="DA469" s="386">
        <f>+IF(BD_MO[[#This Row],[FECHA]]&lt;&gt;"",BD_MO[[#This Row],[DURMIENTE2]]*6.561+BD_MO[[#This Row],[LISTONES]]*4.921+BD_MO[[#This Row],[TABLA 1"x8"x3m]]*6.561+BD_MO[[#This Row],[TABLA 2"x8"x3m]]*13.122,"")</f>
        <v>0</v>
      </c>
      <c r="DB469" s="386">
        <f>+IF(BD_MO[[#This Row],[FECHA]]&lt;&gt;"",BD_MO[[#This Row],[PIE2 MADERA ASERRADA]]*1.95,"")</f>
        <v>0</v>
      </c>
      <c r="DC469" s="386">
        <f>+IF(BD_MO[[#This Row],[FECHA]]&lt;&gt;"",BD_MO[[#This Row],[KG. MADERA REDONDA]]+BD_MO[[#This Row],[KG MADERA ASERRADA]],"")</f>
        <v>1838.172</v>
      </c>
      <c r="DD469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897.4</v>
      </c>
      <c r="DE469" s="212"/>
      <c r="DF469" s="212"/>
      <c r="DG469" s="212"/>
      <c r="DH469" s="212"/>
      <c r="DI469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69" s="228"/>
      <c r="DK469" s="228"/>
      <c r="DL469" s="228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469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469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69" s="389">
        <v>9.0429999999999993</v>
      </c>
      <c r="DP469" s="228">
        <f>+IF(BD_MO[[#This Row],[M o D]]&lt;&gt;"",IF(BD_MO[[#This Row],[M o D]]="M",BD_MO[[#This Row],[ROTURA TMH]]/2.65,BD_MO[[#This Row],[ROTURA TMH]]/2.4),"")</f>
        <v>3.4124528301886792</v>
      </c>
      <c r="DQ469" s="228"/>
      <c r="DR469" s="116" t="str">
        <f>IF(BD_MO[[#This Row],[TIPO AVANCE]]="Avance",((BD_MO[[#This Row],[AVANCE (m)]]/BD_MO[[#This Row],[AVANCE TEÓRICO]]))," ")</f>
        <v xml:space="preserve"> </v>
      </c>
      <c r="DS469" s="134"/>
      <c r="DT469" s="134"/>
      <c r="DU469" s="134"/>
      <c r="DV469" s="134"/>
      <c r="DW469" s="134"/>
      <c r="DX469" s="135"/>
      <c r="DY469" s="135"/>
      <c r="DZ469" s="135"/>
    </row>
    <row r="470" spans="1:130" s="136" customFormat="1" ht="18" customHeight="1" x14ac:dyDescent="0.25">
      <c r="A470" s="92">
        <v>44678</v>
      </c>
      <c r="B470" s="40" t="s">
        <v>10647</v>
      </c>
      <c r="C470" s="40" t="s">
        <v>10668</v>
      </c>
      <c r="D470" s="94" t="s">
        <v>11827</v>
      </c>
      <c r="E470" s="383" t="str">
        <f>LEFT(BD_MO[[#This Row],[LABOR]],2)</f>
        <v>Tj</v>
      </c>
      <c r="F470" s="212" t="s">
        <v>10950</v>
      </c>
      <c r="G470" s="212" t="s">
        <v>10648</v>
      </c>
      <c r="H470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70" s="383" t="str">
        <f>IF(BD_MO[FECHA]&lt;&gt;"",VLOOKUP(BD_MO[LABOR],TB_CECO[[LABOR]:[CECO_T]],3,FALSE),"")</f>
        <v>VANESSA</v>
      </c>
      <c r="J470" s="383" t="str">
        <f>IF(BD_MO[FECHA]&lt;&gt;"",VLOOKUP(BD_MO[LABOR],D_CECO!B:H,7,FALSE),"")</f>
        <v>TAJO</v>
      </c>
      <c r="K470" s="383" t="str">
        <f>IF(BD_MO[FECHA]&lt;&gt;"",VLOOKUP(BD_MO[LABOR],D_CECO!B:H,4,FALSE),"")</f>
        <v>EXPLOTACION</v>
      </c>
      <c r="L470" s="383"/>
      <c r="M470" s="40" t="s">
        <v>10661</v>
      </c>
      <c r="N470" s="212"/>
      <c r="O470" s="93" t="s">
        <v>12405</v>
      </c>
      <c r="P470" s="93" t="s">
        <v>12088</v>
      </c>
      <c r="Q470" s="93"/>
      <c r="R470" s="384"/>
      <c r="S470" s="385" t="str">
        <f>IFERROR(VLOOKUP(BD_MO[DNI 4],#REF!,2,FALSE)," ")</f>
        <v xml:space="preserve"> </v>
      </c>
      <c r="T470" s="386">
        <v>1</v>
      </c>
      <c r="U470" s="386"/>
      <c r="V470" s="386">
        <v>0.2</v>
      </c>
      <c r="W470" s="386">
        <v>0.4</v>
      </c>
      <c r="X470" s="386">
        <v>0.4</v>
      </c>
      <c r="Y470" s="86">
        <f>SUM(BD_MO[[#This Row],[LIMP]:[SERV]])</f>
        <v>1</v>
      </c>
      <c r="Z470" s="212" t="s">
        <v>12409</v>
      </c>
      <c r="AA470" s="212">
        <f>+IF(BD_MO[[#This Row],[N° VALE]]&lt;&gt;"",1,"")</f>
        <v>1</v>
      </c>
      <c r="AB470" s="40" t="s">
        <v>10652</v>
      </c>
      <c r="AC470" s="212">
        <v>4</v>
      </c>
      <c r="AD470" s="212">
        <f>+IF(BD_MO[[#This Row],[N° VALE]]&lt;&gt;"",BD_MO[[#This Row],[FULMINANTE N° 08]]+BD_MO[CARMEX 7''],"")</f>
        <v>4</v>
      </c>
      <c r="AE470" s="212"/>
      <c r="AF470" s="212">
        <f>+IF(BD_MO[[#This Row],[N° VALE]]&lt;&gt;"",BD_MO[[#This Row],[N° TALADROS]]+BD_MO[[#This Row],[N° TAL. VACIOS]],"")</f>
        <v>4</v>
      </c>
      <c r="AG470" s="387">
        <v>3</v>
      </c>
      <c r="AH470" s="387">
        <v>7</v>
      </c>
      <c r="AI470" s="387"/>
      <c r="AJ470" s="387"/>
      <c r="AK470" s="387">
        <v>4</v>
      </c>
      <c r="AL470" s="387">
        <v>2</v>
      </c>
      <c r="AM470" s="383"/>
      <c r="AN470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70" s="212">
        <f>+IF(BD_MO[[#This Row],[N° VALE]]&lt;&gt;"",IF(BD_MO[[#This Row],[FULMINANTE N° 08]]&lt;&gt;"",BD_MO[[#This Row],[FULMINANTE N° 08]],IF(BD_MO[[#This Row],[CARMEX 7'']]&lt;&gt;0,0,"")),"")</f>
        <v>0</v>
      </c>
      <c r="AP470" s="386">
        <f>+IF(BD_MO[[#This Row],[N° VALE]]&lt;&gt;"",BD_MO[[#This Row],[N°  TOTAL TALADROS]]*BD_MO[[#This Row],[BARRA]]*0.95,"")</f>
        <v>15.2</v>
      </c>
      <c r="AQ470" s="386">
        <f>+IF(BD_MO[[#This Row],[N° VALE]]&lt;&gt;"",BD_MO[[#This Row],[EMULNOR 1000 (N° CART.)]]*PE_EMUL_1000[PE],"")</f>
        <v>0.66290000000000004</v>
      </c>
      <c r="AR470" s="386">
        <f>+IF(BD_MO[[#This Row],[N° VALE]]&lt;&gt;"",BD_MO[[#This Row],[EMULNOR 3000 (N° CART.)]]*PE_EMUL_3000[PE],"")</f>
        <v>0.2884615384615386</v>
      </c>
      <c r="AS470" s="386">
        <f>+IF(BD_MO[[#This Row],[N° VALE]]&lt;&gt;"",BD_MO[[#This Row],[PULVERULENTA (N° CART.)]]*PE_PULV_65[PE],"")</f>
        <v>0</v>
      </c>
      <c r="AT470" s="386">
        <f>+IF(BD_MO[[#This Row],[N° DISP]]&lt;&gt;"",BD_MO[[#This Row],[SEMIGELATINA (N° CART.)]]*PE_SEMIGEL_65[PE],"")</f>
        <v>0</v>
      </c>
      <c r="AU470" s="386">
        <f>+IF(BD_MO[N° VALE]&lt;&gt;"",BD_MO[[#This Row],[KG EXPLO SEMIGEL]]+BD_MO[[#This Row],[KG EXPLO PULVE]]+BD_MO[[#This Row],[KG EXPLO EMULN 3000]]+BD_MO[[#This Row],[KG EXPLO EMULN 1000]],"")</f>
        <v>0.95136153846153859</v>
      </c>
      <c r="AV470" s="212"/>
      <c r="AW470" s="212"/>
      <c r="AX470" s="212" t="str">
        <f>+IF(BD_MO[[#This Row],[MINERAL (U-35)]]&lt;&gt;"",BD_MO[[#This Row],[MINERAL (U-35)]]*1.45,"-")</f>
        <v>-</v>
      </c>
      <c r="AY470" s="212" t="str">
        <f>+IF(BD_MO[[#This Row],[DESMONTE (U-35)]]&lt;&gt;"",BD_MO[[#This Row],[DESMONTE (U-35)]]*1.23,"-")</f>
        <v>-</v>
      </c>
      <c r="AZ470" s="212"/>
      <c r="BA470" s="212"/>
      <c r="BB470" s="212"/>
      <c r="BC470" s="212"/>
      <c r="BD470" s="212"/>
      <c r="BE470" s="212"/>
      <c r="BF470" s="212"/>
      <c r="BG470" s="212"/>
      <c r="BH470" s="212"/>
      <c r="BI470" s="212"/>
      <c r="BJ470" s="212"/>
      <c r="BK470" s="212"/>
      <c r="BL470" s="212"/>
      <c r="BM470" s="212"/>
      <c r="BN470" s="383"/>
      <c r="BO470" s="212"/>
      <c r="BP470" s="212"/>
      <c r="BQ470" s="383"/>
      <c r="BR470" s="212"/>
      <c r="BS470" s="383"/>
      <c r="BT470" s="386"/>
      <c r="BU470" s="212"/>
      <c r="BV470" s="212"/>
      <c r="BW470" s="212"/>
      <c r="BX470" s="212"/>
      <c r="BY470" s="212"/>
      <c r="BZ470" s="212"/>
      <c r="CA470" s="212"/>
      <c r="CB470" s="212"/>
      <c r="CC470" s="212"/>
      <c r="CD470" s="212"/>
      <c r="CE470" s="212"/>
      <c r="CF470" s="212"/>
      <c r="CG470" s="212"/>
      <c r="CH470" s="212"/>
      <c r="CI470" s="212"/>
      <c r="CJ470" s="212"/>
      <c r="CK470" s="212"/>
      <c r="CL470" s="212"/>
      <c r="CM470" s="212"/>
      <c r="CN470" s="212"/>
      <c r="CO470" s="212"/>
      <c r="CP470" s="386">
        <f>+IF(BD_MO[[#This Row],[FECHA]]&lt;&gt;"",BD_MO[[#This Row],[PUNTAL 4"]]+BD_MO[[#This Row],[PUNTAL 5"]]+BD_MO[[#This Row],[PUNTAL 6"]]+BD_MO[[#This Row],[PUNTAL 7"]]+BD_MO[[#This Row],[PUNTAL 8"]],"")</f>
        <v>0</v>
      </c>
      <c r="CQ470" s="212"/>
      <c r="CR470" s="212"/>
      <c r="CS470" s="212"/>
      <c r="CT470" s="212"/>
      <c r="CU470" s="212"/>
      <c r="CV470" s="212"/>
      <c r="CW470" s="212"/>
      <c r="CX470" s="212"/>
      <c r="CY470" s="386"/>
      <c r="CZ470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70" s="386">
        <f>+IF(BD_MO[[#This Row],[FECHA]]&lt;&gt;"",BD_MO[[#This Row],[DURMIENTE2]]*6.561+BD_MO[[#This Row],[LISTONES]]*4.921+BD_MO[[#This Row],[TABLA 1"x8"x3m]]*6.561+BD_MO[[#This Row],[TABLA 2"x8"x3m]]*13.122,"")</f>
        <v>0</v>
      </c>
      <c r="DB470" s="386">
        <f>+IF(BD_MO[[#This Row],[FECHA]]&lt;&gt;"",BD_MO[[#This Row],[PIE2 MADERA ASERRADA]]*1.95,"")</f>
        <v>0</v>
      </c>
      <c r="DC470" s="386">
        <f>+IF(BD_MO[[#This Row],[FECHA]]&lt;&gt;"",BD_MO[[#This Row],[KG. MADERA REDONDA]]+BD_MO[[#This Row],[KG MADERA ASERRADA]],"")</f>
        <v>0</v>
      </c>
      <c r="DD470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70" s="212"/>
      <c r="DF470" s="212"/>
      <c r="DG470" s="212"/>
      <c r="DH470" s="212"/>
      <c r="DI470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70" s="228"/>
      <c r="DK470" s="228"/>
      <c r="DL470" s="228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0.93</v>
      </c>
      <c r="DM470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0.96720000000000006</v>
      </c>
      <c r="DN470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70" s="389">
        <v>3.6172</v>
      </c>
      <c r="DP470" s="228">
        <f>+IF(BD_MO[[#This Row],[M o D]]&lt;&gt;"",IF(BD_MO[[#This Row],[M o D]]="M",BD_MO[[#This Row],[ROTURA TMH]]/2.65,BD_MO[[#This Row],[ROTURA TMH]]/2.4),"")</f>
        <v>1.3649811320754717</v>
      </c>
      <c r="DQ470" s="228"/>
      <c r="DR470" s="116" t="str">
        <f>IF(BD_MO[[#This Row],[TIPO AVANCE]]="Avance",((BD_MO[[#This Row],[AVANCE (m)]]/BD_MO[[#This Row],[AVANCE TEÓRICO]]))," ")</f>
        <v xml:space="preserve"> </v>
      </c>
      <c r="DS470" s="134"/>
      <c r="DT470" s="134"/>
      <c r="DU470" s="134"/>
      <c r="DV470" s="134"/>
      <c r="DW470" s="134"/>
      <c r="DX470" s="135"/>
      <c r="DY470" s="135"/>
      <c r="DZ470" s="135"/>
    </row>
    <row r="471" spans="1:130" s="136" customFormat="1" ht="18" customHeight="1" x14ac:dyDescent="0.25">
      <c r="A471" s="92">
        <v>44678</v>
      </c>
      <c r="B471" s="40" t="s">
        <v>10647</v>
      </c>
      <c r="C471" s="40" t="s">
        <v>10668</v>
      </c>
      <c r="D471" s="397" t="s">
        <v>12465</v>
      </c>
      <c r="E471" s="383" t="str">
        <f>LEFT(BD_MO[[#This Row],[LABOR]],2)</f>
        <v>Sn</v>
      </c>
      <c r="F471" s="212" t="s">
        <v>10950</v>
      </c>
      <c r="G471" s="212" t="s">
        <v>10648</v>
      </c>
      <c r="H471" s="38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71" s="492" t="str">
        <f>IF(BD_MO[FECHA]&lt;&gt;"",VLOOKUP(BD_MO[LABOR],TB_CECO[[LABOR]:[CECO_T]],3,FALSE),"")</f>
        <v>VANESSA</v>
      </c>
      <c r="J471" s="492" t="str">
        <f>IF(BD_MO[FECHA]&lt;&gt;"",VLOOKUP(BD_MO[LABOR],D_CECO!B:H,7,FALSE),"")</f>
        <v>LINEAL</v>
      </c>
      <c r="K471" s="492" t="str">
        <f>IF(BD_MO[FECHA]&lt;&gt;"",VLOOKUP(BD_MO[LABOR],D_CECO!B:H,4,FALSE),"")</f>
        <v>EXPLORACION</v>
      </c>
      <c r="L471" s="383"/>
      <c r="M471" s="40" t="s">
        <v>10646</v>
      </c>
      <c r="N471" s="212"/>
      <c r="O471" s="93" t="s">
        <v>12091</v>
      </c>
      <c r="P471" s="93" t="s">
        <v>12406</v>
      </c>
      <c r="Q471" s="93"/>
      <c r="R471" s="384"/>
      <c r="S471" s="385" t="str">
        <f>IFERROR(VLOOKUP(BD_MO[DNI 4],#REF!,2,FALSE)," ")</f>
        <v xml:space="preserve"> </v>
      </c>
      <c r="T471" s="386">
        <f>+IF(BD_MO[[#This Row],[FECHA]]&lt;&gt;"",COUNTA(BD_MO[[#This Row],[DNI]],BD_MO[[#This Row],[DNI 2]],BD_MO[[#This Row],[DNI 3]],BD_MO[[#This Row],[DNI 4]]),"")</f>
        <v>2</v>
      </c>
      <c r="U471" s="386">
        <v>1</v>
      </c>
      <c r="V471" s="386">
        <v>0.6</v>
      </c>
      <c r="W471" s="386"/>
      <c r="X471" s="386">
        <v>0.4</v>
      </c>
      <c r="Y471" s="86">
        <f>SUM(BD_MO[[#This Row],[LIMP]:[SERV]])</f>
        <v>2</v>
      </c>
      <c r="Z471" s="212" t="s">
        <v>12410</v>
      </c>
      <c r="AA471" s="212">
        <f>+IF(BD_MO[[#This Row],[N° VALE]]&lt;&gt;"",1,"")</f>
        <v>1</v>
      </c>
      <c r="AB471" s="40" t="s">
        <v>10709</v>
      </c>
      <c r="AC471" s="212">
        <v>4</v>
      </c>
      <c r="AD471" s="212">
        <f>+IF(BD_MO[[#This Row],[N° VALE]]&lt;&gt;"",BD_MO[[#This Row],[FULMINANTE N° 08]]+BD_MO[CARMEX 7''],"")</f>
        <v>17</v>
      </c>
      <c r="AE471" s="212">
        <v>3</v>
      </c>
      <c r="AF471" s="212">
        <f>+IF(BD_MO[[#This Row],[N° VALE]]&lt;&gt;"",BD_MO[[#This Row],[N° TALADROS]]+BD_MO[[#This Row],[N° TAL. VACIOS]],"")</f>
        <v>20</v>
      </c>
      <c r="AG471" s="387">
        <v>40</v>
      </c>
      <c r="AH471" s="387">
        <v>34</v>
      </c>
      <c r="AI471" s="387"/>
      <c r="AJ471" s="387"/>
      <c r="AK471" s="387">
        <v>17</v>
      </c>
      <c r="AL471" s="387">
        <v>4</v>
      </c>
      <c r="AM471" s="383"/>
      <c r="AN471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71" s="212">
        <f>+IF(BD_MO[[#This Row],[N° VALE]]&lt;&gt;"",IF(BD_MO[[#This Row],[FULMINANTE N° 08]]&lt;&gt;"",BD_MO[[#This Row],[FULMINANTE N° 08]],IF(BD_MO[[#This Row],[CARMEX 7'']]&lt;&gt;0,0,"")),"")</f>
        <v>0</v>
      </c>
      <c r="AP471" s="386">
        <f>+IF(BD_MO[[#This Row],[N° VALE]]&lt;&gt;"",BD_MO[[#This Row],[N°  TOTAL TALADROS]]*BD_MO[[#This Row],[BARRA]]*0.95,"")</f>
        <v>76</v>
      </c>
      <c r="AQ471" s="386">
        <f>+IF(BD_MO[[#This Row],[N° VALE]]&lt;&gt;"",BD_MO[[#This Row],[EMULNOR 1000 (N° CART.)]]*PE_EMUL_1000[PE],"")</f>
        <v>3.2198000000000002</v>
      </c>
      <c r="AR471" s="386">
        <f>+IF(BD_MO[[#This Row],[N° VALE]]&lt;&gt;"",BD_MO[[#This Row],[EMULNOR 3000 (N° CART.)]]*PE_EMUL_3000[PE],"")</f>
        <v>3.846153846153848</v>
      </c>
      <c r="AS471" s="386">
        <f>+IF(BD_MO[[#This Row],[N° VALE]]&lt;&gt;"",BD_MO[[#This Row],[PULVERULENTA (N° CART.)]]*PE_PULV_65[PE],"")</f>
        <v>0</v>
      </c>
      <c r="AT471" s="386">
        <f>+IF(BD_MO[[#This Row],[N° DISP]]&lt;&gt;"",BD_MO[[#This Row],[SEMIGELATINA (N° CART.)]]*PE_SEMIGEL_65[PE],"")</f>
        <v>0</v>
      </c>
      <c r="AU471" s="386">
        <f>+IF(BD_MO[N° VALE]&lt;&gt;"",BD_MO[[#This Row],[KG EXPLO SEMIGEL]]+BD_MO[[#This Row],[KG EXPLO PULVE]]+BD_MO[[#This Row],[KG EXPLO EMULN 3000]]+BD_MO[[#This Row],[KG EXPLO EMULN 1000]],"")</f>
        <v>7.0659538461538478</v>
      </c>
      <c r="AV471" s="212">
        <v>25</v>
      </c>
      <c r="AW471" s="212"/>
      <c r="AX471" s="212">
        <f>+IF(BD_MO[[#This Row],[MINERAL (U-35)]]&lt;&gt;"",BD_MO[[#This Row],[MINERAL (U-35)]]*1.45,"-")</f>
        <v>36.25</v>
      </c>
      <c r="AY471" s="212" t="str">
        <f>+IF(BD_MO[[#This Row],[DESMONTE (U-35)]]&lt;&gt;"",BD_MO[[#This Row],[DESMONTE (U-35)]]*1.23,"-")</f>
        <v>-</v>
      </c>
      <c r="AZ471" s="212"/>
      <c r="BA471" s="212"/>
      <c r="BB471" s="212"/>
      <c r="BC471" s="212"/>
      <c r="BD471" s="212"/>
      <c r="BE471" s="212"/>
      <c r="BF471" s="212"/>
      <c r="BG471" s="212"/>
      <c r="BH471" s="212"/>
      <c r="BI471" s="212"/>
      <c r="BJ471" s="212"/>
      <c r="BK471" s="212"/>
      <c r="BL471" s="212"/>
      <c r="BM471" s="212"/>
      <c r="BN471" s="383"/>
      <c r="BO471" s="212"/>
      <c r="BP471" s="212"/>
      <c r="BQ471" s="383"/>
      <c r="BR471" s="212"/>
      <c r="BS471" s="383"/>
      <c r="BT471" s="386"/>
      <c r="BU471" s="212"/>
      <c r="BV471" s="212"/>
      <c r="BW471" s="212"/>
      <c r="BX471" s="212"/>
      <c r="BY471" s="212"/>
      <c r="BZ471" s="212"/>
      <c r="CA471" s="212"/>
      <c r="CB471" s="212"/>
      <c r="CC471" s="212"/>
      <c r="CD471" s="212"/>
      <c r="CE471" s="212"/>
      <c r="CF471" s="212"/>
      <c r="CG471" s="212"/>
      <c r="CH471" s="212"/>
      <c r="CI471" s="212"/>
      <c r="CJ471" s="212"/>
      <c r="CK471" s="212"/>
      <c r="CL471" s="212"/>
      <c r="CM471" s="212"/>
      <c r="CN471" s="212"/>
      <c r="CO471" s="212"/>
      <c r="CP471" s="386">
        <f>+IF(BD_MO[[#This Row],[FECHA]]&lt;&gt;"",BD_MO[[#This Row],[PUNTAL 4"]]+BD_MO[[#This Row],[PUNTAL 5"]]+BD_MO[[#This Row],[PUNTAL 6"]]+BD_MO[[#This Row],[PUNTAL 7"]]+BD_MO[[#This Row],[PUNTAL 8"]],"")</f>
        <v>0</v>
      </c>
      <c r="CQ471" s="212"/>
      <c r="CR471" s="212"/>
      <c r="CS471" s="212"/>
      <c r="CT471" s="212"/>
      <c r="CU471" s="212"/>
      <c r="CV471" s="212"/>
      <c r="CW471" s="212"/>
      <c r="CX471" s="212"/>
      <c r="CY471" s="386"/>
      <c r="CZ471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71" s="386">
        <f>+IF(BD_MO[[#This Row],[FECHA]]&lt;&gt;"",BD_MO[[#This Row],[DURMIENTE2]]*6.561+BD_MO[[#This Row],[LISTONES]]*4.921+BD_MO[[#This Row],[TABLA 1"x8"x3m]]*6.561+BD_MO[[#This Row],[TABLA 2"x8"x3m]]*13.122,"")</f>
        <v>0</v>
      </c>
      <c r="DB471" s="386">
        <f>+IF(BD_MO[[#This Row],[FECHA]]&lt;&gt;"",BD_MO[[#This Row],[PIE2 MADERA ASERRADA]]*1.95,"")</f>
        <v>0</v>
      </c>
      <c r="DC471" s="386">
        <f>+IF(BD_MO[[#This Row],[FECHA]]&lt;&gt;"",BD_MO[[#This Row],[KG. MADERA REDONDA]]+BD_MO[[#This Row],[KG MADERA ASERRADA]],"")</f>
        <v>0</v>
      </c>
      <c r="DD471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71" s="212"/>
      <c r="DF471" s="212"/>
      <c r="DG471" s="212"/>
      <c r="DH471" s="212"/>
      <c r="DI471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71" s="228"/>
      <c r="DK471" s="228"/>
      <c r="DL471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71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71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71" s="389">
        <v>4.3587999999999996</v>
      </c>
      <c r="DP471" s="228">
        <f>+IF(BD_MO[[#This Row],[M o D]]&lt;&gt;"",IF(BD_MO[[#This Row],[M o D]]="M",BD_MO[[#This Row],[ROTURA TMH]]/2.65,BD_MO[[#This Row],[ROTURA TMH]]/2.4),"")</f>
        <v>1.6448301886792451</v>
      </c>
      <c r="DQ471" s="228">
        <v>0.99</v>
      </c>
      <c r="DR471" s="116">
        <f>IF(BD_MO[[#This Row],[TIPO AVANCE]]="Avance",((BD_MO[[#This Row],[AVANCE (m)]]/BD_MO[[#This Row],[AVANCE TEÓRICO]]))," ")</f>
        <v>0.91666666666666663</v>
      </c>
      <c r="DS471" s="134"/>
      <c r="DT471" s="134"/>
      <c r="DU471" s="134"/>
      <c r="DV471" s="134"/>
      <c r="DW471" s="134"/>
      <c r="DX471" s="135"/>
      <c r="DY471" s="135"/>
      <c r="DZ471" s="135"/>
    </row>
    <row r="472" spans="1:130" s="136" customFormat="1" ht="18" customHeight="1" x14ac:dyDescent="0.25">
      <c r="A472" s="92">
        <v>44678</v>
      </c>
      <c r="B472" s="40" t="s">
        <v>10647</v>
      </c>
      <c r="C472" s="40" t="s">
        <v>10668</v>
      </c>
      <c r="D472" s="397" t="s">
        <v>12465</v>
      </c>
      <c r="E472" s="383" t="str">
        <f>LEFT(BD_MO[[#This Row],[LABOR]],2)</f>
        <v>Sn</v>
      </c>
      <c r="F472" s="212" t="s">
        <v>10950</v>
      </c>
      <c r="G472" s="212" t="s">
        <v>10648</v>
      </c>
      <c r="H472" s="38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72" s="387" t="str">
        <f>IF(BD_MO[FECHA]&lt;&gt;"",VLOOKUP(BD_MO[LABOR],TB_CECO[[LABOR]:[CECO_T]],3,FALSE),"")</f>
        <v>VANESSA</v>
      </c>
      <c r="J472" s="387" t="str">
        <f>IF(BD_MO[FECHA]&lt;&gt;"",VLOOKUP(BD_MO[LABOR],D_CECO!B:H,7,FALSE),"")</f>
        <v>LINEAL</v>
      </c>
      <c r="K472" s="387" t="str">
        <f>IF(BD_MO[FECHA]&lt;&gt;"",VLOOKUP(BD_MO[LABOR],D_CECO!B:H,4,FALSE),"")</f>
        <v>EXPLORACION</v>
      </c>
      <c r="L472" s="383"/>
      <c r="M472" s="40" t="s">
        <v>10646</v>
      </c>
      <c r="N472" s="212"/>
      <c r="O472" s="93" t="s">
        <v>12361</v>
      </c>
      <c r="P472" s="93"/>
      <c r="Q472" s="93"/>
      <c r="R472" s="384"/>
      <c r="S472" s="385" t="str">
        <f>IFERROR(VLOOKUP(BD_MO[DNI 4],#REF!,2,FALSE)," ")</f>
        <v xml:space="preserve"> </v>
      </c>
      <c r="T472" s="386">
        <f>+IF(BD_MO[[#This Row],[FECHA]]&lt;&gt;"",COUNTA(BD_MO[[#This Row],[DNI]],BD_MO[[#This Row],[DNI 2]],BD_MO[[#This Row],[DNI 3]],BD_MO[[#This Row],[DNI 4]]),"")</f>
        <v>1</v>
      </c>
      <c r="U472" s="386">
        <v>0.5</v>
      </c>
      <c r="V472" s="386">
        <v>0.3</v>
      </c>
      <c r="W472" s="386"/>
      <c r="X472" s="386">
        <v>0.2</v>
      </c>
      <c r="Y472" s="86">
        <f>SUM(BD_MO[[#This Row],[LIMP]:[SERV]])</f>
        <v>1</v>
      </c>
      <c r="Z472" s="212" t="s">
        <v>12411</v>
      </c>
      <c r="AA472" s="212">
        <f>+IF(BD_MO[[#This Row],[N° VALE]]&lt;&gt;"",1,"")</f>
        <v>1</v>
      </c>
      <c r="AB472" s="40" t="s">
        <v>10709</v>
      </c>
      <c r="AC472" s="212">
        <v>4</v>
      </c>
      <c r="AD472" s="212">
        <f>+IF(BD_MO[[#This Row],[N° VALE]]&lt;&gt;"",BD_MO[[#This Row],[FULMINANTE N° 08]]+BD_MO[CARMEX 7''],"")</f>
        <v>20</v>
      </c>
      <c r="AE472" s="212">
        <v>3</v>
      </c>
      <c r="AF472" s="212">
        <f>+IF(BD_MO[[#This Row],[N° VALE]]&lt;&gt;"",BD_MO[[#This Row],[N° TALADROS]]+BD_MO[[#This Row],[N° TAL. VACIOS]],"")</f>
        <v>23</v>
      </c>
      <c r="AG472" s="387">
        <v>40</v>
      </c>
      <c r="AH472" s="387">
        <v>50</v>
      </c>
      <c r="AI472" s="387"/>
      <c r="AJ472" s="387"/>
      <c r="AK472" s="387">
        <v>20</v>
      </c>
      <c r="AL472" s="387">
        <v>4</v>
      </c>
      <c r="AM472" s="383"/>
      <c r="AN472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72" s="212">
        <f>+IF(BD_MO[[#This Row],[N° VALE]]&lt;&gt;"",IF(BD_MO[[#This Row],[FULMINANTE N° 08]]&lt;&gt;"",BD_MO[[#This Row],[FULMINANTE N° 08]],IF(BD_MO[[#This Row],[CARMEX 7'']]&lt;&gt;0,0,"")),"")</f>
        <v>0</v>
      </c>
      <c r="AP472" s="386">
        <f>+IF(BD_MO[[#This Row],[N° VALE]]&lt;&gt;"",BD_MO[[#This Row],[N°  TOTAL TALADROS]]*BD_MO[[#This Row],[BARRA]]*0.95,"")</f>
        <v>87.399999999999991</v>
      </c>
      <c r="AQ472" s="386">
        <f>+IF(BD_MO[[#This Row],[N° VALE]]&lt;&gt;"",BD_MO[[#This Row],[EMULNOR 1000 (N° CART.)]]*PE_EMUL_1000[PE],"")</f>
        <v>4.7350000000000003</v>
      </c>
      <c r="AR472" s="386">
        <f>+IF(BD_MO[[#This Row],[N° VALE]]&lt;&gt;"",BD_MO[[#This Row],[EMULNOR 3000 (N° CART.)]]*PE_EMUL_3000[PE],"")</f>
        <v>3.846153846153848</v>
      </c>
      <c r="AS472" s="386">
        <f>+IF(BD_MO[[#This Row],[N° VALE]]&lt;&gt;"",BD_MO[[#This Row],[PULVERULENTA (N° CART.)]]*PE_PULV_65[PE],"")</f>
        <v>0</v>
      </c>
      <c r="AT472" s="386">
        <f>+IF(BD_MO[[#This Row],[N° DISP]]&lt;&gt;"",BD_MO[[#This Row],[SEMIGELATINA (N° CART.)]]*PE_SEMIGEL_65[PE],"")</f>
        <v>0</v>
      </c>
      <c r="AU472" s="386">
        <f>+IF(BD_MO[N° VALE]&lt;&gt;"",BD_MO[[#This Row],[KG EXPLO SEMIGEL]]+BD_MO[[#This Row],[KG EXPLO PULVE]]+BD_MO[[#This Row],[KG EXPLO EMULN 3000]]+BD_MO[[#This Row],[KG EXPLO EMULN 1000]],"")</f>
        <v>8.5811538461538479</v>
      </c>
      <c r="AV472" s="212"/>
      <c r="AW472" s="212"/>
      <c r="AX472" s="212" t="str">
        <f>+IF(BD_MO[[#This Row],[MINERAL (U-35)]]&lt;&gt;"",BD_MO[[#This Row],[MINERAL (U-35)]]*1.45,"-")</f>
        <v>-</v>
      </c>
      <c r="AY472" s="212" t="str">
        <f>+IF(BD_MO[[#This Row],[DESMONTE (U-35)]]&lt;&gt;"",BD_MO[[#This Row],[DESMONTE (U-35)]]*1.23,"-")</f>
        <v>-</v>
      </c>
      <c r="AZ472" s="212"/>
      <c r="BA472" s="212"/>
      <c r="BB472" s="212"/>
      <c r="BC472" s="212"/>
      <c r="BD472" s="212"/>
      <c r="BE472" s="212"/>
      <c r="BF472" s="212"/>
      <c r="BG472" s="212"/>
      <c r="BH472" s="212"/>
      <c r="BI472" s="212"/>
      <c r="BJ472" s="212"/>
      <c r="BK472" s="212"/>
      <c r="BL472" s="212"/>
      <c r="BM472" s="212"/>
      <c r="BN472" s="383"/>
      <c r="BO472" s="212"/>
      <c r="BP472" s="212"/>
      <c r="BQ472" s="383"/>
      <c r="BR472" s="212"/>
      <c r="BS472" s="383"/>
      <c r="BT472" s="386"/>
      <c r="BU472" s="212"/>
      <c r="BV472" s="212"/>
      <c r="BW472" s="212"/>
      <c r="BX472" s="212"/>
      <c r="BY472" s="212"/>
      <c r="BZ472" s="212"/>
      <c r="CA472" s="212"/>
      <c r="CB472" s="212"/>
      <c r="CC472" s="212"/>
      <c r="CD472" s="212"/>
      <c r="CE472" s="212"/>
      <c r="CF472" s="212"/>
      <c r="CG472" s="212"/>
      <c r="CH472" s="212"/>
      <c r="CI472" s="212"/>
      <c r="CJ472" s="212"/>
      <c r="CK472" s="212"/>
      <c r="CL472" s="212"/>
      <c r="CM472" s="212"/>
      <c r="CN472" s="212"/>
      <c r="CO472" s="212"/>
      <c r="CP472" s="386">
        <f>+IF(BD_MO[[#This Row],[FECHA]]&lt;&gt;"",BD_MO[[#This Row],[PUNTAL 4"]]+BD_MO[[#This Row],[PUNTAL 5"]]+BD_MO[[#This Row],[PUNTAL 6"]]+BD_MO[[#This Row],[PUNTAL 7"]]+BD_MO[[#This Row],[PUNTAL 8"]],"")</f>
        <v>0</v>
      </c>
      <c r="CQ472" s="212"/>
      <c r="CR472" s="212"/>
      <c r="CS472" s="212"/>
      <c r="CT472" s="212"/>
      <c r="CU472" s="212"/>
      <c r="CV472" s="212"/>
      <c r="CW472" s="212"/>
      <c r="CX472" s="212"/>
      <c r="CY472" s="386"/>
      <c r="CZ472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72" s="386">
        <f>+IF(BD_MO[[#This Row],[FECHA]]&lt;&gt;"",BD_MO[[#This Row],[DURMIENTE2]]*6.561+BD_MO[[#This Row],[LISTONES]]*4.921+BD_MO[[#This Row],[TABLA 1"x8"x3m]]*6.561+BD_MO[[#This Row],[TABLA 2"x8"x3m]]*13.122,"")</f>
        <v>0</v>
      </c>
      <c r="DB472" s="386">
        <f>+IF(BD_MO[[#This Row],[FECHA]]&lt;&gt;"",BD_MO[[#This Row],[PIE2 MADERA ASERRADA]]*1.95,"")</f>
        <v>0</v>
      </c>
      <c r="DC472" s="386">
        <f>+IF(BD_MO[[#This Row],[FECHA]]&lt;&gt;"",BD_MO[[#This Row],[KG. MADERA REDONDA]]+BD_MO[[#This Row],[KG MADERA ASERRADA]],"")</f>
        <v>0</v>
      </c>
      <c r="DD472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72" s="212"/>
      <c r="DF472" s="212"/>
      <c r="DG472" s="212"/>
      <c r="DH472" s="212"/>
      <c r="DI472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72" s="228"/>
      <c r="DK472" s="228"/>
      <c r="DL472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72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72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72" s="389">
        <v>5.1280000000000001</v>
      </c>
      <c r="DP472" s="228">
        <f>+IF(BD_MO[[#This Row],[M o D]]&lt;&gt;"",IF(BD_MO[[#This Row],[M o D]]="M",BD_MO[[#This Row],[ROTURA TMH]]/2.65,BD_MO[[#This Row],[ROTURA TMH]]/2.4),"")</f>
        <v>1.9350943396226417</v>
      </c>
      <c r="DQ472" s="228">
        <v>1.05</v>
      </c>
      <c r="DR472" s="116">
        <f>IF(BD_MO[[#This Row],[TIPO AVANCE]]="Avance",((BD_MO[[#This Row],[AVANCE (m)]]/BD_MO[[#This Row],[AVANCE TEÓRICO]]))," ")</f>
        <v>0.97222222222222221</v>
      </c>
      <c r="DS472" s="134"/>
      <c r="DT472" s="134"/>
      <c r="DU472" s="134"/>
      <c r="DV472" s="134"/>
      <c r="DW472" s="134"/>
      <c r="DX472" s="135"/>
      <c r="DY472" s="135"/>
      <c r="DZ472" s="135"/>
    </row>
    <row r="473" spans="1:130" s="136" customFormat="1" ht="18" customHeight="1" x14ac:dyDescent="0.25">
      <c r="A473" s="92">
        <v>44678</v>
      </c>
      <c r="B473" s="40" t="s">
        <v>10647</v>
      </c>
      <c r="C473" s="40" t="s">
        <v>10668</v>
      </c>
      <c r="D473" s="94" t="s">
        <v>12339</v>
      </c>
      <c r="E473" s="383" t="str">
        <f>LEFT(BD_MO[[#This Row],[LABOR]],2)</f>
        <v>Tj</v>
      </c>
      <c r="F473" s="212"/>
      <c r="G473" s="212" t="s">
        <v>10669</v>
      </c>
      <c r="H473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73" s="383" t="str">
        <f>IF(BD_MO[FECHA]&lt;&gt;"",VLOOKUP(BD_MO[LABOR],TB_CECO[[LABOR]:[CECO_T]],3,FALSE),"")</f>
        <v>ESCONDIDA</v>
      </c>
      <c r="J473" s="383" t="str">
        <f>IF(BD_MO[FECHA]&lt;&gt;"",VLOOKUP(BD_MO[LABOR],D_CECO!B:H,7,FALSE),"")</f>
        <v>TAJO</v>
      </c>
      <c r="K473" s="383" t="str">
        <f>IF(BD_MO[FECHA]&lt;&gt;"",VLOOKUP(BD_MO[LABOR],D_CECO!B:H,4,FALSE),"")</f>
        <v>EXPLOTACION</v>
      </c>
      <c r="L473" s="383"/>
      <c r="M473" s="40"/>
      <c r="N473" s="212"/>
      <c r="O473" s="93" t="s">
        <v>12101</v>
      </c>
      <c r="P473" s="93" t="s">
        <v>12305</v>
      </c>
      <c r="Q473" s="93"/>
      <c r="R473" s="384"/>
      <c r="S473" s="385" t="str">
        <f>IFERROR(VLOOKUP(BD_MO[DNI 4],#REF!,2,FALSE)," ")</f>
        <v xml:space="preserve"> </v>
      </c>
      <c r="T473" s="386">
        <f>+IF(BD_MO[[#This Row],[FECHA]]&lt;&gt;"",COUNTA(BD_MO[[#This Row],[DNI]],BD_MO[[#This Row],[DNI 2]],BD_MO[[#This Row],[DNI 3]],BD_MO[[#This Row],[DNI 4]]),"")</f>
        <v>2</v>
      </c>
      <c r="U473" s="386"/>
      <c r="V473" s="386">
        <v>1</v>
      </c>
      <c r="W473" s="386">
        <v>0.6</v>
      </c>
      <c r="X473" s="386">
        <v>0.4</v>
      </c>
      <c r="Y473" s="86">
        <f>SUM(BD_MO[[#This Row],[LIMP]:[SERV]])</f>
        <v>2</v>
      </c>
      <c r="Z473" s="212"/>
      <c r="AA473" s="212" t="str">
        <f>+IF(BD_MO[[#This Row],[N° VALE]]&lt;&gt;"",1,"")</f>
        <v/>
      </c>
      <c r="AB473" s="40"/>
      <c r="AC473" s="212"/>
      <c r="AD473" s="212" t="str">
        <f>+IF(BD_MO[[#This Row],[N° VALE]]&lt;&gt;"",BD_MO[[#This Row],[FULMINANTE N° 08]]+BD_MO[CARMEX 7''],"")</f>
        <v/>
      </c>
      <c r="AE473" s="212"/>
      <c r="AF473" s="212" t="str">
        <f>+IF(BD_MO[[#This Row],[N° VALE]]&lt;&gt;"",BD_MO[[#This Row],[N° TALADROS]]+BD_MO[[#This Row],[N° TAL. VACIOS]],"")</f>
        <v/>
      </c>
      <c r="AG473" s="387"/>
      <c r="AH473" s="387"/>
      <c r="AI473" s="387"/>
      <c r="AJ473" s="387"/>
      <c r="AK473" s="387"/>
      <c r="AL473" s="387"/>
      <c r="AM473" s="383"/>
      <c r="AN473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73" s="212" t="str">
        <f>+IF(BD_MO[[#This Row],[N° VALE]]&lt;&gt;"",IF(BD_MO[[#This Row],[FULMINANTE N° 08]]&lt;&gt;"",BD_MO[[#This Row],[FULMINANTE N° 08]],IF(BD_MO[[#This Row],[CARMEX 7'']]&lt;&gt;0,0,"")),"")</f>
        <v/>
      </c>
      <c r="AP473" s="386" t="str">
        <f>+IF(BD_MO[[#This Row],[N° VALE]]&lt;&gt;"",BD_MO[[#This Row],[N°  TOTAL TALADROS]]*BD_MO[[#This Row],[BARRA]]*0.95,"")</f>
        <v/>
      </c>
      <c r="AQ473" s="386" t="str">
        <f>+IF(BD_MO[[#This Row],[N° VALE]]&lt;&gt;"",BD_MO[[#This Row],[EMULNOR 1000 (N° CART.)]]*PE_EMUL_1000[PE],"")</f>
        <v/>
      </c>
      <c r="AR473" s="386" t="str">
        <f>+IF(BD_MO[[#This Row],[N° VALE]]&lt;&gt;"",BD_MO[[#This Row],[EMULNOR 3000 (N° CART.)]]*PE_EMUL_3000[PE],"")</f>
        <v/>
      </c>
      <c r="AS473" s="386" t="str">
        <f>+IF(BD_MO[[#This Row],[N° VALE]]&lt;&gt;"",BD_MO[[#This Row],[PULVERULENTA (N° CART.)]]*PE_PULV_65[PE],"")</f>
        <v/>
      </c>
      <c r="AT473" s="386" t="str">
        <f>+IF(BD_MO[[#This Row],[N° DISP]]&lt;&gt;"",BD_MO[[#This Row],[SEMIGELATINA (N° CART.)]]*PE_SEMIGEL_65[PE],"")</f>
        <v/>
      </c>
      <c r="AU473" s="386" t="str">
        <f>+IF(BD_MO[N° VALE]&lt;&gt;"",BD_MO[[#This Row],[KG EXPLO SEMIGEL]]+BD_MO[[#This Row],[KG EXPLO PULVE]]+BD_MO[[#This Row],[KG EXPLO EMULN 3000]]+BD_MO[[#This Row],[KG EXPLO EMULN 1000]],"")</f>
        <v/>
      </c>
      <c r="AV473" s="212"/>
      <c r="AW473" s="212"/>
      <c r="AX473" s="212" t="str">
        <f>+IF(BD_MO[[#This Row],[MINERAL (U-35)]]&lt;&gt;"",BD_MO[[#This Row],[MINERAL (U-35)]]*1.45,"-")</f>
        <v>-</v>
      </c>
      <c r="AY473" s="212" t="str">
        <f>+IF(BD_MO[[#This Row],[DESMONTE (U-35)]]&lt;&gt;"",BD_MO[[#This Row],[DESMONTE (U-35)]]*1.23,"-")</f>
        <v>-</v>
      </c>
      <c r="AZ473" s="212"/>
      <c r="BA473" s="212"/>
      <c r="BB473" s="212"/>
      <c r="BC473" s="212"/>
      <c r="BD473" s="212"/>
      <c r="BE473" s="212"/>
      <c r="BF473" s="212"/>
      <c r="BG473" s="212"/>
      <c r="BH473" s="212"/>
      <c r="BI473" s="212"/>
      <c r="BJ473" s="212">
        <v>2</v>
      </c>
      <c r="BK473" s="212"/>
      <c r="BL473" s="212"/>
      <c r="BM473" s="212"/>
      <c r="BN473" s="383"/>
      <c r="BO473" s="212"/>
      <c r="BP473" s="212"/>
      <c r="BQ473" s="383"/>
      <c r="BR473" s="212"/>
      <c r="BS473" s="383"/>
      <c r="BT473" s="386"/>
      <c r="BU473" s="212"/>
      <c r="BV473" s="212"/>
      <c r="BW473" s="212"/>
      <c r="BX473" s="212"/>
      <c r="BY473" s="212"/>
      <c r="BZ473" s="212">
        <v>1</v>
      </c>
      <c r="CA473" s="212"/>
      <c r="CB473" s="212"/>
      <c r="CC473" s="212"/>
      <c r="CD473" s="212"/>
      <c r="CE473" s="212"/>
      <c r="CF473" s="212"/>
      <c r="CG473" s="212"/>
      <c r="CH473" s="212"/>
      <c r="CI473" s="212"/>
      <c r="CJ473" s="212"/>
      <c r="CK473" s="212"/>
      <c r="CL473" s="212"/>
      <c r="CM473" s="212"/>
      <c r="CN473" s="212"/>
      <c r="CO473" s="212"/>
      <c r="CP473" s="386">
        <f>+IF(BD_MO[[#This Row],[FECHA]]&lt;&gt;"",BD_MO[[#This Row],[PUNTAL 4"]]+BD_MO[[#This Row],[PUNTAL 5"]]+BD_MO[[#This Row],[PUNTAL 6"]]+BD_MO[[#This Row],[PUNTAL 7"]]+BD_MO[[#This Row],[PUNTAL 8"]],"")</f>
        <v>0</v>
      </c>
      <c r="CQ473" s="212">
        <v>20</v>
      </c>
      <c r="CR473" s="212"/>
      <c r="CS473" s="212"/>
      <c r="CT473" s="212"/>
      <c r="CU473" s="212">
        <v>1</v>
      </c>
      <c r="CV473" s="212"/>
      <c r="CW473" s="212"/>
      <c r="CX473" s="212"/>
      <c r="CY473" s="386"/>
      <c r="CZ473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1628.76</v>
      </c>
      <c r="DA473" s="386">
        <f>+IF(BD_MO[[#This Row],[FECHA]]&lt;&gt;"",BD_MO[[#This Row],[DURMIENTE2]]*6.561+BD_MO[[#This Row],[LISTONES]]*4.921+BD_MO[[#This Row],[TABLA 1"x8"x3m]]*6.561+BD_MO[[#This Row],[TABLA 2"x8"x3m]]*13.122,"")</f>
        <v>0</v>
      </c>
      <c r="DB473" s="386">
        <f>+IF(BD_MO[[#This Row],[FECHA]]&lt;&gt;"",BD_MO[[#This Row],[PIE2 MADERA ASERRADA]]*1.95,"")</f>
        <v>0</v>
      </c>
      <c r="DC473" s="386">
        <f>+IF(BD_MO[[#This Row],[FECHA]]&lt;&gt;"",BD_MO[[#This Row],[KG. MADERA REDONDA]]+BD_MO[[#This Row],[KG MADERA ASERRADA]],"")</f>
        <v>1628.76</v>
      </c>
      <c r="DD473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964.14</v>
      </c>
      <c r="DE473" s="212"/>
      <c r="DF473" s="212"/>
      <c r="DG473" s="212"/>
      <c r="DH473" s="212"/>
      <c r="DI473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73" s="228"/>
      <c r="DK473" s="228"/>
      <c r="DL473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73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73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73" s="389"/>
      <c r="DP473" s="228" t="str">
        <f>+IF(BD_MO[[#This Row],[M o D]]&lt;&gt;"",IF(BD_MO[[#This Row],[M o D]]="M",BD_MO[[#This Row],[ROTURA TMH]]/2.65,BD_MO[[#This Row],[ROTURA TMH]]/2.4),"")</f>
        <v/>
      </c>
      <c r="DQ473" s="228"/>
      <c r="DR473" s="116" t="str">
        <f>IF(BD_MO[[#This Row],[TIPO AVANCE]]="Avance",((BD_MO[[#This Row],[AVANCE (m)]]/BD_MO[[#This Row],[AVANCE TEÓRICO]]))," ")</f>
        <v xml:space="preserve"> </v>
      </c>
      <c r="DS473" s="134"/>
      <c r="DT473" s="134"/>
      <c r="DU473" s="134"/>
      <c r="DV473" s="134"/>
      <c r="DW473" s="134"/>
      <c r="DX473" s="135"/>
      <c r="DY473" s="135"/>
      <c r="DZ473" s="135"/>
    </row>
    <row r="474" spans="1:130" s="136" customFormat="1" ht="18" customHeight="1" x14ac:dyDescent="0.25">
      <c r="A474" s="92">
        <v>44678</v>
      </c>
      <c r="B474" s="40" t="s">
        <v>10647</v>
      </c>
      <c r="C474" s="40" t="s">
        <v>10668</v>
      </c>
      <c r="D474" s="94" t="s">
        <v>11806</v>
      </c>
      <c r="E474" s="383" t="str">
        <f>LEFT(BD_MO[[#This Row],[LABOR]],2)</f>
        <v>CX</v>
      </c>
      <c r="F474" s="212"/>
      <c r="G474" s="212" t="s">
        <v>10662</v>
      </c>
      <c r="H474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474" s="383" t="str">
        <f>IF(BD_MO[FECHA]&lt;&gt;"",VLOOKUP(BD_MO[LABOR],TB_CECO[[LABOR]:[CECO_T]],3,FALSE),"")</f>
        <v>CACHORRO</v>
      </c>
      <c r="J474" s="383" t="str">
        <f>IF(BD_MO[FECHA]&lt;&gt;"",VLOOKUP(BD_MO[LABOR],D_CECO!B:H,7,FALSE),"")</f>
        <v>LINEAL</v>
      </c>
      <c r="K474" s="383" t="str">
        <f>IF(BD_MO[FECHA]&lt;&gt;"",VLOOKUP(BD_MO[LABOR],D_CECO!B:H,4,FALSE),"")</f>
        <v>EXPLORACION</v>
      </c>
      <c r="L474" s="383"/>
      <c r="M474" s="40"/>
      <c r="N474" s="212"/>
      <c r="O474" s="93" t="s">
        <v>12306</v>
      </c>
      <c r="P474" s="93" t="s">
        <v>12093</v>
      </c>
      <c r="Q474" s="93"/>
      <c r="R474" s="384"/>
      <c r="S474" s="385" t="str">
        <f>IFERROR(VLOOKUP(BD_MO[DNI 4],#REF!,2,FALSE)," ")</f>
        <v xml:space="preserve"> </v>
      </c>
      <c r="T474" s="386">
        <f>+IF(BD_MO[[#This Row],[FECHA]]&lt;&gt;"",COUNTA(BD_MO[[#This Row],[DNI]],BD_MO[[#This Row],[DNI 2]],BD_MO[[#This Row],[DNI 3]],BD_MO[[#This Row],[DNI 4]]),"")</f>
        <v>2</v>
      </c>
      <c r="U474" s="386">
        <v>0.4</v>
      </c>
      <c r="V474" s="386"/>
      <c r="W474" s="386">
        <v>1</v>
      </c>
      <c r="X474" s="386">
        <v>0.6</v>
      </c>
      <c r="Y474" s="86">
        <f>SUM(BD_MO[[#This Row],[LIMP]:[SERV]])</f>
        <v>2</v>
      </c>
      <c r="Z474" s="212"/>
      <c r="AA474" s="212" t="str">
        <f>+IF(BD_MO[[#This Row],[N° VALE]]&lt;&gt;"",1,"")</f>
        <v/>
      </c>
      <c r="AB474" s="40"/>
      <c r="AC474" s="212"/>
      <c r="AD474" s="212" t="str">
        <f>+IF(BD_MO[[#This Row],[N° VALE]]&lt;&gt;"",BD_MO[[#This Row],[FULMINANTE N° 08]]+BD_MO[CARMEX 7''],"")</f>
        <v/>
      </c>
      <c r="AE474" s="212"/>
      <c r="AF474" s="212" t="str">
        <f>+IF(BD_MO[[#This Row],[N° VALE]]&lt;&gt;"",BD_MO[[#This Row],[N° TALADROS]]+BD_MO[[#This Row],[N° TAL. VACIOS]],"")</f>
        <v/>
      </c>
      <c r="AG474" s="387"/>
      <c r="AH474" s="387"/>
      <c r="AI474" s="387"/>
      <c r="AJ474" s="387"/>
      <c r="AK474" s="387"/>
      <c r="AL474" s="387"/>
      <c r="AM474" s="383"/>
      <c r="AN474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74" s="212" t="str">
        <f>+IF(BD_MO[[#This Row],[N° VALE]]&lt;&gt;"",IF(BD_MO[[#This Row],[FULMINANTE N° 08]]&lt;&gt;"",BD_MO[[#This Row],[FULMINANTE N° 08]],IF(BD_MO[[#This Row],[CARMEX 7'']]&lt;&gt;0,0,"")),"")</f>
        <v/>
      </c>
      <c r="AP474" s="386" t="str">
        <f>+IF(BD_MO[[#This Row],[N° VALE]]&lt;&gt;"",BD_MO[[#This Row],[N°  TOTAL TALADROS]]*BD_MO[[#This Row],[BARRA]]*0.95,"")</f>
        <v/>
      </c>
      <c r="AQ474" s="386" t="str">
        <f>+IF(BD_MO[[#This Row],[N° VALE]]&lt;&gt;"",BD_MO[[#This Row],[EMULNOR 1000 (N° CART.)]]*PE_EMUL_1000[PE],"")</f>
        <v/>
      </c>
      <c r="AR474" s="386" t="str">
        <f>+IF(BD_MO[[#This Row],[N° VALE]]&lt;&gt;"",BD_MO[[#This Row],[EMULNOR 3000 (N° CART.)]]*PE_EMUL_3000[PE],"")</f>
        <v/>
      </c>
      <c r="AS474" s="386" t="str">
        <f>+IF(BD_MO[[#This Row],[N° VALE]]&lt;&gt;"",BD_MO[[#This Row],[PULVERULENTA (N° CART.)]]*PE_PULV_65[PE],"")</f>
        <v/>
      </c>
      <c r="AT474" s="386" t="str">
        <f>+IF(BD_MO[[#This Row],[N° DISP]]&lt;&gt;"",BD_MO[[#This Row],[SEMIGELATINA (N° CART.)]]*PE_SEMIGEL_65[PE],"")</f>
        <v/>
      </c>
      <c r="AU474" s="386" t="str">
        <f>+IF(BD_MO[N° VALE]&lt;&gt;"",BD_MO[[#This Row],[KG EXPLO SEMIGEL]]+BD_MO[[#This Row],[KG EXPLO PULVE]]+BD_MO[[#This Row],[KG EXPLO EMULN 3000]]+BD_MO[[#This Row],[KG EXPLO EMULN 1000]],"")</f>
        <v/>
      </c>
      <c r="AV474" s="212"/>
      <c r="AW474" s="212">
        <v>4</v>
      </c>
      <c r="AX474" s="212" t="str">
        <f>+IF(BD_MO[[#This Row],[MINERAL (U-35)]]&lt;&gt;"",BD_MO[[#This Row],[MINERAL (U-35)]]*1.45,"-")</f>
        <v>-</v>
      </c>
      <c r="AY474" s="212">
        <f>+IF(BD_MO[[#This Row],[DESMONTE (U-35)]]&lt;&gt;"",BD_MO[[#This Row],[DESMONTE (U-35)]]*1.23,"-")</f>
        <v>4.92</v>
      </c>
      <c r="AZ474" s="212">
        <v>1</v>
      </c>
      <c r="BA474" s="212"/>
      <c r="BB474" s="212"/>
      <c r="BC474" s="212"/>
      <c r="BD474" s="212"/>
      <c r="BE474" s="212"/>
      <c r="BF474" s="212">
        <v>2</v>
      </c>
      <c r="BG474" s="212"/>
      <c r="BH474" s="212"/>
      <c r="BI474" s="212"/>
      <c r="BJ474" s="212"/>
      <c r="BK474" s="212"/>
      <c r="BL474" s="212"/>
      <c r="BM474" s="212"/>
      <c r="BN474" s="383"/>
      <c r="BO474" s="212"/>
      <c r="BP474" s="212"/>
      <c r="BQ474" s="383"/>
      <c r="BR474" s="212"/>
      <c r="BS474" s="383"/>
      <c r="BT474" s="386"/>
      <c r="BU474" s="212"/>
      <c r="BV474" s="212"/>
      <c r="BW474" s="212"/>
      <c r="BX474" s="212"/>
      <c r="BY474" s="212"/>
      <c r="BZ474" s="212"/>
      <c r="CA474" s="212"/>
      <c r="CB474" s="212"/>
      <c r="CC474" s="212"/>
      <c r="CD474" s="212"/>
      <c r="CE474" s="212"/>
      <c r="CF474" s="212"/>
      <c r="CG474" s="212"/>
      <c r="CH474" s="212"/>
      <c r="CI474" s="212"/>
      <c r="CJ474" s="212"/>
      <c r="CK474" s="212"/>
      <c r="CL474" s="212">
        <v>3</v>
      </c>
      <c r="CM474" s="212">
        <v>6</v>
      </c>
      <c r="CN474" s="212"/>
      <c r="CO474" s="212">
        <v>3</v>
      </c>
      <c r="CP474" s="386">
        <f>+IF(BD_MO[[#This Row],[FECHA]]&lt;&gt;"",BD_MO[[#This Row],[PUNTAL 4"]]+BD_MO[[#This Row],[PUNTAL 5"]]+BD_MO[[#This Row],[PUNTAL 6"]]+BD_MO[[#This Row],[PUNTAL 7"]]+BD_MO[[#This Row],[PUNTAL 8"]],"")</f>
        <v>12</v>
      </c>
      <c r="CQ474" s="212">
        <v>12</v>
      </c>
      <c r="CR474" s="212"/>
      <c r="CS474" s="212"/>
      <c r="CT474" s="212"/>
      <c r="CU474" s="212"/>
      <c r="CV474" s="212"/>
      <c r="CW474" s="212"/>
      <c r="CX474" s="212"/>
      <c r="CY474" s="386"/>
      <c r="CZ474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1579.317</v>
      </c>
      <c r="DA474" s="386">
        <f>+IF(BD_MO[[#This Row],[FECHA]]&lt;&gt;"",BD_MO[[#This Row],[DURMIENTE2]]*6.561+BD_MO[[#This Row],[LISTONES]]*4.921+BD_MO[[#This Row],[TABLA 1"x8"x3m]]*6.561+BD_MO[[#This Row],[TABLA 2"x8"x3m]]*13.122,"")</f>
        <v>0</v>
      </c>
      <c r="DB474" s="386">
        <f>+IF(BD_MO[[#This Row],[FECHA]]&lt;&gt;"",BD_MO[[#This Row],[PIE2 MADERA ASERRADA]]*1.95,"")</f>
        <v>0</v>
      </c>
      <c r="DC474" s="386">
        <f>+IF(BD_MO[[#This Row],[FECHA]]&lt;&gt;"",BD_MO[[#This Row],[KG. MADERA REDONDA]]+BD_MO[[#This Row],[KG MADERA ASERRADA]],"")</f>
        <v>1579.317</v>
      </c>
      <c r="DD474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769.19999999999993</v>
      </c>
      <c r="DE474" s="212"/>
      <c r="DF474" s="212"/>
      <c r="DG474" s="212"/>
      <c r="DH474" s="212"/>
      <c r="DI474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74" s="228"/>
      <c r="DK474" s="228"/>
      <c r="DL474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74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74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74" s="389"/>
      <c r="DP474" s="228" t="str">
        <f>+IF(BD_MO[[#This Row],[M o D]]&lt;&gt;"",IF(BD_MO[[#This Row],[M o D]]="M",BD_MO[[#This Row],[ROTURA TMH]]/2.65,BD_MO[[#This Row],[ROTURA TMH]]/2.4),"")</f>
        <v/>
      </c>
      <c r="DQ474" s="228"/>
      <c r="DR474" s="116" t="str">
        <f>IF(BD_MO[[#This Row],[TIPO AVANCE]]="Avance",((BD_MO[[#This Row],[AVANCE (m)]]/BD_MO[[#This Row],[AVANCE TEÓRICO]]))," ")</f>
        <v xml:space="preserve"> </v>
      </c>
      <c r="DS474" s="134"/>
      <c r="DT474" s="134"/>
      <c r="DU474" s="134"/>
      <c r="DV474" s="134"/>
      <c r="DW474" s="134"/>
      <c r="DX474" s="135"/>
      <c r="DY474" s="135"/>
      <c r="DZ474" s="135"/>
    </row>
    <row r="475" spans="1:130" s="136" customFormat="1" ht="18" customHeight="1" x14ac:dyDescent="0.25">
      <c r="A475" s="92">
        <v>44678</v>
      </c>
      <c r="B475" s="40" t="s">
        <v>10647</v>
      </c>
      <c r="C475" s="40" t="s">
        <v>10668</v>
      </c>
      <c r="D475" s="94" t="s">
        <v>11872</v>
      </c>
      <c r="E475" s="383" t="str">
        <f>LEFT(BD_MO[[#This Row],[LABOR]],2)</f>
        <v>PQ</v>
      </c>
      <c r="F475" s="212"/>
      <c r="G475" s="212" t="s">
        <v>10669</v>
      </c>
      <c r="H475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75" s="383" t="str">
        <f>IF(BD_MO[FECHA]&lt;&gt;"",VLOOKUP(BD_MO[LABOR],TB_CECO[[LABOR]:[CECO_T]],3,FALSE),"")</f>
        <v>ANDREA</v>
      </c>
      <c r="J475" s="383" t="str">
        <f>IF(BD_MO[FECHA]&lt;&gt;"",VLOOKUP(BD_MO[LABOR],D_CECO!B:H,7,FALSE),"")</f>
        <v>LINEAL</v>
      </c>
      <c r="K475" s="383" t="str">
        <f>IF(BD_MO[FECHA]&lt;&gt;"",VLOOKUP(BD_MO[LABOR],D_CECO!B:H,4,FALSE),"")</f>
        <v>EXPLOTACION</v>
      </c>
      <c r="L475" s="383"/>
      <c r="M475" s="40"/>
      <c r="N475" s="212"/>
      <c r="O475" s="93" t="s">
        <v>12097</v>
      </c>
      <c r="P475" s="93" t="s">
        <v>12090</v>
      </c>
      <c r="Q475" s="93" t="s">
        <v>12407</v>
      </c>
      <c r="R475" s="384"/>
      <c r="S475" s="385" t="str">
        <f>IFERROR(VLOOKUP(BD_MO[DNI 4],#REF!,2,FALSE)," ")</f>
        <v xml:space="preserve"> </v>
      </c>
      <c r="T475" s="386">
        <f>+IF(BD_MO[[#This Row],[FECHA]]&lt;&gt;"",COUNTA(BD_MO[[#This Row],[DNI]],BD_MO[[#This Row],[DNI 2]],BD_MO[[#This Row],[DNI 3]],BD_MO[[#This Row],[DNI 4]]),"")</f>
        <v>3</v>
      </c>
      <c r="U475" s="386"/>
      <c r="V475" s="386"/>
      <c r="W475" s="386"/>
      <c r="X475" s="386">
        <v>3</v>
      </c>
      <c r="Y475" s="86">
        <f>SUM(BD_MO[[#This Row],[LIMP]:[SERV]])</f>
        <v>3</v>
      </c>
      <c r="Z475" s="212"/>
      <c r="AA475" s="212" t="str">
        <f>+IF(BD_MO[[#This Row],[N° VALE]]&lt;&gt;"",1,"")</f>
        <v/>
      </c>
      <c r="AB475" s="40"/>
      <c r="AC475" s="212"/>
      <c r="AD475" s="212" t="str">
        <f>+IF(BD_MO[[#This Row],[N° VALE]]&lt;&gt;"",BD_MO[[#This Row],[FULMINANTE N° 08]]+BD_MO[CARMEX 7''],"")</f>
        <v/>
      </c>
      <c r="AE475" s="212"/>
      <c r="AF475" s="212" t="str">
        <f>+IF(BD_MO[[#This Row],[N° VALE]]&lt;&gt;"",BD_MO[[#This Row],[N° TALADROS]]+BD_MO[[#This Row],[N° TAL. VACIOS]],"")</f>
        <v/>
      </c>
      <c r="AG475" s="387"/>
      <c r="AH475" s="387"/>
      <c r="AI475" s="387"/>
      <c r="AJ475" s="387"/>
      <c r="AK475" s="387"/>
      <c r="AL475" s="387"/>
      <c r="AM475" s="383"/>
      <c r="AN475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75" s="212" t="str">
        <f>+IF(BD_MO[[#This Row],[N° VALE]]&lt;&gt;"",IF(BD_MO[[#This Row],[FULMINANTE N° 08]]&lt;&gt;"",BD_MO[[#This Row],[FULMINANTE N° 08]],IF(BD_MO[[#This Row],[CARMEX 7'']]&lt;&gt;0,0,"")),"")</f>
        <v/>
      </c>
      <c r="AP475" s="386" t="str">
        <f>+IF(BD_MO[[#This Row],[N° VALE]]&lt;&gt;"",BD_MO[[#This Row],[N°  TOTAL TALADROS]]*BD_MO[[#This Row],[BARRA]]*0.95,"")</f>
        <v/>
      </c>
      <c r="AQ475" s="386" t="str">
        <f>+IF(BD_MO[[#This Row],[N° VALE]]&lt;&gt;"",BD_MO[[#This Row],[EMULNOR 1000 (N° CART.)]]*PE_EMUL_1000[PE],"")</f>
        <v/>
      </c>
      <c r="AR475" s="386" t="str">
        <f>+IF(BD_MO[[#This Row],[N° VALE]]&lt;&gt;"",BD_MO[[#This Row],[EMULNOR 3000 (N° CART.)]]*PE_EMUL_3000[PE],"")</f>
        <v/>
      </c>
      <c r="AS475" s="386" t="str">
        <f>+IF(BD_MO[[#This Row],[N° VALE]]&lt;&gt;"",BD_MO[[#This Row],[PULVERULENTA (N° CART.)]]*PE_PULV_65[PE],"")</f>
        <v/>
      </c>
      <c r="AT475" s="386" t="str">
        <f>+IF(BD_MO[[#This Row],[N° DISP]]&lt;&gt;"",BD_MO[[#This Row],[SEMIGELATINA (N° CART.)]]*PE_SEMIGEL_65[PE],"")</f>
        <v/>
      </c>
      <c r="AU475" s="386" t="str">
        <f>+IF(BD_MO[N° VALE]&lt;&gt;"",BD_MO[[#This Row],[KG EXPLO SEMIGEL]]+BD_MO[[#This Row],[KG EXPLO PULVE]]+BD_MO[[#This Row],[KG EXPLO EMULN 3000]]+BD_MO[[#This Row],[KG EXPLO EMULN 1000]],"")</f>
        <v/>
      </c>
      <c r="AV475" s="212"/>
      <c r="AW475" s="212"/>
      <c r="AX475" s="212" t="str">
        <f>+IF(BD_MO[[#This Row],[MINERAL (U-35)]]&lt;&gt;"",BD_MO[[#This Row],[MINERAL (U-35)]]*1.45,"-")</f>
        <v>-</v>
      </c>
      <c r="AY475" s="212" t="str">
        <f>+IF(BD_MO[[#This Row],[DESMONTE (U-35)]]&lt;&gt;"",BD_MO[[#This Row],[DESMONTE (U-35)]]*1.23,"-")</f>
        <v>-</v>
      </c>
      <c r="AZ475" s="212"/>
      <c r="BA475" s="212"/>
      <c r="BB475" s="212"/>
      <c r="BC475" s="212"/>
      <c r="BD475" s="212"/>
      <c r="BE475" s="212"/>
      <c r="BF475" s="212"/>
      <c r="BG475" s="212"/>
      <c r="BH475" s="212"/>
      <c r="BI475" s="212"/>
      <c r="BJ475" s="212"/>
      <c r="BK475" s="212"/>
      <c r="BL475" s="212"/>
      <c r="BM475" s="212"/>
      <c r="BN475" s="383"/>
      <c r="BO475" s="212"/>
      <c r="BP475" s="212"/>
      <c r="BQ475" s="383"/>
      <c r="BR475" s="212"/>
      <c r="BS475" s="383"/>
      <c r="BT475" s="386"/>
      <c r="BU475" s="212"/>
      <c r="BV475" s="212"/>
      <c r="BW475" s="212"/>
      <c r="BX475" s="212"/>
      <c r="BY475" s="212"/>
      <c r="BZ475" s="212"/>
      <c r="CA475" s="212"/>
      <c r="CB475" s="212"/>
      <c r="CC475" s="212"/>
      <c r="CD475" s="212"/>
      <c r="CE475" s="212"/>
      <c r="CF475" s="212"/>
      <c r="CG475" s="212"/>
      <c r="CH475" s="212"/>
      <c r="CI475" s="212"/>
      <c r="CJ475" s="212"/>
      <c r="CK475" s="212"/>
      <c r="CL475" s="212"/>
      <c r="CM475" s="212"/>
      <c r="CN475" s="212"/>
      <c r="CO475" s="212"/>
      <c r="CP475" s="386">
        <f>+IF(BD_MO[[#This Row],[FECHA]]&lt;&gt;"",BD_MO[[#This Row],[PUNTAL 4"]]+BD_MO[[#This Row],[PUNTAL 5"]]+BD_MO[[#This Row],[PUNTAL 6"]]+BD_MO[[#This Row],[PUNTAL 7"]]+BD_MO[[#This Row],[PUNTAL 8"]],"")</f>
        <v>0</v>
      </c>
      <c r="CQ475" s="212"/>
      <c r="CR475" s="212"/>
      <c r="CS475" s="212"/>
      <c r="CT475" s="212"/>
      <c r="CU475" s="212"/>
      <c r="CV475" s="212"/>
      <c r="CW475" s="212"/>
      <c r="CX475" s="212"/>
      <c r="CY475" s="386"/>
      <c r="CZ475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75" s="386">
        <f>+IF(BD_MO[[#This Row],[FECHA]]&lt;&gt;"",BD_MO[[#This Row],[DURMIENTE2]]*6.561+BD_MO[[#This Row],[LISTONES]]*4.921+BD_MO[[#This Row],[TABLA 1"x8"x3m]]*6.561+BD_MO[[#This Row],[TABLA 2"x8"x3m]]*13.122,"")</f>
        <v>0</v>
      </c>
      <c r="DB475" s="386">
        <f>+IF(BD_MO[[#This Row],[FECHA]]&lt;&gt;"",BD_MO[[#This Row],[PIE2 MADERA ASERRADA]]*1.95,"")</f>
        <v>0</v>
      </c>
      <c r="DC475" s="386">
        <f>+IF(BD_MO[[#This Row],[FECHA]]&lt;&gt;"",BD_MO[[#This Row],[KG. MADERA REDONDA]]+BD_MO[[#This Row],[KG MADERA ASERRADA]],"")</f>
        <v>0</v>
      </c>
      <c r="DD475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75" s="212"/>
      <c r="DF475" s="212"/>
      <c r="DG475" s="212"/>
      <c r="DH475" s="212"/>
      <c r="DI475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75" s="228"/>
      <c r="DK475" s="228"/>
      <c r="DL475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75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75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75" s="389"/>
      <c r="DP475" s="228" t="str">
        <f>+IF(BD_MO[[#This Row],[M o D]]&lt;&gt;"",IF(BD_MO[[#This Row],[M o D]]="M",BD_MO[[#This Row],[ROTURA TMH]]/2.65,BD_MO[[#This Row],[ROTURA TMH]]/2.4),"")</f>
        <v/>
      </c>
      <c r="DQ475" s="228"/>
      <c r="DR475" s="116" t="str">
        <f>IF(BD_MO[[#This Row],[TIPO AVANCE]]="Avance",((BD_MO[[#This Row],[AVANCE (m)]]/BD_MO[[#This Row],[AVANCE TEÓRICO]]))," ")</f>
        <v xml:space="preserve"> </v>
      </c>
      <c r="DS475" s="134"/>
      <c r="DT475" s="134"/>
      <c r="DU475" s="134"/>
      <c r="DV475" s="134"/>
      <c r="DW475" s="134"/>
      <c r="DX475" s="135"/>
      <c r="DY475" s="135"/>
      <c r="DZ475" s="135"/>
    </row>
    <row r="476" spans="1:130" s="136" customFormat="1" ht="18" customHeight="1" x14ac:dyDescent="0.25">
      <c r="A476" s="92">
        <v>44678</v>
      </c>
      <c r="B476" s="40" t="s">
        <v>10647</v>
      </c>
      <c r="C476" s="40" t="s">
        <v>10668</v>
      </c>
      <c r="D476" s="94" t="s">
        <v>10952</v>
      </c>
      <c r="E476" s="383" t="str">
        <f>LEFT(BD_MO[[#This Row],[LABOR]],2)</f>
        <v>In</v>
      </c>
      <c r="F476" s="212"/>
      <c r="G476" s="212" t="s">
        <v>10669</v>
      </c>
      <c r="H476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76" s="383" t="str">
        <f>IF(BD_MO[FECHA]&lt;&gt;"",VLOOKUP(BD_MO[LABOR],TB_CECO[[LABOR]:[CECO_T]],3,FALSE),"")</f>
        <v>VANESSA</v>
      </c>
      <c r="J476" s="383" t="str">
        <f>IF(BD_MO[FECHA]&lt;&gt;"",VLOOKUP(BD_MO[LABOR],D_CECO!B:H,7,FALSE),"")</f>
        <v>LINEAL</v>
      </c>
      <c r="K476" s="383" t="str">
        <f>IF(BD_MO[FECHA]&lt;&gt;"",VLOOKUP(BD_MO[LABOR],D_CECO!B:H,4,FALSE),"")</f>
        <v>EXPLORACION</v>
      </c>
      <c r="L476" s="383"/>
      <c r="M476" s="40"/>
      <c r="N476" s="212"/>
      <c r="O476" s="93" t="s">
        <v>12092</v>
      </c>
      <c r="P476" s="93" t="s">
        <v>12099</v>
      </c>
      <c r="Q476" s="93"/>
      <c r="R476" s="384"/>
      <c r="S476" s="385" t="str">
        <f>IFERROR(VLOOKUP(BD_MO[DNI 4],#REF!,2,FALSE)," ")</f>
        <v xml:space="preserve"> </v>
      </c>
      <c r="T476" s="386">
        <f>+IF(BD_MO[[#This Row],[FECHA]]&lt;&gt;"",COUNTA(BD_MO[[#This Row],[DNI]],BD_MO[[#This Row],[DNI 2]],BD_MO[[#This Row],[DNI 3]],BD_MO[[#This Row],[DNI 4]]),"")</f>
        <v>2</v>
      </c>
      <c r="U476" s="386"/>
      <c r="V476" s="386"/>
      <c r="W476" s="386"/>
      <c r="X476" s="386">
        <v>2</v>
      </c>
      <c r="Y476" s="86">
        <f>SUM(BD_MO[[#This Row],[LIMP]:[SERV]])</f>
        <v>2</v>
      </c>
      <c r="Z476" s="212"/>
      <c r="AA476" s="212" t="str">
        <f>+IF(BD_MO[[#This Row],[N° VALE]]&lt;&gt;"",1,"")</f>
        <v/>
      </c>
      <c r="AB476" s="40"/>
      <c r="AC476" s="212"/>
      <c r="AD476" s="212" t="str">
        <f>+IF(BD_MO[[#This Row],[N° VALE]]&lt;&gt;"",BD_MO[[#This Row],[FULMINANTE N° 08]]+BD_MO[CARMEX 7''],"")</f>
        <v/>
      </c>
      <c r="AE476" s="212"/>
      <c r="AF476" s="212" t="str">
        <f>+IF(BD_MO[[#This Row],[N° VALE]]&lt;&gt;"",BD_MO[[#This Row],[N° TALADROS]]+BD_MO[[#This Row],[N° TAL. VACIOS]],"")</f>
        <v/>
      </c>
      <c r="AG476" s="387"/>
      <c r="AH476" s="387"/>
      <c r="AI476" s="387"/>
      <c r="AJ476" s="387"/>
      <c r="AK476" s="387"/>
      <c r="AL476" s="387"/>
      <c r="AM476" s="383"/>
      <c r="AN476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76" s="212" t="str">
        <f>+IF(BD_MO[[#This Row],[N° VALE]]&lt;&gt;"",IF(BD_MO[[#This Row],[FULMINANTE N° 08]]&lt;&gt;"",BD_MO[[#This Row],[FULMINANTE N° 08]],IF(BD_MO[[#This Row],[CARMEX 7'']]&lt;&gt;0,0,"")),"")</f>
        <v/>
      </c>
      <c r="AP476" s="386" t="str">
        <f>+IF(BD_MO[[#This Row],[N° VALE]]&lt;&gt;"",BD_MO[[#This Row],[N°  TOTAL TALADROS]]*BD_MO[[#This Row],[BARRA]]*0.95,"")</f>
        <v/>
      </c>
      <c r="AQ476" s="386" t="str">
        <f>+IF(BD_MO[[#This Row],[N° VALE]]&lt;&gt;"",BD_MO[[#This Row],[EMULNOR 1000 (N° CART.)]]*PE_EMUL_1000[PE],"")</f>
        <v/>
      </c>
      <c r="AR476" s="386" t="str">
        <f>+IF(BD_MO[[#This Row],[N° VALE]]&lt;&gt;"",BD_MO[[#This Row],[EMULNOR 3000 (N° CART.)]]*PE_EMUL_3000[PE],"")</f>
        <v/>
      </c>
      <c r="AS476" s="386" t="str">
        <f>+IF(BD_MO[[#This Row],[N° VALE]]&lt;&gt;"",BD_MO[[#This Row],[PULVERULENTA (N° CART.)]]*PE_PULV_65[PE],"")</f>
        <v/>
      </c>
      <c r="AT476" s="386" t="str">
        <f>+IF(BD_MO[[#This Row],[N° DISP]]&lt;&gt;"",BD_MO[[#This Row],[SEMIGELATINA (N° CART.)]]*PE_SEMIGEL_65[PE],"")</f>
        <v/>
      </c>
      <c r="AU476" s="386" t="str">
        <f>+IF(BD_MO[N° VALE]&lt;&gt;"",BD_MO[[#This Row],[KG EXPLO SEMIGEL]]+BD_MO[[#This Row],[KG EXPLO PULVE]]+BD_MO[[#This Row],[KG EXPLO EMULN 3000]]+BD_MO[[#This Row],[KG EXPLO EMULN 1000]],"")</f>
        <v/>
      </c>
      <c r="AV476" s="212"/>
      <c r="AW476" s="212"/>
      <c r="AX476" s="212" t="str">
        <f>+IF(BD_MO[[#This Row],[MINERAL (U-35)]]&lt;&gt;"",BD_MO[[#This Row],[MINERAL (U-35)]]*1.45,"-")</f>
        <v>-</v>
      </c>
      <c r="AY476" s="212" t="str">
        <f>+IF(BD_MO[[#This Row],[DESMONTE (U-35)]]&lt;&gt;"",BD_MO[[#This Row],[DESMONTE (U-35)]]*1.23,"-")</f>
        <v>-</v>
      </c>
      <c r="AZ476" s="212"/>
      <c r="BA476" s="212"/>
      <c r="BB476" s="212"/>
      <c r="BC476" s="212"/>
      <c r="BD476" s="212"/>
      <c r="BE476" s="212"/>
      <c r="BF476" s="212"/>
      <c r="BG476" s="212"/>
      <c r="BH476" s="212"/>
      <c r="BI476" s="212"/>
      <c r="BJ476" s="212"/>
      <c r="BK476" s="212"/>
      <c r="BL476" s="212"/>
      <c r="BM476" s="212"/>
      <c r="BN476" s="383"/>
      <c r="BO476" s="212"/>
      <c r="BP476" s="212"/>
      <c r="BQ476" s="383"/>
      <c r="BR476" s="212"/>
      <c r="BS476" s="383"/>
      <c r="BT476" s="386"/>
      <c r="BU476" s="212"/>
      <c r="BV476" s="212"/>
      <c r="BW476" s="212"/>
      <c r="BX476" s="212"/>
      <c r="BY476" s="212"/>
      <c r="BZ476" s="212"/>
      <c r="CA476" s="212"/>
      <c r="CB476" s="212"/>
      <c r="CC476" s="212"/>
      <c r="CD476" s="212"/>
      <c r="CE476" s="212"/>
      <c r="CF476" s="212"/>
      <c r="CG476" s="212"/>
      <c r="CH476" s="212"/>
      <c r="CI476" s="212"/>
      <c r="CJ476" s="212"/>
      <c r="CK476" s="212"/>
      <c r="CL476" s="212"/>
      <c r="CM476" s="212"/>
      <c r="CN476" s="212"/>
      <c r="CO476" s="212"/>
      <c r="CP476" s="386">
        <f>+IF(BD_MO[[#This Row],[FECHA]]&lt;&gt;"",BD_MO[[#This Row],[PUNTAL 4"]]+BD_MO[[#This Row],[PUNTAL 5"]]+BD_MO[[#This Row],[PUNTAL 6"]]+BD_MO[[#This Row],[PUNTAL 7"]]+BD_MO[[#This Row],[PUNTAL 8"]],"")</f>
        <v>0</v>
      </c>
      <c r="CQ476" s="212"/>
      <c r="CR476" s="212"/>
      <c r="CS476" s="212"/>
      <c r="CT476" s="212"/>
      <c r="CU476" s="212"/>
      <c r="CV476" s="212"/>
      <c r="CW476" s="212"/>
      <c r="CX476" s="212"/>
      <c r="CY476" s="386"/>
      <c r="CZ476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76" s="386">
        <f>+IF(BD_MO[[#This Row],[FECHA]]&lt;&gt;"",BD_MO[[#This Row],[DURMIENTE2]]*6.561+BD_MO[[#This Row],[LISTONES]]*4.921+BD_MO[[#This Row],[TABLA 1"x8"x3m]]*6.561+BD_MO[[#This Row],[TABLA 2"x8"x3m]]*13.122,"")</f>
        <v>0</v>
      </c>
      <c r="DB476" s="386">
        <f>+IF(BD_MO[[#This Row],[FECHA]]&lt;&gt;"",BD_MO[[#This Row],[PIE2 MADERA ASERRADA]]*1.95,"")</f>
        <v>0</v>
      </c>
      <c r="DC476" s="386">
        <f>+IF(BD_MO[[#This Row],[FECHA]]&lt;&gt;"",BD_MO[[#This Row],[KG. MADERA REDONDA]]+BD_MO[[#This Row],[KG MADERA ASERRADA]],"")</f>
        <v>0</v>
      </c>
      <c r="DD476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76" s="212"/>
      <c r="DF476" s="212"/>
      <c r="DG476" s="212"/>
      <c r="DH476" s="212"/>
      <c r="DI476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76" s="228"/>
      <c r="DK476" s="228"/>
      <c r="DL476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76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76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76" s="389"/>
      <c r="DP476" s="228" t="str">
        <f>+IF(BD_MO[[#This Row],[M o D]]&lt;&gt;"",IF(BD_MO[[#This Row],[M o D]]="M",BD_MO[[#This Row],[ROTURA TMH]]/2.65,BD_MO[[#This Row],[ROTURA TMH]]/2.4),"")</f>
        <v/>
      </c>
      <c r="DQ476" s="228"/>
      <c r="DR476" s="116" t="str">
        <f>IF(BD_MO[[#This Row],[TIPO AVANCE]]="Avance",((BD_MO[[#This Row],[AVANCE (m)]]/BD_MO[[#This Row],[AVANCE TEÓRICO]]))," ")</f>
        <v xml:space="preserve"> </v>
      </c>
      <c r="DS476" s="134"/>
      <c r="DT476" s="134"/>
      <c r="DU476" s="134"/>
      <c r="DV476" s="134"/>
      <c r="DW476" s="134"/>
      <c r="DX476" s="135"/>
      <c r="DY476" s="135"/>
      <c r="DZ476" s="135"/>
    </row>
    <row r="477" spans="1:130" s="136" customFormat="1" ht="18" customHeight="1" x14ac:dyDescent="0.25">
      <c r="A477" s="92">
        <v>44678</v>
      </c>
      <c r="B477" s="40" t="s">
        <v>10647</v>
      </c>
      <c r="C477" s="40" t="s">
        <v>10668</v>
      </c>
      <c r="D477" s="94" t="s">
        <v>10954</v>
      </c>
      <c r="E477" s="383" t="str">
        <f>LEFT(BD_MO[[#This Row],[LABOR]],2)</f>
        <v>MO</v>
      </c>
      <c r="F477" s="212"/>
      <c r="G477" s="212" t="s">
        <v>10669</v>
      </c>
      <c r="H477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77" s="383" t="str">
        <f>IF(BD_MO[FECHA]&lt;&gt;"",VLOOKUP(BD_MO[LABOR],TB_CECO[[LABOR]:[CECO_T]],3,FALSE),"")</f>
        <v>INCA</v>
      </c>
      <c r="J477" s="383" t="str">
        <f>IF(BD_MO[FECHA]&lt;&gt;"",VLOOKUP(BD_MO[LABOR],D_CECO!B:H,7,FALSE),"")</f>
        <v>SERVICIOS</v>
      </c>
      <c r="K477" s="383" t="str">
        <f>IF(BD_MO[FECHA]&lt;&gt;"",VLOOKUP(BD_MO[LABOR],D_CECO!B:H,4,FALSE),"")</f>
        <v>SERVICIOS</v>
      </c>
      <c r="L477" s="383"/>
      <c r="M477" s="40"/>
      <c r="N477" s="212"/>
      <c r="O477" s="93" t="s">
        <v>12098</v>
      </c>
      <c r="P477" s="93" t="s">
        <v>12162</v>
      </c>
      <c r="Q477" s="93"/>
      <c r="R477" s="384"/>
      <c r="S477" s="385" t="str">
        <f>IFERROR(VLOOKUP(BD_MO[DNI 4],#REF!,2,FALSE)," ")</f>
        <v xml:space="preserve"> </v>
      </c>
      <c r="T477" s="386">
        <f>+IF(BD_MO[[#This Row],[FECHA]]&lt;&gt;"",COUNTA(BD_MO[[#This Row],[DNI]],BD_MO[[#This Row],[DNI 2]],BD_MO[[#This Row],[DNI 3]],BD_MO[[#This Row],[DNI 4]]),"")</f>
        <v>2</v>
      </c>
      <c r="U477" s="386"/>
      <c r="V477" s="386"/>
      <c r="W477" s="386"/>
      <c r="X477" s="386">
        <v>2</v>
      </c>
      <c r="Y477" s="86">
        <f>SUM(BD_MO[[#This Row],[LIMP]:[SERV]])</f>
        <v>2</v>
      </c>
      <c r="Z477" s="212"/>
      <c r="AA477" s="212" t="str">
        <f>+IF(BD_MO[[#This Row],[N° VALE]]&lt;&gt;"",1,"")</f>
        <v/>
      </c>
      <c r="AB477" s="40"/>
      <c r="AC477" s="212"/>
      <c r="AD477" s="212" t="str">
        <f>+IF(BD_MO[[#This Row],[N° VALE]]&lt;&gt;"",BD_MO[[#This Row],[FULMINANTE N° 08]]+BD_MO[CARMEX 7''],"")</f>
        <v/>
      </c>
      <c r="AE477" s="212"/>
      <c r="AF477" s="212" t="str">
        <f>+IF(BD_MO[[#This Row],[N° VALE]]&lt;&gt;"",BD_MO[[#This Row],[N° TALADROS]]+BD_MO[[#This Row],[N° TAL. VACIOS]],"")</f>
        <v/>
      </c>
      <c r="AG477" s="387"/>
      <c r="AH477" s="387"/>
      <c r="AI477" s="387"/>
      <c r="AJ477" s="387"/>
      <c r="AK477" s="387"/>
      <c r="AL477" s="387"/>
      <c r="AM477" s="383"/>
      <c r="AN477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77" s="212" t="str">
        <f>+IF(BD_MO[[#This Row],[N° VALE]]&lt;&gt;"",IF(BD_MO[[#This Row],[FULMINANTE N° 08]]&lt;&gt;"",BD_MO[[#This Row],[FULMINANTE N° 08]],IF(BD_MO[[#This Row],[CARMEX 7'']]&lt;&gt;0,0,"")),"")</f>
        <v/>
      </c>
      <c r="AP477" s="386" t="str">
        <f>+IF(BD_MO[[#This Row],[N° VALE]]&lt;&gt;"",BD_MO[[#This Row],[N°  TOTAL TALADROS]]*BD_MO[[#This Row],[BARRA]]*0.95,"")</f>
        <v/>
      </c>
      <c r="AQ477" s="386" t="str">
        <f>+IF(BD_MO[[#This Row],[N° VALE]]&lt;&gt;"",BD_MO[[#This Row],[EMULNOR 1000 (N° CART.)]]*PE_EMUL_1000[PE],"")</f>
        <v/>
      </c>
      <c r="AR477" s="386" t="str">
        <f>+IF(BD_MO[[#This Row],[N° VALE]]&lt;&gt;"",BD_MO[[#This Row],[EMULNOR 3000 (N° CART.)]]*PE_EMUL_3000[PE],"")</f>
        <v/>
      </c>
      <c r="AS477" s="386" t="str">
        <f>+IF(BD_MO[[#This Row],[N° VALE]]&lt;&gt;"",BD_MO[[#This Row],[PULVERULENTA (N° CART.)]]*PE_PULV_65[PE],"")</f>
        <v/>
      </c>
      <c r="AT477" s="386" t="str">
        <f>+IF(BD_MO[[#This Row],[N° DISP]]&lt;&gt;"",BD_MO[[#This Row],[SEMIGELATINA (N° CART.)]]*PE_SEMIGEL_65[PE],"")</f>
        <v/>
      </c>
      <c r="AU477" s="386" t="str">
        <f>+IF(BD_MO[N° VALE]&lt;&gt;"",BD_MO[[#This Row],[KG EXPLO SEMIGEL]]+BD_MO[[#This Row],[KG EXPLO PULVE]]+BD_MO[[#This Row],[KG EXPLO EMULN 3000]]+BD_MO[[#This Row],[KG EXPLO EMULN 1000]],"")</f>
        <v/>
      </c>
      <c r="AV477" s="212"/>
      <c r="AW477" s="212"/>
      <c r="AX477" s="212" t="str">
        <f>+IF(BD_MO[[#This Row],[MINERAL (U-35)]]&lt;&gt;"",BD_MO[[#This Row],[MINERAL (U-35)]]*1.45,"-")</f>
        <v>-</v>
      </c>
      <c r="AY477" s="212" t="str">
        <f>+IF(BD_MO[[#This Row],[DESMONTE (U-35)]]&lt;&gt;"",BD_MO[[#This Row],[DESMONTE (U-35)]]*1.23,"-")</f>
        <v>-</v>
      </c>
      <c r="AZ477" s="212"/>
      <c r="BA477" s="212"/>
      <c r="BB477" s="212"/>
      <c r="BC477" s="212"/>
      <c r="BD477" s="212"/>
      <c r="BE477" s="212"/>
      <c r="BF477" s="212"/>
      <c r="BG477" s="212"/>
      <c r="BH477" s="212"/>
      <c r="BI477" s="212"/>
      <c r="BJ477" s="212"/>
      <c r="BK477" s="212"/>
      <c r="BL477" s="212"/>
      <c r="BM477" s="212"/>
      <c r="BN477" s="383"/>
      <c r="BO477" s="212"/>
      <c r="BP477" s="212"/>
      <c r="BQ477" s="383"/>
      <c r="BR477" s="212"/>
      <c r="BS477" s="383"/>
      <c r="BT477" s="386"/>
      <c r="BU477" s="212"/>
      <c r="BV477" s="212"/>
      <c r="BW477" s="212"/>
      <c r="BX477" s="212"/>
      <c r="BY477" s="212"/>
      <c r="BZ477" s="212"/>
      <c r="CA477" s="212"/>
      <c r="CB477" s="212"/>
      <c r="CC477" s="212"/>
      <c r="CD477" s="212"/>
      <c r="CE477" s="212"/>
      <c r="CF477" s="212"/>
      <c r="CG477" s="212"/>
      <c r="CH477" s="212"/>
      <c r="CI477" s="212"/>
      <c r="CJ477" s="212"/>
      <c r="CK477" s="212"/>
      <c r="CL477" s="212"/>
      <c r="CM477" s="212"/>
      <c r="CN477" s="212"/>
      <c r="CO477" s="212"/>
      <c r="CP477" s="386">
        <f>+IF(BD_MO[[#This Row],[FECHA]]&lt;&gt;"",BD_MO[[#This Row],[PUNTAL 4"]]+BD_MO[[#This Row],[PUNTAL 5"]]+BD_MO[[#This Row],[PUNTAL 6"]]+BD_MO[[#This Row],[PUNTAL 7"]]+BD_MO[[#This Row],[PUNTAL 8"]],"")</f>
        <v>0</v>
      </c>
      <c r="CQ477" s="212"/>
      <c r="CR477" s="212"/>
      <c r="CS477" s="212"/>
      <c r="CT477" s="212"/>
      <c r="CU477" s="212"/>
      <c r="CV477" s="212"/>
      <c r="CW477" s="212"/>
      <c r="CX477" s="212"/>
      <c r="CY477" s="386"/>
      <c r="CZ477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77" s="386">
        <f>+IF(BD_MO[[#This Row],[FECHA]]&lt;&gt;"",BD_MO[[#This Row],[DURMIENTE2]]*6.561+BD_MO[[#This Row],[LISTONES]]*4.921+BD_MO[[#This Row],[TABLA 1"x8"x3m]]*6.561+BD_MO[[#This Row],[TABLA 2"x8"x3m]]*13.122,"")</f>
        <v>0</v>
      </c>
      <c r="DB477" s="386">
        <f>+IF(BD_MO[[#This Row],[FECHA]]&lt;&gt;"",BD_MO[[#This Row],[PIE2 MADERA ASERRADA]]*1.95,"")</f>
        <v>0</v>
      </c>
      <c r="DC477" s="386">
        <f>+IF(BD_MO[[#This Row],[FECHA]]&lt;&gt;"",BD_MO[[#This Row],[KG. MADERA REDONDA]]+BD_MO[[#This Row],[KG MADERA ASERRADA]],"")</f>
        <v>0</v>
      </c>
      <c r="DD477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77" s="212"/>
      <c r="DF477" s="212"/>
      <c r="DG477" s="212"/>
      <c r="DH477" s="212"/>
      <c r="DI477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77" s="228"/>
      <c r="DK477" s="228"/>
      <c r="DL477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77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77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77" s="389"/>
      <c r="DP477" s="228" t="str">
        <f>+IF(BD_MO[[#This Row],[M o D]]&lt;&gt;"",IF(BD_MO[[#This Row],[M o D]]="M",BD_MO[[#This Row],[ROTURA TMH]]/2.65,BD_MO[[#This Row],[ROTURA TMH]]/2.4),"")</f>
        <v/>
      </c>
      <c r="DQ477" s="228"/>
      <c r="DR477" s="116" t="str">
        <f>IF(BD_MO[[#This Row],[TIPO AVANCE]]="Avance",((BD_MO[[#This Row],[AVANCE (m)]]/BD_MO[[#This Row],[AVANCE TEÓRICO]]))," ")</f>
        <v xml:space="preserve"> </v>
      </c>
      <c r="DS477" s="134"/>
      <c r="DT477" s="134"/>
      <c r="DU477" s="134"/>
      <c r="DV477" s="134"/>
      <c r="DW477" s="134"/>
      <c r="DX477" s="135"/>
      <c r="DY477" s="135"/>
      <c r="DZ477" s="135"/>
    </row>
    <row r="478" spans="1:130" s="115" customFormat="1" ht="18" customHeight="1" thickBot="1" x14ac:dyDescent="0.3">
      <c r="A478" s="130">
        <v>44678</v>
      </c>
      <c r="B478" s="117" t="s">
        <v>10647</v>
      </c>
      <c r="C478" s="117" t="s">
        <v>10668</v>
      </c>
      <c r="D478" s="118" t="s">
        <v>10717</v>
      </c>
      <c r="E478" s="119" t="str">
        <f>LEFT(BD_MO[[#This Row],[LABOR]],2)</f>
        <v>BO</v>
      </c>
      <c r="F478" s="120"/>
      <c r="G478" s="120" t="s">
        <v>10669</v>
      </c>
      <c r="H478" s="119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78" s="119" t="str">
        <f>IF(BD_MO[FECHA]&lt;&gt;"",VLOOKUP(BD_MO[LABOR],TB_CECO[[LABOR]:[CECO_T]],3,FALSE),"")</f>
        <v>CACHORRO</v>
      </c>
      <c r="J478" s="119" t="str">
        <f>IF(BD_MO[FECHA]&lt;&gt;"",VLOOKUP(BD_MO[LABOR],D_CECO!B:H,7,FALSE),"")</f>
        <v>SERVICIOS</v>
      </c>
      <c r="K478" s="119" t="str">
        <f>IF(BD_MO[FECHA]&lt;&gt;"",VLOOKUP(BD_MO[LABOR],D_CECO!B:H,4,FALSE),"")</f>
        <v>SERVICIOS</v>
      </c>
      <c r="L478" s="119"/>
      <c r="M478" s="117"/>
      <c r="N478" s="120"/>
      <c r="O478" s="121" t="s">
        <v>12118</v>
      </c>
      <c r="P478" s="121"/>
      <c r="Q478" s="121"/>
      <c r="R478" s="122"/>
      <c r="S478" s="123" t="str">
        <f>IFERROR(VLOOKUP(BD_MO[DNI 4],#REF!,2,FALSE)," ")</f>
        <v xml:space="preserve"> </v>
      </c>
      <c r="T478" s="124">
        <f>+IF(BD_MO[[#This Row],[FECHA]]&lt;&gt;"",COUNTA(BD_MO[[#This Row],[DNI]],BD_MO[[#This Row],[DNI 2]],BD_MO[[#This Row],[DNI 3]],BD_MO[[#This Row],[DNI 4]]),"")</f>
        <v>1</v>
      </c>
      <c r="U478" s="124"/>
      <c r="V478" s="124"/>
      <c r="W478" s="124"/>
      <c r="X478" s="124">
        <v>1</v>
      </c>
      <c r="Y478" s="125">
        <f>SUM(BD_MO[[#This Row],[LIMP]:[SERV]])</f>
        <v>1</v>
      </c>
      <c r="Z478" s="120"/>
      <c r="AA478" s="120" t="str">
        <f>+IF(BD_MO[[#This Row],[N° VALE]]&lt;&gt;"",1,"")</f>
        <v/>
      </c>
      <c r="AB478" s="117"/>
      <c r="AC478" s="120"/>
      <c r="AD478" s="120" t="str">
        <f>+IF(BD_MO[[#This Row],[N° VALE]]&lt;&gt;"",BD_MO[[#This Row],[FULMINANTE N° 08]]+BD_MO[CARMEX 7''],"")</f>
        <v/>
      </c>
      <c r="AE478" s="120"/>
      <c r="AF478" s="120" t="str">
        <f>+IF(BD_MO[[#This Row],[N° VALE]]&lt;&gt;"",BD_MO[[#This Row],[N° TALADROS]]+BD_MO[[#This Row],[N° TAL. VACIOS]],"")</f>
        <v/>
      </c>
      <c r="AG478" s="126"/>
      <c r="AH478" s="126"/>
      <c r="AI478" s="126"/>
      <c r="AJ478" s="126"/>
      <c r="AK478" s="126"/>
      <c r="AL478" s="126"/>
      <c r="AM478" s="119"/>
      <c r="AN478" s="120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78" s="120" t="str">
        <f>+IF(BD_MO[[#This Row],[N° VALE]]&lt;&gt;"",IF(BD_MO[[#This Row],[FULMINANTE N° 08]]&lt;&gt;"",BD_MO[[#This Row],[FULMINANTE N° 08]],IF(BD_MO[[#This Row],[CARMEX 7'']]&lt;&gt;0,0,"")),"")</f>
        <v/>
      </c>
      <c r="AP478" s="124" t="str">
        <f>+IF(BD_MO[[#This Row],[N° VALE]]&lt;&gt;"",BD_MO[[#This Row],[N°  TOTAL TALADROS]]*BD_MO[[#This Row],[BARRA]]*0.95,"")</f>
        <v/>
      </c>
      <c r="AQ478" s="124" t="str">
        <f>+IF(BD_MO[[#This Row],[N° VALE]]&lt;&gt;"",BD_MO[[#This Row],[EMULNOR 1000 (N° CART.)]]*PE_EMUL_1000[PE],"")</f>
        <v/>
      </c>
      <c r="AR478" s="124" t="str">
        <f>+IF(BD_MO[[#This Row],[N° VALE]]&lt;&gt;"",BD_MO[[#This Row],[EMULNOR 3000 (N° CART.)]]*PE_EMUL_3000[PE],"")</f>
        <v/>
      </c>
      <c r="AS478" s="124" t="str">
        <f>+IF(BD_MO[[#This Row],[N° VALE]]&lt;&gt;"",BD_MO[[#This Row],[PULVERULENTA (N° CART.)]]*PE_PULV_65[PE],"")</f>
        <v/>
      </c>
      <c r="AT478" s="124" t="str">
        <f>+IF(BD_MO[[#This Row],[N° DISP]]&lt;&gt;"",BD_MO[[#This Row],[SEMIGELATINA (N° CART.)]]*PE_SEMIGEL_65[PE],"")</f>
        <v/>
      </c>
      <c r="AU478" s="124" t="str">
        <f>+IF(BD_MO[N° VALE]&lt;&gt;"",BD_MO[[#This Row],[KG EXPLO SEMIGEL]]+BD_MO[[#This Row],[KG EXPLO PULVE]]+BD_MO[[#This Row],[KG EXPLO EMULN 3000]]+BD_MO[[#This Row],[KG EXPLO EMULN 1000]],"")</f>
        <v/>
      </c>
      <c r="AV478" s="120"/>
      <c r="AW478" s="120"/>
      <c r="AX478" s="120" t="str">
        <f>+IF(BD_MO[[#This Row],[MINERAL (U-35)]]&lt;&gt;"",BD_MO[[#This Row],[MINERAL (U-35)]]*1.45,"-")</f>
        <v>-</v>
      </c>
      <c r="AY478" s="120" t="str">
        <f>+IF(BD_MO[[#This Row],[DESMONTE (U-35)]]&lt;&gt;"",BD_MO[[#This Row],[DESMONTE (U-35)]]*1.23,"-")</f>
        <v>-</v>
      </c>
      <c r="AZ478" s="120"/>
      <c r="BA478" s="120"/>
      <c r="BB478" s="120"/>
      <c r="BC478" s="120"/>
      <c r="BD478" s="120"/>
      <c r="BE478" s="120"/>
      <c r="BF478" s="120"/>
      <c r="BG478" s="120"/>
      <c r="BH478" s="120"/>
      <c r="BI478" s="120"/>
      <c r="BJ478" s="120"/>
      <c r="BK478" s="120"/>
      <c r="BL478" s="120"/>
      <c r="BM478" s="120"/>
      <c r="BN478" s="119"/>
      <c r="BO478" s="120"/>
      <c r="BP478" s="120"/>
      <c r="BQ478" s="119"/>
      <c r="BR478" s="120"/>
      <c r="BS478" s="119"/>
      <c r="BT478" s="124"/>
      <c r="BU478" s="120"/>
      <c r="BV478" s="120"/>
      <c r="BW478" s="120"/>
      <c r="BX478" s="120"/>
      <c r="BY478" s="120"/>
      <c r="BZ478" s="120"/>
      <c r="CA478" s="120"/>
      <c r="CB478" s="120"/>
      <c r="CC478" s="120"/>
      <c r="CD478" s="120"/>
      <c r="CE478" s="120"/>
      <c r="CF478" s="120"/>
      <c r="CG478" s="120"/>
      <c r="CH478" s="120"/>
      <c r="CI478" s="120"/>
      <c r="CJ478" s="120"/>
      <c r="CK478" s="120"/>
      <c r="CL478" s="120"/>
      <c r="CM478" s="120"/>
      <c r="CN478" s="120"/>
      <c r="CO478" s="120"/>
      <c r="CP478" s="124">
        <f>+IF(BD_MO[[#This Row],[FECHA]]&lt;&gt;"",BD_MO[[#This Row],[PUNTAL 4"]]+BD_MO[[#This Row],[PUNTAL 5"]]+BD_MO[[#This Row],[PUNTAL 6"]]+BD_MO[[#This Row],[PUNTAL 7"]]+BD_MO[[#This Row],[PUNTAL 8"]],"")</f>
        <v>0</v>
      </c>
      <c r="CQ478" s="120"/>
      <c r="CR478" s="120"/>
      <c r="CS478" s="120"/>
      <c r="CT478" s="120"/>
      <c r="CU478" s="120"/>
      <c r="CV478" s="120"/>
      <c r="CW478" s="120"/>
      <c r="CX478" s="120"/>
      <c r="CY478" s="124"/>
      <c r="CZ478" s="124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78" s="124">
        <f>+IF(BD_MO[[#This Row],[FECHA]]&lt;&gt;"",BD_MO[[#This Row],[DURMIENTE2]]*6.561+BD_MO[[#This Row],[LISTONES]]*4.921+BD_MO[[#This Row],[TABLA 1"x8"x3m]]*6.561+BD_MO[[#This Row],[TABLA 2"x8"x3m]]*13.122,"")</f>
        <v>0</v>
      </c>
      <c r="DB478" s="124">
        <f>+IF(BD_MO[[#This Row],[FECHA]]&lt;&gt;"",BD_MO[[#This Row],[PIE2 MADERA ASERRADA]]*1.95,"")</f>
        <v>0</v>
      </c>
      <c r="DC478" s="124">
        <f>+IF(BD_MO[[#This Row],[FECHA]]&lt;&gt;"",BD_MO[[#This Row],[KG. MADERA REDONDA]]+BD_MO[[#This Row],[KG MADERA ASERRADA]],"")</f>
        <v>0</v>
      </c>
      <c r="DD478" s="127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78" s="120"/>
      <c r="DF478" s="120"/>
      <c r="DG478" s="120"/>
      <c r="DH478" s="120"/>
      <c r="DI478" s="1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78" s="128"/>
      <c r="DK478" s="128"/>
      <c r="DL478" s="1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78" s="1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78" s="1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78" s="129"/>
      <c r="DP478" s="128" t="str">
        <f>+IF(BD_MO[[#This Row],[M o D]]&lt;&gt;"",IF(BD_MO[[#This Row],[M o D]]="M",BD_MO[[#This Row],[ROTURA TMH]]/2.65,BD_MO[[#This Row],[ROTURA TMH]]/2.4),"")</f>
        <v/>
      </c>
      <c r="DQ478" s="128"/>
      <c r="DR478" s="484" t="str">
        <f>IF(BD_MO[[#This Row],[TIPO AVANCE]]="Avance",((BD_MO[[#This Row],[AVANCE (m)]]/BD_MO[[#This Row],[AVANCE TEÓRICO]]))," ")</f>
        <v xml:space="preserve"> </v>
      </c>
      <c r="DS478" s="113"/>
      <c r="DT478" s="113"/>
      <c r="DU478" s="113"/>
      <c r="DV478" s="113"/>
      <c r="DW478" s="113"/>
      <c r="DX478" s="114"/>
      <c r="DY478" s="114"/>
      <c r="DZ478" s="114"/>
    </row>
    <row r="479" spans="1:130" s="136" customFormat="1" ht="18" customHeight="1" x14ac:dyDescent="0.25">
      <c r="A479" s="92">
        <v>44678</v>
      </c>
      <c r="B479" s="40" t="s">
        <v>10655</v>
      </c>
      <c r="C479" s="40" t="s">
        <v>10672</v>
      </c>
      <c r="D479" s="94" t="s">
        <v>11827</v>
      </c>
      <c r="E479" s="383" t="str">
        <f>LEFT(BD_MO[[#This Row],[LABOR]],2)</f>
        <v>Tj</v>
      </c>
      <c r="F479" s="212" t="s">
        <v>10950</v>
      </c>
      <c r="G479" s="212" t="s">
        <v>10648</v>
      </c>
      <c r="H479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79" s="383" t="str">
        <f>IF(BD_MO[FECHA]&lt;&gt;"",VLOOKUP(BD_MO[LABOR],TB_CECO[[LABOR]:[CECO_T]],3,FALSE),"")</f>
        <v>VANESSA</v>
      </c>
      <c r="J479" s="383" t="str">
        <f>IF(BD_MO[FECHA]&lt;&gt;"",VLOOKUP(BD_MO[LABOR],D_CECO!B:H,7,FALSE),"")</f>
        <v>TAJO</v>
      </c>
      <c r="K479" s="383" t="str">
        <f>IF(BD_MO[FECHA]&lt;&gt;"",VLOOKUP(BD_MO[LABOR],D_CECO!B:H,4,FALSE),"")</f>
        <v>EXPLOTACION</v>
      </c>
      <c r="L479" s="383"/>
      <c r="M479" s="40" t="s">
        <v>10679</v>
      </c>
      <c r="N479" s="212"/>
      <c r="O479" s="93" t="s">
        <v>12194</v>
      </c>
      <c r="P479" s="93" t="s">
        <v>12332</v>
      </c>
      <c r="Q479" s="93"/>
      <c r="R479" s="384"/>
      <c r="S479" s="385" t="str">
        <f>IFERROR(VLOOKUP(BD_MO[DNI 4],#REF!,2,FALSE)," ")</f>
        <v xml:space="preserve"> </v>
      </c>
      <c r="T479" s="386">
        <f>+IF(BD_MO[[#This Row],[FECHA]]&lt;&gt;"",COUNTA(BD_MO[[#This Row],[DNI]],BD_MO[[#This Row],[DNI 2]],BD_MO[[#This Row],[DNI 3]],BD_MO[[#This Row],[DNI 4]]),"")</f>
        <v>2</v>
      </c>
      <c r="U479" s="386">
        <v>0.76</v>
      </c>
      <c r="V479" s="386">
        <v>0.28000000000000003</v>
      </c>
      <c r="W479" s="386">
        <v>0.57999999999999996</v>
      </c>
      <c r="X479" s="386">
        <v>0.38</v>
      </c>
      <c r="Y479" s="86">
        <f>SUM(BD_MO[[#This Row],[LIMP]:[SERV]])</f>
        <v>2</v>
      </c>
      <c r="Z479" s="212" t="s">
        <v>12413</v>
      </c>
      <c r="AA479" s="212">
        <f>+IF(BD_MO[[#This Row],[N° VALE]]&lt;&gt;"",1,"")</f>
        <v>1</v>
      </c>
      <c r="AB479" s="40" t="s">
        <v>10652</v>
      </c>
      <c r="AC479" s="212">
        <v>4</v>
      </c>
      <c r="AD479" s="212">
        <f>+IF(BD_MO[[#This Row],[N° VALE]]&lt;&gt;"",BD_MO[[#This Row],[FULMINANTE N° 08]]+BD_MO[CARMEX 7''],"")</f>
        <v>3</v>
      </c>
      <c r="AE479" s="212"/>
      <c r="AF479" s="212">
        <f>+IF(BD_MO[[#This Row],[N° VALE]]&lt;&gt;"",BD_MO[[#This Row],[N° TALADROS]]+BD_MO[[#This Row],[N° TAL. VACIOS]],"")</f>
        <v>3</v>
      </c>
      <c r="AG479" s="387"/>
      <c r="AH479" s="387">
        <v>9</v>
      </c>
      <c r="AI479" s="387"/>
      <c r="AJ479" s="387"/>
      <c r="AK479" s="387">
        <v>3</v>
      </c>
      <c r="AL479" s="387">
        <v>1</v>
      </c>
      <c r="AM479" s="383"/>
      <c r="AN479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79" s="212">
        <f>+IF(BD_MO[[#This Row],[N° VALE]]&lt;&gt;"",IF(BD_MO[[#This Row],[FULMINANTE N° 08]]&lt;&gt;"",BD_MO[[#This Row],[FULMINANTE N° 08]],IF(BD_MO[[#This Row],[CARMEX 7'']]&lt;&gt;0,0,"")),"")</f>
        <v>0</v>
      </c>
      <c r="AP479" s="386">
        <f>+IF(BD_MO[[#This Row],[N° VALE]]&lt;&gt;"",BD_MO[[#This Row],[N°  TOTAL TALADROS]]*BD_MO[[#This Row],[BARRA]]*0.95,"")</f>
        <v>11.399999999999999</v>
      </c>
      <c r="AQ479" s="386">
        <f>+IF(BD_MO[[#This Row],[N° VALE]]&lt;&gt;"",BD_MO[[#This Row],[EMULNOR 1000 (N° CART.)]]*PE_EMUL_1000[PE],"")</f>
        <v>0.85230000000000006</v>
      </c>
      <c r="AR479" s="386">
        <f>+IF(BD_MO[[#This Row],[N° VALE]]&lt;&gt;"",BD_MO[[#This Row],[EMULNOR 3000 (N° CART.)]]*PE_EMUL_3000[PE],"")</f>
        <v>0</v>
      </c>
      <c r="AS479" s="386">
        <f>+IF(BD_MO[[#This Row],[N° VALE]]&lt;&gt;"",BD_MO[[#This Row],[PULVERULENTA (N° CART.)]]*PE_PULV_65[PE],"")</f>
        <v>0</v>
      </c>
      <c r="AT479" s="386">
        <f>+IF(BD_MO[[#This Row],[N° DISP]]&lt;&gt;"",BD_MO[[#This Row],[SEMIGELATINA (N° CART.)]]*PE_SEMIGEL_65[PE],"")</f>
        <v>0</v>
      </c>
      <c r="AU479" s="386">
        <f>+IF(BD_MO[N° VALE]&lt;&gt;"",BD_MO[[#This Row],[KG EXPLO SEMIGEL]]+BD_MO[[#This Row],[KG EXPLO PULVE]]+BD_MO[[#This Row],[KG EXPLO EMULN 3000]]+BD_MO[[#This Row],[KG EXPLO EMULN 1000]],"")</f>
        <v>0.85230000000000006</v>
      </c>
      <c r="AV479" s="212">
        <v>22</v>
      </c>
      <c r="AW479" s="212"/>
      <c r="AX479" s="212">
        <f>+IF(BD_MO[[#This Row],[MINERAL (U-35)]]&lt;&gt;"",BD_MO[[#This Row],[MINERAL (U-35)]]*1.45,"-")</f>
        <v>31.9</v>
      </c>
      <c r="AY479" s="212" t="str">
        <f>+IF(BD_MO[[#This Row],[DESMONTE (U-35)]]&lt;&gt;"",BD_MO[[#This Row],[DESMONTE (U-35)]]*1.23,"-")</f>
        <v>-</v>
      </c>
      <c r="AZ479" s="212"/>
      <c r="BA479" s="212"/>
      <c r="BB479" s="212"/>
      <c r="BC479" s="212"/>
      <c r="BD479" s="212"/>
      <c r="BE479" s="212"/>
      <c r="BF479" s="212"/>
      <c r="BG479" s="212"/>
      <c r="BH479" s="212"/>
      <c r="BI479" s="212">
        <v>1</v>
      </c>
      <c r="BJ479" s="212"/>
      <c r="BK479" s="212"/>
      <c r="BL479" s="212"/>
      <c r="BM479" s="212"/>
      <c r="BN479" s="383">
        <v>14.4</v>
      </c>
      <c r="BO479" s="212"/>
      <c r="BP479" s="212"/>
      <c r="BQ479" s="383"/>
      <c r="BR479" s="212"/>
      <c r="BS479" s="383"/>
      <c r="BT479" s="386"/>
      <c r="BU479" s="212"/>
      <c r="BV479" s="212"/>
      <c r="BW479" s="212"/>
      <c r="BX479" s="212">
        <v>4</v>
      </c>
      <c r="BY479" s="212">
        <v>1</v>
      </c>
      <c r="BZ479" s="212"/>
      <c r="CA479" s="212"/>
      <c r="CB479" s="212"/>
      <c r="CC479" s="212"/>
      <c r="CD479" s="212"/>
      <c r="CE479" s="212"/>
      <c r="CF479" s="212"/>
      <c r="CG479" s="212"/>
      <c r="CH479" s="212"/>
      <c r="CI479" s="212"/>
      <c r="CJ479" s="212"/>
      <c r="CK479" s="212"/>
      <c r="CL479" s="212"/>
      <c r="CM479" s="212"/>
      <c r="CN479" s="212">
        <v>1</v>
      </c>
      <c r="CO479" s="212"/>
      <c r="CP479" s="386">
        <f>+IF(BD_MO[[#This Row],[FECHA]]&lt;&gt;"",BD_MO[[#This Row],[PUNTAL 4"]]+BD_MO[[#This Row],[PUNTAL 5"]]+BD_MO[[#This Row],[PUNTAL 6"]]+BD_MO[[#This Row],[PUNTAL 7"]]+BD_MO[[#This Row],[PUNTAL 8"]],"")</f>
        <v>1</v>
      </c>
      <c r="CQ479" s="212"/>
      <c r="CR479" s="212"/>
      <c r="CS479" s="212"/>
      <c r="CT479" s="212"/>
      <c r="CU479" s="212"/>
      <c r="CV479" s="212"/>
      <c r="CW479" s="212"/>
      <c r="CX479" s="212">
        <v>15</v>
      </c>
      <c r="CY479" s="386"/>
      <c r="CZ479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61.079000000000001</v>
      </c>
      <c r="DA479" s="386">
        <f>+IF(BD_MO[[#This Row],[FECHA]]&lt;&gt;"",BD_MO[[#This Row],[DURMIENTE2]]*6.561+BD_MO[[#This Row],[LISTONES]]*4.921+BD_MO[[#This Row],[TABLA 1"x8"x3m]]*6.561+BD_MO[[#This Row],[TABLA 2"x8"x3m]]*13.122,"")</f>
        <v>196.82999999999998</v>
      </c>
      <c r="DB479" s="386">
        <f>+IF(BD_MO[[#This Row],[FECHA]]&lt;&gt;"",BD_MO[[#This Row],[PIE2 MADERA ASERRADA]]*1.95,"")</f>
        <v>383.81849999999997</v>
      </c>
      <c r="DC479" s="386">
        <f>+IF(BD_MO[[#This Row],[FECHA]]&lt;&gt;"",BD_MO[[#This Row],[KG. MADERA REDONDA]]+BD_MO[[#This Row],[KG MADERA ASERRADA]],"")</f>
        <v>444.89749999999998</v>
      </c>
      <c r="DD479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246.10000000000002</v>
      </c>
      <c r="DE479" s="212"/>
      <c r="DF479" s="212"/>
      <c r="DG479" s="212"/>
      <c r="DH479" s="212"/>
      <c r="DI479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79" s="228"/>
      <c r="DK479" s="228"/>
      <c r="DL479" s="228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0.7</v>
      </c>
      <c r="DM479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0.72799999999999998</v>
      </c>
      <c r="DN479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79" s="389">
        <v>2.7128999999999999</v>
      </c>
      <c r="DP479" s="228">
        <f>+IF(BD_MO[[#This Row],[M o D]]&lt;&gt;"",IF(BD_MO[[#This Row],[M o D]]="M",BD_MO[[#This Row],[ROTURA TMH]]/2.65,BD_MO[[#This Row],[ROTURA TMH]]/2.4),"")</f>
        <v>1.0237358490566038</v>
      </c>
      <c r="DQ479" s="228"/>
      <c r="DR479" s="116" t="str">
        <f>IF(BD_MO[[#This Row],[TIPO AVANCE]]="Avance",((BD_MO[[#This Row],[AVANCE (m)]]/BD_MO[[#This Row],[AVANCE TEÓRICO]]))," ")</f>
        <v xml:space="preserve"> </v>
      </c>
      <c r="DS479" s="134"/>
      <c r="DT479" s="134"/>
      <c r="DU479" s="134"/>
      <c r="DV479" s="134"/>
      <c r="DW479" s="134"/>
      <c r="DX479" s="135"/>
      <c r="DY479" s="135"/>
      <c r="DZ479" s="135"/>
    </row>
    <row r="480" spans="1:130" s="136" customFormat="1" ht="18" customHeight="1" x14ac:dyDescent="0.25">
      <c r="A480" s="92">
        <v>44678</v>
      </c>
      <c r="B480" s="40" t="s">
        <v>10655</v>
      </c>
      <c r="C480" s="40" t="s">
        <v>10672</v>
      </c>
      <c r="D480" s="397" t="s">
        <v>12465</v>
      </c>
      <c r="E480" s="383" t="str">
        <f>LEFT(BD_MO[[#This Row],[LABOR]],2)</f>
        <v>Sn</v>
      </c>
      <c r="F480" s="212" t="s">
        <v>10950</v>
      </c>
      <c r="G480" s="212" t="s">
        <v>10648</v>
      </c>
      <c r="H480" s="38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80" s="387" t="str">
        <f>IF(BD_MO[FECHA]&lt;&gt;"",VLOOKUP(BD_MO[LABOR],TB_CECO[[LABOR]:[CECO_T]],3,FALSE),"")</f>
        <v>VANESSA</v>
      </c>
      <c r="J480" s="387" t="str">
        <f>IF(BD_MO[FECHA]&lt;&gt;"",VLOOKUP(BD_MO[LABOR],D_CECO!B:H,7,FALSE),"")</f>
        <v>LINEAL</v>
      </c>
      <c r="K480" s="387" t="str">
        <f>IF(BD_MO[FECHA]&lt;&gt;"",VLOOKUP(BD_MO[LABOR],D_CECO!B:H,4,FALSE),"")</f>
        <v>EXPLORACION</v>
      </c>
      <c r="L480" s="383"/>
      <c r="M480" s="40" t="s">
        <v>10646</v>
      </c>
      <c r="N480" s="212"/>
      <c r="O480" s="93" t="s">
        <v>12205</v>
      </c>
      <c r="P480" s="93" t="s">
        <v>12195</v>
      </c>
      <c r="Q480" s="93"/>
      <c r="R480" s="384"/>
      <c r="S480" s="385" t="str">
        <f>IFERROR(VLOOKUP(BD_MO[DNI 4],#REF!,2,FALSE)," ")</f>
        <v xml:space="preserve"> </v>
      </c>
      <c r="T480" s="386">
        <f>+IF(BD_MO[[#This Row],[FECHA]]&lt;&gt;"",COUNTA(BD_MO[[#This Row],[DNI]],BD_MO[[#This Row],[DNI 2]],BD_MO[[#This Row],[DNI 3]],BD_MO[[#This Row],[DNI 4]]),"")</f>
        <v>2</v>
      </c>
      <c r="U480" s="386">
        <v>1.04</v>
      </c>
      <c r="V480" s="386">
        <v>0.38</v>
      </c>
      <c r="W480" s="386"/>
      <c r="X480" s="386">
        <v>0.57999999999999996</v>
      </c>
      <c r="Y480" s="86">
        <f>SUM(BD_MO[[#This Row],[LIMP]:[SERV]])</f>
        <v>2</v>
      </c>
      <c r="Z480" s="212" t="s">
        <v>12414</v>
      </c>
      <c r="AA480" s="212">
        <f>+IF(BD_MO[[#This Row],[N° VALE]]&lt;&gt;"",1,"")</f>
        <v>1</v>
      </c>
      <c r="AB480" s="40" t="s">
        <v>10709</v>
      </c>
      <c r="AC480" s="212">
        <v>4</v>
      </c>
      <c r="AD480" s="212">
        <f>+IF(BD_MO[[#This Row],[N° VALE]]&lt;&gt;"",BD_MO[[#This Row],[FULMINANTE N° 08]]+BD_MO[CARMEX 7''],"")</f>
        <v>18</v>
      </c>
      <c r="AE480" s="212">
        <v>1</v>
      </c>
      <c r="AF480" s="212">
        <f>+IF(BD_MO[[#This Row],[N° VALE]]&lt;&gt;"",BD_MO[[#This Row],[N° TALADROS]]+BD_MO[[#This Row],[N° TAL. VACIOS]],"")</f>
        <v>19</v>
      </c>
      <c r="AG480" s="387">
        <v>42</v>
      </c>
      <c r="AH480" s="387">
        <v>42</v>
      </c>
      <c r="AI480" s="387"/>
      <c r="AJ480" s="387"/>
      <c r="AK480" s="387">
        <v>18</v>
      </c>
      <c r="AL480" s="387">
        <v>3</v>
      </c>
      <c r="AM480" s="383"/>
      <c r="AN480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80" s="212">
        <f>+IF(BD_MO[[#This Row],[N° VALE]]&lt;&gt;"",IF(BD_MO[[#This Row],[FULMINANTE N° 08]]&lt;&gt;"",BD_MO[[#This Row],[FULMINANTE N° 08]],IF(BD_MO[[#This Row],[CARMEX 7'']]&lt;&gt;0,0,"")),"")</f>
        <v>0</v>
      </c>
      <c r="AP480" s="386">
        <f>+IF(BD_MO[[#This Row],[N° VALE]]&lt;&gt;"",BD_MO[[#This Row],[N°  TOTAL TALADROS]]*BD_MO[[#This Row],[BARRA]]*0.95,"")</f>
        <v>72.2</v>
      </c>
      <c r="AQ480" s="386">
        <f>+IF(BD_MO[[#This Row],[N° VALE]]&lt;&gt;"",BD_MO[[#This Row],[EMULNOR 1000 (N° CART.)]]*PE_EMUL_1000[PE],"")</f>
        <v>3.9774000000000003</v>
      </c>
      <c r="AR480" s="386">
        <f>+IF(BD_MO[[#This Row],[N° VALE]]&lt;&gt;"",BD_MO[[#This Row],[EMULNOR 3000 (N° CART.)]]*PE_EMUL_3000[PE],"")</f>
        <v>4.0384615384615401</v>
      </c>
      <c r="AS480" s="386">
        <f>+IF(BD_MO[[#This Row],[N° VALE]]&lt;&gt;"",BD_MO[[#This Row],[PULVERULENTA (N° CART.)]]*PE_PULV_65[PE],"")</f>
        <v>0</v>
      </c>
      <c r="AT480" s="386">
        <f>+IF(BD_MO[[#This Row],[N° DISP]]&lt;&gt;"",BD_MO[[#This Row],[SEMIGELATINA (N° CART.)]]*PE_SEMIGEL_65[PE],"")</f>
        <v>0</v>
      </c>
      <c r="AU480" s="386">
        <f>+IF(BD_MO[N° VALE]&lt;&gt;"",BD_MO[[#This Row],[KG EXPLO SEMIGEL]]+BD_MO[[#This Row],[KG EXPLO PULVE]]+BD_MO[[#This Row],[KG EXPLO EMULN 3000]]+BD_MO[[#This Row],[KG EXPLO EMULN 1000]],"")</f>
        <v>8.0158615384615395</v>
      </c>
      <c r="AV480" s="212">
        <v>5</v>
      </c>
      <c r="AW480" s="212"/>
      <c r="AX480" s="212">
        <f>+IF(BD_MO[[#This Row],[MINERAL (U-35)]]&lt;&gt;"",BD_MO[[#This Row],[MINERAL (U-35)]]*1.45,"-")</f>
        <v>7.25</v>
      </c>
      <c r="AY480" s="212" t="str">
        <f>+IF(BD_MO[[#This Row],[DESMONTE (U-35)]]&lt;&gt;"",BD_MO[[#This Row],[DESMONTE (U-35)]]*1.23,"-")</f>
        <v>-</v>
      </c>
      <c r="AZ480" s="212"/>
      <c r="BA480" s="212"/>
      <c r="BB480" s="212"/>
      <c r="BC480" s="212"/>
      <c r="BD480" s="212"/>
      <c r="BE480" s="212"/>
      <c r="BF480" s="212"/>
      <c r="BG480" s="212"/>
      <c r="BH480" s="212"/>
      <c r="BI480" s="212"/>
      <c r="BJ480" s="212"/>
      <c r="BK480" s="212"/>
      <c r="BL480" s="212"/>
      <c r="BM480" s="212"/>
      <c r="BN480" s="383"/>
      <c r="BO480" s="212"/>
      <c r="BP480" s="212"/>
      <c r="BQ480" s="383"/>
      <c r="BR480" s="212"/>
      <c r="BS480" s="383"/>
      <c r="BT480" s="386"/>
      <c r="BU480" s="212"/>
      <c r="BV480" s="212"/>
      <c r="BW480" s="212"/>
      <c r="BX480" s="212"/>
      <c r="BY480" s="212"/>
      <c r="BZ480" s="212"/>
      <c r="CA480" s="212"/>
      <c r="CB480" s="212"/>
      <c r="CC480" s="212"/>
      <c r="CD480" s="212"/>
      <c r="CE480" s="212"/>
      <c r="CF480" s="212"/>
      <c r="CG480" s="212"/>
      <c r="CH480" s="212"/>
      <c r="CI480" s="212"/>
      <c r="CJ480" s="212"/>
      <c r="CK480" s="212"/>
      <c r="CL480" s="212"/>
      <c r="CM480" s="212"/>
      <c r="CN480" s="212"/>
      <c r="CO480" s="212"/>
      <c r="CP480" s="386">
        <f>+IF(BD_MO[[#This Row],[FECHA]]&lt;&gt;"",BD_MO[[#This Row],[PUNTAL 4"]]+BD_MO[[#This Row],[PUNTAL 5"]]+BD_MO[[#This Row],[PUNTAL 6"]]+BD_MO[[#This Row],[PUNTAL 7"]]+BD_MO[[#This Row],[PUNTAL 8"]],"")</f>
        <v>0</v>
      </c>
      <c r="CQ480" s="212"/>
      <c r="CR480" s="212"/>
      <c r="CS480" s="212"/>
      <c r="CT480" s="212"/>
      <c r="CU480" s="212"/>
      <c r="CV480" s="212"/>
      <c r="CW480" s="212"/>
      <c r="CX480" s="212"/>
      <c r="CY480" s="386"/>
      <c r="CZ480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80" s="386">
        <f>+IF(BD_MO[[#This Row],[FECHA]]&lt;&gt;"",BD_MO[[#This Row],[DURMIENTE2]]*6.561+BD_MO[[#This Row],[LISTONES]]*4.921+BD_MO[[#This Row],[TABLA 1"x8"x3m]]*6.561+BD_MO[[#This Row],[TABLA 2"x8"x3m]]*13.122,"")</f>
        <v>0</v>
      </c>
      <c r="DB480" s="386">
        <f>+IF(BD_MO[[#This Row],[FECHA]]&lt;&gt;"",BD_MO[[#This Row],[PIE2 MADERA ASERRADA]]*1.95,"")</f>
        <v>0</v>
      </c>
      <c r="DC480" s="386">
        <f>+IF(BD_MO[[#This Row],[FECHA]]&lt;&gt;"",BD_MO[[#This Row],[KG. MADERA REDONDA]]+BD_MO[[#This Row],[KG MADERA ASERRADA]],"")</f>
        <v>0</v>
      </c>
      <c r="DD480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80" s="212"/>
      <c r="DF480" s="212"/>
      <c r="DG480" s="212"/>
      <c r="DH480" s="212"/>
      <c r="DI480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80" s="228"/>
      <c r="DK480" s="228"/>
      <c r="DL480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80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80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80" s="389">
        <v>4.6151999999999997</v>
      </c>
      <c r="DP480" s="228">
        <f>+IF(BD_MO[[#This Row],[M o D]]&lt;&gt;"",IF(BD_MO[[#This Row],[M o D]]="M",BD_MO[[#This Row],[ROTURA TMH]]/2.65,BD_MO[[#This Row],[ROTURA TMH]]/2.4),"")</f>
        <v>1.7415849056603774</v>
      </c>
      <c r="DQ480" s="228">
        <v>1.01</v>
      </c>
      <c r="DR480" s="116">
        <f>IF(BD_MO[[#This Row],[TIPO AVANCE]]="Avance",((BD_MO[[#This Row],[AVANCE (m)]]/BD_MO[[#This Row],[AVANCE TEÓRICO]]))," ")</f>
        <v>0.93518518518518512</v>
      </c>
      <c r="DS480" s="134"/>
      <c r="DT480" s="134"/>
      <c r="DU480" s="134"/>
      <c r="DV480" s="134"/>
      <c r="DW480" s="134"/>
      <c r="DX480" s="135"/>
      <c r="DY480" s="135"/>
      <c r="DZ480" s="135"/>
    </row>
    <row r="481" spans="1:130" s="136" customFormat="1" ht="18" customHeight="1" x14ac:dyDescent="0.25">
      <c r="A481" s="92">
        <v>44678</v>
      </c>
      <c r="B481" s="40" t="s">
        <v>10655</v>
      </c>
      <c r="C481" s="40" t="s">
        <v>10672</v>
      </c>
      <c r="D481" s="397" t="s">
        <v>12465</v>
      </c>
      <c r="E481" s="383" t="str">
        <f>LEFT(BD_MO[[#This Row],[LABOR]],2)</f>
        <v>Sn</v>
      </c>
      <c r="F481" s="212" t="s">
        <v>10950</v>
      </c>
      <c r="G481" s="212" t="s">
        <v>10648</v>
      </c>
      <c r="H481" s="38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81" s="387" t="str">
        <f>IF(BD_MO[FECHA]&lt;&gt;"",VLOOKUP(BD_MO[LABOR],TB_CECO[[LABOR]:[CECO_T]],3,FALSE),"")</f>
        <v>VANESSA</v>
      </c>
      <c r="J481" s="387" t="str">
        <f>IF(BD_MO[FECHA]&lt;&gt;"",VLOOKUP(BD_MO[LABOR],D_CECO!B:H,7,FALSE),"")</f>
        <v>LINEAL</v>
      </c>
      <c r="K481" s="387" t="str">
        <f>IF(BD_MO[FECHA]&lt;&gt;"",VLOOKUP(BD_MO[LABOR],D_CECO!B:H,4,FALSE),"")</f>
        <v>EXPLORACION</v>
      </c>
      <c r="L481" s="383"/>
      <c r="M481" s="40" t="s">
        <v>10679</v>
      </c>
      <c r="N481" s="212"/>
      <c r="O481" s="93" t="s">
        <v>12333</v>
      </c>
      <c r="P481" s="93" t="s">
        <v>12201</v>
      </c>
      <c r="Q481" s="93"/>
      <c r="R481" s="384"/>
      <c r="S481" s="385" t="str">
        <f>IFERROR(VLOOKUP(BD_MO[DNI 4],#REF!,2,FALSE)," ")</f>
        <v xml:space="preserve"> </v>
      </c>
      <c r="T481" s="386">
        <f>+IF(BD_MO[[#This Row],[FECHA]]&lt;&gt;"",COUNTA(BD_MO[[#This Row],[DNI]],BD_MO[[#This Row],[DNI 2]],BD_MO[[#This Row],[DNI 3]],BD_MO[[#This Row],[DNI 4]]),"")</f>
        <v>2</v>
      </c>
      <c r="U481" s="386">
        <v>0.28000000000000003</v>
      </c>
      <c r="V481" s="386"/>
      <c r="W481" s="386">
        <v>0.96</v>
      </c>
      <c r="X481" s="386">
        <v>0.76</v>
      </c>
      <c r="Y481" s="86">
        <f>SUM(BD_MO[[#This Row],[LIMP]:[SERV]])</f>
        <v>2</v>
      </c>
      <c r="Z481" s="212" t="s">
        <v>12415</v>
      </c>
      <c r="AA481" s="212">
        <f>+IF(BD_MO[[#This Row],[N° VALE]]&lt;&gt;"",1,"")</f>
        <v>1</v>
      </c>
      <c r="AB481" s="40" t="s">
        <v>10709</v>
      </c>
      <c r="AC481" s="212">
        <v>4</v>
      </c>
      <c r="AD481" s="212">
        <f>+IF(BD_MO[[#This Row],[N° VALE]]&lt;&gt;"",BD_MO[[#This Row],[FULMINANTE N° 08]]+BD_MO[CARMEX 7''],"")</f>
        <v>8</v>
      </c>
      <c r="AE481" s="212">
        <v>4</v>
      </c>
      <c r="AF481" s="212">
        <f>+IF(BD_MO[[#This Row],[N° VALE]]&lt;&gt;"",BD_MO[[#This Row],[N° TALADROS]]+BD_MO[[#This Row],[N° TAL. VACIOS]],"")</f>
        <v>12</v>
      </c>
      <c r="AG481" s="387">
        <v>20</v>
      </c>
      <c r="AH481" s="387">
        <v>12</v>
      </c>
      <c r="AI481" s="387"/>
      <c r="AJ481" s="387"/>
      <c r="AK481" s="387">
        <v>8</v>
      </c>
      <c r="AL481" s="387">
        <v>2</v>
      </c>
      <c r="AM481" s="383"/>
      <c r="AN481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81" s="212">
        <f>+IF(BD_MO[[#This Row],[N° VALE]]&lt;&gt;"",IF(BD_MO[[#This Row],[FULMINANTE N° 08]]&lt;&gt;"",BD_MO[[#This Row],[FULMINANTE N° 08]],IF(BD_MO[[#This Row],[CARMEX 7'']]&lt;&gt;0,0,"")),"")</f>
        <v>0</v>
      </c>
      <c r="AP481" s="386">
        <f>+IF(BD_MO[[#This Row],[N° VALE]]&lt;&gt;"",BD_MO[[#This Row],[N°  TOTAL TALADROS]]*BD_MO[[#This Row],[BARRA]]*0.95,"")</f>
        <v>45.599999999999994</v>
      </c>
      <c r="AQ481" s="386">
        <f>+IF(BD_MO[[#This Row],[N° VALE]]&lt;&gt;"",BD_MO[[#This Row],[EMULNOR 1000 (N° CART.)]]*PE_EMUL_1000[PE],"")</f>
        <v>1.1364000000000001</v>
      </c>
      <c r="AR481" s="386">
        <f>+IF(BD_MO[[#This Row],[N° VALE]]&lt;&gt;"",BD_MO[[#This Row],[EMULNOR 3000 (N° CART.)]]*PE_EMUL_3000[PE],"")</f>
        <v>1.923076923076924</v>
      </c>
      <c r="AS481" s="386">
        <f>+IF(BD_MO[[#This Row],[N° VALE]]&lt;&gt;"",BD_MO[[#This Row],[PULVERULENTA (N° CART.)]]*PE_PULV_65[PE],"")</f>
        <v>0</v>
      </c>
      <c r="AT481" s="386">
        <f>+IF(BD_MO[[#This Row],[N° DISP]]&lt;&gt;"",BD_MO[[#This Row],[SEMIGELATINA (N° CART.)]]*PE_SEMIGEL_65[PE],"")</f>
        <v>0</v>
      </c>
      <c r="AU481" s="386">
        <f>+IF(BD_MO[N° VALE]&lt;&gt;"",BD_MO[[#This Row],[KG EXPLO SEMIGEL]]+BD_MO[[#This Row],[KG EXPLO PULVE]]+BD_MO[[#This Row],[KG EXPLO EMULN 3000]]+BD_MO[[#This Row],[KG EXPLO EMULN 1000]],"")</f>
        <v>3.0594769230769243</v>
      </c>
      <c r="AV481" s="212"/>
      <c r="AW481" s="212"/>
      <c r="AX481" s="212" t="str">
        <f>+IF(BD_MO[[#This Row],[MINERAL (U-35)]]&lt;&gt;"",BD_MO[[#This Row],[MINERAL (U-35)]]*1.45,"-")</f>
        <v>-</v>
      </c>
      <c r="AY481" s="212" t="str">
        <f>+IF(BD_MO[[#This Row],[DESMONTE (U-35)]]&lt;&gt;"",BD_MO[[#This Row],[DESMONTE (U-35)]]*1.23,"-")</f>
        <v>-</v>
      </c>
      <c r="AZ481" s="212"/>
      <c r="BA481" s="212"/>
      <c r="BB481" s="212"/>
      <c r="BC481" s="212"/>
      <c r="BD481" s="212"/>
      <c r="BE481" s="212"/>
      <c r="BF481" s="212"/>
      <c r="BG481" s="212"/>
      <c r="BH481" s="212"/>
      <c r="BI481" s="212"/>
      <c r="BJ481" s="212"/>
      <c r="BK481" s="212"/>
      <c r="BL481" s="212"/>
      <c r="BM481" s="212"/>
      <c r="BN481" s="383"/>
      <c r="BO481" s="212"/>
      <c r="BP481" s="212"/>
      <c r="BQ481" s="383"/>
      <c r="BR481" s="212"/>
      <c r="BS481" s="383"/>
      <c r="BT481" s="386"/>
      <c r="BU481" s="212"/>
      <c r="BV481" s="212"/>
      <c r="BW481" s="212"/>
      <c r="BX481" s="212"/>
      <c r="BY481" s="212"/>
      <c r="BZ481" s="212"/>
      <c r="CA481" s="212"/>
      <c r="CB481" s="212"/>
      <c r="CC481" s="212"/>
      <c r="CD481" s="212"/>
      <c r="CE481" s="212"/>
      <c r="CF481" s="212"/>
      <c r="CG481" s="212"/>
      <c r="CH481" s="212"/>
      <c r="CI481" s="212"/>
      <c r="CJ481" s="212"/>
      <c r="CK481" s="212"/>
      <c r="CL481" s="212"/>
      <c r="CM481" s="212"/>
      <c r="CN481" s="212"/>
      <c r="CO481" s="212"/>
      <c r="CP481" s="386">
        <f>+IF(BD_MO[[#This Row],[FECHA]]&lt;&gt;"",BD_MO[[#This Row],[PUNTAL 4"]]+BD_MO[[#This Row],[PUNTAL 5"]]+BD_MO[[#This Row],[PUNTAL 6"]]+BD_MO[[#This Row],[PUNTAL 7"]]+BD_MO[[#This Row],[PUNTAL 8"]],"")</f>
        <v>0</v>
      </c>
      <c r="CQ481" s="212"/>
      <c r="CR481" s="212"/>
      <c r="CS481" s="212"/>
      <c r="CT481" s="212"/>
      <c r="CU481" s="212"/>
      <c r="CV481" s="212"/>
      <c r="CW481" s="212"/>
      <c r="CX481" s="212"/>
      <c r="CY481" s="386"/>
      <c r="CZ481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81" s="386">
        <f>+IF(BD_MO[[#This Row],[FECHA]]&lt;&gt;"",BD_MO[[#This Row],[DURMIENTE2]]*6.561+BD_MO[[#This Row],[LISTONES]]*4.921+BD_MO[[#This Row],[TABLA 1"x8"x3m]]*6.561+BD_MO[[#This Row],[TABLA 2"x8"x3m]]*13.122,"")</f>
        <v>0</v>
      </c>
      <c r="DB481" s="386">
        <f>+IF(BD_MO[[#This Row],[FECHA]]&lt;&gt;"",BD_MO[[#This Row],[PIE2 MADERA ASERRADA]]*1.95,"")</f>
        <v>0</v>
      </c>
      <c r="DC481" s="386">
        <f>+IF(BD_MO[[#This Row],[FECHA]]&lt;&gt;"",BD_MO[[#This Row],[KG. MADERA REDONDA]]+BD_MO[[#This Row],[KG MADERA ASERRADA]],"")</f>
        <v>0</v>
      </c>
      <c r="DD481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81" s="212"/>
      <c r="DF481" s="212"/>
      <c r="DG481" s="212"/>
      <c r="DH481" s="212"/>
      <c r="DI481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81" s="228"/>
      <c r="DK481" s="228"/>
      <c r="DL481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81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81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81" s="389">
        <v>2.0512000000000001</v>
      </c>
      <c r="DP481" s="228">
        <f>+IF(BD_MO[[#This Row],[M o D]]&lt;&gt;"",IF(BD_MO[[#This Row],[M o D]]="M",BD_MO[[#This Row],[ROTURA TMH]]/2.65,BD_MO[[#This Row],[ROTURA TMH]]/2.4),"")</f>
        <v>0.77403773584905666</v>
      </c>
      <c r="DQ481" s="228"/>
      <c r="DR481" s="116" t="str">
        <f>IF(BD_MO[[#This Row],[TIPO AVANCE]]="Avance",((BD_MO[[#This Row],[AVANCE (m)]]/BD_MO[[#This Row],[AVANCE TEÓRICO]]))," ")</f>
        <v xml:space="preserve"> </v>
      </c>
      <c r="DS481" s="134"/>
      <c r="DT481" s="134"/>
      <c r="DU481" s="134"/>
      <c r="DV481" s="134"/>
      <c r="DW481" s="134"/>
      <c r="DX481" s="135"/>
      <c r="DY481" s="135"/>
      <c r="DZ481" s="135"/>
    </row>
    <row r="482" spans="1:130" s="136" customFormat="1" ht="18" customHeight="1" x14ac:dyDescent="0.25">
      <c r="A482" s="92">
        <v>44678</v>
      </c>
      <c r="B482" s="40" t="s">
        <v>10655</v>
      </c>
      <c r="C482" s="40" t="s">
        <v>10672</v>
      </c>
      <c r="D482" s="94" t="s">
        <v>12339</v>
      </c>
      <c r="E482" s="387" t="str">
        <f>LEFT(BD_MO[[#This Row],[LABOR]],2)</f>
        <v>Tj</v>
      </c>
      <c r="F482" s="212" t="s">
        <v>10687</v>
      </c>
      <c r="G482" s="212" t="s">
        <v>10648</v>
      </c>
      <c r="H482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82" s="383" t="str">
        <f>IF(BD_MO[FECHA]&lt;&gt;"",VLOOKUP(BD_MO[LABOR],TB_CECO[[LABOR]:[CECO_T]],3,FALSE),"")</f>
        <v>ESCONDIDA</v>
      </c>
      <c r="J482" s="383" t="str">
        <f>IF(BD_MO[FECHA]&lt;&gt;"",VLOOKUP(BD_MO[LABOR],D_CECO!B:H,7,FALSE),"")</f>
        <v>TAJO</v>
      </c>
      <c r="K482" s="383" t="str">
        <f>IF(BD_MO[FECHA]&lt;&gt;"",VLOOKUP(BD_MO[LABOR],D_CECO!B:H,4,FALSE),"")</f>
        <v>EXPLOTACION</v>
      </c>
      <c r="L482" s="383"/>
      <c r="M482" s="40" t="s">
        <v>10661</v>
      </c>
      <c r="N482" s="212"/>
      <c r="O482" s="93" t="s">
        <v>12233</v>
      </c>
      <c r="P482" s="93" t="s">
        <v>12197</v>
      </c>
      <c r="Q482" s="93"/>
      <c r="R482" s="384"/>
      <c r="S482" s="385" t="str">
        <f>IFERROR(VLOOKUP(BD_MO[DNI 4],#REF!,2,FALSE)," ")</f>
        <v xml:space="preserve"> </v>
      </c>
      <c r="T482" s="386">
        <f>+IF(BD_MO[[#This Row],[FECHA]]&lt;&gt;"",COUNTA(BD_MO[[#This Row],[DNI]],BD_MO[[#This Row],[DNI 2]],BD_MO[[#This Row],[DNI 3]],BD_MO[[#This Row],[DNI 4]]),"")</f>
        <v>2</v>
      </c>
      <c r="U482" s="386">
        <v>0.38</v>
      </c>
      <c r="V482" s="386">
        <v>0.28000000000000003</v>
      </c>
      <c r="W482" s="386"/>
      <c r="X482" s="386">
        <v>1.34</v>
      </c>
      <c r="Y482" s="86">
        <f>SUM(BD_MO[[#This Row],[LIMP]:[SERV]])</f>
        <v>2</v>
      </c>
      <c r="Z482" s="212" t="s">
        <v>12416</v>
      </c>
      <c r="AA482" s="212">
        <f>+IF(BD_MO[[#This Row],[N° VALE]]&lt;&gt;"",1,"")</f>
        <v>1</v>
      </c>
      <c r="AB482" s="40" t="s">
        <v>10659</v>
      </c>
      <c r="AC482" s="212">
        <v>4</v>
      </c>
      <c r="AD482" s="212">
        <f>+IF(BD_MO[[#This Row],[N° VALE]]&lt;&gt;"",BD_MO[[#This Row],[FULMINANTE N° 08]]+BD_MO[CARMEX 7''],"")</f>
        <v>10</v>
      </c>
      <c r="AE482" s="212"/>
      <c r="AF482" s="212">
        <f>+IF(BD_MO[[#This Row],[N° VALE]]&lt;&gt;"",BD_MO[[#This Row],[N° TALADROS]]+BD_MO[[#This Row],[N° TAL. VACIOS]],"")</f>
        <v>10</v>
      </c>
      <c r="AG482" s="387">
        <v>6</v>
      </c>
      <c r="AH482" s="387">
        <v>30</v>
      </c>
      <c r="AI482" s="387"/>
      <c r="AJ482" s="387"/>
      <c r="AK482" s="387">
        <v>10</v>
      </c>
      <c r="AL482" s="387">
        <v>3</v>
      </c>
      <c r="AM482" s="383"/>
      <c r="AN482" s="212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82" s="212">
        <f>+IF(BD_MO[[#This Row],[N° VALE]]&lt;&gt;"",IF(BD_MO[[#This Row],[FULMINANTE N° 08]]&lt;&gt;"",BD_MO[[#This Row],[FULMINANTE N° 08]],IF(BD_MO[[#This Row],[CARMEX 7'']]&lt;&gt;0,0,"")),"")</f>
        <v>0</v>
      </c>
      <c r="AP482" s="386">
        <f>+IF(BD_MO[[#This Row],[N° VALE]]&lt;&gt;"",BD_MO[[#This Row],[N°  TOTAL TALADROS]]*BD_MO[[#This Row],[BARRA]]*0.95,"")</f>
        <v>38</v>
      </c>
      <c r="AQ482" s="386">
        <f>+IF(BD_MO[[#This Row],[N° VALE]]&lt;&gt;"",BD_MO[[#This Row],[EMULNOR 1000 (N° CART.)]]*PE_EMUL_1000[PE],"")</f>
        <v>2.8410000000000002</v>
      </c>
      <c r="AR482" s="386">
        <f>+IF(BD_MO[[#This Row],[N° VALE]]&lt;&gt;"",BD_MO[[#This Row],[EMULNOR 3000 (N° CART.)]]*PE_EMUL_3000[PE],"")</f>
        <v>0.5769230769230772</v>
      </c>
      <c r="AS482" s="386">
        <f>+IF(BD_MO[[#This Row],[N° VALE]]&lt;&gt;"",BD_MO[[#This Row],[PULVERULENTA (N° CART.)]]*PE_PULV_65[PE],"")</f>
        <v>0</v>
      </c>
      <c r="AT482" s="386">
        <f>+IF(BD_MO[[#This Row],[N° DISP]]&lt;&gt;"",BD_MO[[#This Row],[SEMIGELATINA (N° CART.)]]*PE_SEMIGEL_65[PE],"")</f>
        <v>0</v>
      </c>
      <c r="AU482" s="386">
        <f>+IF(BD_MO[N° VALE]&lt;&gt;"",BD_MO[[#This Row],[KG EXPLO SEMIGEL]]+BD_MO[[#This Row],[KG EXPLO PULVE]]+BD_MO[[#This Row],[KG EXPLO EMULN 3000]]+BD_MO[[#This Row],[KG EXPLO EMULN 1000]],"")</f>
        <v>3.4179230769230773</v>
      </c>
      <c r="AV482" s="212"/>
      <c r="AW482" s="212"/>
      <c r="AX482" s="212" t="str">
        <f>+IF(BD_MO[[#This Row],[MINERAL (U-35)]]&lt;&gt;"",BD_MO[[#This Row],[MINERAL (U-35)]]*1.45,"-")</f>
        <v>-</v>
      </c>
      <c r="AY482" s="212" t="str">
        <f>+IF(BD_MO[[#This Row],[DESMONTE (U-35)]]&lt;&gt;"",BD_MO[[#This Row],[DESMONTE (U-35)]]*1.23,"-")</f>
        <v>-</v>
      </c>
      <c r="AZ482" s="212"/>
      <c r="BA482" s="212"/>
      <c r="BB482" s="212"/>
      <c r="BC482" s="212"/>
      <c r="BD482" s="212"/>
      <c r="BE482" s="212"/>
      <c r="BF482" s="212"/>
      <c r="BG482" s="212"/>
      <c r="BH482" s="212"/>
      <c r="BI482" s="212">
        <v>2</v>
      </c>
      <c r="BJ482" s="212"/>
      <c r="BK482" s="212"/>
      <c r="BL482" s="212"/>
      <c r="BM482" s="212"/>
      <c r="BN482" s="383">
        <v>2.16</v>
      </c>
      <c r="BO482" s="212"/>
      <c r="BP482" s="212"/>
      <c r="BQ482" s="383"/>
      <c r="BR482" s="212"/>
      <c r="BS482" s="383"/>
      <c r="BT482" s="386"/>
      <c r="BU482" s="212"/>
      <c r="BV482" s="212"/>
      <c r="BW482" s="212"/>
      <c r="BX482" s="212"/>
      <c r="BY482" s="212"/>
      <c r="BZ482" s="212"/>
      <c r="CA482" s="212"/>
      <c r="CB482" s="212"/>
      <c r="CC482" s="212"/>
      <c r="CD482" s="212"/>
      <c r="CE482" s="212"/>
      <c r="CF482" s="212"/>
      <c r="CG482" s="212"/>
      <c r="CH482" s="212"/>
      <c r="CI482" s="212"/>
      <c r="CJ482" s="212"/>
      <c r="CK482" s="212"/>
      <c r="CL482" s="212"/>
      <c r="CM482" s="212">
        <v>1</v>
      </c>
      <c r="CN482" s="212">
        <v>1</v>
      </c>
      <c r="CO482" s="212"/>
      <c r="CP482" s="386">
        <f>+IF(BD_MO[[#This Row],[FECHA]]&lt;&gt;"",BD_MO[[#This Row],[PUNTAL 4"]]+BD_MO[[#This Row],[PUNTAL 5"]]+BD_MO[[#This Row],[PUNTAL 6"]]+BD_MO[[#This Row],[PUNTAL 7"]]+BD_MO[[#This Row],[PUNTAL 8"]],"")</f>
        <v>2</v>
      </c>
      <c r="CQ482" s="212"/>
      <c r="CR482" s="212"/>
      <c r="CS482" s="212">
        <v>6</v>
      </c>
      <c r="CT482" s="212"/>
      <c r="CU482" s="212"/>
      <c r="CV482" s="212"/>
      <c r="CW482" s="212"/>
      <c r="CX482" s="212"/>
      <c r="CY482" s="386"/>
      <c r="CZ482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253.55300000000003</v>
      </c>
      <c r="DA482" s="386">
        <f>+IF(BD_MO[[#This Row],[FECHA]]&lt;&gt;"",BD_MO[[#This Row],[DURMIENTE2]]*6.561+BD_MO[[#This Row],[LISTONES]]*4.921+BD_MO[[#This Row],[TABLA 1"x8"x3m]]*6.561+BD_MO[[#This Row],[TABLA 2"x8"x3m]]*13.122,"")</f>
        <v>0</v>
      </c>
      <c r="DB482" s="386">
        <f>+IF(BD_MO[[#This Row],[FECHA]]&lt;&gt;"",BD_MO[[#This Row],[PIE2 MADERA ASERRADA]]*1.95,"")</f>
        <v>0</v>
      </c>
      <c r="DC482" s="386">
        <f>+IF(BD_MO[[#This Row],[FECHA]]&lt;&gt;"",BD_MO[[#This Row],[KG. MADERA REDONDA]]+BD_MO[[#This Row],[KG MADERA ASERRADA]],"")</f>
        <v>253.55300000000003</v>
      </c>
      <c r="DD482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109.34</v>
      </c>
      <c r="DE482" s="212"/>
      <c r="DF482" s="212"/>
      <c r="DG482" s="212"/>
      <c r="DH482" s="212"/>
      <c r="DI482" s="228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82" s="228"/>
      <c r="DK482" s="228"/>
      <c r="DL482" s="228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2.33</v>
      </c>
      <c r="DM482" s="228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2.4232</v>
      </c>
      <c r="DN482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82" s="389">
        <v>4.1180000000000003</v>
      </c>
      <c r="DP482" s="228">
        <f>+IF(BD_MO[[#This Row],[M o D]]&lt;&gt;"",IF(BD_MO[[#This Row],[M o D]]="M",BD_MO[[#This Row],[ROTURA TMH]]/2.65,BD_MO[[#This Row],[ROTURA TMH]]/2.4),"")</f>
        <v>1.7158333333333335</v>
      </c>
      <c r="DQ482" s="228"/>
      <c r="DR482" s="116" t="str">
        <f>IF(BD_MO[[#This Row],[TIPO AVANCE]]="Avance",((BD_MO[[#This Row],[AVANCE (m)]]/BD_MO[[#This Row],[AVANCE TEÓRICO]]))," ")</f>
        <v xml:space="preserve"> </v>
      </c>
      <c r="DS482" s="134"/>
      <c r="DT482" s="134"/>
      <c r="DU482" s="134"/>
      <c r="DV482" s="134"/>
      <c r="DW482" s="134"/>
      <c r="DX482" s="135"/>
      <c r="DY482" s="135"/>
      <c r="DZ482" s="135"/>
    </row>
    <row r="483" spans="1:130" s="136" customFormat="1" ht="18" customHeight="1" x14ac:dyDescent="0.25">
      <c r="A483" s="92">
        <v>44678</v>
      </c>
      <c r="B483" s="40" t="s">
        <v>10655</v>
      </c>
      <c r="C483" s="40" t="s">
        <v>10672</v>
      </c>
      <c r="D483" s="94" t="s">
        <v>11806</v>
      </c>
      <c r="E483" s="383" t="str">
        <f>LEFT(BD_MO[[#This Row],[LABOR]],2)</f>
        <v>CX</v>
      </c>
      <c r="F483" s="212"/>
      <c r="G483" s="212" t="s">
        <v>10673</v>
      </c>
      <c r="H483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REHABILITACION</v>
      </c>
      <c r="I483" s="383" t="str">
        <f>IF(BD_MO[FECHA]&lt;&gt;"",VLOOKUP(BD_MO[LABOR],TB_CECO[[LABOR]:[CECO_T]],3,FALSE),"")</f>
        <v>CACHORRO</v>
      </c>
      <c r="J483" s="383" t="str">
        <f>IF(BD_MO[FECHA]&lt;&gt;"",VLOOKUP(BD_MO[LABOR],D_CECO!B:H,7,FALSE),"")</f>
        <v>LINEAL</v>
      </c>
      <c r="K483" s="383" t="str">
        <f>IF(BD_MO[FECHA]&lt;&gt;"",VLOOKUP(BD_MO[LABOR],D_CECO!B:H,4,FALSE),"")</f>
        <v>EXPLORACION</v>
      </c>
      <c r="L483" s="383"/>
      <c r="M483" s="40"/>
      <c r="N483" s="212"/>
      <c r="O483" s="93" t="s">
        <v>12412</v>
      </c>
      <c r="P483" s="93" t="s">
        <v>12207</v>
      </c>
      <c r="Q483" s="93"/>
      <c r="R483" s="384"/>
      <c r="S483" s="385" t="str">
        <f>IFERROR(VLOOKUP(BD_MO[DNI 4],#REF!,2,FALSE)," ")</f>
        <v xml:space="preserve"> </v>
      </c>
      <c r="T483" s="386">
        <f>+IF(BD_MO[[#This Row],[FECHA]]&lt;&gt;"",COUNTA(BD_MO[[#This Row],[DNI]],BD_MO[[#This Row],[DNI 2]],BD_MO[[#This Row],[DNI 3]],BD_MO[[#This Row],[DNI 4]]),"")</f>
        <v>2</v>
      </c>
      <c r="U483" s="386"/>
      <c r="V483" s="386"/>
      <c r="W483" s="386"/>
      <c r="X483" s="386">
        <v>2</v>
      </c>
      <c r="Y483" s="86">
        <f>SUM(BD_MO[[#This Row],[LIMP]:[SERV]])</f>
        <v>2</v>
      </c>
      <c r="Z483" s="212"/>
      <c r="AA483" s="212" t="str">
        <f>+IF(BD_MO[[#This Row],[N° VALE]]&lt;&gt;"",1,"")</f>
        <v/>
      </c>
      <c r="AB483" s="40"/>
      <c r="AC483" s="212"/>
      <c r="AD483" s="212" t="str">
        <f>+IF(BD_MO[[#This Row],[N° VALE]]&lt;&gt;"",BD_MO[[#This Row],[FULMINANTE N° 08]]+BD_MO[CARMEX 7''],"")</f>
        <v/>
      </c>
      <c r="AE483" s="212"/>
      <c r="AF483" s="212" t="s">
        <v>12222</v>
      </c>
      <c r="AG483" s="387"/>
      <c r="AH483" s="387"/>
      <c r="AI483" s="387"/>
      <c r="AJ483" s="387"/>
      <c r="AK483" s="387"/>
      <c r="AL483" s="387"/>
      <c r="AM483" s="383"/>
      <c r="AN483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83" s="212" t="str">
        <f>+IF(BD_MO[[#This Row],[N° VALE]]&lt;&gt;"",IF(BD_MO[[#This Row],[FULMINANTE N° 08]]&lt;&gt;"",BD_MO[[#This Row],[FULMINANTE N° 08]],IF(BD_MO[[#This Row],[CARMEX 7'']]&lt;&gt;0,0,"")),"")</f>
        <v/>
      </c>
      <c r="AP483" s="386" t="str">
        <f>+IF(BD_MO[[#This Row],[N° VALE]]&lt;&gt;"",BD_MO[[#This Row],[N°  TOTAL TALADROS]]*BD_MO[[#This Row],[BARRA]]*0.95,"")</f>
        <v/>
      </c>
      <c r="AQ483" s="386" t="str">
        <f>+IF(BD_MO[[#This Row],[N° VALE]]&lt;&gt;"",BD_MO[[#This Row],[EMULNOR 1000 (N° CART.)]]*PE_EMUL_1000[PE],"")</f>
        <v/>
      </c>
      <c r="AR483" s="386" t="str">
        <f>+IF(BD_MO[[#This Row],[N° VALE]]&lt;&gt;"",BD_MO[[#This Row],[EMULNOR 3000 (N° CART.)]]*PE_EMUL_3000[PE],"")</f>
        <v/>
      </c>
      <c r="AS483" s="386" t="str">
        <f>+IF(BD_MO[[#This Row],[N° VALE]]&lt;&gt;"",BD_MO[[#This Row],[PULVERULENTA (N° CART.)]]*PE_PULV_65[PE],"")</f>
        <v/>
      </c>
      <c r="AT483" s="386" t="str">
        <f>+IF(BD_MO[[#This Row],[N° DISP]]&lt;&gt;"",BD_MO[[#This Row],[SEMIGELATINA (N° CART.)]]*PE_SEMIGEL_65[PE],"")</f>
        <v/>
      </c>
      <c r="AU483" s="386" t="str">
        <f>+IF(BD_MO[N° VALE]&lt;&gt;"",BD_MO[[#This Row],[KG EXPLO SEMIGEL]]+BD_MO[[#This Row],[KG EXPLO PULVE]]+BD_MO[[#This Row],[KG EXPLO EMULN 3000]]+BD_MO[[#This Row],[KG EXPLO EMULN 1000]],"")</f>
        <v/>
      </c>
      <c r="AV483" s="212"/>
      <c r="AW483" s="212"/>
      <c r="AX483" s="212" t="str">
        <f>+IF(BD_MO[[#This Row],[MINERAL (U-35)]]&lt;&gt;"",BD_MO[[#This Row],[MINERAL (U-35)]]*1.45,"-")</f>
        <v>-</v>
      </c>
      <c r="AY483" s="212" t="str">
        <f>+IF(BD_MO[[#This Row],[DESMONTE (U-35)]]&lt;&gt;"",BD_MO[[#This Row],[DESMONTE (U-35)]]*1.23,"-")</f>
        <v>-</v>
      </c>
      <c r="AZ483" s="212">
        <v>1</v>
      </c>
      <c r="BA483" s="212"/>
      <c r="BB483" s="212"/>
      <c r="BC483" s="212"/>
      <c r="BD483" s="212"/>
      <c r="BE483" s="212"/>
      <c r="BF483" s="212"/>
      <c r="BG483" s="212"/>
      <c r="BH483" s="212"/>
      <c r="BI483" s="212"/>
      <c r="BJ483" s="212"/>
      <c r="BK483" s="212"/>
      <c r="BL483" s="212"/>
      <c r="BM483" s="212"/>
      <c r="BN483" s="383"/>
      <c r="BO483" s="212"/>
      <c r="BP483" s="212"/>
      <c r="BQ483" s="383"/>
      <c r="BR483" s="212"/>
      <c r="BS483" s="383"/>
      <c r="BT483" s="386">
        <v>3.08</v>
      </c>
      <c r="BU483" s="212"/>
      <c r="BV483" s="212"/>
      <c r="BW483" s="212"/>
      <c r="BX483" s="212"/>
      <c r="BY483" s="212"/>
      <c r="BZ483" s="212"/>
      <c r="CA483" s="212"/>
      <c r="CB483" s="212"/>
      <c r="CC483" s="212"/>
      <c r="CD483" s="212"/>
      <c r="CE483" s="212"/>
      <c r="CF483" s="212"/>
      <c r="CG483" s="212"/>
      <c r="CH483" s="212"/>
      <c r="CI483" s="212"/>
      <c r="CJ483" s="212"/>
      <c r="CK483" s="212"/>
      <c r="CL483" s="212">
        <v>2</v>
      </c>
      <c r="CM483" s="212"/>
      <c r="CN483" s="212"/>
      <c r="CO483" s="212"/>
      <c r="CP483" s="386">
        <f>+IF(BD_MO[[#This Row],[FECHA]]&lt;&gt;"",BD_MO[[#This Row],[PUNTAL 4"]]+BD_MO[[#This Row],[PUNTAL 5"]]+BD_MO[[#This Row],[PUNTAL 6"]]+BD_MO[[#This Row],[PUNTAL 7"]]+BD_MO[[#This Row],[PUNTAL 8"]],"")</f>
        <v>2</v>
      </c>
      <c r="CQ483" s="212"/>
      <c r="CR483" s="212">
        <v>3</v>
      </c>
      <c r="CS483" s="212"/>
      <c r="CT483" s="212"/>
      <c r="CU483" s="212"/>
      <c r="CV483" s="212"/>
      <c r="CW483" s="212"/>
      <c r="CX483" s="212"/>
      <c r="CY483" s="386"/>
      <c r="CZ483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381.43</v>
      </c>
      <c r="DA483" s="386">
        <f>+IF(BD_MO[[#This Row],[FECHA]]&lt;&gt;"",BD_MO[[#This Row],[DURMIENTE2]]*6.561+BD_MO[[#This Row],[LISTONES]]*4.921+BD_MO[[#This Row],[TABLA 1"x8"x3m]]*6.561+BD_MO[[#This Row],[TABLA 2"x8"x3m]]*13.122,"")</f>
        <v>0</v>
      </c>
      <c r="DB483" s="386">
        <f>+IF(BD_MO[[#This Row],[FECHA]]&lt;&gt;"",BD_MO[[#This Row],[PIE2 MADERA ASERRADA]]*1.95,"")</f>
        <v>0</v>
      </c>
      <c r="DC483" s="386">
        <f>+IF(BD_MO[[#This Row],[FECHA]]&lt;&gt;"",BD_MO[[#This Row],[KG. MADERA REDONDA]]+BD_MO[[#This Row],[KG MADERA ASERRADA]],"")</f>
        <v>381.43</v>
      </c>
      <c r="DD483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174.49999999999997</v>
      </c>
      <c r="DE483" s="212"/>
      <c r="DF483" s="212"/>
      <c r="DG483" s="212"/>
      <c r="DH483" s="212"/>
      <c r="DI483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83" s="228"/>
      <c r="DK483" s="228"/>
      <c r="DL483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83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83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83" s="389"/>
      <c r="DP483" s="228" t="str">
        <f>+IF(BD_MO[[#This Row],[M o D]]&lt;&gt;"",IF(BD_MO[[#This Row],[M o D]]="M",BD_MO[[#This Row],[ROTURA TMH]]/2.65,BD_MO[[#This Row],[ROTURA TMH]]/2.4),"")</f>
        <v/>
      </c>
      <c r="DQ483" s="228"/>
      <c r="DR483" s="116" t="str">
        <f>IF(BD_MO[[#This Row],[TIPO AVANCE]]="Avance",((BD_MO[[#This Row],[AVANCE (m)]]/BD_MO[[#This Row],[AVANCE TEÓRICO]]))," ")</f>
        <v xml:space="preserve"> </v>
      </c>
      <c r="DS483" s="134"/>
      <c r="DT483" s="134"/>
      <c r="DU483" s="134"/>
      <c r="DV483" s="134"/>
      <c r="DW483" s="134"/>
      <c r="DX483" s="135"/>
      <c r="DY483" s="135"/>
      <c r="DZ483" s="135"/>
    </row>
    <row r="484" spans="1:130" s="136" customFormat="1" ht="18" customHeight="1" x14ac:dyDescent="0.25">
      <c r="A484" s="92">
        <v>44678</v>
      </c>
      <c r="B484" s="40" t="s">
        <v>10655</v>
      </c>
      <c r="C484" s="40" t="s">
        <v>10672</v>
      </c>
      <c r="D484" s="94" t="s">
        <v>11872</v>
      </c>
      <c r="E484" s="383" t="str">
        <f>LEFT(BD_MO[[#This Row],[LABOR]],2)</f>
        <v>PQ</v>
      </c>
      <c r="F484" s="212"/>
      <c r="G484" s="212" t="s">
        <v>10656</v>
      </c>
      <c r="H484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484" s="383" t="str">
        <f>IF(BD_MO[FECHA]&lt;&gt;"",VLOOKUP(BD_MO[LABOR],TB_CECO[[LABOR]:[CECO_T]],3,FALSE),"")</f>
        <v>ANDREA</v>
      </c>
      <c r="J484" s="383" t="str">
        <f>IF(BD_MO[FECHA]&lt;&gt;"",VLOOKUP(BD_MO[LABOR],D_CECO!B:H,7,FALSE),"")</f>
        <v>LINEAL</v>
      </c>
      <c r="K484" s="383" t="str">
        <f>IF(BD_MO[FECHA]&lt;&gt;"",VLOOKUP(BD_MO[LABOR],D_CECO!B:H,4,FALSE),"")</f>
        <v>EXPLOTACION</v>
      </c>
      <c r="L484" s="383"/>
      <c r="M484" s="40"/>
      <c r="N484" s="212"/>
      <c r="O484" s="93" t="s">
        <v>12199</v>
      </c>
      <c r="P484" s="93" t="s">
        <v>12220</v>
      </c>
      <c r="Q484" s="93"/>
      <c r="R484" s="384"/>
      <c r="S484" s="385" t="str">
        <f>IFERROR(VLOOKUP(BD_MO[DNI 4],#REF!,2,FALSE)," ")</f>
        <v xml:space="preserve"> </v>
      </c>
      <c r="T484" s="386">
        <f>+IF(BD_MO[[#This Row],[FECHA]]&lt;&gt;"",COUNTA(BD_MO[[#This Row],[DNI]],BD_MO[[#This Row],[DNI 2]],BD_MO[[#This Row],[DNI 3]],BD_MO[[#This Row],[DNI 4]]),"")</f>
        <v>2</v>
      </c>
      <c r="U484" s="386"/>
      <c r="V484" s="386"/>
      <c r="W484" s="386"/>
      <c r="X484" s="386">
        <v>2</v>
      </c>
      <c r="Y484" s="86">
        <f>SUM(BD_MO[[#This Row],[LIMP]:[SERV]])</f>
        <v>2</v>
      </c>
      <c r="Z484" s="212"/>
      <c r="AA484" s="212" t="str">
        <f>+IF(BD_MO[[#This Row],[N° VALE]]&lt;&gt;"",1,"")</f>
        <v/>
      </c>
      <c r="AB484" s="40"/>
      <c r="AC484" s="212"/>
      <c r="AD484" s="212" t="str">
        <f>+IF(BD_MO[[#This Row],[N° VALE]]&lt;&gt;"",BD_MO[[#This Row],[FULMINANTE N° 08]]+BD_MO[CARMEX 7''],"")</f>
        <v/>
      </c>
      <c r="AE484" s="212"/>
      <c r="AF484" s="212" t="str">
        <f>+IF(BD_MO[[#This Row],[N° VALE]]&lt;&gt;"",BD_MO[[#This Row],[N° TALADROS]]+BD_MO[[#This Row],[N° TAL. VACIOS]],"")</f>
        <v/>
      </c>
      <c r="AG484" s="387"/>
      <c r="AH484" s="387"/>
      <c r="AI484" s="387"/>
      <c r="AJ484" s="387"/>
      <c r="AK484" s="387"/>
      <c r="AL484" s="387"/>
      <c r="AM484" s="383"/>
      <c r="AN484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84" s="212" t="str">
        <f>+IF(BD_MO[[#This Row],[N° VALE]]&lt;&gt;"",IF(BD_MO[[#This Row],[FULMINANTE N° 08]]&lt;&gt;"",BD_MO[[#This Row],[FULMINANTE N° 08]],IF(BD_MO[[#This Row],[CARMEX 7'']]&lt;&gt;0,0,"")),"")</f>
        <v/>
      </c>
      <c r="AP484" s="386" t="str">
        <f>+IF(BD_MO[[#This Row],[N° VALE]]&lt;&gt;"",BD_MO[[#This Row],[N°  TOTAL TALADROS]]*BD_MO[[#This Row],[BARRA]]*0.95,"")</f>
        <v/>
      </c>
      <c r="AQ484" s="386" t="str">
        <f>+IF(BD_MO[[#This Row],[N° VALE]]&lt;&gt;"",BD_MO[[#This Row],[EMULNOR 1000 (N° CART.)]]*PE_EMUL_1000[PE],"")</f>
        <v/>
      </c>
      <c r="AR484" s="386" t="str">
        <f>+IF(BD_MO[[#This Row],[N° VALE]]&lt;&gt;"",BD_MO[[#This Row],[EMULNOR 3000 (N° CART.)]]*PE_EMUL_3000[PE],"")</f>
        <v/>
      </c>
      <c r="AS484" s="386" t="str">
        <f>+IF(BD_MO[[#This Row],[N° VALE]]&lt;&gt;"",BD_MO[[#This Row],[PULVERULENTA (N° CART.)]]*PE_PULV_65[PE],"")</f>
        <v/>
      </c>
      <c r="AT484" s="386" t="str">
        <f>+IF(BD_MO[[#This Row],[N° DISP]]&lt;&gt;"",BD_MO[[#This Row],[SEMIGELATINA (N° CART.)]]*PE_SEMIGEL_65[PE],"")</f>
        <v/>
      </c>
      <c r="AU484" s="386" t="str">
        <f>+IF(BD_MO[N° VALE]&lt;&gt;"",BD_MO[[#This Row],[KG EXPLO SEMIGEL]]+BD_MO[[#This Row],[KG EXPLO PULVE]]+BD_MO[[#This Row],[KG EXPLO EMULN 3000]]+BD_MO[[#This Row],[KG EXPLO EMULN 1000]],"")</f>
        <v/>
      </c>
      <c r="AV484" s="212"/>
      <c r="AW484" s="212"/>
      <c r="AX484" s="212" t="str">
        <f>+IF(BD_MO[[#This Row],[MINERAL (U-35)]]&lt;&gt;"",BD_MO[[#This Row],[MINERAL (U-35)]]*1.45,"-")</f>
        <v>-</v>
      </c>
      <c r="AY484" s="212" t="str">
        <f>+IF(BD_MO[[#This Row],[DESMONTE (U-35)]]&lt;&gt;"",BD_MO[[#This Row],[DESMONTE (U-35)]]*1.23,"-")</f>
        <v>-</v>
      </c>
      <c r="AZ484" s="212"/>
      <c r="BA484" s="212"/>
      <c r="BB484" s="212"/>
      <c r="BC484" s="212"/>
      <c r="BD484" s="212"/>
      <c r="BE484" s="212"/>
      <c r="BF484" s="212"/>
      <c r="BG484" s="212"/>
      <c r="BH484" s="212"/>
      <c r="BI484" s="212"/>
      <c r="BJ484" s="212"/>
      <c r="BK484" s="212"/>
      <c r="BL484" s="212"/>
      <c r="BM484" s="212"/>
      <c r="BN484" s="383"/>
      <c r="BO484" s="212"/>
      <c r="BP484" s="212"/>
      <c r="BQ484" s="383"/>
      <c r="BR484" s="212"/>
      <c r="BS484" s="383"/>
      <c r="BT484" s="386"/>
      <c r="BU484" s="212"/>
      <c r="BV484" s="212"/>
      <c r="BW484" s="212"/>
      <c r="BX484" s="212"/>
      <c r="BY484" s="212"/>
      <c r="BZ484" s="212"/>
      <c r="CA484" s="212"/>
      <c r="CB484" s="212"/>
      <c r="CC484" s="212"/>
      <c r="CD484" s="212"/>
      <c r="CE484" s="212"/>
      <c r="CF484" s="212"/>
      <c r="CG484" s="212"/>
      <c r="CH484" s="212"/>
      <c r="CI484" s="212"/>
      <c r="CJ484" s="212"/>
      <c r="CK484" s="212"/>
      <c r="CL484" s="212"/>
      <c r="CM484" s="212"/>
      <c r="CN484" s="212"/>
      <c r="CO484" s="212"/>
      <c r="CP484" s="386">
        <f>+IF(BD_MO[[#This Row],[FECHA]]&lt;&gt;"",BD_MO[[#This Row],[PUNTAL 4"]]+BD_MO[[#This Row],[PUNTAL 5"]]+BD_MO[[#This Row],[PUNTAL 6"]]+BD_MO[[#This Row],[PUNTAL 7"]]+BD_MO[[#This Row],[PUNTAL 8"]],"")</f>
        <v>0</v>
      </c>
      <c r="CQ484" s="212"/>
      <c r="CR484" s="212"/>
      <c r="CS484" s="212"/>
      <c r="CT484" s="212"/>
      <c r="CU484" s="212"/>
      <c r="CV484" s="212"/>
      <c r="CW484" s="212"/>
      <c r="CX484" s="212"/>
      <c r="CY484" s="386"/>
      <c r="CZ484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84" s="386">
        <f>+IF(BD_MO[[#This Row],[FECHA]]&lt;&gt;"",BD_MO[[#This Row],[DURMIENTE2]]*6.561+BD_MO[[#This Row],[LISTONES]]*4.921+BD_MO[[#This Row],[TABLA 1"x8"x3m]]*6.561+BD_MO[[#This Row],[TABLA 2"x8"x3m]]*13.122,"")</f>
        <v>0</v>
      </c>
      <c r="DB484" s="386">
        <f>+IF(BD_MO[[#This Row],[FECHA]]&lt;&gt;"",BD_MO[[#This Row],[PIE2 MADERA ASERRADA]]*1.95,"")</f>
        <v>0</v>
      </c>
      <c r="DC484" s="386">
        <f>+IF(BD_MO[[#This Row],[FECHA]]&lt;&gt;"",BD_MO[[#This Row],[KG. MADERA REDONDA]]+BD_MO[[#This Row],[KG MADERA ASERRADA]],"")</f>
        <v>0</v>
      </c>
      <c r="DD484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84" s="212"/>
      <c r="DF484" s="212"/>
      <c r="DG484" s="212"/>
      <c r="DH484" s="212"/>
      <c r="DI484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84" s="228"/>
      <c r="DK484" s="228"/>
      <c r="DL484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84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84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84" s="389"/>
      <c r="DP484" s="228" t="str">
        <f>+IF(BD_MO[[#This Row],[M o D]]&lt;&gt;"",IF(BD_MO[[#This Row],[M o D]]="M",BD_MO[[#This Row],[ROTURA TMH]]/2.65,BD_MO[[#This Row],[ROTURA TMH]]/2.4),"")</f>
        <v/>
      </c>
      <c r="DQ484" s="228"/>
      <c r="DR484" s="116" t="str">
        <f>IF(BD_MO[[#This Row],[TIPO AVANCE]]="Avance",((BD_MO[[#This Row],[AVANCE (m)]]/BD_MO[[#This Row],[AVANCE TEÓRICO]]))," ")</f>
        <v xml:space="preserve"> </v>
      </c>
      <c r="DS484" s="134"/>
      <c r="DT484" s="134"/>
      <c r="DU484" s="134"/>
      <c r="DV484" s="134"/>
      <c r="DW484" s="134"/>
      <c r="DX484" s="135"/>
      <c r="DY484" s="135"/>
      <c r="DZ484" s="135"/>
    </row>
    <row r="485" spans="1:130" s="136" customFormat="1" ht="18" customHeight="1" x14ac:dyDescent="0.25">
      <c r="A485" s="92">
        <v>44678</v>
      </c>
      <c r="B485" s="40" t="s">
        <v>10655</v>
      </c>
      <c r="C485" s="40" t="s">
        <v>10672</v>
      </c>
      <c r="D485" s="94" t="s">
        <v>10952</v>
      </c>
      <c r="E485" s="383" t="str">
        <f>LEFT(BD_MO[[#This Row],[LABOR]],2)</f>
        <v>In</v>
      </c>
      <c r="F485" s="212"/>
      <c r="G485" s="212" t="s">
        <v>10669</v>
      </c>
      <c r="H485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85" s="383" t="str">
        <f>IF(BD_MO[FECHA]&lt;&gt;"",VLOOKUP(BD_MO[LABOR],TB_CECO[[LABOR]:[CECO_T]],3,FALSE),"")</f>
        <v>VANESSA</v>
      </c>
      <c r="J485" s="383" t="str">
        <f>IF(BD_MO[FECHA]&lt;&gt;"",VLOOKUP(BD_MO[LABOR],D_CECO!B:H,7,FALSE),"")</f>
        <v>LINEAL</v>
      </c>
      <c r="K485" s="383" t="str">
        <f>IF(BD_MO[FECHA]&lt;&gt;"",VLOOKUP(BD_MO[LABOR],D_CECO!B:H,4,FALSE),"")</f>
        <v>EXPLORACION</v>
      </c>
      <c r="L485" s="383"/>
      <c r="M485" s="40"/>
      <c r="N485" s="212"/>
      <c r="O485" s="93" t="s">
        <v>12198</v>
      </c>
      <c r="P485" s="93" t="s">
        <v>12234</v>
      </c>
      <c r="Q485" s="93"/>
      <c r="R485" s="384"/>
      <c r="S485" s="385" t="str">
        <f>IFERROR(VLOOKUP(BD_MO[DNI 4],#REF!,2,FALSE)," ")</f>
        <v xml:space="preserve"> </v>
      </c>
      <c r="T485" s="386">
        <f>+IF(BD_MO[[#This Row],[FECHA]]&lt;&gt;"",COUNTA(BD_MO[[#This Row],[DNI]],BD_MO[[#This Row],[DNI 2]],BD_MO[[#This Row],[DNI 3]],BD_MO[[#This Row],[DNI 4]]),"")</f>
        <v>2</v>
      </c>
      <c r="U485" s="386"/>
      <c r="V485" s="386"/>
      <c r="W485" s="386"/>
      <c r="X485" s="386">
        <v>2</v>
      </c>
      <c r="Y485" s="86">
        <f>SUM(BD_MO[[#This Row],[LIMP]:[SERV]])</f>
        <v>2</v>
      </c>
      <c r="Z485" s="212"/>
      <c r="AA485" s="212" t="str">
        <f>+IF(BD_MO[[#This Row],[N° VALE]]&lt;&gt;"",1,"")</f>
        <v/>
      </c>
      <c r="AB485" s="40"/>
      <c r="AC485" s="212"/>
      <c r="AD485" s="212" t="str">
        <f>+IF(BD_MO[[#This Row],[N° VALE]]&lt;&gt;"",BD_MO[[#This Row],[FULMINANTE N° 08]]+BD_MO[CARMEX 7''],"")</f>
        <v/>
      </c>
      <c r="AE485" s="212"/>
      <c r="AF485" s="212" t="str">
        <f>+IF(BD_MO[[#This Row],[N° VALE]]&lt;&gt;"",BD_MO[[#This Row],[N° TALADROS]]+BD_MO[[#This Row],[N° TAL. VACIOS]],"")</f>
        <v/>
      </c>
      <c r="AG485" s="387"/>
      <c r="AH485" s="387"/>
      <c r="AI485" s="387"/>
      <c r="AJ485" s="387"/>
      <c r="AK485" s="387"/>
      <c r="AL485" s="387"/>
      <c r="AM485" s="383"/>
      <c r="AN485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85" s="212" t="str">
        <f>+IF(BD_MO[[#This Row],[N° VALE]]&lt;&gt;"",IF(BD_MO[[#This Row],[FULMINANTE N° 08]]&lt;&gt;"",BD_MO[[#This Row],[FULMINANTE N° 08]],IF(BD_MO[[#This Row],[CARMEX 7'']]&lt;&gt;0,0,"")),"")</f>
        <v/>
      </c>
      <c r="AP485" s="386" t="str">
        <f>+IF(BD_MO[[#This Row],[N° VALE]]&lt;&gt;"",BD_MO[[#This Row],[N°  TOTAL TALADROS]]*BD_MO[[#This Row],[BARRA]]*0.95,"")</f>
        <v/>
      </c>
      <c r="AQ485" s="386" t="str">
        <f>+IF(BD_MO[[#This Row],[N° VALE]]&lt;&gt;"",BD_MO[[#This Row],[EMULNOR 1000 (N° CART.)]]*PE_EMUL_1000[PE],"")</f>
        <v/>
      </c>
      <c r="AR485" s="386" t="str">
        <f>+IF(BD_MO[[#This Row],[N° VALE]]&lt;&gt;"",BD_MO[[#This Row],[EMULNOR 3000 (N° CART.)]]*PE_EMUL_3000[PE],"")</f>
        <v/>
      </c>
      <c r="AS485" s="386" t="str">
        <f>+IF(BD_MO[[#This Row],[N° VALE]]&lt;&gt;"",BD_MO[[#This Row],[PULVERULENTA (N° CART.)]]*PE_PULV_65[PE],"")</f>
        <v/>
      </c>
      <c r="AT485" s="386" t="str">
        <f>+IF(BD_MO[[#This Row],[N° DISP]]&lt;&gt;"",BD_MO[[#This Row],[SEMIGELATINA (N° CART.)]]*PE_SEMIGEL_65[PE],"")</f>
        <v/>
      </c>
      <c r="AU485" s="386" t="str">
        <f>+IF(BD_MO[N° VALE]&lt;&gt;"",BD_MO[[#This Row],[KG EXPLO SEMIGEL]]+BD_MO[[#This Row],[KG EXPLO PULVE]]+BD_MO[[#This Row],[KG EXPLO EMULN 3000]]+BD_MO[[#This Row],[KG EXPLO EMULN 1000]],"")</f>
        <v/>
      </c>
      <c r="AV485" s="212"/>
      <c r="AW485" s="212"/>
      <c r="AX485" s="212" t="str">
        <f>+IF(BD_MO[[#This Row],[MINERAL (U-35)]]&lt;&gt;"",BD_MO[[#This Row],[MINERAL (U-35)]]*1.45,"-")</f>
        <v>-</v>
      </c>
      <c r="AY485" s="212" t="str">
        <f>+IF(BD_MO[[#This Row],[DESMONTE (U-35)]]&lt;&gt;"",BD_MO[[#This Row],[DESMONTE (U-35)]]*1.23,"-")</f>
        <v>-</v>
      </c>
      <c r="AZ485" s="212"/>
      <c r="BA485" s="212"/>
      <c r="BB485" s="212"/>
      <c r="BC485" s="212"/>
      <c r="BD485" s="212"/>
      <c r="BE485" s="212"/>
      <c r="BF485" s="212"/>
      <c r="BG485" s="212"/>
      <c r="BH485" s="212"/>
      <c r="BI485" s="212"/>
      <c r="BJ485" s="212"/>
      <c r="BK485" s="212"/>
      <c r="BL485" s="212"/>
      <c r="BM485" s="212"/>
      <c r="BN485" s="383"/>
      <c r="BO485" s="212"/>
      <c r="BP485" s="212"/>
      <c r="BQ485" s="383"/>
      <c r="BR485" s="212"/>
      <c r="BS485" s="383"/>
      <c r="BT485" s="386"/>
      <c r="BU485" s="212"/>
      <c r="BV485" s="212"/>
      <c r="BW485" s="212"/>
      <c r="BX485" s="212"/>
      <c r="BY485" s="212"/>
      <c r="BZ485" s="212"/>
      <c r="CA485" s="212"/>
      <c r="CB485" s="212"/>
      <c r="CC485" s="212"/>
      <c r="CD485" s="212"/>
      <c r="CE485" s="212"/>
      <c r="CF485" s="212"/>
      <c r="CG485" s="212"/>
      <c r="CH485" s="212"/>
      <c r="CI485" s="212"/>
      <c r="CJ485" s="212"/>
      <c r="CK485" s="212"/>
      <c r="CL485" s="212"/>
      <c r="CM485" s="212"/>
      <c r="CN485" s="212"/>
      <c r="CO485" s="212"/>
      <c r="CP485" s="386">
        <f>+IF(BD_MO[[#This Row],[FECHA]]&lt;&gt;"",BD_MO[[#This Row],[PUNTAL 4"]]+BD_MO[[#This Row],[PUNTAL 5"]]+BD_MO[[#This Row],[PUNTAL 6"]]+BD_MO[[#This Row],[PUNTAL 7"]]+BD_MO[[#This Row],[PUNTAL 8"]],"")</f>
        <v>0</v>
      </c>
      <c r="CQ485" s="212"/>
      <c r="CR485" s="212"/>
      <c r="CS485" s="212"/>
      <c r="CT485" s="212"/>
      <c r="CU485" s="212"/>
      <c r="CV485" s="212"/>
      <c r="CW485" s="212"/>
      <c r="CX485" s="212"/>
      <c r="CY485" s="386"/>
      <c r="CZ485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85" s="386">
        <f>+IF(BD_MO[[#This Row],[FECHA]]&lt;&gt;"",BD_MO[[#This Row],[DURMIENTE2]]*6.561+BD_MO[[#This Row],[LISTONES]]*4.921+BD_MO[[#This Row],[TABLA 1"x8"x3m]]*6.561+BD_MO[[#This Row],[TABLA 2"x8"x3m]]*13.122,"")</f>
        <v>0</v>
      </c>
      <c r="DB485" s="386">
        <f>+IF(BD_MO[[#This Row],[FECHA]]&lt;&gt;"",BD_MO[[#This Row],[PIE2 MADERA ASERRADA]]*1.95,"")</f>
        <v>0</v>
      </c>
      <c r="DC485" s="386">
        <f>+IF(BD_MO[[#This Row],[FECHA]]&lt;&gt;"",BD_MO[[#This Row],[KG. MADERA REDONDA]]+BD_MO[[#This Row],[KG MADERA ASERRADA]],"")</f>
        <v>0</v>
      </c>
      <c r="DD485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85" s="212"/>
      <c r="DF485" s="212"/>
      <c r="DG485" s="212"/>
      <c r="DH485" s="212"/>
      <c r="DI485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85" s="228"/>
      <c r="DK485" s="228"/>
      <c r="DL485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85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85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85" s="389"/>
      <c r="DP485" s="228" t="str">
        <f>+IF(BD_MO[[#This Row],[M o D]]&lt;&gt;"",IF(BD_MO[[#This Row],[M o D]]="M",BD_MO[[#This Row],[ROTURA TMH]]/2.65,BD_MO[[#This Row],[ROTURA TMH]]/2.4),"")</f>
        <v/>
      </c>
      <c r="DQ485" s="228"/>
      <c r="DR485" s="116" t="str">
        <f>IF(BD_MO[[#This Row],[TIPO AVANCE]]="Avance",((BD_MO[[#This Row],[AVANCE (m)]]/BD_MO[[#This Row],[AVANCE TEÓRICO]]))," ")</f>
        <v xml:space="preserve"> </v>
      </c>
      <c r="DS485" s="134"/>
      <c r="DT485" s="134"/>
      <c r="DU485" s="134"/>
      <c r="DV485" s="134"/>
      <c r="DW485" s="134"/>
      <c r="DX485" s="135"/>
      <c r="DY485" s="135"/>
      <c r="DZ485" s="135"/>
    </row>
    <row r="486" spans="1:130" s="136" customFormat="1" ht="18" customHeight="1" x14ac:dyDescent="0.25">
      <c r="A486" s="92">
        <v>44678</v>
      </c>
      <c r="B486" s="40" t="s">
        <v>10655</v>
      </c>
      <c r="C486" s="40" t="s">
        <v>10672</v>
      </c>
      <c r="D486" s="94" t="s">
        <v>10954</v>
      </c>
      <c r="E486" s="383" t="str">
        <f>LEFT(BD_MO[[#This Row],[LABOR]],2)</f>
        <v>MO</v>
      </c>
      <c r="F486" s="212"/>
      <c r="G486" s="212" t="s">
        <v>10669</v>
      </c>
      <c r="H486" s="38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86" s="383" t="str">
        <f>IF(BD_MO[FECHA]&lt;&gt;"",VLOOKUP(BD_MO[LABOR],TB_CECO[[LABOR]:[CECO_T]],3,FALSE),"")</f>
        <v>INCA</v>
      </c>
      <c r="J486" s="383" t="str">
        <f>IF(BD_MO[FECHA]&lt;&gt;"",VLOOKUP(BD_MO[LABOR],D_CECO!B:H,7,FALSE),"")</f>
        <v>SERVICIOS</v>
      </c>
      <c r="K486" s="383" t="str">
        <f>IF(BD_MO[FECHA]&lt;&gt;"",VLOOKUP(BD_MO[LABOR],D_CECO!B:H,4,FALSE),"")</f>
        <v>SERVICIOS</v>
      </c>
      <c r="L486" s="383"/>
      <c r="M486" s="40"/>
      <c r="N486" s="212"/>
      <c r="O486" s="93" t="s">
        <v>12221</v>
      </c>
      <c r="P486" s="93" t="s">
        <v>12209</v>
      </c>
      <c r="Q486" s="93"/>
      <c r="R486" s="384"/>
      <c r="S486" s="385" t="str">
        <f>IFERROR(VLOOKUP(BD_MO[DNI 4],#REF!,2,FALSE)," ")</f>
        <v xml:space="preserve"> </v>
      </c>
      <c r="T486" s="386">
        <f>+IF(BD_MO[[#This Row],[FECHA]]&lt;&gt;"",COUNTA(BD_MO[[#This Row],[DNI]],BD_MO[[#This Row],[DNI 2]],BD_MO[[#This Row],[DNI 3]],BD_MO[[#This Row],[DNI 4]]),"")</f>
        <v>2</v>
      </c>
      <c r="U486" s="386"/>
      <c r="V486" s="386"/>
      <c r="W486" s="386"/>
      <c r="X486" s="386">
        <v>2</v>
      </c>
      <c r="Y486" s="86">
        <f>SUM(BD_MO[[#This Row],[LIMP]:[SERV]])</f>
        <v>2</v>
      </c>
      <c r="Z486" s="212"/>
      <c r="AA486" s="212" t="str">
        <f>+IF(BD_MO[[#This Row],[N° VALE]]&lt;&gt;"",1,"")</f>
        <v/>
      </c>
      <c r="AB486" s="40"/>
      <c r="AC486" s="212"/>
      <c r="AD486" s="212" t="str">
        <f>+IF(BD_MO[[#This Row],[N° VALE]]&lt;&gt;"",BD_MO[[#This Row],[FULMINANTE N° 08]]+BD_MO[CARMEX 7''],"")</f>
        <v/>
      </c>
      <c r="AE486" s="212"/>
      <c r="AF486" s="212" t="str">
        <f>+IF(BD_MO[[#This Row],[N° VALE]]&lt;&gt;"",BD_MO[[#This Row],[N° TALADROS]]+BD_MO[[#This Row],[N° TAL. VACIOS]],"")</f>
        <v/>
      </c>
      <c r="AG486" s="387"/>
      <c r="AH486" s="387"/>
      <c r="AI486" s="387"/>
      <c r="AJ486" s="387"/>
      <c r="AK486" s="387"/>
      <c r="AL486" s="387"/>
      <c r="AM486" s="383"/>
      <c r="AN486" s="21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86" s="212" t="str">
        <f>+IF(BD_MO[[#This Row],[N° VALE]]&lt;&gt;"",IF(BD_MO[[#This Row],[FULMINANTE N° 08]]&lt;&gt;"",BD_MO[[#This Row],[FULMINANTE N° 08]],IF(BD_MO[[#This Row],[CARMEX 7'']]&lt;&gt;0,0,"")),"")</f>
        <v/>
      </c>
      <c r="AP486" s="386" t="str">
        <f>+IF(BD_MO[[#This Row],[N° VALE]]&lt;&gt;"",BD_MO[[#This Row],[N°  TOTAL TALADROS]]*BD_MO[[#This Row],[BARRA]]*0.95,"")</f>
        <v/>
      </c>
      <c r="AQ486" s="386" t="str">
        <f>+IF(BD_MO[[#This Row],[N° VALE]]&lt;&gt;"",BD_MO[[#This Row],[EMULNOR 1000 (N° CART.)]]*PE_EMUL_1000[PE],"")</f>
        <v/>
      </c>
      <c r="AR486" s="386" t="str">
        <f>+IF(BD_MO[[#This Row],[N° VALE]]&lt;&gt;"",BD_MO[[#This Row],[EMULNOR 3000 (N° CART.)]]*PE_EMUL_3000[PE],"")</f>
        <v/>
      </c>
      <c r="AS486" s="386" t="str">
        <f>+IF(BD_MO[[#This Row],[N° VALE]]&lt;&gt;"",BD_MO[[#This Row],[PULVERULENTA (N° CART.)]]*PE_PULV_65[PE],"")</f>
        <v/>
      </c>
      <c r="AT486" s="386" t="str">
        <f>+IF(BD_MO[[#This Row],[N° DISP]]&lt;&gt;"",BD_MO[[#This Row],[SEMIGELATINA (N° CART.)]]*PE_SEMIGEL_65[PE],"")</f>
        <v/>
      </c>
      <c r="AU486" s="386" t="str">
        <f>+IF(BD_MO[N° VALE]&lt;&gt;"",BD_MO[[#This Row],[KG EXPLO SEMIGEL]]+BD_MO[[#This Row],[KG EXPLO PULVE]]+BD_MO[[#This Row],[KG EXPLO EMULN 3000]]+BD_MO[[#This Row],[KG EXPLO EMULN 1000]],"")</f>
        <v/>
      </c>
      <c r="AV486" s="212"/>
      <c r="AW486" s="212"/>
      <c r="AX486" s="212" t="str">
        <f>+IF(BD_MO[[#This Row],[MINERAL (U-35)]]&lt;&gt;"",BD_MO[[#This Row],[MINERAL (U-35)]]*1.45,"-")</f>
        <v>-</v>
      </c>
      <c r="AY486" s="212" t="str">
        <f>+IF(BD_MO[[#This Row],[DESMONTE (U-35)]]&lt;&gt;"",BD_MO[[#This Row],[DESMONTE (U-35)]]*1.23,"-")</f>
        <v>-</v>
      </c>
      <c r="AZ486" s="212"/>
      <c r="BA486" s="212"/>
      <c r="BB486" s="212"/>
      <c r="BC486" s="212"/>
      <c r="BD486" s="212"/>
      <c r="BE486" s="212"/>
      <c r="BF486" s="212"/>
      <c r="BG486" s="212"/>
      <c r="BH486" s="212"/>
      <c r="BI486" s="212"/>
      <c r="BJ486" s="212"/>
      <c r="BK486" s="212"/>
      <c r="BL486" s="212"/>
      <c r="BM486" s="212"/>
      <c r="BN486" s="383"/>
      <c r="BO486" s="212"/>
      <c r="BP486" s="212"/>
      <c r="BQ486" s="383"/>
      <c r="BR486" s="212"/>
      <c r="BS486" s="383"/>
      <c r="BT486" s="386"/>
      <c r="BU486" s="212"/>
      <c r="BV486" s="212"/>
      <c r="BW486" s="212"/>
      <c r="BX486" s="212"/>
      <c r="BY486" s="212"/>
      <c r="BZ486" s="212"/>
      <c r="CA486" s="212"/>
      <c r="CB486" s="212"/>
      <c r="CC486" s="212"/>
      <c r="CD486" s="212"/>
      <c r="CE486" s="212"/>
      <c r="CF486" s="212"/>
      <c r="CG486" s="212"/>
      <c r="CH486" s="212"/>
      <c r="CI486" s="212"/>
      <c r="CJ486" s="212"/>
      <c r="CK486" s="212"/>
      <c r="CL486" s="212"/>
      <c r="CM486" s="212"/>
      <c r="CN486" s="212"/>
      <c r="CO486" s="212"/>
      <c r="CP486" s="386">
        <f>+IF(BD_MO[[#This Row],[FECHA]]&lt;&gt;"",BD_MO[[#This Row],[PUNTAL 4"]]+BD_MO[[#This Row],[PUNTAL 5"]]+BD_MO[[#This Row],[PUNTAL 6"]]+BD_MO[[#This Row],[PUNTAL 7"]]+BD_MO[[#This Row],[PUNTAL 8"]],"")</f>
        <v>0</v>
      </c>
      <c r="CQ486" s="212"/>
      <c r="CR486" s="212"/>
      <c r="CS486" s="212"/>
      <c r="CT486" s="212"/>
      <c r="CU486" s="212"/>
      <c r="CV486" s="212"/>
      <c r="CW486" s="212"/>
      <c r="CX486" s="212"/>
      <c r="CY486" s="386"/>
      <c r="CZ486" s="386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86" s="386">
        <f>+IF(BD_MO[[#This Row],[FECHA]]&lt;&gt;"",BD_MO[[#This Row],[DURMIENTE2]]*6.561+BD_MO[[#This Row],[LISTONES]]*4.921+BD_MO[[#This Row],[TABLA 1"x8"x3m]]*6.561+BD_MO[[#This Row],[TABLA 2"x8"x3m]]*13.122,"")</f>
        <v>0</v>
      </c>
      <c r="DB486" s="386">
        <f>+IF(BD_MO[[#This Row],[FECHA]]&lt;&gt;"",BD_MO[[#This Row],[PIE2 MADERA ASERRADA]]*1.95,"")</f>
        <v>0</v>
      </c>
      <c r="DC486" s="386">
        <f>+IF(BD_MO[[#This Row],[FECHA]]&lt;&gt;"",BD_MO[[#This Row],[KG. MADERA REDONDA]]+BD_MO[[#This Row],[KG MADERA ASERRADA]],"")</f>
        <v>0</v>
      </c>
      <c r="DD486" s="38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86" s="212"/>
      <c r="DF486" s="212"/>
      <c r="DG486" s="212"/>
      <c r="DH486" s="212"/>
      <c r="DI486" s="228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86" s="228"/>
      <c r="DK486" s="228"/>
      <c r="DL486" s="228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86" s="228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86" s="228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86" s="389"/>
      <c r="DP486" s="228" t="str">
        <f>+IF(BD_MO[[#This Row],[M o D]]&lt;&gt;"",IF(BD_MO[[#This Row],[M o D]]="M",BD_MO[[#This Row],[ROTURA TMH]]/2.65,BD_MO[[#This Row],[ROTURA TMH]]/2.4),"")</f>
        <v/>
      </c>
      <c r="DQ486" s="228"/>
      <c r="DR486" s="116" t="str">
        <f>IF(BD_MO[[#This Row],[TIPO AVANCE]]="Avance",((BD_MO[[#This Row],[AVANCE (m)]]/BD_MO[[#This Row],[AVANCE TEÓRICO]]))," ")</f>
        <v xml:space="preserve"> </v>
      </c>
      <c r="DS486" s="134"/>
      <c r="DT486" s="134"/>
      <c r="DU486" s="134"/>
      <c r="DV486" s="134"/>
      <c r="DW486" s="134"/>
      <c r="DX486" s="135"/>
      <c r="DY486" s="135"/>
      <c r="DZ486" s="135"/>
    </row>
    <row r="487" spans="1:130" s="112" customFormat="1" ht="18" customHeight="1" thickBot="1" x14ac:dyDescent="0.3">
      <c r="A487" s="109">
        <v>44678</v>
      </c>
      <c r="B487" s="440" t="s">
        <v>10655</v>
      </c>
      <c r="C487" s="440" t="s">
        <v>10672</v>
      </c>
      <c r="D487" s="390" t="s">
        <v>10717</v>
      </c>
      <c r="E487" s="441" t="str">
        <f>LEFT(BD_MO[[#This Row],[LABOR]],2)</f>
        <v>BO</v>
      </c>
      <c r="F487" s="442"/>
      <c r="G487" s="442" t="s">
        <v>10669</v>
      </c>
      <c r="H487" s="441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87" s="119" t="str">
        <f>IF(BD_MO[FECHA]&lt;&gt;"",VLOOKUP(BD_MO[LABOR],TB_CECO[[LABOR]:[CECO_T]],3,FALSE),"")</f>
        <v>CACHORRO</v>
      </c>
      <c r="J487" s="119" t="str">
        <f>IF(BD_MO[FECHA]&lt;&gt;"",VLOOKUP(BD_MO[LABOR],D_CECO!B:H,7,FALSE),"")</f>
        <v>SERVICIOS</v>
      </c>
      <c r="K487" s="119" t="str">
        <f>IF(BD_MO[FECHA]&lt;&gt;"",VLOOKUP(BD_MO[LABOR],D_CECO!B:H,4,FALSE),"")</f>
        <v>SERVICIOS</v>
      </c>
      <c r="L487" s="441"/>
      <c r="M487" s="440"/>
      <c r="N487" s="442"/>
      <c r="O487" s="248" t="s">
        <v>12196</v>
      </c>
      <c r="P487" s="248"/>
      <c r="Q487" s="248"/>
      <c r="R487" s="443"/>
      <c r="S487" s="444" t="str">
        <f>IFERROR(VLOOKUP(BD_MO[DNI 4],#REF!,2,FALSE)," ")</f>
        <v xml:space="preserve"> </v>
      </c>
      <c r="T487" s="445">
        <f>+IF(BD_MO[[#This Row],[FECHA]]&lt;&gt;"",COUNTA(BD_MO[[#This Row],[DNI]],BD_MO[[#This Row],[DNI 2]],BD_MO[[#This Row],[DNI 3]],BD_MO[[#This Row],[DNI 4]]),"")</f>
        <v>1</v>
      </c>
      <c r="U487" s="445"/>
      <c r="V487" s="445"/>
      <c r="W487" s="445"/>
      <c r="X487" s="445">
        <v>1</v>
      </c>
      <c r="Y487" s="446">
        <f>SUM(BD_MO[[#This Row],[LIMP]:[SERV]])</f>
        <v>1</v>
      </c>
      <c r="Z487" s="442"/>
      <c r="AA487" s="442" t="str">
        <f>+IF(BD_MO[[#This Row],[N° VALE]]&lt;&gt;"",1,"")</f>
        <v/>
      </c>
      <c r="AB487" s="440"/>
      <c r="AC487" s="442"/>
      <c r="AD487" s="442" t="str">
        <f>+IF(BD_MO[[#This Row],[N° VALE]]&lt;&gt;"",BD_MO[[#This Row],[FULMINANTE N° 08]]+BD_MO[CARMEX 7''],"")</f>
        <v/>
      </c>
      <c r="AE487" s="442"/>
      <c r="AF487" s="442" t="str">
        <f>+IF(BD_MO[[#This Row],[N° VALE]]&lt;&gt;"",BD_MO[[#This Row],[N° TALADROS]]+BD_MO[[#This Row],[N° TAL. VACIOS]],"")</f>
        <v/>
      </c>
      <c r="AG487" s="447"/>
      <c r="AH487" s="447"/>
      <c r="AI487" s="447"/>
      <c r="AJ487" s="447"/>
      <c r="AK487" s="447"/>
      <c r="AL487" s="447"/>
      <c r="AM487" s="441"/>
      <c r="AN487" s="44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87" s="442" t="str">
        <f>+IF(BD_MO[[#This Row],[N° VALE]]&lt;&gt;"",IF(BD_MO[[#This Row],[FULMINANTE N° 08]]&lt;&gt;"",BD_MO[[#This Row],[FULMINANTE N° 08]],IF(BD_MO[[#This Row],[CARMEX 7'']]&lt;&gt;0,0,"")),"")</f>
        <v/>
      </c>
      <c r="AP487" s="445" t="str">
        <f>+IF(BD_MO[[#This Row],[N° VALE]]&lt;&gt;"",BD_MO[[#This Row],[N°  TOTAL TALADROS]]*BD_MO[[#This Row],[BARRA]]*0.95,"")</f>
        <v/>
      </c>
      <c r="AQ487" s="445" t="str">
        <f>+IF(BD_MO[[#This Row],[N° VALE]]&lt;&gt;"",BD_MO[[#This Row],[EMULNOR 1000 (N° CART.)]]*PE_EMUL_1000[PE],"")</f>
        <v/>
      </c>
      <c r="AR487" s="445" t="str">
        <f>+IF(BD_MO[[#This Row],[N° VALE]]&lt;&gt;"",BD_MO[[#This Row],[EMULNOR 3000 (N° CART.)]]*PE_EMUL_3000[PE],"")</f>
        <v/>
      </c>
      <c r="AS487" s="445" t="str">
        <f>+IF(BD_MO[[#This Row],[N° VALE]]&lt;&gt;"",BD_MO[[#This Row],[PULVERULENTA (N° CART.)]]*PE_PULV_65[PE],"")</f>
        <v/>
      </c>
      <c r="AT487" s="445" t="str">
        <f>+IF(BD_MO[[#This Row],[N° DISP]]&lt;&gt;"",BD_MO[[#This Row],[SEMIGELATINA (N° CART.)]]*PE_SEMIGEL_65[PE],"")</f>
        <v/>
      </c>
      <c r="AU487" s="445" t="str">
        <f>+IF(BD_MO[N° VALE]&lt;&gt;"",BD_MO[[#This Row],[KG EXPLO SEMIGEL]]+BD_MO[[#This Row],[KG EXPLO PULVE]]+BD_MO[[#This Row],[KG EXPLO EMULN 3000]]+BD_MO[[#This Row],[KG EXPLO EMULN 1000]],"")</f>
        <v/>
      </c>
      <c r="AV487" s="442"/>
      <c r="AW487" s="442"/>
      <c r="AX487" s="442" t="str">
        <f>+IF(BD_MO[[#This Row],[MINERAL (U-35)]]&lt;&gt;"",BD_MO[[#This Row],[MINERAL (U-35)]]*1.45,"-")</f>
        <v>-</v>
      </c>
      <c r="AY487" s="442" t="str">
        <f>+IF(BD_MO[[#This Row],[DESMONTE (U-35)]]&lt;&gt;"",BD_MO[[#This Row],[DESMONTE (U-35)]]*1.23,"-")</f>
        <v>-</v>
      </c>
      <c r="AZ487" s="442"/>
      <c r="BA487" s="442"/>
      <c r="BB487" s="442"/>
      <c r="BC487" s="442"/>
      <c r="BD487" s="442"/>
      <c r="BE487" s="442"/>
      <c r="BF487" s="442"/>
      <c r="BG487" s="442"/>
      <c r="BH487" s="442"/>
      <c r="BI487" s="442"/>
      <c r="BJ487" s="442"/>
      <c r="BK487" s="442"/>
      <c r="BL487" s="442"/>
      <c r="BM487" s="442"/>
      <c r="BN487" s="441"/>
      <c r="BO487" s="442"/>
      <c r="BP487" s="442"/>
      <c r="BQ487" s="441"/>
      <c r="BR487" s="442"/>
      <c r="BS487" s="441"/>
      <c r="BT487" s="445"/>
      <c r="BU487" s="442"/>
      <c r="BV487" s="442"/>
      <c r="BW487" s="442"/>
      <c r="BX487" s="442"/>
      <c r="BY487" s="442"/>
      <c r="BZ487" s="442"/>
      <c r="CA487" s="442"/>
      <c r="CB487" s="442"/>
      <c r="CC487" s="442"/>
      <c r="CD487" s="442"/>
      <c r="CE487" s="442"/>
      <c r="CF487" s="442"/>
      <c r="CG487" s="442"/>
      <c r="CH487" s="442"/>
      <c r="CI487" s="442"/>
      <c r="CJ487" s="442"/>
      <c r="CK487" s="442"/>
      <c r="CL487" s="442"/>
      <c r="CM487" s="442"/>
      <c r="CN487" s="442"/>
      <c r="CO487" s="442"/>
      <c r="CP487" s="445">
        <f>+IF(BD_MO[[#This Row],[FECHA]]&lt;&gt;"",BD_MO[[#This Row],[PUNTAL 4"]]+BD_MO[[#This Row],[PUNTAL 5"]]+BD_MO[[#This Row],[PUNTAL 6"]]+BD_MO[[#This Row],[PUNTAL 7"]]+BD_MO[[#This Row],[PUNTAL 8"]],"")</f>
        <v>0</v>
      </c>
      <c r="CQ487" s="442"/>
      <c r="CR487" s="442"/>
      <c r="CS487" s="442"/>
      <c r="CT487" s="442"/>
      <c r="CU487" s="442"/>
      <c r="CV487" s="442"/>
      <c r="CW487" s="442"/>
      <c r="CX487" s="442"/>
      <c r="CY487" s="445"/>
      <c r="CZ487" s="445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87" s="445">
        <f>+IF(BD_MO[[#This Row],[FECHA]]&lt;&gt;"",BD_MO[[#This Row],[DURMIENTE2]]*6.561+BD_MO[[#This Row],[LISTONES]]*4.921+BD_MO[[#This Row],[TABLA 1"x8"x3m]]*6.561+BD_MO[[#This Row],[TABLA 2"x8"x3m]]*13.122,"")</f>
        <v>0</v>
      </c>
      <c r="DB487" s="445">
        <f>+IF(BD_MO[[#This Row],[FECHA]]&lt;&gt;"",BD_MO[[#This Row],[PIE2 MADERA ASERRADA]]*1.95,"")</f>
        <v>0</v>
      </c>
      <c r="DC487" s="445">
        <f>+IF(BD_MO[[#This Row],[FECHA]]&lt;&gt;"",BD_MO[[#This Row],[KG. MADERA REDONDA]]+BD_MO[[#This Row],[KG MADERA ASERRADA]],"")</f>
        <v>0</v>
      </c>
      <c r="DD487" s="448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87" s="442"/>
      <c r="DF487" s="442"/>
      <c r="DG487" s="442"/>
      <c r="DH487" s="442"/>
      <c r="DI487" s="449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87" s="449"/>
      <c r="DK487" s="449"/>
      <c r="DL487" s="449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87" s="449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87" s="449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87" s="450"/>
      <c r="DP487" s="449" t="str">
        <f>+IF(BD_MO[[#This Row],[M o D]]&lt;&gt;"",IF(BD_MO[[#This Row],[M o D]]="M",BD_MO[[#This Row],[ROTURA TMH]]/2.65,BD_MO[[#This Row],[ROTURA TMH]]/2.4),"")</f>
        <v/>
      </c>
      <c r="DQ487" s="449"/>
      <c r="DR487" s="484" t="str">
        <f>IF(BD_MO[[#This Row],[TIPO AVANCE]]="Avance",((BD_MO[[#This Row],[AVANCE (m)]]/BD_MO[[#This Row],[AVANCE TEÓRICO]]))," ")</f>
        <v xml:space="preserve"> </v>
      </c>
      <c r="DS487" s="110"/>
      <c r="DT487" s="110"/>
      <c r="DU487" s="110"/>
      <c r="DV487" s="110"/>
      <c r="DW487" s="110"/>
      <c r="DX487" s="111"/>
      <c r="DY487" s="111"/>
      <c r="DZ487" s="111"/>
    </row>
    <row r="488" spans="1:130" s="136" customFormat="1" ht="18" customHeight="1" x14ac:dyDescent="0.25">
      <c r="A488" s="92">
        <v>44679</v>
      </c>
      <c r="B488" s="40" t="s">
        <v>10647</v>
      </c>
      <c r="C488" s="40" t="s">
        <v>10668</v>
      </c>
      <c r="D488" s="94" t="s">
        <v>11827</v>
      </c>
      <c r="E488" s="439" t="str">
        <f>LEFT(BD_MO[[#This Row],[LABOR]],2)</f>
        <v>Tj</v>
      </c>
      <c r="F488" s="212" t="s">
        <v>10950</v>
      </c>
      <c r="G488" s="212" t="s">
        <v>10648</v>
      </c>
      <c r="H488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88" s="383" t="str">
        <f>IF(BD_MO[FECHA]&lt;&gt;"",VLOOKUP(BD_MO[LABOR],TB_CECO[[LABOR]:[CECO_T]],3,FALSE),"")</f>
        <v>VANESSA</v>
      </c>
      <c r="J488" s="383" t="str">
        <f>IF(BD_MO[FECHA]&lt;&gt;"",VLOOKUP(BD_MO[LABOR],D_CECO!B:H,7,FALSE),"")</f>
        <v>TAJO</v>
      </c>
      <c r="K488" s="383" t="str">
        <f>IF(BD_MO[FECHA]&lt;&gt;"",VLOOKUP(BD_MO[LABOR],D_CECO!B:H,4,FALSE),"")</f>
        <v>EXPLOTACION</v>
      </c>
      <c r="L488" s="383"/>
      <c r="M488" s="40" t="s">
        <v>10654</v>
      </c>
      <c r="N488" s="212"/>
      <c r="O488" s="93" t="s">
        <v>12095</v>
      </c>
      <c r="P488" s="93" t="s">
        <v>12088</v>
      </c>
      <c r="Q488" s="93"/>
      <c r="R488" s="384"/>
      <c r="S488" s="385"/>
      <c r="T488" s="403">
        <f>+IF(BD_MO[[#This Row],[FECHA]]&lt;&gt;"",COUNTA(BD_MO[[#This Row],[DNI]],BD_MO[[#This Row],[DNI 2]],BD_MO[[#This Row],[DNI 3]],BD_MO[[#This Row],[DNI 4]]),"")</f>
        <v>2</v>
      </c>
      <c r="U488" s="386">
        <v>0.9</v>
      </c>
      <c r="V488" s="386">
        <v>0.3</v>
      </c>
      <c r="W488" s="386">
        <v>0.4</v>
      </c>
      <c r="X488" s="386">
        <v>0.4</v>
      </c>
      <c r="Y488" s="404">
        <f>SUM(BD_MO[[#This Row],[LIMP]:[SERV]])</f>
        <v>2</v>
      </c>
      <c r="Z488" s="212" t="s">
        <v>12452</v>
      </c>
      <c r="AA488" s="399">
        <f>+IF(BD_MO[[#This Row],[N° VALE]]&lt;&gt;"",1,"")</f>
        <v>1</v>
      </c>
      <c r="AB488" s="40" t="s">
        <v>10652</v>
      </c>
      <c r="AC488" s="399">
        <v>4</v>
      </c>
      <c r="AD488" s="399">
        <f>+IF(BD_MO[[#This Row],[N° VALE]]&lt;&gt;"",BD_MO[[#This Row],[FULMINANTE N° 08]]+BD_MO[CARMEX 7''],"")</f>
        <v>26</v>
      </c>
      <c r="AE488" s="399"/>
      <c r="AF488" s="399">
        <f>+IF(BD_MO[[#This Row],[N° VALE]]&lt;&gt;"",BD_MO[[#This Row],[N° TALADROS]]+BD_MO[[#This Row],[N° TAL. VACIOS]],"")</f>
        <v>26</v>
      </c>
      <c r="AG488" s="405">
        <v>52</v>
      </c>
      <c r="AH488" s="405">
        <v>52</v>
      </c>
      <c r="AI488" s="405"/>
      <c r="AJ488" s="405"/>
      <c r="AK488" s="405">
        <v>26</v>
      </c>
      <c r="AL488" s="405">
        <v>5</v>
      </c>
      <c r="AM488" s="398"/>
      <c r="AN488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88" s="399">
        <f>+IF(BD_MO[[#This Row],[N° VALE]]&lt;&gt;"",IF(BD_MO[[#This Row],[FULMINANTE N° 08]]&lt;&gt;"",BD_MO[[#This Row],[FULMINANTE N° 08]],IF(BD_MO[[#This Row],[CARMEX 7'']]&lt;&gt;0,0,"")),"")</f>
        <v>0</v>
      </c>
      <c r="AP488" s="403">
        <f>+IF(BD_MO[[#This Row],[N° VALE]]&lt;&gt;"",BD_MO[[#This Row],[N°  TOTAL TALADROS]]*BD_MO[[#This Row],[BARRA]]*0.95,"")</f>
        <v>98.8</v>
      </c>
      <c r="AQ488" s="403">
        <f>+IF(BD_MO[[#This Row],[N° VALE]]&lt;&gt;"",BD_MO[[#This Row],[EMULNOR 1000 (N° CART.)]]*PE_EMUL_1000[PE],"")</f>
        <v>4.9244000000000003</v>
      </c>
      <c r="AR488" s="403">
        <f>+IF(BD_MO[[#This Row],[N° VALE]]&lt;&gt;"",BD_MO[[#This Row],[EMULNOR 3000 (N° CART.)]]*PE_EMUL_3000[PE],"")</f>
        <v>5.0000000000000027</v>
      </c>
      <c r="AS488" s="403">
        <f>+IF(BD_MO[[#This Row],[N° VALE]]&lt;&gt;"",BD_MO[[#This Row],[PULVERULENTA (N° CART.)]]*PE_PULV_65[PE],"")</f>
        <v>0</v>
      </c>
      <c r="AT488" s="403">
        <f>+IF(BD_MO[[#This Row],[N° DISP]]&lt;&gt;"",BD_MO[[#This Row],[SEMIGELATINA (N° CART.)]]*PE_SEMIGEL_65[PE],"")</f>
        <v>0</v>
      </c>
      <c r="AU488" s="403">
        <f>+IF(BD_MO[N° VALE]&lt;&gt;"",BD_MO[[#This Row],[KG EXPLO SEMIGEL]]+BD_MO[[#This Row],[KG EXPLO PULVE]]+BD_MO[[#This Row],[KG EXPLO EMULN 3000]]+BD_MO[[#This Row],[KG EXPLO EMULN 1000]],"")</f>
        <v>9.9244000000000021</v>
      </c>
      <c r="AV488" s="212">
        <v>10</v>
      </c>
      <c r="AW488" s="212"/>
      <c r="AX488" s="212"/>
      <c r="AY488" s="212"/>
      <c r="AZ488" s="212"/>
      <c r="BA488" s="212"/>
      <c r="BB488" s="212"/>
      <c r="BC488" s="212"/>
      <c r="BD488" s="212"/>
      <c r="BE488" s="212"/>
      <c r="BF488" s="212"/>
      <c r="BG488" s="212"/>
      <c r="BH488" s="212"/>
      <c r="BI488" s="212"/>
      <c r="BJ488" s="212">
        <v>2</v>
      </c>
      <c r="BK488" s="212"/>
      <c r="BL488" s="212"/>
      <c r="BM488" s="212"/>
      <c r="BN488" s="383"/>
      <c r="BO488" s="212"/>
      <c r="BP488" s="212"/>
      <c r="BQ488" s="383"/>
      <c r="BR488" s="212"/>
      <c r="BS488" s="383"/>
      <c r="BT488" s="386"/>
      <c r="BU488" s="212"/>
      <c r="BV488" s="212">
        <v>4</v>
      </c>
      <c r="BW488" s="212"/>
      <c r="BX488" s="212"/>
      <c r="BY488" s="212"/>
      <c r="BZ488" s="212"/>
      <c r="CA488" s="212"/>
      <c r="CB488" s="212"/>
      <c r="CC488" s="212"/>
      <c r="CD488" s="212"/>
      <c r="CE488" s="212"/>
      <c r="CF488" s="212"/>
      <c r="CG488" s="212"/>
      <c r="CH488" s="212"/>
      <c r="CI488" s="212"/>
      <c r="CJ488" s="212"/>
      <c r="CK488" s="212"/>
      <c r="CL488" s="212"/>
      <c r="CM488" s="212"/>
      <c r="CN488" s="212">
        <v>2</v>
      </c>
      <c r="CO488" s="212"/>
      <c r="CP488" s="432">
        <f>+IF(BD_MO[[#This Row],[FECHA]]&lt;&gt;"",BD_MO[[#This Row],[PUNTAL 4"]]+BD_MO[[#This Row],[PUNTAL 5"]]+BD_MO[[#This Row],[PUNTAL 6"]]+BD_MO[[#This Row],[PUNTAL 7"]]+BD_MO[[#This Row],[PUNTAL 8"]],"")</f>
        <v>2</v>
      </c>
      <c r="CQ488" s="212"/>
      <c r="CR488" s="212"/>
      <c r="CS488" s="212"/>
      <c r="CT488" s="212"/>
      <c r="CU488" s="212"/>
      <c r="CV488" s="212"/>
      <c r="CW488" s="212"/>
      <c r="CX488" s="212"/>
      <c r="CY488" s="386"/>
      <c r="CZ488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122.158</v>
      </c>
      <c r="DA488" s="403">
        <f>+IF(BD_MO[[#This Row],[FECHA]]&lt;&gt;"",BD_MO[[#This Row],[DURMIENTE2]]*6.561+BD_MO[[#This Row],[LISTONES]]*4.921+BD_MO[[#This Row],[TABLA 1"x8"x3m]]*6.561+BD_MO[[#This Row],[TABLA 2"x8"x3m]]*13.122,"")</f>
        <v>0</v>
      </c>
      <c r="DB488" s="403">
        <f>+IF(BD_MO[[#This Row],[FECHA]]&lt;&gt;"",BD_MO[[#This Row],[PIE2 MADERA ASERRADA]]*1.95,"")</f>
        <v>0</v>
      </c>
      <c r="DC488" s="403">
        <f>+IF(BD_MO[[#This Row],[FECHA]]&lt;&gt;"",BD_MO[[#This Row],[KG. MADERA REDONDA]]+BD_MO[[#This Row],[KG MADERA ASERRADA]],"")</f>
        <v>122.158</v>
      </c>
      <c r="DD488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35.6</v>
      </c>
      <c r="DE488" s="212"/>
      <c r="DF488" s="212"/>
      <c r="DG488" s="212"/>
      <c r="DH488" s="212"/>
      <c r="DI488" s="228"/>
      <c r="DJ488" s="228"/>
      <c r="DK488" s="228"/>
      <c r="DL488" s="228"/>
      <c r="DM488" s="228"/>
      <c r="DN488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88" s="389">
        <v>23.511800000000001</v>
      </c>
      <c r="DP488" s="228">
        <f>+IF(BD_MO[[#This Row],[M o D]]&lt;&gt;"",IF(BD_MO[[#This Row],[M o D]]="M",BD_MO[[#This Row],[ROTURA TMH]]/2.65,BD_MO[[#This Row],[ROTURA TMH]]/2.4),"")</f>
        <v>8.8723773584905672</v>
      </c>
      <c r="DQ488" s="228"/>
      <c r="DR488" s="116" t="str">
        <f>IF(BD_MO[[#This Row],[TIPO AVANCE]]="Avance",((BD_MO[[#This Row],[AVANCE (m)]]/BD_MO[[#This Row],[AVANCE TEÓRICO]]))," ")</f>
        <v xml:space="preserve"> </v>
      </c>
      <c r="DS488" s="134"/>
      <c r="DT488" s="134"/>
      <c r="DU488" s="134"/>
      <c r="DV488" s="134"/>
      <c r="DW488" s="134"/>
      <c r="DX488" s="135"/>
      <c r="DY488" s="135"/>
      <c r="DZ488" s="135"/>
    </row>
    <row r="489" spans="1:130" s="136" customFormat="1" ht="18" customHeight="1" x14ac:dyDescent="0.25">
      <c r="A489" s="395">
        <v>44679</v>
      </c>
      <c r="B489" s="40" t="s">
        <v>10647</v>
      </c>
      <c r="C489" s="40" t="s">
        <v>10668</v>
      </c>
      <c r="D489" s="81" t="s">
        <v>12437</v>
      </c>
      <c r="E489" s="438" t="str">
        <f>LEFT(BD_MO[[#This Row],[LABOR]],2)</f>
        <v>Sn</v>
      </c>
      <c r="F489" s="212" t="s">
        <v>10687</v>
      </c>
      <c r="G489" s="463" t="s">
        <v>10648</v>
      </c>
      <c r="H489" s="405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89" s="387" t="str">
        <f>IF(BD_MO[FECHA]&lt;&gt;"",VLOOKUP(BD_MO[LABOR],TB_CECO[[LABOR]:[CECO_T]],3,FALSE),"")</f>
        <v>VANESSA</v>
      </c>
      <c r="J489" s="387" t="str">
        <f>IF(BD_MO[FECHA]&lt;&gt;"",VLOOKUP(BD_MO[LABOR],D_CECO!B:H,7,FALSE),"")</f>
        <v>LINEAL</v>
      </c>
      <c r="K489" s="387" t="str">
        <f>IF(BD_MO[FECHA]&lt;&gt;"",VLOOKUP(BD_MO[LABOR],D_CECO!B:H,4,FALSE),"")</f>
        <v>EXPLORACION</v>
      </c>
      <c r="L489" s="398"/>
      <c r="M489" s="40" t="s">
        <v>10679</v>
      </c>
      <c r="N489" s="399"/>
      <c r="O489" s="93" t="s">
        <v>12091</v>
      </c>
      <c r="P489" s="93" t="s">
        <v>12159</v>
      </c>
      <c r="Q489" s="93" t="s">
        <v>12361</v>
      </c>
      <c r="R489" s="401"/>
      <c r="S489" s="402"/>
      <c r="T489" s="403">
        <f>+IF(BD_MO[[#This Row],[FECHA]]&lt;&gt;"",COUNTA(BD_MO[[#This Row],[DNI]],BD_MO[[#This Row],[DNI 2]],BD_MO[[#This Row],[DNI 3]],BD_MO[[#This Row],[DNI 4]]),"")</f>
        <v>3</v>
      </c>
      <c r="U489" s="403">
        <v>1.4</v>
      </c>
      <c r="V489" s="403">
        <v>0.9</v>
      </c>
      <c r="W489" s="403"/>
      <c r="X489" s="403">
        <v>0.7</v>
      </c>
      <c r="Y489" s="404">
        <f>SUM(BD_MO[[#This Row],[LIMP]:[SERV]])</f>
        <v>3</v>
      </c>
      <c r="Z489" s="212" t="s">
        <v>12453</v>
      </c>
      <c r="AA489" s="399">
        <f>+IF(BD_MO[[#This Row],[N° VALE]]&lt;&gt;"",1,"")</f>
        <v>1</v>
      </c>
      <c r="AB489" s="40" t="s">
        <v>10709</v>
      </c>
      <c r="AC489" s="399">
        <v>4</v>
      </c>
      <c r="AD489" s="399">
        <f>+IF(BD_MO[[#This Row],[N° VALE]]&lt;&gt;"",BD_MO[[#This Row],[FULMINANTE N° 08]]+BD_MO[CARMEX 7''],"")</f>
        <v>18</v>
      </c>
      <c r="AE489" s="399"/>
      <c r="AF489" s="399">
        <f>+IF(BD_MO[[#This Row],[N° VALE]]&lt;&gt;"",BD_MO[[#This Row],[N° TALADROS]]+BD_MO[[#This Row],[N° TAL. VACIOS]],"")</f>
        <v>18</v>
      </c>
      <c r="AG489" s="405">
        <v>24</v>
      </c>
      <c r="AH489" s="405">
        <v>18</v>
      </c>
      <c r="AI489" s="405"/>
      <c r="AJ489" s="405"/>
      <c r="AK489" s="405">
        <v>18</v>
      </c>
      <c r="AL489" s="405">
        <v>4</v>
      </c>
      <c r="AM489" s="398"/>
      <c r="AN489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89" s="399">
        <f>+IF(BD_MO[[#This Row],[N° VALE]]&lt;&gt;"",IF(BD_MO[[#This Row],[FULMINANTE N° 08]]&lt;&gt;"",BD_MO[[#This Row],[FULMINANTE N° 08]],IF(BD_MO[[#This Row],[CARMEX 7'']]&lt;&gt;0,0,"")),"")</f>
        <v>0</v>
      </c>
      <c r="AP489" s="403">
        <f>+IF(BD_MO[[#This Row],[N° VALE]]&lt;&gt;"",BD_MO[[#This Row],[N°  TOTAL TALADROS]]*BD_MO[[#This Row],[BARRA]]*0.95,"")</f>
        <v>68.399999999999991</v>
      </c>
      <c r="AQ489" s="403">
        <f>+IF(BD_MO[[#This Row],[N° VALE]]&lt;&gt;"",BD_MO[[#This Row],[EMULNOR 1000 (N° CART.)]]*PE_EMUL_1000[PE],"")</f>
        <v>1.7046000000000001</v>
      </c>
      <c r="AR489" s="403">
        <f>+IF(BD_MO[[#This Row],[N° VALE]]&lt;&gt;"",BD_MO[[#This Row],[EMULNOR 3000 (N° CART.)]]*PE_EMUL_3000[PE],"")</f>
        <v>2.3076923076923088</v>
      </c>
      <c r="AS489" s="403">
        <f>+IF(BD_MO[[#This Row],[N° VALE]]&lt;&gt;"",BD_MO[[#This Row],[PULVERULENTA (N° CART.)]]*PE_PULV_65[PE],"")</f>
        <v>0</v>
      </c>
      <c r="AT489" s="403">
        <f>+IF(BD_MO[[#This Row],[N° DISP]]&lt;&gt;"",BD_MO[[#This Row],[SEMIGELATINA (N° CART.)]]*PE_SEMIGEL_65[PE],"")</f>
        <v>0</v>
      </c>
      <c r="AU489" s="403">
        <f>+IF(BD_MO[N° VALE]&lt;&gt;"",BD_MO[[#This Row],[KG EXPLO SEMIGEL]]+BD_MO[[#This Row],[KG EXPLO PULVE]]+BD_MO[[#This Row],[KG EXPLO EMULN 3000]]+BD_MO[[#This Row],[KG EXPLO EMULN 1000]],"")</f>
        <v>4.0122923076923094</v>
      </c>
      <c r="AV489" s="399">
        <v>5</v>
      </c>
      <c r="AW489" s="399"/>
      <c r="AX489" s="399"/>
      <c r="AY489" s="399"/>
      <c r="AZ489" s="399"/>
      <c r="BA489" s="399"/>
      <c r="BB489" s="399"/>
      <c r="BC489" s="399"/>
      <c r="BD489" s="399"/>
      <c r="BE489" s="399"/>
      <c r="BF489" s="399"/>
      <c r="BG489" s="399"/>
      <c r="BH489" s="399"/>
      <c r="BI489" s="399"/>
      <c r="BJ489" s="399"/>
      <c r="BK489" s="399"/>
      <c r="BL489" s="399"/>
      <c r="BM489" s="399"/>
      <c r="BN489" s="398"/>
      <c r="BO489" s="399"/>
      <c r="BP489" s="399"/>
      <c r="BQ489" s="398"/>
      <c r="BR489" s="399"/>
      <c r="BS489" s="398"/>
      <c r="BT489" s="403"/>
      <c r="BU489" s="399"/>
      <c r="BV489" s="399"/>
      <c r="BW489" s="399"/>
      <c r="BX489" s="399"/>
      <c r="BY489" s="399"/>
      <c r="BZ489" s="399"/>
      <c r="CA489" s="399"/>
      <c r="CB489" s="399"/>
      <c r="CC489" s="399"/>
      <c r="CD489" s="399"/>
      <c r="CE489" s="399"/>
      <c r="CF489" s="399"/>
      <c r="CG489" s="399"/>
      <c r="CH489" s="399"/>
      <c r="CI489" s="399"/>
      <c r="CJ489" s="399"/>
      <c r="CK489" s="399"/>
      <c r="CL489" s="399"/>
      <c r="CM489" s="399"/>
      <c r="CN489" s="399"/>
      <c r="CO489" s="399"/>
      <c r="CP489" s="432">
        <f>+IF(BD_MO[[#This Row],[FECHA]]&lt;&gt;"",BD_MO[[#This Row],[PUNTAL 4"]]+BD_MO[[#This Row],[PUNTAL 5"]]+BD_MO[[#This Row],[PUNTAL 6"]]+BD_MO[[#This Row],[PUNTAL 7"]]+BD_MO[[#This Row],[PUNTAL 8"]],"")</f>
        <v>0</v>
      </c>
      <c r="CQ489" s="399"/>
      <c r="CR489" s="399"/>
      <c r="CS489" s="399"/>
      <c r="CT489" s="399"/>
      <c r="CU489" s="399"/>
      <c r="CV489" s="399"/>
      <c r="CW489" s="399"/>
      <c r="CX489" s="399"/>
      <c r="CY489" s="403"/>
      <c r="CZ489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89" s="403">
        <f>+IF(BD_MO[[#This Row],[FECHA]]&lt;&gt;"",BD_MO[[#This Row],[DURMIENTE2]]*6.561+BD_MO[[#This Row],[LISTONES]]*4.921+BD_MO[[#This Row],[TABLA 1"x8"x3m]]*6.561+BD_MO[[#This Row],[TABLA 2"x8"x3m]]*13.122,"")</f>
        <v>0</v>
      </c>
      <c r="DB489" s="403">
        <f>+IF(BD_MO[[#This Row],[FECHA]]&lt;&gt;"",BD_MO[[#This Row],[PIE2 MADERA ASERRADA]]*1.95,"")</f>
        <v>0</v>
      </c>
      <c r="DC489" s="403">
        <f>+IF(BD_MO[[#This Row],[FECHA]]&lt;&gt;"",BD_MO[[#This Row],[KG. MADERA REDONDA]]+BD_MO[[#This Row],[KG MADERA ASERRADA]],"")</f>
        <v>0</v>
      </c>
      <c r="DD489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89" s="399"/>
      <c r="DF489" s="399"/>
      <c r="DG489" s="399"/>
      <c r="DH489" s="399"/>
      <c r="DI489" s="407"/>
      <c r="DJ489" s="407"/>
      <c r="DK489" s="407"/>
      <c r="DL489" s="407"/>
      <c r="DM489" s="407"/>
      <c r="DN489" s="228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89" s="408">
        <v>4.6151999999999997</v>
      </c>
      <c r="DP489" s="228">
        <f>+IF(BD_MO[[#This Row],[M o D]]&lt;&gt;"",IF(BD_MO[[#This Row],[M o D]]="M",BD_MO[[#This Row],[ROTURA TMH]]/2.65,BD_MO[[#This Row],[ROTURA TMH]]/2.4),"")</f>
        <v>1.923</v>
      </c>
      <c r="DQ489" s="407"/>
      <c r="DR489" s="116" t="str">
        <f>IF(BD_MO[[#This Row],[TIPO AVANCE]]="Avance",((BD_MO[[#This Row],[AVANCE (m)]]/BD_MO[[#This Row],[AVANCE TEÓRICO]]))," ")</f>
        <v xml:space="preserve"> </v>
      </c>
      <c r="DS489" s="134"/>
      <c r="DT489" s="134"/>
      <c r="DU489" s="134"/>
      <c r="DV489" s="134"/>
      <c r="DW489" s="134"/>
      <c r="DX489" s="135"/>
      <c r="DY489" s="135"/>
      <c r="DZ489" s="135"/>
    </row>
    <row r="490" spans="1:130" s="136" customFormat="1" ht="18" customHeight="1" x14ac:dyDescent="0.25">
      <c r="A490" s="92">
        <v>44679</v>
      </c>
      <c r="B490" s="40" t="s">
        <v>10647</v>
      </c>
      <c r="C490" s="40" t="s">
        <v>10668</v>
      </c>
      <c r="D490" s="94" t="s">
        <v>12339</v>
      </c>
      <c r="E490" s="405" t="str">
        <f>LEFT(BD_MO[[#This Row],[LABOR]],2)</f>
        <v>Tj</v>
      </c>
      <c r="F490" s="212" t="s">
        <v>10687</v>
      </c>
      <c r="G490" s="212" t="s">
        <v>10648</v>
      </c>
      <c r="H490" s="398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90" s="383" t="str">
        <f>IF(BD_MO[FECHA]&lt;&gt;"",VLOOKUP(BD_MO[LABOR],TB_CECO[[LABOR]:[CECO_T]],3,FALSE),"")</f>
        <v>ESCONDIDA</v>
      </c>
      <c r="J490" s="383" t="str">
        <f>IF(BD_MO[FECHA]&lt;&gt;"",VLOOKUP(BD_MO[LABOR],D_CECO!B:H,7,FALSE),"")</f>
        <v>TAJO</v>
      </c>
      <c r="K490" s="383" t="str">
        <f>IF(BD_MO[FECHA]&lt;&gt;"",VLOOKUP(BD_MO[LABOR],D_CECO!B:H,4,FALSE),"")</f>
        <v>EXPLOTACION</v>
      </c>
      <c r="L490" s="398"/>
      <c r="M490" s="40" t="s">
        <v>10661</v>
      </c>
      <c r="N490" s="399"/>
      <c r="O490" s="93" t="s">
        <v>12101</v>
      </c>
      <c r="P490" s="93" t="s">
        <v>12305</v>
      </c>
      <c r="Q490" s="400"/>
      <c r="R490" s="401"/>
      <c r="S490" s="402" t="str">
        <f>IFERROR(VLOOKUP(BD_MO[DNI 4],#REF!,2,FALSE)," ")</f>
        <v xml:space="preserve"> </v>
      </c>
      <c r="T490" s="403">
        <f>+IF(BD_MO[[#This Row],[FECHA]]&lt;&gt;"",COUNTA(BD_MO[[#This Row],[DNI]],BD_MO[[#This Row],[DNI 2]],BD_MO[[#This Row],[DNI 3]],BD_MO[[#This Row],[DNI 4]]),"")</f>
        <v>2</v>
      </c>
      <c r="U490" s="403">
        <v>0.9</v>
      </c>
      <c r="V490" s="403">
        <v>0.8</v>
      </c>
      <c r="W490" s="403"/>
      <c r="X490" s="403">
        <v>0.3</v>
      </c>
      <c r="Y490" s="404">
        <f>SUM(BD_MO[[#This Row],[LIMP]:[SERV]])</f>
        <v>2</v>
      </c>
      <c r="Z490" s="212" t="s">
        <v>12454</v>
      </c>
      <c r="AA490" s="399">
        <f>+IF(BD_MO[[#This Row],[N° VALE]]&lt;&gt;"",1,"")</f>
        <v>1</v>
      </c>
      <c r="AB490" s="40" t="s">
        <v>10710</v>
      </c>
      <c r="AC490" s="399">
        <v>4</v>
      </c>
      <c r="AD490" s="399">
        <f>+IF(BD_MO[[#This Row],[N° VALE]]&lt;&gt;"",BD_MO[[#This Row],[FULMINANTE N° 08]]+BD_MO[CARMEX 7''],"")</f>
        <v>15</v>
      </c>
      <c r="AE490" s="399">
        <v>3</v>
      </c>
      <c r="AF490" s="399">
        <f>+IF(BD_MO[[#This Row],[N° VALE]]&lt;&gt;"",BD_MO[[#This Row],[N° TALADROS]]+BD_MO[[#This Row],[N° TAL. VACIOS]],"")</f>
        <v>18</v>
      </c>
      <c r="AG490" s="405">
        <v>42</v>
      </c>
      <c r="AH490" s="405">
        <v>33</v>
      </c>
      <c r="AI490" s="405"/>
      <c r="AJ490" s="405"/>
      <c r="AK490" s="405">
        <v>15</v>
      </c>
      <c r="AL490" s="405">
        <v>4</v>
      </c>
      <c r="AM490" s="398"/>
      <c r="AN490" s="399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90" s="399">
        <f>+IF(BD_MO[[#This Row],[N° VALE]]&lt;&gt;"",IF(BD_MO[[#This Row],[FULMINANTE N° 08]]&lt;&gt;"",BD_MO[[#This Row],[FULMINANTE N° 08]],IF(BD_MO[[#This Row],[CARMEX 7'']]&lt;&gt;0,0,"")),"")</f>
        <v>0</v>
      </c>
      <c r="AP490" s="403">
        <f>+IF(BD_MO[[#This Row],[N° VALE]]&lt;&gt;"",BD_MO[[#This Row],[N°  TOTAL TALADROS]]*BD_MO[[#This Row],[BARRA]]*0.95,"")</f>
        <v>68.399999999999991</v>
      </c>
      <c r="AQ490" s="403">
        <f>+IF(BD_MO[[#This Row],[N° VALE]]&lt;&gt;"",BD_MO[[#This Row],[EMULNOR 1000 (N° CART.)]]*PE_EMUL_1000[PE],"")</f>
        <v>3.1251000000000002</v>
      </c>
      <c r="AR490" s="403">
        <f>+IF(BD_MO[[#This Row],[N° VALE]]&lt;&gt;"",BD_MO[[#This Row],[EMULNOR 3000 (N° CART.)]]*PE_EMUL_3000[PE],"")</f>
        <v>4.0384615384615401</v>
      </c>
      <c r="AS490" s="403">
        <f>+IF(BD_MO[[#This Row],[N° VALE]]&lt;&gt;"",BD_MO[[#This Row],[PULVERULENTA (N° CART.)]]*PE_PULV_65[PE],"")</f>
        <v>0</v>
      </c>
      <c r="AT490" s="403">
        <f>+IF(BD_MO[[#This Row],[N° DISP]]&lt;&gt;"",BD_MO[[#This Row],[SEMIGELATINA (N° CART.)]]*PE_SEMIGEL_65[PE],"")</f>
        <v>0</v>
      </c>
      <c r="AU490" s="403">
        <f>+IF(BD_MO[N° VALE]&lt;&gt;"",BD_MO[[#This Row],[KG EXPLO SEMIGEL]]+BD_MO[[#This Row],[KG EXPLO PULVE]]+BD_MO[[#This Row],[KG EXPLO EMULN 3000]]+BD_MO[[#This Row],[KG EXPLO EMULN 1000]],"")</f>
        <v>7.1635615384615399</v>
      </c>
      <c r="AV490" s="399">
        <v>6</v>
      </c>
      <c r="AW490" s="399"/>
      <c r="AX490" s="399">
        <f>+IF(BD_MO[[#This Row],[MINERAL (U-35)]]&lt;&gt;"",BD_MO[[#This Row],[MINERAL (U-35)]]*1.45,"-")</f>
        <v>8.6999999999999993</v>
      </c>
      <c r="AY490" s="399" t="str">
        <f>+IF(BD_MO[[#This Row],[DESMONTE (U-35)]]&lt;&gt;"",BD_MO[[#This Row],[DESMONTE (U-35)]]*1.23,"-")</f>
        <v>-</v>
      </c>
      <c r="AZ490" s="399"/>
      <c r="BA490" s="399"/>
      <c r="BB490" s="399"/>
      <c r="BC490" s="399"/>
      <c r="BD490" s="399"/>
      <c r="BE490" s="399"/>
      <c r="BF490" s="399"/>
      <c r="BG490" s="399"/>
      <c r="BH490" s="399"/>
      <c r="BI490" s="399"/>
      <c r="BJ490" s="399"/>
      <c r="BK490" s="399"/>
      <c r="BL490" s="399"/>
      <c r="BM490" s="399"/>
      <c r="BN490" s="398">
        <v>3</v>
      </c>
      <c r="BO490" s="399"/>
      <c r="BP490" s="399"/>
      <c r="BQ490" s="398"/>
      <c r="BR490" s="399"/>
      <c r="BS490" s="398"/>
      <c r="BT490" s="403"/>
      <c r="BU490" s="399"/>
      <c r="BV490" s="399"/>
      <c r="BW490" s="399"/>
      <c r="BX490" s="399"/>
      <c r="BY490" s="399"/>
      <c r="BZ490" s="399"/>
      <c r="CA490" s="399"/>
      <c r="CB490" s="399"/>
      <c r="CC490" s="399"/>
      <c r="CD490" s="399"/>
      <c r="CE490" s="399"/>
      <c r="CF490" s="399"/>
      <c r="CG490" s="399"/>
      <c r="CH490" s="399"/>
      <c r="CI490" s="399"/>
      <c r="CJ490" s="399"/>
      <c r="CK490" s="399"/>
      <c r="CL490" s="399"/>
      <c r="CM490" s="399"/>
      <c r="CN490" s="399"/>
      <c r="CO490" s="399"/>
      <c r="CP490" s="432">
        <f>+IF(BD_MO[[#This Row],[FECHA]]&lt;&gt;"",BD_MO[[#This Row],[PUNTAL 4"]]+BD_MO[[#This Row],[PUNTAL 5"]]+BD_MO[[#This Row],[PUNTAL 6"]]+BD_MO[[#This Row],[PUNTAL 7"]]+BD_MO[[#This Row],[PUNTAL 8"]],"")</f>
        <v>0</v>
      </c>
      <c r="CQ490" s="399"/>
      <c r="CR490" s="399"/>
      <c r="CS490" s="399"/>
      <c r="CT490" s="399"/>
      <c r="CU490" s="399"/>
      <c r="CV490" s="399"/>
      <c r="CW490" s="399"/>
      <c r="CX490" s="399">
        <v>6</v>
      </c>
      <c r="CY490" s="403"/>
      <c r="CZ490" s="403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90" s="403">
        <f>+IF(BD_MO[[#This Row],[FECHA]]&lt;&gt;"",BD_MO[[#This Row],[DURMIENTE2]]*6.561+BD_MO[[#This Row],[LISTONES]]*4.921+BD_MO[[#This Row],[TABLA 1"x8"x3m]]*6.561+BD_MO[[#This Row],[TABLA 2"x8"x3m]]*13.122,"")</f>
        <v>78.731999999999999</v>
      </c>
      <c r="DB490" s="403">
        <f>+IF(BD_MO[[#This Row],[FECHA]]&lt;&gt;"",BD_MO[[#This Row],[PIE2 MADERA ASERRADA]]*1.95,"")</f>
        <v>153.5274</v>
      </c>
      <c r="DC490" s="403">
        <f>+IF(BD_MO[[#This Row],[FECHA]]&lt;&gt;"",BD_MO[[#This Row],[KG. MADERA REDONDA]]+BD_MO[[#This Row],[KG MADERA ASERRADA]],"")</f>
        <v>153.5274</v>
      </c>
      <c r="DD490" s="406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91.320000000000007</v>
      </c>
      <c r="DE490" s="399"/>
      <c r="DF490" s="399"/>
      <c r="DG490" s="399"/>
      <c r="DH490" s="399"/>
      <c r="DI490" s="407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90" s="407"/>
      <c r="DK490" s="407"/>
      <c r="DL490" s="407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4.2</v>
      </c>
      <c r="DM490" s="407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4.3680000000000003</v>
      </c>
      <c r="DN490" s="407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90" s="408">
        <v>6.1769999999999996</v>
      </c>
      <c r="DP490" s="407">
        <f>+IF(BD_MO[[#This Row],[M o D]]&lt;&gt;"",IF(BD_MO[[#This Row],[M o D]]="M",BD_MO[[#This Row],[ROTURA TMH]]/2.65,BD_MO[[#This Row],[ROTURA TMH]]/2.4),"")</f>
        <v>2.57375</v>
      </c>
      <c r="DQ490" s="407"/>
      <c r="DR490" s="116" t="str">
        <f>IF(BD_MO[[#This Row],[TIPO AVANCE]]="Avance",((BD_MO[[#This Row],[AVANCE (m)]]/BD_MO[[#This Row],[AVANCE TEÓRICO]]))," ")</f>
        <v xml:space="preserve"> </v>
      </c>
      <c r="DS490" s="134"/>
      <c r="DT490" s="134"/>
      <c r="DU490" s="134"/>
      <c r="DV490" s="134"/>
      <c r="DW490" s="134"/>
      <c r="DX490" s="135"/>
      <c r="DY490" s="135"/>
      <c r="DZ490" s="135"/>
    </row>
    <row r="491" spans="1:130" s="136" customFormat="1" ht="18" customHeight="1" x14ac:dyDescent="0.25">
      <c r="A491" s="395">
        <v>44679</v>
      </c>
      <c r="B491" s="425" t="s">
        <v>10647</v>
      </c>
      <c r="C491" s="425" t="s">
        <v>10668</v>
      </c>
      <c r="D491" s="94" t="s">
        <v>11806</v>
      </c>
      <c r="E491" s="427" t="str">
        <f>LEFT(BD_MO[[#This Row],[LABOR]],2)</f>
        <v>CX</v>
      </c>
      <c r="F491" s="428"/>
      <c r="G491" s="428" t="s">
        <v>10662</v>
      </c>
      <c r="H491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491" s="383" t="str">
        <f>IF(BD_MO[FECHA]&lt;&gt;"",VLOOKUP(BD_MO[LABOR],TB_CECO[[LABOR]:[CECO_T]],3,FALSE),"")</f>
        <v>CACHORRO</v>
      </c>
      <c r="J491" s="383" t="str">
        <f>IF(BD_MO[FECHA]&lt;&gt;"",VLOOKUP(BD_MO[LABOR],D_CECO!B:H,7,FALSE),"")</f>
        <v>LINEAL</v>
      </c>
      <c r="K491" s="383" t="str">
        <f>IF(BD_MO[FECHA]&lt;&gt;"",VLOOKUP(BD_MO[LABOR],D_CECO!B:H,4,FALSE),"")</f>
        <v>EXPLORACION</v>
      </c>
      <c r="L491" s="427"/>
      <c r="M491" s="425"/>
      <c r="N491" s="428"/>
      <c r="O491" s="429" t="s">
        <v>12306</v>
      </c>
      <c r="P491" s="429" t="s">
        <v>12093</v>
      </c>
      <c r="Q491" s="429"/>
      <c r="R491" s="430"/>
      <c r="S491" s="431" t="str">
        <f>IFERROR(VLOOKUP(BD_MO[DNI 4],#REF!,2,FALSE)," ")</f>
        <v xml:space="preserve"> </v>
      </c>
      <c r="T491" s="432">
        <f>+IF(BD_MO[[#This Row],[FECHA]]&lt;&gt;"",COUNTA(BD_MO[[#This Row],[DNI]],BD_MO[[#This Row],[DNI 2]],BD_MO[[#This Row],[DNI 3]],BD_MO[[#This Row],[DNI 4]]),"")</f>
        <v>2</v>
      </c>
      <c r="U491" s="432">
        <v>0.8</v>
      </c>
      <c r="V491" s="432"/>
      <c r="W491" s="432">
        <v>0.9</v>
      </c>
      <c r="X491" s="432">
        <v>0.3</v>
      </c>
      <c r="Y491" s="433">
        <f>SUM(BD_MO[[#This Row],[LIMP]:[SERV]])</f>
        <v>2</v>
      </c>
      <c r="Z491" s="428"/>
      <c r="AA491" s="428" t="str">
        <f>+IF(BD_MO[[#This Row],[N° VALE]]&lt;&gt;"",1,"")</f>
        <v/>
      </c>
      <c r="AB491" s="425"/>
      <c r="AC491" s="428"/>
      <c r="AD491" s="428" t="str">
        <f>+IF(BD_MO[[#This Row],[N° VALE]]&lt;&gt;"",BD_MO[[#This Row],[FULMINANTE N° 08]]+BD_MO[CARMEX 7''],"")</f>
        <v/>
      </c>
      <c r="AE491" s="428"/>
      <c r="AF491" s="428" t="str">
        <f>+IF(BD_MO[[#This Row],[N° VALE]]&lt;&gt;"",BD_MO[[#This Row],[N° TALADROS]]+BD_MO[[#This Row],[N° TAL. VACIOS]],"")</f>
        <v/>
      </c>
      <c r="AG491" s="434"/>
      <c r="AH491" s="434"/>
      <c r="AI491" s="434"/>
      <c r="AJ491" s="434"/>
      <c r="AK491" s="434"/>
      <c r="AL491" s="434"/>
      <c r="AM491" s="427"/>
      <c r="AN491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91" s="428" t="str">
        <f>+IF(BD_MO[[#This Row],[N° VALE]]&lt;&gt;"",IF(BD_MO[[#This Row],[FULMINANTE N° 08]]&lt;&gt;"",BD_MO[[#This Row],[FULMINANTE N° 08]],IF(BD_MO[[#This Row],[CARMEX 7'']]&lt;&gt;0,0,"")),"")</f>
        <v/>
      </c>
      <c r="AP491" s="432" t="str">
        <f>+IF(BD_MO[[#This Row],[N° VALE]]&lt;&gt;"",BD_MO[[#This Row],[N°  TOTAL TALADROS]]*BD_MO[[#This Row],[BARRA]]*0.95,"")</f>
        <v/>
      </c>
      <c r="AQ491" s="432" t="str">
        <f>+IF(BD_MO[[#This Row],[N° VALE]]&lt;&gt;"",BD_MO[[#This Row],[EMULNOR 1000 (N° CART.)]]*PE_EMUL_1000[PE],"")</f>
        <v/>
      </c>
      <c r="AR491" s="432" t="str">
        <f>+IF(BD_MO[[#This Row],[N° VALE]]&lt;&gt;"",BD_MO[[#This Row],[EMULNOR 3000 (N° CART.)]]*PE_EMUL_3000[PE],"")</f>
        <v/>
      </c>
      <c r="AS491" s="432" t="str">
        <f>+IF(BD_MO[[#This Row],[N° VALE]]&lt;&gt;"",BD_MO[[#This Row],[PULVERULENTA (N° CART.)]]*PE_PULV_65[PE],"")</f>
        <v/>
      </c>
      <c r="AT491" s="432" t="str">
        <f>+IF(BD_MO[[#This Row],[N° DISP]]&lt;&gt;"",BD_MO[[#This Row],[SEMIGELATINA (N° CART.)]]*PE_SEMIGEL_65[PE],"")</f>
        <v/>
      </c>
      <c r="AU491" s="432" t="str">
        <f>+IF(BD_MO[N° VALE]&lt;&gt;"",BD_MO[[#This Row],[KG EXPLO SEMIGEL]]+BD_MO[[#This Row],[KG EXPLO PULVE]]+BD_MO[[#This Row],[KG EXPLO EMULN 3000]]+BD_MO[[#This Row],[KG EXPLO EMULN 1000]],"")</f>
        <v/>
      </c>
      <c r="AV491" s="428"/>
      <c r="AW491" s="428">
        <v>4</v>
      </c>
      <c r="AX491" s="428" t="str">
        <f>+IF(BD_MO[[#This Row],[MINERAL (U-35)]]&lt;&gt;"",BD_MO[[#This Row],[MINERAL (U-35)]]*1.45,"-")</f>
        <v>-</v>
      </c>
      <c r="AY491" s="428">
        <f>+IF(BD_MO[[#This Row],[DESMONTE (U-35)]]&lt;&gt;"",BD_MO[[#This Row],[DESMONTE (U-35)]]*1.23,"-")</f>
        <v>4.92</v>
      </c>
      <c r="AZ491" s="428">
        <v>1</v>
      </c>
      <c r="BA491" s="428"/>
      <c r="BB491" s="428"/>
      <c r="BC491" s="428"/>
      <c r="BD491" s="428"/>
      <c r="BE491" s="428"/>
      <c r="BF491" s="428"/>
      <c r="BG491" s="428"/>
      <c r="BH491" s="428"/>
      <c r="BI491" s="428"/>
      <c r="BJ491" s="428"/>
      <c r="BK491" s="428"/>
      <c r="BL491" s="428"/>
      <c r="BM491" s="428"/>
      <c r="BN491" s="427"/>
      <c r="BO491" s="428">
        <v>1</v>
      </c>
      <c r="BP491" s="428"/>
      <c r="BQ491" s="427"/>
      <c r="BR491" s="428"/>
      <c r="BS491" s="427"/>
      <c r="BT491" s="432">
        <v>2.52</v>
      </c>
      <c r="BU491" s="428"/>
      <c r="BV491" s="428"/>
      <c r="BW491" s="428"/>
      <c r="BX491" s="428"/>
      <c r="BY491" s="428"/>
      <c r="BZ491" s="428"/>
      <c r="CA491" s="428"/>
      <c r="CB491" s="428"/>
      <c r="CC491" s="428"/>
      <c r="CD491" s="428"/>
      <c r="CE491" s="428"/>
      <c r="CF491" s="428"/>
      <c r="CG491" s="428"/>
      <c r="CH491" s="428"/>
      <c r="CI491" s="428"/>
      <c r="CJ491" s="428"/>
      <c r="CK491" s="428"/>
      <c r="CL491" s="428">
        <v>2</v>
      </c>
      <c r="CM491" s="428">
        <v>2</v>
      </c>
      <c r="CN491" s="428"/>
      <c r="CO491" s="428">
        <v>3</v>
      </c>
      <c r="CP491" s="432">
        <f>+IF(BD_MO[[#This Row],[FECHA]]&lt;&gt;"",BD_MO[[#This Row],[PUNTAL 4"]]+BD_MO[[#This Row],[PUNTAL 5"]]+BD_MO[[#This Row],[PUNTAL 6"]]+BD_MO[[#This Row],[PUNTAL 7"]]+BD_MO[[#This Row],[PUNTAL 8"]],"")</f>
        <v>7</v>
      </c>
      <c r="CQ491" s="428"/>
      <c r="CR491" s="428"/>
      <c r="CS491" s="428">
        <v>6</v>
      </c>
      <c r="CT491" s="428"/>
      <c r="CU491" s="428"/>
      <c r="CV491" s="428"/>
      <c r="CW491" s="428"/>
      <c r="CX491" s="428"/>
      <c r="CY491" s="432"/>
      <c r="CZ491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539.00199999999995</v>
      </c>
      <c r="DA491" s="432">
        <f>+IF(BD_MO[[#This Row],[FECHA]]&lt;&gt;"",BD_MO[[#This Row],[DURMIENTE2]]*6.561+BD_MO[[#This Row],[LISTONES]]*4.921+BD_MO[[#This Row],[TABLA 1"x8"x3m]]*6.561+BD_MO[[#This Row],[TABLA 2"x8"x3m]]*13.122,"")</f>
        <v>0</v>
      </c>
      <c r="DB491" s="432">
        <f>+IF(BD_MO[[#This Row],[FECHA]]&lt;&gt;"",BD_MO[[#This Row],[PIE2 MADERA ASERRADA]]*1.95,"")</f>
        <v>0</v>
      </c>
      <c r="DC491" s="432">
        <f>+IF(BD_MO[[#This Row],[FECHA]]&lt;&gt;"",BD_MO[[#This Row],[KG. MADERA REDONDA]]+BD_MO[[#This Row],[KG MADERA ASERRADA]],"")</f>
        <v>539.00199999999995</v>
      </c>
      <c r="DD491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198.34</v>
      </c>
      <c r="DE491" s="428"/>
      <c r="DF491" s="428"/>
      <c r="DG491" s="428"/>
      <c r="DH491" s="428"/>
      <c r="DI491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91" s="436"/>
      <c r="DK491" s="436"/>
      <c r="DL491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91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91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91" s="437"/>
      <c r="DP491" s="436" t="str">
        <f>+IF(BD_MO[[#This Row],[M o D]]&lt;&gt;"",IF(BD_MO[[#This Row],[M o D]]="M",BD_MO[[#This Row],[ROTURA TMH]]/2.65,BD_MO[[#This Row],[ROTURA TMH]]/2.4),"")</f>
        <v/>
      </c>
      <c r="DQ491" s="436"/>
      <c r="DR491" s="116" t="str">
        <f>IF(BD_MO[[#This Row],[TIPO AVANCE]]="Avance",((BD_MO[[#This Row],[AVANCE (m)]]/BD_MO[[#This Row],[AVANCE TEÓRICO]]))," ")</f>
        <v xml:space="preserve"> </v>
      </c>
      <c r="DS491" s="134"/>
      <c r="DT491" s="134"/>
      <c r="DU491" s="134"/>
      <c r="DV491" s="134"/>
      <c r="DW491" s="134"/>
      <c r="DX491" s="135"/>
      <c r="DY491" s="135"/>
      <c r="DZ491" s="135"/>
    </row>
    <row r="492" spans="1:130" s="136" customFormat="1" ht="18" customHeight="1" x14ac:dyDescent="0.25">
      <c r="A492" s="92">
        <v>44679</v>
      </c>
      <c r="B492" s="425" t="s">
        <v>10647</v>
      </c>
      <c r="C492" s="425" t="s">
        <v>10668</v>
      </c>
      <c r="D492" s="94" t="s">
        <v>10952</v>
      </c>
      <c r="E492" s="427" t="str">
        <f>LEFT(BD_MO[[#This Row],[LABOR]],2)</f>
        <v>In</v>
      </c>
      <c r="F492" s="428"/>
      <c r="G492" s="428" t="s">
        <v>10669</v>
      </c>
      <c r="H492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92" s="383" t="str">
        <f>IF(BD_MO[FECHA]&lt;&gt;"",VLOOKUP(BD_MO[LABOR],TB_CECO[[LABOR]:[CECO_T]],3,FALSE),"")</f>
        <v>VANESSA</v>
      </c>
      <c r="J492" s="383" t="str">
        <f>IF(BD_MO[FECHA]&lt;&gt;"",VLOOKUP(BD_MO[LABOR],D_CECO!B:H,7,FALSE),"")</f>
        <v>LINEAL</v>
      </c>
      <c r="K492" s="383" t="str">
        <f>IF(BD_MO[FECHA]&lt;&gt;"",VLOOKUP(BD_MO[LABOR],D_CECO!B:H,4,FALSE),"")</f>
        <v>EXPLORACION</v>
      </c>
      <c r="L492" s="427"/>
      <c r="M492" s="425"/>
      <c r="N492" s="428"/>
      <c r="O492" s="429" t="s">
        <v>12092</v>
      </c>
      <c r="P492" s="429" t="s">
        <v>12099</v>
      </c>
      <c r="Q492" s="429"/>
      <c r="R492" s="430"/>
      <c r="S492" s="431" t="str">
        <f>IFERROR(VLOOKUP(BD_MO[DNI 4],#REF!,2,FALSE)," ")</f>
        <v xml:space="preserve"> </v>
      </c>
      <c r="T492" s="432">
        <f>+IF(BD_MO[[#This Row],[FECHA]]&lt;&gt;"",COUNTA(BD_MO[[#This Row],[DNI]],BD_MO[[#This Row],[DNI 2]],BD_MO[[#This Row],[DNI 3]],BD_MO[[#This Row],[DNI 4]]),"")</f>
        <v>2</v>
      </c>
      <c r="U492" s="432"/>
      <c r="V492" s="432"/>
      <c r="W492" s="432"/>
      <c r="X492" s="432">
        <v>2</v>
      </c>
      <c r="Y492" s="433">
        <f>SUM(BD_MO[[#This Row],[LIMP]:[SERV]])</f>
        <v>2</v>
      </c>
      <c r="Z492" s="428"/>
      <c r="AA492" s="428" t="str">
        <f>+IF(BD_MO[[#This Row],[N° VALE]]&lt;&gt;"",1,"")</f>
        <v/>
      </c>
      <c r="AB492" s="425"/>
      <c r="AC492" s="428"/>
      <c r="AD492" s="428" t="str">
        <f>+IF(BD_MO[[#This Row],[N° VALE]]&lt;&gt;"",BD_MO[[#This Row],[FULMINANTE N° 08]]+BD_MO[CARMEX 7''],"")</f>
        <v/>
      </c>
      <c r="AE492" s="428"/>
      <c r="AF492" s="428" t="str">
        <f>+IF(BD_MO[[#This Row],[N° VALE]]&lt;&gt;"",BD_MO[[#This Row],[N° TALADROS]]+BD_MO[[#This Row],[N° TAL. VACIOS]],"")</f>
        <v/>
      </c>
      <c r="AG492" s="434"/>
      <c r="AH492" s="434"/>
      <c r="AI492" s="434"/>
      <c r="AJ492" s="434"/>
      <c r="AK492" s="434"/>
      <c r="AL492" s="434"/>
      <c r="AM492" s="427"/>
      <c r="AN492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92" s="428" t="str">
        <f>+IF(BD_MO[[#This Row],[N° VALE]]&lt;&gt;"",IF(BD_MO[[#This Row],[FULMINANTE N° 08]]&lt;&gt;"",BD_MO[[#This Row],[FULMINANTE N° 08]],IF(BD_MO[[#This Row],[CARMEX 7'']]&lt;&gt;0,0,"")),"")</f>
        <v/>
      </c>
      <c r="AP492" s="432" t="str">
        <f>+IF(BD_MO[[#This Row],[N° VALE]]&lt;&gt;"",BD_MO[[#This Row],[N°  TOTAL TALADROS]]*BD_MO[[#This Row],[BARRA]]*0.95,"")</f>
        <v/>
      </c>
      <c r="AQ492" s="432" t="str">
        <f>+IF(BD_MO[[#This Row],[N° VALE]]&lt;&gt;"",BD_MO[[#This Row],[EMULNOR 1000 (N° CART.)]]*PE_EMUL_1000[PE],"")</f>
        <v/>
      </c>
      <c r="AR492" s="432" t="str">
        <f>+IF(BD_MO[[#This Row],[N° VALE]]&lt;&gt;"",BD_MO[[#This Row],[EMULNOR 3000 (N° CART.)]]*PE_EMUL_3000[PE],"")</f>
        <v/>
      </c>
      <c r="AS492" s="432" t="str">
        <f>+IF(BD_MO[[#This Row],[N° VALE]]&lt;&gt;"",BD_MO[[#This Row],[PULVERULENTA (N° CART.)]]*PE_PULV_65[PE],"")</f>
        <v/>
      </c>
      <c r="AT492" s="432" t="str">
        <f>+IF(BD_MO[[#This Row],[N° DISP]]&lt;&gt;"",BD_MO[[#This Row],[SEMIGELATINA (N° CART.)]]*PE_SEMIGEL_65[PE],"")</f>
        <v/>
      </c>
      <c r="AU492" s="432" t="str">
        <f>+IF(BD_MO[N° VALE]&lt;&gt;"",BD_MO[[#This Row],[KG EXPLO SEMIGEL]]+BD_MO[[#This Row],[KG EXPLO PULVE]]+BD_MO[[#This Row],[KG EXPLO EMULN 3000]]+BD_MO[[#This Row],[KG EXPLO EMULN 1000]],"")</f>
        <v/>
      </c>
      <c r="AV492" s="428"/>
      <c r="AW492" s="428"/>
      <c r="AX492" s="428" t="str">
        <f>+IF(BD_MO[[#This Row],[MINERAL (U-35)]]&lt;&gt;"",BD_MO[[#This Row],[MINERAL (U-35)]]*1.45,"-")</f>
        <v>-</v>
      </c>
      <c r="AY492" s="428" t="str">
        <f>+IF(BD_MO[[#This Row],[DESMONTE (U-35)]]&lt;&gt;"",BD_MO[[#This Row],[DESMONTE (U-35)]]*1.23,"-")</f>
        <v>-</v>
      </c>
      <c r="AZ492" s="428"/>
      <c r="BA492" s="428"/>
      <c r="BB492" s="428"/>
      <c r="BC492" s="428"/>
      <c r="BD492" s="428"/>
      <c r="BE492" s="428"/>
      <c r="BF492" s="428"/>
      <c r="BG492" s="428"/>
      <c r="BH492" s="428"/>
      <c r="BI492" s="428"/>
      <c r="BJ492" s="428"/>
      <c r="BK492" s="428"/>
      <c r="BL492" s="428"/>
      <c r="BM492" s="428"/>
      <c r="BN492" s="427"/>
      <c r="BO492" s="428"/>
      <c r="BP492" s="428"/>
      <c r="BQ492" s="427"/>
      <c r="BR492" s="428"/>
      <c r="BS492" s="427"/>
      <c r="BT492" s="432"/>
      <c r="BU492" s="428"/>
      <c r="BV492" s="428"/>
      <c r="BW492" s="428"/>
      <c r="BX492" s="428"/>
      <c r="BY492" s="428"/>
      <c r="BZ492" s="428"/>
      <c r="CA492" s="428"/>
      <c r="CB492" s="428"/>
      <c r="CC492" s="428"/>
      <c r="CD492" s="428"/>
      <c r="CE492" s="428"/>
      <c r="CF492" s="428"/>
      <c r="CG492" s="428"/>
      <c r="CH492" s="428"/>
      <c r="CI492" s="428"/>
      <c r="CJ492" s="428"/>
      <c r="CK492" s="428"/>
      <c r="CL492" s="428"/>
      <c r="CM492" s="428"/>
      <c r="CN492" s="428"/>
      <c r="CO492" s="428"/>
      <c r="CP492" s="432">
        <f>+IF(BD_MO[[#This Row],[FECHA]]&lt;&gt;"",BD_MO[[#This Row],[PUNTAL 4"]]+BD_MO[[#This Row],[PUNTAL 5"]]+BD_MO[[#This Row],[PUNTAL 6"]]+BD_MO[[#This Row],[PUNTAL 7"]]+BD_MO[[#This Row],[PUNTAL 8"]],"")</f>
        <v>0</v>
      </c>
      <c r="CQ492" s="428"/>
      <c r="CR492" s="428"/>
      <c r="CS492" s="428"/>
      <c r="CT492" s="428"/>
      <c r="CU492" s="428"/>
      <c r="CV492" s="428"/>
      <c r="CW492" s="428"/>
      <c r="CX492" s="428"/>
      <c r="CY492" s="432"/>
      <c r="CZ492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92" s="432">
        <f>+IF(BD_MO[[#This Row],[FECHA]]&lt;&gt;"",BD_MO[[#This Row],[DURMIENTE2]]*6.561+BD_MO[[#This Row],[LISTONES]]*4.921+BD_MO[[#This Row],[TABLA 1"x8"x3m]]*6.561+BD_MO[[#This Row],[TABLA 2"x8"x3m]]*13.122,"")</f>
        <v>0</v>
      </c>
      <c r="DB492" s="432">
        <f>+IF(BD_MO[[#This Row],[FECHA]]&lt;&gt;"",BD_MO[[#This Row],[PIE2 MADERA ASERRADA]]*1.95,"")</f>
        <v>0</v>
      </c>
      <c r="DC492" s="432">
        <f>+IF(BD_MO[[#This Row],[FECHA]]&lt;&gt;"",BD_MO[[#This Row],[KG. MADERA REDONDA]]+BD_MO[[#This Row],[KG MADERA ASERRADA]],"")</f>
        <v>0</v>
      </c>
      <c r="DD492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92" s="428"/>
      <c r="DF492" s="428"/>
      <c r="DG492" s="428"/>
      <c r="DH492" s="428"/>
      <c r="DI492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92" s="436"/>
      <c r="DK492" s="436"/>
      <c r="DL492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92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92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92" s="437"/>
      <c r="DP492" s="436" t="str">
        <f>+IF(BD_MO[[#This Row],[M o D]]&lt;&gt;"",IF(BD_MO[[#This Row],[M o D]]="M",BD_MO[[#This Row],[ROTURA TMH]]/2.65,BD_MO[[#This Row],[ROTURA TMH]]/2.4),"")</f>
        <v/>
      </c>
      <c r="DQ492" s="436"/>
      <c r="DR492" s="116" t="str">
        <f>IF(BD_MO[[#This Row],[TIPO AVANCE]]="Avance",((BD_MO[[#This Row],[AVANCE (m)]]/BD_MO[[#This Row],[AVANCE TEÓRICO]]))," ")</f>
        <v xml:space="preserve"> </v>
      </c>
      <c r="DS492" s="134"/>
      <c r="DT492" s="134"/>
      <c r="DU492" s="134"/>
      <c r="DV492" s="134"/>
      <c r="DW492" s="134"/>
      <c r="DX492" s="135"/>
      <c r="DY492" s="135"/>
      <c r="DZ492" s="135"/>
    </row>
    <row r="493" spans="1:130" s="136" customFormat="1" ht="18" customHeight="1" x14ac:dyDescent="0.25">
      <c r="A493" s="92">
        <v>44679</v>
      </c>
      <c r="B493" s="425" t="s">
        <v>10647</v>
      </c>
      <c r="C493" s="425" t="s">
        <v>10668</v>
      </c>
      <c r="D493" s="94" t="s">
        <v>11872</v>
      </c>
      <c r="E493" s="427" t="str">
        <f>LEFT(BD_MO[[#This Row],[LABOR]],2)</f>
        <v>PQ</v>
      </c>
      <c r="F493" s="428"/>
      <c r="G493" s="428" t="s">
        <v>10669</v>
      </c>
      <c r="H493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93" s="383" t="str">
        <f>IF(BD_MO[FECHA]&lt;&gt;"",VLOOKUP(BD_MO[LABOR],TB_CECO[[LABOR]:[CECO_T]],3,FALSE),"")</f>
        <v>ANDREA</v>
      </c>
      <c r="J493" s="383" t="str">
        <f>IF(BD_MO[FECHA]&lt;&gt;"",VLOOKUP(BD_MO[LABOR],D_CECO!B:H,7,FALSE),"")</f>
        <v>LINEAL</v>
      </c>
      <c r="K493" s="383" t="str">
        <f>IF(BD_MO[FECHA]&lt;&gt;"",VLOOKUP(BD_MO[LABOR],D_CECO!B:H,4,FALSE),"")</f>
        <v>EXPLOTACION</v>
      </c>
      <c r="L493" s="427"/>
      <c r="M493" s="425"/>
      <c r="N493" s="428"/>
      <c r="O493" s="429" t="s">
        <v>12450</v>
      </c>
      <c r="P493" s="429" t="s">
        <v>12090</v>
      </c>
      <c r="Q493" s="429" t="s">
        <v>12451</v>
      </c>
      <c r="R493" s="430"/>
      <c r="S493" s="431" t="str">
        <f>IFERROR(VLOOKUP(BD_MO[DNI 4],#REF!,2,FALSE)," ")</f>
        <v xml:space="preserve"> </v>
      </c>
      <c r="T493" s="432">
        <f>+IF(BD_MO[[#This Row],[FECHA]]&lt;&gt;"",COUNTA(BD_MO[[#This Row],[DNI]],BD_MO[[#This Row],[DNI 2]],BD_MO[[#This Row],[DNI 3]],BD_MO[[#This Row],[DNI 4]]),"")</f>
        <v>3</v>
      </c>
      <c r="U493" s="432"/>
      <c r="V493" s="432"/>
      <c r="W493" s="432"/>
      <c r="X493" s="432">
        <v>3</v>
      </c>
      <c r="Y493" s="433">
        <f>SUM(BD_MO[[#This Row],[LIMP]:[SERV]])</f>
        <v>3</v>
      </c>
      <c r="Z493" s="428"/>
      <c r="AA493" s="428" t="str">
        <f>+IF(BD_MO[[#This Row],[N° VALE]]&lt;&gt;"",1,"")</f>
        <v/>
      </c>
      <c r="AB493" s="425"/>
      <c r="AC493" s="428"/>
      <c r="AD493" s="428" t="str">
        <f>+IF(BD_MO[[#This Row],[N° VALE]]&lt;&gt;"",BD_MO[[#This Row],[FULMINANTE N° 08]]+BD_MO[CARMEX 7''],"")</f>
        <v/>
      </c>
      <c r="AE493" s="428"/>
      <c r="AF493" s="428" t="str">
        <f>+IF(BD_MO[[#This Row],[N° VALE]]&lt;&gt;"",BD_MO[[#This Row],[N° TALADROS]]+BD_MO[[#This Row],[N° TAL. VACIOS]],"")</f>
        <v/>
      </c>
      <c r="AG493" s="434"/>
      <c r="AH493" s="434"/>
      <c r="AI493" s="434"/>
      <c r="AJ493" s="434"/>
      <c r="AK493" s="434"/>
      <c r="AL493" s="434"/>
      <c r="AM493" s="427"/>
      <c r="AN493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93" s="428" t="str">
        <f>+IF(BD_MO[[#This Row],[N° VALE]]&lt;&gt;"",IF(BD_MO[[#This Row],[FULMINANTE N° 08]]&lt;&gt;"",BD_MO[[#This Row],[FULMINANTE N° 08]],IF(BD_MO[[#This Row],[CARMEX 7'']]&lt;&gt;0,0,"")),"")</f>
        <v/>
      </c>
      <c r="AP493" s="432" t="str">
        <f>+IF(BD_MO[[#This Row],[N° VALE]]&lt;&gt;"",BD_MO[[#This Row],[N°  TOTAL TALADROS]]*BD_MO[[#This Row],[BARRA]]*0.95,"")</f>
        <v/>
      </c>
      <c r="AQ493" s="432" t="str">
        <f>+IF(BD_MO[[#This Row],[N° VALE]]&lt;&gt;"",BD_MO[[#This Row],[EMULNOR 1000 (N° CART.)]]*PE_EMUL_1000[PE],"")</f>
        <v/>
      </c>
      <c r="AR493" s="432" t="str">
        <f>+IF(BD_MO[[#This Row],[N° VALE]]&lt;&gt;"",BD_MO[[#This Row],[EMULNOR 3000 (N° CART.)]]*PE_EMUL_3000[PE],"")</f>
        <v/>
      </c>
      <c r="AS493" s="432" t="str">
        <f>+IF(BD_MO[[#This Row],[N° VALE]]&lt;&gt;"",BD_MO[[#This Row],[PULVERULENTA (N° CART.)]]*PE_PULV_65[PE],"")</f>
        <v/>
      </c>
      <c r="AT493" s="432" t="str">
        <f>+IF(BD_MO[[#This Row],[N° DISP]]&lt;&gt;"",BD_MO[[#This Row],[SEMIGELATINA (N° CART.)]]*PE_SEMIGEL_65[PE],"")</f>
        <v/>
      </c>
      <c r="AU493" s="432" t="str">
        <f>+IF(BD_MO[N° VALE]&lt;&gt;"",BD_MO[[#This Row],[KG EXPLO SEMIGEL]]+BD_MO[[#This Row],[KG EXPLO PULVE]]+BD_MO[[#This Row],[KG EXPLO EMULN 3000]]+BD_MO[[#This Row],[KG EXPLO EMULN 1000]],"")</f>
        <v/>
      </c>
      <c r="AV493" s="428"/>
      <c r="AW493" s="428"/>
      <c r="AX493" s="428" t="str">
        <f>+IF(BD_MO[[#This Row],[MINERAL (U-35)]]&lt;&gt;"",BD_MO[[#This Row],[MINERAL (U-35)]]*1.45,"-")</f>
        <v>-</v>
      </c>
      <c r="AY493" s="428" t="str">
        <f>+IF(BD_MO[[#This Row],[DESMONTE (U-35)]]&lt;&gt;"",BD_MO[[#This Row],[DESMONTE (U-35)]]*1.23,"-")</f>
        <v>-</v>
      </c>
      <c r="AZ493" s="428"/>
      <c r="BA493" s="428"/>
      <c r="BB493" s="428"/>
      <c r="BC493" s="428"/>
      <c r="BD493" s="428"/>
      <c r="BE493" s="428"/>
      <c r="BF493" s="428"/>
      <c r="BG493" s="428"/>
      <c r="BH493" s="428"/>
      <c r="BI493" s="428"/>
      <c r="BJ493" s="428"/>
      <c r="BK493" s="428"/>
      <c r="BL493" s="428"/>
      <c r="BM493" s="428"/>
      <c r="BN493" s="427"/>
      <c r="BO493" s="428"/>
      <c r="BP493" s="428"/>
      <c r="BQ493" s="427"/>
      <c r="BR493" s="428"/>
      <c r="BS493" s="427"/>
      <c r="BT493" s="432"/>
      <c r="BU493" s="428"/>
      <c r="BV493" s="428"/>
      <c r="BW493" s="428"/>
      <c r="BX493" s="428"/>
      <c r="BY493" s="428"/>
      <c r="BZ493" s="428"/>
      <c r="CA493" s="428"/>
      <c r="CB493" s="428"/>
      <c r="CC493" s="428"/>
      <c r="CD493" s="428"/>
      <c r="CE493" s="428"/>
      <c r="CF493" s="428"/>
      <c r="CG493" s="428"/>
      <c r="CH493" s="428"/>
      <c r="CI493" s="428"/>
      <c r="CJ493" s="428"/>
      <c r="CK493" s="428"/>
      <c r="CL493" s="428"/>
      <c r="CM493" s="428"/>
      <c r="CN493" s="428"/>
      <c r="CO493" s="428"/>
      <c r="CP493" s="432">
        <f>+IF(BD_MO[[#This Row],[FECHA]]&lt;&gt;"",BD_MO[[#This Row],[PUNTAL 4"]]+BD_MO[[#This Row],[PUNTAL 5"]]+BD_MO[[#This Row],[PUNTAL 6"]]+BD_MO[[#This Row],[PUNTAL 7"]]+BD_MO[[#This Row],[PUNTAL 8"]],"")</f>
        <v>0</v>
      </c>
      <c r="CQ493" s="428"/>
      <c r="CR493" s="428"/>
      <c r="CS493" s="428"/>
      <c r="CT493" s="428"/>
      <c r="CU493" s="428"/>
      <c r="CV493" s="428"/>
      <c r="CW493" s="428"/>
      <c r="CX493" s="428"/>
      <c r="CY493" s="432"/>
      <c r="CZ493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93" s="432">
        <f>+IF(BD_MO[[#This Row],[FECHA]]&lt;&gt;"",BD_MO[[#This Row],[DURMIENTE2]]*6.561+BD_MO[[#This Row],[LISTONES]]*4.921+BD_MO[[#This Row],[TABLA 1"x8"x3m]]*6.561+BD_MO[[#This Row],[TABLA 2"x8"x3m]]*13.122,"")</f>
        <v>0</v>
      </c>
      <c r="DB493" s="432">
        <f>+IF(BD_MO[[#This Row],[FECHA]]&lt;&gt;"",BD_MO[[#This Row],[PIE2 MADERA ASERRADA]]*1.95,"")</f>
        <v>0</v>
      </c>
      <c r="DC493" s="432">
        <f>+IF(BD_MO[[#This Row],[FECHA]]&lt;&gt;"",BD_MO[[#This Row],[KG. MADERA REDONDA]]+BD_MO[[#This Row],[KG MADERA ASERRADA]],"")</f>
        <v>0</v>
      </c>
      <c r="DD493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93" s="428"/>
      <c r="DF493" s="428"/>
      <c r="DG493" s="428"/>
      <c r="DH493" s="428"/>
      <c r="DI493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93" s="436"/>
      <c r="DK493" s="436"/>
      <c r="DL493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93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93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93" s="437"/>
      <c r="DP493" s="436" t="str">
        <f>+IF(BD_MO[[#This Row],[M o D]]&lt;&gt;"",IF(BD_MO[[#This Row],[M o D]]="M",BD_MO[[#This Row],[ROTURA TMH]]/2.65,BD_MO[[#This Row],[ROTURA TMH]]/2.4),"")</f>
        <v/>
      </c>
      <c r="DQ493" s="436"/>
      <c r="DR493" s="116" t="str">
        <f>IF(BD_MO[[#This Row],[TIPO AVANCE]]="Avance",((BD_MO[[#This Row],[AVANCE (m)]]/BD_MO[[#This Row],[AVANCE TEÓRICO]]))," ")</f>
        <v xml:space="preserve"> </v>
      </c>
      <c r="DS493" s="134"/>
      <c r="DT493" s="134"/>
      <c r="DU493" s="134"/>
      <c r="DV493" s="134"/>
      <c r="DW493" s="134"/>
      <c r="DX493" s="135"/>
      <c r="DY493" s="135"/>
      <c r="DZ493" s="135"/>
    </row>
    <row r="494" spans="1:130" s="136" customFormat="1" ht="18" customHeight="1" x14ac:dyDescent="0.25">
      <c r="A494" s="395">
        <v>44679</v>
      </c>
      <c r="B494" s="425" t="s">
        <v>10647</v>
      </c>
      <c r="C494" s="425" t="s">
        <v>10668</v>
      </c>
      <c r="D494" s="94" t="s">
        <v>10954</v>
      </c>
      <c r="E494" s="427" t="str">
        <f>LEFT(BD_MO[[#This Row],[LABOR]],2)</f>
        <v>MO</v>
      </c>
      <c r="F494" s="428"/>
      <c r="G494" s="428" t="s">
        <v>10669</v>
      </c>
      <c r="H494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94" s="383" t="str">
        <f>IF(BD_MO[FECHA]&lt;&gt;"",VLOOKUP(BD_MO[LABOR],TB_CECO[[LABOR]:[CECO_T]],3,FALSE),"")</f>
        <v>INCA</v>
      </c>
      <c r="J494" s="383" t="str">
        <f>IF(BD_MO[FECHA]&lt;&gt;"",VLOOKUP(BD_MO[LABOR],D_CECO!B:H,7,FALSE),"")</f>
        <v>SERVICIOS</v>
      </c>
      <c r="K494" s="383" t="str">
        <f>IF(BD_MO[FECHA]&lt;&gt;"",VLOOKUP(BD_MO[LABOR],D_CECO!B:H,4,FALSE),"")</f>
        <v>SERVICIOS</v>
      </c>
      <c r="L494" s="427"/>
      <c r="M494" s="425"/>
      <c r="N494" s="428"/>
      <c r="O494" s="429" t="s">
        <v>12098</v>
      </c>
      <c r="P494" s="429" t="s">
        <v>12162</v>
      </c>
      <c r="Q494" s="429"/>
      <c r="R494" s="430"/>
      <c r="S494" s="431" t="str">
        <f>IFERROR(VLOOKUP(BD_MO[DNI 4],#REF!,2,FALSE)," ")</f>
        <v xml:space="preserve"> </v>
      </c>
      <c r="T494" s="432">
        <f>+IF(BD_MO[[#This Row],[FECHA]]&lt;&gt;"",COUNTA(BD_MO[[#This Row],[DNI]],BD_MO[[#This Row],[DNI 2]],BD_MO[[#This Row],[DNI 3]],BD_MO[[#This Row],[DNI 4]]),"")</f>
        <v>2</v>
      </c>
      <c r="U494" s="432"/>
      <c r="V494" s="432"/>
      <c r="W494" s="432"/>
      <c r="X494" s="432">
        <v>2</v>
      </c>
      <c r="Y494" s="433">
        <f>SUM(BD_MO[[#This Row],[LIMP]:[SERV]])</f>
        <v>2</v>
      </c>
      <c r="Z494" s="428"/>
      <c r="AA494" s="428" t="str">
        <f>+IF(BD_MO[[#This Row],[N° VALE]]&lt;&gt;"",1,"")</f>
        <v/>
      </c>
      <c r="AB494" s="425"/>
      <c r="AC494" s="428"/>
      <c r="AD494" s="428" t="str">
        <f>+IF(BD_MO[[#This Row],[N° VALE]]&lt;&gt;"",BD_MO[[#This Row],[FULMINANTE N° 08]]+BD_MO[CARMEX 7''],"")</f>
        <v/>
      </c>
      <c r="AE494" s="428"/>
      <c r="AF494" s="428" t="str">
        <f>+IF(BD_MO[[#This Row],[N° VALE]]&lt;&gt;"",BD_MO[[#This Row],[N° TALADROS]]+BD_MO[[#This Row],[N° TAL. VACIOS]],"")</f>
        <v/>
      </c>
      <c r="AG494" s="434"/>
      <c r="AH494" s="434"/>
      <c r="AI494" s="434"/>
      <c r="AJ494" s="434"/>
      <c r="AK494" s="434"/>
      <c r="AL494" s="434"/>
      <c r="AM494" s="427"/>
      <c r="AN494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94" s="428" t="str">
        <f>+IF(BD_MO[[#This Row],[N° VALE]]&lt;&gt;"",IF(BD_MO[[#This Row],[FULMINANTE N° 08]]&lt;&gt;"",BD_MO[[#This Row],[FULMINANTE N° 08]],IF(BD_MO[[#This Row],[CARMEX 7'']]&lt;&gt;0,0,"")),"")</f>
        <v/>
      </c>
      <c r="AP494" s="432" t="str">
        <f>+IF(BD_MO[[#This Row],[N° VALE]]&lt;&gt;"",BD_MO[[#This Row],[N°  TOTAL TALADROS]]*BD_MO[[#This Row],[BARRA]]*0.95,"")</f>
        <v/>
      </c>
      <c r="AQ494" s="432" t="str">
        <f>+IF(BD_MO[[#This Row],[N° VALE]]&lt;&gt;"",BD_MO[[#This Row],[EMULNOR 1000 (N° CART.)]]*PE_EMUL_1000[PE],"")</f>
        <v/>
      </c>
      <c r="AR494" s="432" t="str">
        <f>+IF(BD_MO[[#This Row],[N° VALE]]&lt;&gt;"",BD_MO[[#This Row],[EMULNOR 3000 (N° CART.)]]*PE_EMUL_3000[PE],"")</f>
        <v/>
      </c>
      <c r="AS494" s="432" t="str">
        <f>+IF(BD_MO[[#This Row],[N° VALE]]&lt;&gt;"",BD_MO[[#This Row],[PULVERULENTA (N° CART.)]]*PE_PULV_65[PE],"")</f>
        <v/>
      </c>
      <c r="AT494" s="432" t="str">
        <f>+IF(BD_MO[[#This Row],[N° DISP]]&lt;&gt;"",BD_MO[[#This Row],[SEMIGELATINA (N° CART.)]]*PE_SEMIGEL_65[PE],"")</f>
        <v/>
      </c>
      <c r="AU494" s="432" t="str">
        <f>+IF(BD_MO[N° VALE]&lt;&gt;"",BD_MO[[#This Row],[KG EXPLO SEMIGEL]]+BD_MO[[#This Row],[KG EXPLO PULVE]]+BD_MO[[#This Row],[KG EXPLO EMULN 3000]]+BD_MO[[#This Row],[KG EXPLO EMULN 1000]],"")</f>
        <v/>
      </c>
      <c r="AV494" s="428"/>
      <c r="AW494" s="428"/>
      <c r="AX494" s="428" t="str">
        <f>+IF(BD_MO[[#This Row],[MINERAL (U-35)]]&lt;&gt;"",BD_MO[[#This Row],[MINERAL (U-35)]]*1.45,"-")</f>
        <v>-</v>
      </c>
      <c r="AY494" s="428" t="str">
        <f>+IF(BD_MO[[#This Row],[DESMONTE (U-35)]]&lt;&gt;"",BD_MO[[#This Row],[DESMONTE (U-35)]]*1.23,"-")</f>
        <v>-</v>
      </c>
      <c r="AZ494" s="428"/>
      <c r="BA494" s="428"/>
      <c r="BB494" s="428"/>
      <c r="BC494" s="428"/>
      <c r="BD494" s="428"/>
      <c r="BE494" s="428"/>
      <c r="BF494" s="428"/>
      <c r="BG494" s="428"/>
      <c r="BH494" s="428"/>
      <c r="BI494" s="428"/>
      <c r="BJ494" s="428"/>
      <c r="BK494" s="428"/>
      <c r="BL494" s="428"/>
      <c r="BM494" s="428"/>
      <c r="BN494" s="427"/>
      <c r="BO494" s="428"/>
      <c r="BP494" s="428"/>
      <c r="BQ494" s="427"/>
      <c r="BR494" s="428"/>
      <c r="BS494" s="427"/>
      <c r="BT494" s="432"/>
      <c r="BU494" s="428"/>
      <c r="BV494" s="428"/>
      <c r="BW494" s="428"/>
      <c r="BX494" s="428"/>
      <c r="BY494" s="428"/>
      <c r="BZ494" s="428"/>
      <c r="CA494" s="428"/>
      <c r="CB494" s="428"/>
      <c r="CC494" s="428"/>
      <c r="CD494" s="428"/>
      <c r="CE494" s="428"/>
      <c r="CF494" s="428"/>
      <c r="CG494" s="428"/>
      <c r="CH494" s="428"/>
      <c r="CI494" s="428"/>
      <c r="CJ494" s="428"/>
      <c r="CK494" s="428"/>
      <c r="CL494" s="428"/>
      <c r="CM494" s="428"/>
      <c r="CN494" s="428"/>
      <c r="CO494" s="428"/>
      <c r="CP494" s="432">
        <f>+IF(BD_MO[[#This Row],[FECHA]]&lt;&gt;"",BD_MO[[#This Row],[PUNTAL 4"]]+BD_MO[[#This Row],[PUNTAL 5"]]+BD_MO[[#This Row],[PUNTAL 6"]]+BD_MO[[#This Row],[PUNTAL 7"]]+BD_MO[[#This Row],[PUNTAL 8"]],"")</f>
        <v>0</v>
      </c>
      <c r="CQ494" s="428"/>
      <c r="CR494" s="428"/>
      <c r="CS494" s="428"/>
      <c r="CT494" s="428"/>
      <c r="CU494" s="428"/>
      <c r="CV494" s="428"/>
      <c r="CW494" s="428"/>
      <c r="CX494" s="428"/>
      <c r="CY494" s="432"/>
      <c r="CZ494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94" s="432">
        <f>+IF(BD_MO[[#This Row],[FECHA]]&lt;&gt;"",BD_MO[[#This Row],[DURMIENTE2]]*6.561+BD_MO[[#This Row],[LISTONES]]*4.921+BD_MO[[#This Row],[TABLA 1"x8"x3m]]*6.561+BD_MO[[#This Row],[TABLA 2"x8"x3m]]*13.122,"")</f>
        <v>0</v>
      </c>
      <c r="DB494" s="432">
        <f>+IF(BD_MO[[#This Row],[FECHA]]&lt;&gt;"",BD_MO[[#This Row],[PIE2 MADERA ASERRADA]]*1.95,"")</f>
        <v>0</v>
      </c>
      <c r="DC494" s="432">
        <f>+IF(BD_MO[[#This Row],[FECHA]]&lt;&gt;"",BD_MO[[#This Row],[KG. MADERA REDONDA]]+BD_MO[[#This Row],[KG MADERA ASERRADA]],"")</f>
        <v>0</v>
      </c>
      <c r="DD494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94" s="428"/>
      <c r="DF494" s="428"/>
      <c r="DG494" s="428"/>
      <c r="DH494" s="428"/>
      <c r="DI494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94" s="436"/>
      <c r="DK494" s="436"/>
      <c r="DL494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94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94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94" s="437"/>
      <c r="DP494" s="436" t="str">
        <f>+IF(BD_MO[[#This Row],[M o D]]&lt;&gt;"",IF(BD_MO[[#This Row],[M o D]]="M",BD_MO[[#This Row],[ROTURA TMH]]/2.65,BD_MO[[#This Row],[ROTURA TMH]]/2.4),"")</f>
        <v/>
      </c>
      <c r="DQ494" s="436"/>
      <c r="DR494" s="116" t="str">
        <f>IF(BD_MO[[#This Row],[TIPO AVANCE]]="Avance",((BD_MO[[#This Row],[AVANCE (m)]]/BD_MO[[#This Row],[AVANCE TEÓRICO]]))," ")</f>
        <v xml:space="preserve"> </v>
      </c>
      <c r="DS494" s="134"/>
      <c r="DT494" s="134"/>
      <c r="DU494" s="134"/>
      <c r="DV494" s="134"/>
      <c r="DW494" s="134"/>
      <c r="DX494" s="135"/>
      <c r="DY494" s="135"/>
      <c r="DZ494" s="135"/>
    </row>
    <row r="495" spans="1:130" s="112" customFormat="1" ht="18" customHeight="1" thickBot="1" x14ac:dyDescent="0.3">
      <c r="A495" s="109">
        <v>44679</v>
      </c>
      <c r="B495" s="451" t="s">
        <v>10647</v>
      </c>
      <c r="C495" s="451" t="s">
        <v>10668</v>
      </c>
      <c r="D495" s="390" t="s">
        <v>10717</v>
      </c>
      <c r="E495" s="452" t="str">
        <f>LEFT(BD_MO[[#This Row],[LABOR]],2)</f>
        <v>BO</v>
      </c>
      <c r="F495" s="453"/>
      <c r="G495" s="453" t="s">
        <v>10669</v>
      </c>
      <c r="H495" s="45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495" s="119" t="str">
        <f>IF(BD_MO[FECHA]&lt;&gt;"",VLOOKUP(BD_MO[LABOR],TB_CECO[[LABOR]:[CECO_T]],3,FALSE),"")</f>
        <v>CACHORRO</v>
      </c>
      <c r="J495" s="119" t="str">
        <f>IF(BD_MO[FECHA]&lt;&gt;"",VLOOKUP(BD_MO[LABOR],D_CECO!B:H,7,FALSE),"")</f>
        <v>SERVICIOS</v>
      </c>
      <c r="K495" s="119" t="str">
        <f>IF(BD_MO[FECHA]&lt;&gt;"",VLOOKUP(BD_MO[LABOR],D_CECO!B:H,4,FALSE),"")</f>
        <v>SERVICIOS</v>
      </c>
      <c r="L495" s="452"/>
      <c r="M495" s="451"/>
      <c r="N495" s="453"/>
      <c r="O495" s="454" t="s">
        <v>12118</v>
      </c>
      <c r="P495" s="454"/>
      <c r="Q495" s="454"/>
      <c r="R495" s="455"/>
      <c r="S495" s="456" t="str">
        <f>IFERROR(VLOOKUP(BD_MO[DNI 4],#REF!,2,FALSE)," ")</f>
        <v xml:space="preserve"> </v>
      </c>
      <c r="T495" s="457">
        <f>+IF(BD_MO[[#This Row],[FECHA]]&lt;&gt;"",COUNTA(BD_MO[[#This Row],[DNI]],BD_MO[[#This Row],[DNI 2]],BD_MO[[#This Row],[DNI 3]],BD_MO[[#This Row],[DNI 4]]),"")</f>
        <v>1</v>
      </c>
      <c r="U495" s="457"/>
      <c r="V495" s="457"/>
      <c r="W495" s="457"/>
      <c r="X495" s="457">
        <v>1</v>
      </c>
      <c r="Y495" s="458">
        <f>SUM(BD_MO[[#This Row],[LIMP]:[SERV]])</f>
        <v>1</v>
      </c>
      <c r="Z495" s="453"/>
      <c r="AA495" s="453" t="str">
        <f>+IF(BD_MO[[#This Row],[N° VALE]]&lt;&gt;"",1,"")</f>
        <v/>
      </c>
      <c r="AB495" s="451"/>
      <c r="AC495" s="453"/>
      <c r="AD495" s="453" t="str">
        <f>+IF(BD_MO[[#This Row],[N° VALE]]&lt;&gt;"",BD_MO[[#This Row],[FULMINANTE N° 08]]+BD_MO[CARMEX 7''],"")</f>
        <v/>
      </c>
      <c r="AE495" s="453"/>
      <c r="AF495" s="453" t="str">
        <f>+IF(BD_MO[[#This Row],[N° VALE]]&lt;&gt;"",BD_MO[[#This Row],[N° TALADROS]]+BD_MO[[#This Row],[N° TAL. VACIOS]],"")</f>
        <v/>
      </c>
      <c r="AG495" s="459"/>
      <c r="AH495" s="459"/>
      <c r="AI495" s="459"/>
      <c r="AJ495" s="459"/>
      <c r="AK495" s="459"/>
      <c r="AL495" s="459"/>
      <c r="AM495" s="452"/>
      <c r="AN495" s="453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95" s="453" t="str">
        <f>+IF(BD_MO[[#This Row],[N° VALE]]&lt;&gt;"",IF(BD_MO[[#This Row],[FULMINANTE N° 08]]&lt;&gt;"",BD_MO[[#This Row],[FULMINANTE N° 08]],IF(BD_MO[[#This Row],[CARMEX 7'']]&lt;&gt;0,0,"")),"")</f>
        <v/>
      </c>
      <c r="AP495" s="457" t="str">
        <f>+IF(BD_MO[[#This Row],[N° VALE]]&lt;&gt;"",BD_MO[[#This Row],[N°  TOTAL TALADROS]]*BD_MO[[#This Row],[BARRA]]*0.95,"")</f>
        <v/>
      </c>
      <c r="AQ495" s="457" t="str">
        <f>+IF(BD_MO[[#This Row],[N° VALE]]&lt;&gt;"",BD_MO[[#This Row],[EMULNOR 1000 (N° CART.)]]*PE_EMUL_1000[PE],"")</f>
        <v/>
      </c>
      <c r="AR495" s="457" t="str">
        <f>+IF(BD_MO[[#This Row],[N° VALE]]&lt;&gt;"",BD_MO[[#This Row],[EMULNOR 3000 (N° CART.)]]*PE_EMUL_3000[PE],"")</f>
        <v/>
      </c>
      <c r="AS495" s="457" t="str">
        <f>+IF(BD_MO[[#This Row],[N° VALE]]&lt;&gt;"",BD_MO[[#This Row],[PULVERULENTA (N° CART.)]]*PE_PULV_65[PE],"")</f>
        <v/>
      </c>
      <c r="AT495" s="457" t="str">
        <f>+IF(BD_MO[[#This Row],[N° DISP]]&lt;&gt;"",BD_MO[[#This Row],[SEMIGELATINA (N° CART.)]]*PE_SEMIGEL_65[PE],"")</f>
        <v/>
      </c>
      <c r="AU495" s="457" t="str">
        <f>+IF(BD_MO[N° VALE]&lt;&gt;"",BD_MO[[#This Row],[KG EXPLO SEMIGEL]]+BD_MO[[#This Row],[KG EXPLO PULVE]]+BD_MO[[#This Row],[KG EXPLO EMULN 3000]]+BD_MO[[#This Row],[KG EXPLO EMULN 1000]],"")</f>
        <v/>
      </c>
      <c r="AV495" s="453"/>
      <c r="AW495" s="453"/>
      <c r="AX495" s="453" t="str">
        <f>+IF(BD_MO[[#This Row],[MINERAL (U-35)]]&lt;&gt;"",BD_MO[[#This Row],[MINERAL (U-35)]]*1.45,"-")</f>
        <v>-</v>
      </c>
      <c r="AY495" s="453" t="str">
        <f>+IF(BD_MO[[#This Row],[DESMONTE (U-35)]]&lt;&gt;"",BD_MO[[#This Row],[DESMONTE (U-35)]]*1.23,"-")</f>
        <v>-</v>
      </c>
      <c r="AZ495" s="453"/>
      <c r="BA495" s="453"/>
      <c r="BB495" s="453"/>
      <c r="BC495" s="453"/>
      <c r="BD495" s="453"/>
      <c r="BE495" s="453"/>
      <c r="BF495" s="453"/>
      <c r="BG495" s="453"/>
      <c r="BH495" s="453"/>
      <c r="BI495" s="453"/>
      <c r="BJ495" s="453"/>
      <c r="BK495" s="453"/>
      <c r="BL495" s="453"/>
      <c r="BM495" s="453"/>
      <c r="BN495" s="452"/>
      <c r="BO495" s="453"/>
      <c r="BP495" s="453"/>
      <c r="BQ495" s="452"/>
      <c r="BR495" s="453"/>
      <c r="BS495" s="452"/>
      <c r="BT495" s="457"/>
      <c r="BU495" s="453"/>
      <c r="BV495" s="453"/>
      <c r="BW495" s="453"/>
      <c r="BX495" s="453"/>
      <c r="BY495" s="453"/>
      <c r="BZ495" s="453"/>
      <c r="CA495" s="453"/>
      <c r="CB495" s="453"/>
      <c r="CC495" s="453"/>
      <c r="CD495" s="453"/>
      <c r="CE495" s="453"/>
      <c r="CF495" s="453"/>
      <c r="CG495" s="453"/>
      <c r="CH495" s="453"/>
      <c r="CI495" s="453"/>
      <c r="CJ495" s="453"/>
      <c r="CK495" s="453"/>
      <c r="CL495" s="453"/>
      <c r="CM495" s="453"/>
      <c r="CN495" s="453"/>
      <c r="CO495" s="453"/>
      <c r="CP495" s="457">
        <f>+IF(BD_MO[[#This Row],[FECHA]]&lt;&gt;"",BD_MO[[#This Row],[PUNTAL 4"]]+BD_MO[[#This Row],[PUNTAL 5"]]+BD_MO[[#This Row],[PUNTAL 6"]]+BD_MO[[#This Row],[PUNTAL 7"]]+BD_MO[[#This Row],[PUNTAL 8"]],"")</f>
        <v>0</v>
      </c>
      <c r="CQ495" s="453"/>
      <c r="CR495" s="453"/>
      <c r="CS495" s="453"/>
      <c r="CT495" s="453"/>
      <c r="CU495" s="453"/>
      <c r="CV495" s="453"/>
      <c r="CW495" s="453"/>
      <c r="CX495" s="453"/>
      <c r="CY495" s="457"/>
      <c r="CZ495" s="457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95" s="457">
        <f>+IF(BD_MO[[#This Row],[FECHA]]&lt;&gt;"",BD_MO[[#This Row],[DURMIENTE2]]*6.561+BD_MO[[#This Row],[LISTONES]]*4.921+BD_MO[[#This Row],[TABLA 1"x8"x3m]]*6.561+BD_MO[[#This Row],[TABLA 2"x8"x3m]]*13.122,"")</f>
        <v>0</v>
      </c>
      <c r="DB495" s="457">
        <f>+IF(BD_MO[[#This Row],[FECHA]]&lt;&gt;"",BD_MO[[#This Row],[PIE2 MADERA ASERRADA]]*1.95,"")</f>
        <v>0</v>
      </c>
      <c r="DC495" s="457">
        <f>+IF(BD_MO[[#This Row],[FECHA]]&lt;&gt;"",BD_MO[[#This Row],[KG. MADERA REDONDA]]+BD_MO[[#This Row],[KG MADERA ASERRADA]],"")</f>
        <v>0</v>
      </c>
      <c r="DD495" s="460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95" s="453"/>
      <c r="DF495" s="453"/>
      <c r="DG495" s="453"/>
      <c r="DH495" s="453"/>
      <c r="DI495" s="461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95" s="461"/>
      <c r="DK495" s="461"/>
      <c r="DL495" s="461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95" s="461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95" s="461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95" s="462"/>
      <c r="DP495" s="461" t="str">
        <f>+IF(BD_MO[[#This Row],[M o D]]&lt;&gt;"",IF(BD_MO[[#This Row],[M o D]]="M",BD_MO[[#This Row],[ROTURA TMH]]/2.65,BD_MO[[#This Row],[ROTURA TMH]]/2.4),"")</f>
        <v/>
      </c>
      <c r="DQ495" s="461"/>
      <c r="DR495" s="484" t="str">
        <f>IF(BD_MO[[#This Row],[TIPO AVANCE]]="Avance",((BD_MO[[#This Row],[AVANCE (m)]]/BD_MO[[#This Row],[AVANCE TEÓRICO]]))," ")</f>
        <v xml:space="preserve"> </v>
      </c>
      <c r="DS495" s="110"/>
      <c r="DT495" s="110"/>
      <c r="DU495" s="110"/>
      <c r="DV495" s="110"/>
      <c r="DW495" s="110"/>
      <c r="DX495" s="111"/>
      <c r="DY495" s="111"/>
      <c r="DZ495" s="111"/>
    </row>
    <row r="496" spans="1:130" s="136" customFormat="1" ht="18" customHeight="1" x14ac:dyDescent="0.25">
      <c r="A496" s="92">
        <v>44679</v>
      </c>
      <c r="B496" s="425" t="s">
        <v>10655</v>
      </c>
      <c r="C496" s="425" t="s">
        <v>10672</v>
      </c>
      <c r="D496" s="94" t="s">
        <v>11827</v>
      </c>
      <c r="E496" s="427" t="str">
        <f>LEFT(BD_MO[[#This Row],[LABOR]],2)</f>
        <v>Tj</v>
      </c>
      <c r="F496" s="428" t="s">
        <v>10950</v>
      </c>
      <c r="G496" s="428" t="s">
        <v>10648</v>
      </c>
      <c r="H496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96" s="383" t="str">
        <f>IF(BD_MO[FECHA]&lt;&gt;"",VLOOKUP(BD_MO[LABOR],TB_CECO[[LABOR]:[CECO_T]],3,FALSE),"")</f>
        <v>VANESSA</v>
      </c>
      <c r="J496" s="383" t="str">
        <f>IF(BD_MO[FECHA]&lt;&gt;"",VLOOKUP(BD_MO[LABOR],D_CECO!B:H,7,FALSE),"")</f>
        <v>TAJO</v>
      </c>
      <c r="K496" s="383" t="str">
        <f>IF(BD_MO[FECHA]&lt;&gt;"",VLOOKUP(BD_MO[LABOR],D_CECO!B:H,4,FALSE),"")</f>
        <v>EXPLOTACION</v>
      </c>
      <c r="L496" s="427"/>
      <c r="M496" s="425" t="s">
        <v>10661</v>
      </c>
      <c r="N496" s="428"/>
      <c r="O496" s="429" t="s">
        <v>12455</v>
      </c>
      <c r="P496" s="429" t="s">
        <v>12332</v>
      </c>
      <c r="Q496" s="429"/>
      <c r="R496" s="430"/>
      <c r="S496" s="431" t="str">
        <f>IFERROR(VLOOKUP(BD_MO[DNI 4],#REF!,2,FALSE)," ")</f>
        <v xml:space="preserve"> </v>
      </c>
      <c r="T496" s="432">
        <f>+IF(BD_MO[[#This Row],[FECHA]]&lt;&gt;"",COUNTA(BD_MO[[#This Row],[DNI]],BD_MO[[#This Row],[DNI 2]],BD_MO[[#This Row],[DNI 3]],BD_MO[[#This Row],[DNI 4]]),"")</f>
        <v>2</v>
      </c>
      <c r="U496" s="432">
        <v>0.57999999999999996</v>
      </c>
      <c r="V496" s="432">
        <v>0.28000000000000003</v>
      </c>
      <c r="W496" s="432">
        <v>0.76</v>
      </c>
      <c r="X496" s="432">
        <v>0.38</v>
      </c>
      <c r="Y496" s="433">
        <f>SUM(BD_MO[[#This Row],[LIMP]:[SERV]])</f>
        <v>2</v>
      </c>
      <c r="Z496" s="428" t="s">
        <v>12458</v>
      </c>
      <c r="AA496" s="428">
        <f>+IF(BD_MO[[#This Row],[N° VALE]]&lt;&gt;"",1,"")</f>
        <v>1</v>
      </c>
      <c r="AB496" s="425" t="s">
        <v>10652</v>
      </c>
      <c r="AC496" s="428">
        <v>4</v>
      </c>
      <c r="AD496" s="428">
        <f>+IF(BD_MO[[#This Row],[N° VALE]]&lt;&gt;"",BD_MO[[#This Row],[FULMINANTE N° 08]]+BD_MO[CARMEX 7''],"")</f>
        <v>4</v>
      </c>
      <c r="AE496" s="428"/>
      <c r="AF496" s="428">
        <f>+IF(BD_MO[[#This Row],[N° VALE]]&lt;&gt;"",BD_MO[[#This Row],[N° TALADROS]]+BD_MO[[#This Row],[N° TAL. VACIOS]],"")</f>
        <v>4</v>
      </c>
      <c r="AG496" s="434">
        <v>8</v>
      </c>
      <c r="AH496" s="434"/>
      <c r="AI496" s="434"/>
      <c r="AJ496" s="434"/>
      <c r="AK496" s="434">
        <v>4</v>
      </c>
      <c r="AL496" s="434">
        <v>3</v>
      </c>
      <c r="AM496" s="427"/>
      <c r="AN496" s="428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96" s="428">
        <f>+IF(BD_MO[[#This Row],[N° VALE]]&lt;&gt;"",IF(BD_MO[[#This Row],[FULMINANTE N° 08]]&lt;&gt;"",BD_MO[[#This Row],[FULMINANTE N° 08]],IF(BD_MO[[#This Row],[CARMEX 7'']]&lt;&gt;0,0,"")),"")</f>
        <v>0</v>
      </c>
      <c r="AP496" s="432">
        <f>+IF(BD_MO[[#This Row],[N° VALE]]&lt;&gt;"",BD_MO[[#This Row],[N°  TOTAL TALADROS]]*BD_MO[[#This Row],[BARRA]]*0.95,"")</f>
        <v>15.2</v>
      </c>
      <c r="AQ496" s="432">
        <f>+IF(BD_MO[[#This Row],[N° VALE]]&lt;&gt;"",BD_MO[[#This Row],[EMULNOR 1000 (N° CART.)]]*PE_EMUL_1000[PE],"")</f>
        <v>0</v>
      </c>
      <c r="AR496" s="432">
        <f>+IF(BD_MO[[#This Row],[N° VALE]]&lt;&gt;"",BD_MO[[#This Row],[EMULNOR 3000 (N° CART.)]]*PE_EMUL_3000[PE],"")</f>
        <v>0.76923076923076961</v>
      </c>
      <c r="AS496" s="432">
        <f>+IF(BD_MO[[#This Row],[N° VALE]]&lt;&gt;"",BD_MO[[#This Row],[PULVERULENTA (N° CART.)]]*PE_PULV_65[PE],"")</f>
        <v>0</v>
      </c>
      <c r="AT496" s="432">
        <f>+IF(BD_MO[[#This Row],[N° DISP]]&lt;&gt;"",BD_MO[[#This Row],[SEMIGELATINA (N° CART.)]]*PE_SEMIGEL_65[PE],"")</f>
        <v>0</v>
      </c>
      <c r="AU496" s="432">
        <f>+IF(BD_MO[N° VALE]&lt;&gt;"",BD_MO[[#This Row],[KG EXPLO SEMIGEL]]+BD_MO[[#This Row],[KG EXPLO PULVE]]+BD_MO[[#This Row],[KG EXPLO EMULN 3000]]+BD_MO[[#This Row],[KG EXPLO EMULN 1000]],"")</f>
        <v>0.76923076923076961</v>
      </c>
      <c r="AV496" s="428">
        <v>10</v>
      </c>
      <c r="AW496" s="428"/>
      <c r="AX496" s="428">
        <f>+IF(BD_MO[[#This Row],[MINERAL (U-35)]]&lt;&gt;"",BD_MO[[#This Row],[MINERAL (U-35)]]*1.45,"-")</f>
        <v>14.5</v>
      </c>
      <c r="AY496" s="428" t="str">
        <f>+IF(BD_MO[[#This Row],[DESMONTE (U-35)]]&lt;&gt;"",BD_MO[[#This Row],[DESMONTE (U-35)]]*1.23,"-")</f>
        <v>-</v>
      </c>
      <c r="AZ496" s="428"/>
      <c r="BA496" s="428"/>
      <c r="BB496" s="428"/>
      <c r="BC496" s="428"/>
      <c r="BD496" s="428"/>
      <c r="BE496" s="428"/>
      <c r="BF496" s="428"/>
      <c r="BG496" s="428"/>
      <c r="BH496" s="428"/>
      <c r="BI496" s="428">
        <v>1</v>
      </c>
      <c r="BJ496" s="428"/>
      <c r="BK496" s="428"/>
      <c r="BL496" s="428"/>
      <c r="BM496" s="428"/>
      <c r="BN496" s="427">
        <v>5.4</v>
      </c>
      <c r="BO496" s="428"/>
      <c r="BP496" s="428"/>
      <c r="BQ496" s="427"/>
      <c r="BR496" s="428"/>
      <c r="BS496" s="427"/>
      <c r="BT496" s="432"/>
      <c r="BU496" s="428"/>
      <c r="BV496" s="428"/>
      <c r="BW496" s="428"/>
      <c r="BX496" s="428">
        <v>3</v>
      </c>
      <c r="BY496" s="428"/>
      <c r="BZ496" s="428"/>
      <c r="CA496" s="428"/>
      <c r="CB496" s="428"/>
      <c r="CC496" s="428"/>
      <c r="CD496" s="428"/>
      <c r="CE496" s="428"/>
      <c r="CF496" s="428"/>
      <c r="CG496" s="428"/>
      <c r="CH496" s="428"/>
      <c r="CI496" s="428"/>
      <c r="CJ496" s="428"/>
      <c r="CK496" s="428"/>
      <c r="CL496" s="428">
        <v>1</v>
      </c>
      <c r="CM496" s="428">
        <v>1</v>
      </c>
      <c r="CN496" s="428"/>
      <c r="CO496" s="428"/>
      <c r="CP496" s="432">
        <f>+IF(BD_MO[[#This Row],[FECHA]]&lt;&gt;"",BD_MO[[#This Row],[PUNTAL 4"]]+BD_MO[[#This Row],[PUNTAL 5"]]+BD_MO[[#This Row],[PUNTAL 6"]]+BD_MO[[#This Row],[PUNTAL 7"]]+BD_MO[[#This Row],[PUNTAL 8"]],"")</f>
        <v>2</v>
      </c>
      <c r="CQ496" s="428"/>
      <c r="CR496" s="428"/>
      <c r="CS496" s="428"/>
      <c r="CT496" s="428"/>
      <c r="CU496" s="428"/>
      <c r="CV496" s="428"/>
      <c r="CW496" s="428"/>
      <c r="CX496" s="428">
        <v>8</v>
      </c>
      <c r="CY496" s="432"/>
      <c r="CZ496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76.037000000000006</v>
      </c>
      <c r="DA496" s="432">
        <f>+IF(BD_MO[[#This Row],[FECHA]]&lt;&gt;"",BD_MO[[#This Row],[DURMIENTE2]]*6.561+BD_MO[[#This Row],[LISTONES]]*4.921+BD_MO[[#This Row],[TABLA 1"x8"x3m]]*6.561+BD_MO[[#This Row],[TABLA 2"x8"x3m]]*13.122,"")</f>
        <v>104.976</v>
      </c>
      <c r="DB496" s="432">
        <f>+IF(BD_MO[[#This Row],[FECHA]]&lt;&gt;"",BD_MO[[#This Row],[PIE2 MADERA ASERRADA]]*1.95,"")</f>
        <v>204.70319999999998</v>
      </c>
      <c r="DC496" s="432">
        <f>+IF(BD_MO[[#This Row],[FECHA]]&lt;&gt;"",BD_MO[[#This Row],[KG. MADERA REDONDA]]+BD_MO[[#This Row],[KG MADERA ASERRADA]],"")</f>
        <v>280.74019999999996</v>
      </c>
      <c r="DD496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157.36000000000001</v>
      </c>
      <c r="DE496" s="428"/>
      <c r="DF496" s="428"/>
      <c r="DG496" s="428"/>
      <c r="DH496" s="428"/>
      <c r="DI496" s="43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496" s="436"/>
      <c r="DK496" s="436"/>
      <c r="DL496" s="43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0.93</v>
      </c>
      <c r="DM496" s="43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0.96720000000000006</v>
      </c>
      <c r="DN496" s="43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96" s="437">
        <v>3.6172</v>
      </c>
      <c r="DP496" s="436">
        <f>+IF(BD_MO[[#This Row],[M o D]]&lt;&gt;"",IF(BD_MO[[#This Row],[M o D]]="M",BD_MO[[#This Row],[ROTURA TMH]]/2.65,BD_MO[[#This Row],[ROTURA TMH]]/2.4),"")</f>
        <v>1.3649811320754717</v>
      </c>
      <c r="DQ496" s="436"/>
      <c r="DR496" s="116" t="str">
        <f>IF(BD_MO[[#This Row],[TIPO AVANCE]]="Avance",((BD_MO[[#This Row],[AVANCE (m)]]/BD_MO[[#This Row],[AVANCE TEÓRICO]]))," ")</f>
        <v xml:space="preserve"> </v>
      </c>
      <c r="DS496" s="134"/>
      <c r="DT496" s="134"/>
      <c r="DU496" s="134"/>
      <c r="DV496" s="134"/>
      <c r="DW496" s="134"/>
      <c r="DX496" s="135"/>
      <c r="DY496" s="135"/>
      <c r="DZ496" s="135"/>
    </row>
    <row r="497" spans="1:130" s="136" customFormat="1" ht="18" customHeight="1" x14ac:dyDescent="0.25">
      <c r="A497" s="395">
        <v>44679</v>
      </c>
      <c r="B497" s="425" t="s">
        <v>10655</v>
      </c>
      <c r="C497" s="425" t="s">
        <v>10672</v>
      </c>
      <c r="D497" s="81" t="s">
        <v>12437</v>
      </c>
      <c r="E497" s="427" t="str">
        <f>LEFT(BD_MO[[#This Row],[LABOR]],2)</f>
        <v>Sn</v>
      </c>
      <c r="F497" s="428" t="s">
        <v>10687</v>
      </c>
      <c r="G497" s="428" t="s">
        <v>10648</v>
      </c>
      <c r="H497" s="434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497" s="387" t="str">
        <f>IF(BD_MO[FECHA]&lt;&gt;"",VLOOKUP(BD_MO[LABOR],TB_CECO[[LABOR]:[CECO_T]],3,FALSE),"")</f>
        <v>VANESSA</v>
      </c>
      <c r="J497" s="387" t="str">
        <f>IF(BD_MO[FECHA]&lt;&gt;"",VLOOKUP(BD_MO[LABOR],D_CECO!B:H,7,FALSE),"")</f>
        <v>LINEAL</v>
      </c>
      <c r="K497" s="387" t="str">
        <f>IF(BD_MO[FECHA]&lt;&gt;"",VLOOKUP(BD_MO[LABOR],D_CECO!B:H,4,FALSE),"")</f>
        <v>EXPLORACION</v>
      </c>
      <c r="L497" s="427"/>
      <c r="M497" s="425" t="s">
        <v>10679</v>
      </c>
      <c r="N497" s="428"/>
      <c r="O497" s="429" t="s">
        <v>12205</v>
      </c>
      <c r="P497" s="429" t="s">
        <v>12195</v>
      </c>
      <c r="Q497" s="429"/>
      <c r="R497" s="430"/>
      <c r="S497" s="431" t="str">
        <f>IFERROR(VLOOKUP(BD_MO[DNI 4],#REF!,2,FALSE)," ")</f>
        <v xml:space="preserve"> </v>
      </c>
      <c r="T497" s="432">
        <f>+IF(BD_MO[[#This Row],[FECHA]]&lt;&gt;"",COUNTA(BD_MO[[#This Row],[DNI]],BD_MO[[#This Row],[DNI 2]],BD_MO[[#This Row],[DNI 3]],BD_MO[[#This Row],[DNI 4]]),"")</f>
        <v>2</v>
      </c>
      <c r="U497" s="432"/>
      <c r="V497" s="432">
        <v>0.28000000000000003</v>
      </c>
      <c r="W497" s="432">
        <v>0.96</v>
      </c>
      <c r="X497" s="432">
        <v>0.76</v>
      </c>
      <c r="Y497" s="433">
        <f>SUM(BD_MO[[#This Row],[LIMP]:[SERV]])</f>
        <v>2</v>
      </c>
      <c r="Z497" s="428" t="s">
        <v>12459</v>
      </c>
      <c r="AA497" s="428">
        <f>+IF(BD_MO[[#This Row],[N° VALE]]&lt;&gt;"",1,"")</f>
        <v>1</v>
      </c>
      <c r="AB497" s="425" t="s">
        <v>10709</v>
      </c>
      <c r="AC497" s="428">
        <v>4</v>
      </c>
      <c r="AD497" s="428">
        <f>+IF(BD_MO[[#This Row],[N° VALE]]&lt;&gt;"",BD_MO[[#This Row],[FULMINANTE N° 08]]+BD_MO[CARMEX 7''],"")</f>
        <v>3</v>
      </c>
      <c r="AE497" s="428"/>
      <c r="AF497" s="428">
        <f>+IF(BD_MO[[#This Row],[N° VALE]]&lt;&gt;"",BD_MO[[#This Row],[N° TALADROS]]+BD_MO[[#This Row],[N° TAL. VACIOS]],"")</f>
        <v>3</v>
      </c>
      <c r="AG497" s="434"/>
      <c r="AH497" s="434">
        <v>6</v>
      </c>
      <c r="AI497" s="434"/>
      <c r="AJ497" s="434"/>
      <c r="AK497" s="434">
        <v>3</v>
      </c>
      <c r="AL497" s="434">
        <v>1</v>
      </c>
      <c r="AM497" s="427"/>
      <c r="AN497" s="428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497" s="428">
        <f>+IF(BD_MO[[#This Row],[N° VALE]]&lt;&gt;"",IF(BD_MO[[#This Row],[FULMINANTE N° 08]]&lt;&gt;"",BD_MO[[#This Row],[FULMINANTE N° 08]],IF(BD_MO[[#This Row],[CARMEX 7'']]&lt;&gt;0,0,"")),"")</f>
        <v>0</v>
      </c>
      <c r="AP497" s="432">
        <f>+IF(BD_MO[[#This Row],[N° VALE]]&lt;&gt;"",BD_MO[[#This Row],[N°  TOTAL TALADROS]]*BD_MO[[#This Row],[BARRA]]*0.95,"")</f>
        <v>11.399999999999999</v>
      </c>
      <c r="AQ497" s="432">
        <f>+IF(BD_MO[[#This Row],[N° VALE]]&lt;&gt;"",BD_MO[[#This Row],[EMULNOR 1000 (N° CART.)]]*PE_EMUL_1000[PE],"")</f>
        <v>0.56820000000000004</v>
      </c>
      <c r="AR497" s="432">
        <f>+IF(BD_MO[[#This Row],[N° VALE]]&lt;&gt;"",BD_MO[[#This Row],[EMULNOR 3000 (N° CART.)]]*PE_EMUL_3000[PE],"")</f>
        <v>0</v>
      </c>
      <c r="AS497" s="432">
        <f>+IF(BD_MO[[#This Row],[N° VALE]]&lt;&gt;"",BD_MO[[#This Row],[PULVERULENTA (N° CART.)]]*PE_PULV_65[PE],"")</f>
        <v>0</v>
      </c>
      <c r="AT497" s="432">
        <f>+IF(BD_MO[[#This Row],[N° DISP]]&lt;&gt;"",BD_MO[[#This Row],[SEMIGELATINA (N° CART.)]]*PE_SEMIGEL_65[PE],"")</f>
        <v>0</v>
      </c>
      <c r="AU497" s="432">
        <f>+IF(BD_MO[N° VALE]&lt;&gt;"",BD_MO[[#This Row],[KG EXPLO SEMIGEL]]+BD_MO[[#This Row],[KG EXPLO PULVE]]+BD_MO[[#This Row],[KG EXPLO EMULN 3000]]+BD_MO[[#This Row],[KG EXPLO EMULN 1000]],"")</f>
        <v>0.56820000000000004</v>
      </c>
      <c r="AV497" s="428"/>
      <c r="AW497" s="428"/>
      <c r="AX497" s="428" t="str">
        <f>+IF(BD_MO[[#This Row],[MINERAL (U-35)]]&lt;&gt;"",BD_MO[[#This Row],[MINERAL (U-35)]]*1.45,"-")</f>
        <v>-</v>
      </c>
      <c r="AY497" s="428" t="str">
        <f>+IF(BD_MO[[#This Row],[DESMONTE (U-35)]]&lt;&gt;"",BD_MO[[#This Row],[DESMONTE (U-35)]]*1.23,"-")</f>
        <v>-</v>
      </c>
      <c r="AZ497" s="428"/>
      <c r="BA497" s="428">
        <v>2</v>
      </c>
      <c r="BB497" s="428"/>
      <c r="BC497" s="428"/>
      <c r="BD497" s="428"/>
      <c r="BE497" s="428"/>
      <c r="BF497" s="428"/>
      <c r="BG497" s="428"/>
      <c r="BH497" s="428"/>
      <c r="BI497" s="428">
        <v>2</v>
      </c>
      <c r="BJ497" s="428"/>
      <c r="BK497" s="428"/>
      <c r="BL497" s="428"/>
      <c r="BM497" s="428"/>
      <c r="BN497" s="427"/>
      <c r="BO497" s="428"/>
      <c r="BP497" s="428"/>
      <c r="BQ497" s="427"/>
      <c r="BR497" s="428"/>
      <c r="BS497" s="427"/>
      <c r="BT497" s="432"/>
      <c r="BU497" s="428"/>
      <c r="BV497" s="428"/>
      <c r="BW497" s="428"/>
      <c r="BX497" s="428"/>
      <c r="BY497" s="428"/>
      <c r="BZ497" s="428"/>
      <c r="CA497" s="428"/>
      <c r="CB497" s="428"/>
      <c r="CC497" s="428"/>
      <c r="CD497" s="428"/>
      <c r="CE497" s="428"/>
      <c r="CF497" s="428"/>
      <c r="CG497" s="428"/>
      <c r="CH497" s="428"/>
      <c r="CI497" s="428"/>
      <c r="CJ497" s="428"/>
      <c r="CK497" s="428"/>
      <c r="CL497" s="428">
        <v>1</v>
      </c>
      <c r="CM497" s="428">
        <v>2</v>
      </c>
      <c r="CN497" s="428">
        <v>8</v>
      </c>
      <c r="CO497" s="428"/>
      <c r="CP497" s="432">
        <f>+IF(BD_MO[[#This Row],[FECHA]]&lt;&gt;"",BD_MO[[#This Row],[PUNTAL 4"]]+BD_MO[[#This Row],[PUNTAL 5"]]+BD_MO[[#This Row],[PUNTAL 6"]]+BD_MO[[#This Row],[PUNTAL 7"]]+BD_MO[[#This Row],[PUNTAL 8"]],"")</f>
        <v>11</v>
      </c>
      <c r="CQ497" s="428"/>
      <c r="CR497" s="428"/>
      <c r="CS497" s="428"/>
      <c r="CT497" s="428"/>
      <c r="CU497" s="428"/>
      <c r="CV497" s="428"/>
      <c r="CW497" s="428"/>
      <c r="CX497" s="428"/>
      <c r="CY497" s="432"/>
      <c r="CZ497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609.54300000000001</v>
      </c>
      <c r="DA497" s="432">
        <f>+IF(BD_MO[[#This Row],[FECHA]]&lt;&gt;"",BD_MO[[#This Row],[DURMIENTE2]]*6.561+BD_MO[[#This Row],[LISTONES]]*4.921+BD_MO[[#This Row],[TABLA 1"x8"x3m]]*6.561+BD_MO[[#This Row],[TABLA 2"x8"x3m]]*13.122,"")</f>
        <v>0</v>
      </c>
      <c r="DB497" s="432">
        <f>+IF(BD_MO[[#This Row],[FECHA]]&lt;&gt;"",BD_MO[[#This Row],[PIE2 MADERA ASERRADA]]*1.95,"")</f>
        <v>0</v>
      </c>
      <c r="DC497" s="432">
        <f>+IF(BD_MO[[#This Row],[FECHA]]&lt;&gt;"",BD_MO[[#This Row],[KG. MADERA REDONDA]]+BD_MO[[#This Row],[KG MADERA ASERRADA]],"")</f>
        <v>609.54300000000001</v>
      </c>
      <c r="DD497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195.8</v>
      </c>
      <c r="DE497" s="428"/>
      <c r="DF497" s="428"/>
      <c r="DG497" s="428"/>
      <c r="DH497" s="428"/>
      <c r="DI497" s="43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497" s="436"/>
      <c r="DK497" s="436"/>
      <c r="DL497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97" s="43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497" s="43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497" s="437">
        <v>0.76919999999999999</v>
      </c>
      <c r="DP497" s="436">
        <f>+IF(BD_MO[[#This Row],[M o D]]&lt;&gt;"",IF(BD_MO[[#This Row],[M o D]]="M",BD_MO[[#This Row],[ROTURA TMH]]/2.65,BD_MO[[#This Row],[ROTURA TMH]]/2.4),"")</f>
        <v>0.32050000000000001</v>
      </c>
      <c r="DQ497" s="436"/>
      <c r="DR497" s="116" t="str">
        <f>IF(BD_MO[[#This Row],[TIPO AVANCE]]="Avance",((BD_MO[[#This Row],[AVANCE (m)]]/BD_MO[[#This Row],[AVANCE TEÓRICO]]))," ")</f>
        <v xml:space="preserve"> </v>
      </c>
      <c r="DS497" s="134"/>
      <c r="DT497" s="134"/>
      <c r="DU497" s="134"/>
      <c r="DV497" s="134"/>
      <c r="DW497" s="134"/>
      <c r="DX497" s="135"/>
      <c r="DY497" s="135"/>
      <c r="DZ497" s="135"/>
    </row>
    <row r="498" spans="1:130" s="136" customFormat="1" ht="18" customHeight="1" x14ac:dyDescent="0.25">
      <c r="A498" s="92">
        <v>44679</v>
      </c>
      <c r="B498" s="425" t="s">
        <v>10655</v>
      </c>
      <c r="C498" s="425" t="s">
        <v>10672</v>
      </c>
      <c r="D498" s="94" t="s">
        <v>12339</v>
      </c>
      <c r="E498" s="427" t="str">
        <f>LEFT(BD_MO[[#This Row],[LABOR]],2)</f>
        <v>Tj</v>
      </c>
      <c r="F498" s="428"/>
      <c r="G498" s="428" t="s">
        <v>10656</v>
      </c>
      <c r="H498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498" s="383" t="str">
        <f>IF(BD_MO[FECHA]&lt;&gt;"",VLOOKUP(BD_MO[LABOR],TB_CECO[[LABOR]:[CECO_T]],3,FALSE),"")</f>
        <v>ESCONDIDA</v>
      </c>
      <c r="J498" s="383" t="str">
        <f>IF(BD_MO[FECHA]&lt;&gt;"",VLOOKUP(BD_MO[LABOR],D_CECO!B:H,7,FALSE),"")</f>
        <v>TAJO</v>
      </c>
      <c r="K498" s="383" t="str">
        <f>IF(BD_MO[FECHA]&lt;&gt;"",VLOOKUP(BD_MO[LABOR],D_CECO!B:H,4,FALSE),"")</f>
        <v>EXPLOTACION</v>
      </c>
      <c r="L498" s="427"/>
      <c r="M498" s="425"/>
      <c r="N498" s="428"/>
      <c r="O498" s="429" t="s">
        <v>12233</v>
      </c>
      <c r="P498" s="429" t="s">
        <v>12456</v>
      </c>
      <c r="Q498" s="429"/>
      <c r="R498" s="430"/>
      <c r="S498" s="431" t="str">
        <f>IFERROR(VLOOKUP(BD_MO[DNI 4],#REF!,2,FALSE)," ")</f>
        <v xml:space="preserve"> </v>
      </c>
      <c r="T498" s="432">
        <f>+IF(BD_MO[[#This Row],[FECHA]]&lt;&gt;"",COUNTA(BD_MO[[#This Row],[DNI]],BD_MO[[#This Row],[DNI 2]],BD_MO[[#This Row],[DNI 3]],BD_MO[[#This Row],[DNI 4]]),"")</f>
        <v>2</v>
      </c>
      <c r="U498" s="432">
        <v>0.38</v>
      </c>
      <c r="V498" s="432"/>
      <c r="W498" s="432">
        <v>0.57999999999999996</v>
      </c>
      <c r="X498" s="432">
        <v>1.04</v>
      </c>
      <c r="Y498" s="433">
        <f>SUM(BD_MO[[#This Row],[LIMP]:[SERV]])</f>
        <v>2</v>
      </c>
      <c r="Z498" s="428"/>
      <c r="AA498" s="428" t="str">
        <f>+IF(BD_MO[[#This Row],[N° VALE]]&lt;&gt;"",1,"")</f>
        <v/>
      </c>
      <c r="AB498" s="425"/>
      <c r="AC498" s="428"/>
      <c r="AD498" s="428" t="str">
        <f>+IF(BD_MO[[#This Row],[N° VALE]]&lt;&gt;"",BD_MO[[#This Row],[FULMINANTE N° 08]]+BD_MO[CARMEX 7''],"")</f>
        <v/>
      </c>
      <c r="AE498" s="428"/>
      <c r="AF498" s="428" t="str">
        <f>+IF(BD_MO[[#This Row],[N° VALE]]&lt;&gt;"",BD_MO[[#This Row],[N° TALADROS]]+BD_MO[[#This Row],[N° TAL. VACIOS]],"")</f>
        <v/>
      </c>
      <c r="AG498" s="434"/>
      <c r="AH498" s="434"/>
      <c r="AI498" s="434"/>
      <c r="AJ498" s="434"/>
      <c r="AK498" s="434"/>
      <c r="AL498" s="434"/>
      <c r="AM498" s="427"/>
      <c r="AN498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98" s="428" t="str">
        <f>+IF(BD_MO[[#This Row],[N° VALE]]&lt;&gt;"",IF(BD_MO[[#This Row],[FULMINANTE N° 08]]&lt;&gt;"",BD_MO[[#This Row],[FULMINANTE N° 08]],IF(BD_MO[[#This Row],[CARMEX 7'']]&lt;&gt;0,0,"")),"")</f>
        <v/>
      </c>
      <c r="AP498" s="432" t="str">
        <f>+IF(BD_MO[[#This Row],[N° VALE]]&lt;&gt;"",BD_MO[[#This Row],[N°  TOTAL TALADROS]]*BD_MO[[#This Row],[BARRA]]*0.95,"")</f>
        <v/>
      </c>
      <c r="AQ498" s="432" t="str">
        <f>+IF(BD_MO[[#This Row],[N° VALE]]&lt;&gt;"",BD_MO[[#This Row],[EMULNOR 1000 (N° CART.)]]*PE_EMUL_1000[PE],"")</f>
        <v/>
      </c>
      <c r="AR498" s="432" t="str">
        <f>+IF(BD_MO[[#This Row],[N° VALE]]&lt;&gt;"",BD_MO[[#This Row],[EMULNOR 3000 (N° CART.)]]*PE_EMUL_3000[PE],"")</f>
        <v/>
      </c>
      <c r="AS498" s="432" t="str">
        <f>+IF(BD_MO[[#This Row],[N° VALE]]&lt;&gt;"",BD_MO[[#This Row],[PULVERULENTA (N° CART.)]]*PE_PULV_65[PE],"")</f>
        <v/>
      </c>
      <c r="AT498" s="432" t="str">
        <f>+IF(BD_MO[[#This Row],[N° DISP]]&lt;&gt;"",BD_MO[[#This Row],[SEMIGELATINA (N° CART.)]]*PE_SEMIGEL_65[PE],"")</f>
        <v/>
      </c>
      <c r="AU498" s="432" t="str">
        <f>+IF(BD_MO[N° VALE]&lt;&gt;"",BD_MO[[#This Row],[KG EXPLO SEMIGEL]]+BD_MO[[#This Row],[KG EXPLO PULVE]]+BD_MO[[#This Row],[KG EXPLO EMULN 3000]]+BD_MO[[#This Row],[KG EXPLO EMULN 1000]],"")</f>
        <v/>
      </c>
      <c r="AV498" s="428">
        <v>2</v>
      </c>
      <c r="AW498" s="428"/>
      <c r="AX498" s="428">
        <f>+IF(BD_MO[[#This Row],[MINERAL (U-35)]]&lt;&gt;"",BD_MO[[#This Row],[MINERAL (U-35)]]*1.45,"-")</f>
        <v>2.9</v>
      </c>
      <c r="AY498" s="428" t="str">
        <f>+IF(BD_MO[[#This Row],[DESMONTE (U-35)]]&lt;&gt;"",BD_MO[[#This Row],[DESMONTE (U-35)]]*1.23,"-")</f>
        <v>-</v>
      </c>
      <c r="AZ498" s="428"/>
      <c r="BA498" s="428"/>
      <c r="BB498" s="428"/>
      <c r="BC498" s="428"/>
      <c r="BD498" s="428"/>
      <c r="BE498" s="428"/>
      <c r="BF498" s="428"/>
      <c r="BG498" s="428"/>
      <c r="BH498" s="428"/>
      <c r="BI498" s="428"/>
      <c r="BJ498" s="428"/>
      <c r="BK498" s="428"/>
      <c r="BL498" s="428"/>
      <c r="BM498" s="428"/>
      <c r="BN498" s="427">
        <v>2.2799999999999998</v>
      </c>
      <c r="BO498" s="428"/>
      <c r="BP498" s="428"/>
      <c r="BQ498" s="427"/>
      <c r="BR498" s="428"/>
      <c r="BS498" s="427"/>
      <c r="BT498" s="432"/>
      <c r="BU498" s="428"/>
      <c r="BV498" s="428"/>
      <c r="BW498" s="428"/>
      <c r="BX498" s="428"/>
      <c r="BY498" s="428"/>
      <c r="BZ498" s="428"/>
      <c r="CA498" s="428"/>
      <c r="CB498" s="428"/>
      <c r="CC498" s="428"/>
      <c r="CD498" s="428"/>
      <c r="CE498" s="428"/>
      <c r="CF498" s="428"/>
      <c r="CG498" s="428"/>
      <c r="CH498" s="428"/>
      <c r="CI498" s="428"/>
      <c r="CJ498" s="428"/>
      <c r="CK498" s="428"/>
      <c r="CL498" s="428"/>
      <c r="CM498" s="428"/>
      <c r="CN498" s="428"/>
      <c r="CO498" s="428"/>
      <c r="CP498" s="432">
        <f>+IF(BD_MO[[#This Row],[FECHA]]&lt;&gt;"",BD_MO[[#This Row],[PUNTAL 4"]]+BD_MO[[#This Row],[PUNTAL 5"]]+BD_MO[[#This Row],[PUNTAL 6"]]+BD_MO[[#This Row],[PUNTAL 7"]]+BD_MO[[#This Row],[PUNTAL 8"]],"")</f>
        <v>0</v>
      </c>
      <c r="CQ498" s="428"/>
      <c r="CR498" s="428"/>
      <c r="CS498" s="428"/>
      <c r="CT498" s="428"/>
      <c r="CU498" s="428"/>
      <c r="CV498" s="428"/>
      <c r="CW498" s="428"/>
      <c r="CX498" s="428"/>
      <c r="CY498" s="432"/>
      <c r="CZ498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498" s="432">
        <f>+IF(BD_MO[[#This Row],[FECHA]]&lt;&gt;"",BD_MO[[#This Row],[DURMIENTE2]]*6.561+BD_MO[[#This Row],[LISTONES]]*4.921+BD_MO[[#This Row],[TABLA 1"x8"x3m]]*6.561+BD_MO[[#This Row],[TABLA 2"x8"x3m]]*13.122,"")</f>
        <v>0</v>
      </c>
      <c r="DB498" s="432">
        <f>+IF(BD_MO[[#This Row],[FECHA]]&lt;&gt;"",BD_MO[[#This Row],[PIE2 MADERA ASERRADA]]*1.95,"")</f>
        <v>0</v>
      </c>
      <c r="DC498" s="432">
        <f>+IF(BD_MO[[#This Row],[FECHA]]&lt;&gt;"",BD_MO[[#This Row],[KG. MADERA REDONDA]]+BD_MO[[#This Row],[KG MADERA ASERRADA]],"")</f>
        <v>0</v>
      </c>
      <c r="DD498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498" s="428"/>
      <c r="DF498" s="428"/>
      <c r="DG498" s="428"/>
      <c r="DH498" s="428"/>
      <c r="DI498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98" s="436"/>
      <c r="DK498" s="436"/>
      <c r="DL498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98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98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98" s="437"/>
      <c r="DP498" s="436" t="str">
        <f>+IF(BD_MO[[#This Row],[M o D]]&lt;&gt;"",IF(BD_MO[[#This Row],[M o D]]="M",BD_MO[[#This Row],[ROTURA TMH]]/2.65,BD_MO[[#This Row],[ROTURA TMH]]/2.4),"")</f>
        <v/>
      </c>
      <c r="DQ498" s="436"/>
      <c r="DR498" s="116" t="str">
        <f>IF(BD_MO[[#This Row],[TIPO AVANCE]]="Avance",((BD_MO[[#This Row],[AVANCE (m)]]/BD_MO[[#This Row],[AVANCE TEÓRICO]]))," ")</f>
        <v xml:space="preserve"> </v>
      </c>
      <c r="DS498" s="134"/>
      <c r="DT498" s="134"/>
      <c r="DU498" s="134"/>
      <c r="DV498" s="134"/>
      <c r="DW498" s="134"/>
      <c r="DX498" s="135"/>
      <c r="DY498" s="135"/>
      <c r="DZ498" s="135"/>
    </row>
    <row r="499" spans="1:130" s="136" customFormat="1" ht="18" customHeight="1" x14ac:dyDescent="0.25">
      <c r="A499" s="395">
        <v>44679</v>
      </c>
      <c r="B499" s="425" t="s">
        <v>10655</v>
      </c>
      <c r="C499" s="425" t="s">
        <v>10672</v>
      </c>
      <c r="D499" s="94" t="s">
        <v>11806</v>
      </c>
      <c r="E499" s="427" t="str">
        <f>LEFT(BD_MO[[#This Row],[LABOR]],2)</f>
        <v>CX</v>
      </c>
      <c r="F499" s="428"/>
      <c r="G499" s="428" t="s">
        <v>10673</v>
      </c>
      <c r="H499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REHABILITACION</v>
      </c>
      <c r="I499" s="383" t="str">
        <f>IF(BD_MO[FECHA]&lt;&gt;"",VLOOKUP(BD_MO[LABOR],TB_CECO[[LABOR]:[CECO_T]],3,FALSE),"")</f>
        <v>CACHORRO</v>
      </c>
      <c r="J499" s="383" t="str">
        <f>IF(BD_MO[FECHA]&lt;&gt;"",VLOOKUP(BD_MO[LABOR],D_CECO!B:H,7,FALSE),"")</f>
        <v>LINEAL</v>
      </c>
      <c r="K499" s="383" t="str">
        <f>IF(BD_MO[FECHA]&lt;&gt;"",VLOOKUP(BD_MO[LABOR],D_CECO!B:H,4,FALSE),"")</f>
        <v>EXPLORACION</v>
      </c>
      <c r="L499" s="427"/>
      <c r="M499" s="425"/>
      <c r="N499" s="428"/>
      <c r="O499" s="429" t="s">
        <v>12457</v>
      </c>
      <c r="P499" s="429" t="s">
        <v>12207</v>
      </c>
      <c r="Q499" s="429"/>
      <c r="R499" s="430"/>
      <c r="S499" s="431" t="str">
        <f>IFERROR(VLOOKUP(BD_MO[DNI 4],#REF!,2,FALSE)," ")</f>
        <v xml:space="preserve"> </v>
      </c>
      <c r="T499" s="432">
        <f>+IF(BD_MO[[#This Row],[FECHA]]&lt;&gt;"",COUNTA(BD_MO[[#This Row],[DNI]],BD_MO[[#This Row],[DNI 2]],BD_MO[[#This Row],[DNI 3]],BD_MO[[#This Row],[DNI 4]]),"")</f>
        <v>2</v>
      </c>
      <c r="U499" s="432">
        <v>0.28000000000000003</v>
      </c>
      <c r="V499" s="432"/>
      <c r="W499" s="432">
        <v>0.96</v>
      </c>
      <c r="X499" s="432">
        <v>0.76</v>
      </c>
      <c r="Y499" s="433">
        <f>SUM(BD_MO[[#This Row],[LIMP]:[SERV]])</f>
        <v>2</v>
      </c>
      <c r="Z499" s="428"/>
      <c r="AA499" s="428" t="str">
        <f>+IF(BD_MO[[#This Row],[N° VALE]]&lt;&gt;"",1,"")</f>
        <v/>
      </c>
      <c r="AB499" s="425"/>
      <c r="AC499" s="428"/>
      <c r="AD499" s="428" t="str">
        <f>+IF(BD_MO[[#This Row],[N° VALE]]&lt;&gt;"",BD_MO[[#This Row],[FULMINANTE N° 08]]+BD_MO[CARMEX 7''],"")</f>
        <v/>
      </c>
      <c r="AE499" s="428"/>
      <c r="AF499" s="428" t="str">
        <f>+IF(BD_MO[[#This Row],[N° VALE]]&lt;&gt;"",BD_MO[[#This Row],[N° TALADROS]]+BD_MO[[#This Row],[N° TAL. VACIOS]],"")</f>
        <v/>
      </c>
      <c r="AG499" s="434"/>
      <c r="AH499" s="434"/>
      <c r="AI499" s="434"/>
      <c r="AJ499" s="434"/>
      <c r="AK499" s="434"/>
      <c r="AL499" s="434"/>
      <c r="AM499" s="427"/>
      <c r="AN499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499" s="428" t="str">
        <f>+IF(BD_MO[[#This Row],[N° VALE]]&lt;&gt;"",IF(BD_MO[[#This Row],[FULMINANTE N° 08]]&lt;&gt;"",BD_MO[[#This Row],[FULMINANTE N° 08]],IF(BD_MO[[#This Row],[CARMEX 7'']]&lt;&gt;0,0,"")),"")</f>
        <v/>
      </c>
      <c r="AP499" s="432" t="str">
        <f>+IF(BD_MO[[#This Row],[N° VALE]]&lt;&gt;"",BD_MO[[#This Row],[N°  TOTAL TALADROS]]*BD_MO[[#This Row],[BARRA]]*0.95,"")</f>
        <v/>
      </c>
      <c r="AQ499" s="432" t="str">
        <f>+IF(BD_MO[[#This Row],[N° VALE]]&lt;&gt;"",BD_MO[[#This Row],[EMULNOR 1000 (N° CART.)]]*PE_EMUL_1000[PE],"")</f>
        <v/>
      </c>
      <c r="AR499" s="432" t="str">
        <f>+IF(BD_MO[[#This Row],[N° VALE]]&lt;&gt;"",BD_MO[[#This Row],[EMULNOR 3000 (N° CART.)]]*PE_EMUL_3000[PE],"")</f>
        <v/>
      </c>
      <c r="AS499" s="432" t="str">
        <f>+IF(BD_MO[[#This Row],[N° VALE]]&lt;&gt;"",BD_MO[[#This Row],[PULVERULENTA (N° CART.)]]*PE_PULV_65[PE],"")</f>
        <v/>
      </c>
      <c r="AT499" s="432" t="str">
        <f>+IF(BD_MO[[#This Row],[N° DISP]]&lt;&gt;"",BD_MO[[#This Row],[SEMIGELATINA (N° CART.)]]*PE_SEMIGEL_65[PE],"")</f>
        <v/>
      </c>
      <c r="AU499" s="432" t="str">
        <f>+IF(BD_MO[N° VALE]&lt;&gt;"",BD_MO[[#This Row],[KG EXPLO SEMIGEL]]+BD_MO[[#This Row],[KG EXPLO PULVE]]+BD_MO[[#This Row],[KG EXPLO EMULN 3000]]+BD_MO[[#This Row],[KG EXPLO EMULN 1000]],"")</f>
        <v/>
      </c>
      <c r="AV499" s="428"/>
      <c r="AW499" s="428"/>
      <c r="AX499" s="428" t="str">
        <f>+IF(BD_MO[[#This Row],[MINERAL (U-35)]]&lt;&gt;"",BD_MO[[#This Row],[MINERAL (U-35)]]*1.45,"-")</f>
        <v>-</v>
      </c>
      <c r="AY499" s="428" t="str">
        <f>+IF(BD_MO[[#This Row],[DESMONTE (U-35)]]&lt;&gt;"",BD_MO[[#This Row],[DESMONTE (U-35)]]*1.23,"-")</f>
        <v>-</v>
      </c>
      <c r="AZ499" s="428">
        <v>1</v>
      </c>
      <c r="BA499" s="428"/>
      <c r="BB499" s="428"/>
      <c r="BC499" s="428"/>
      <c r="BD499" s="428"/>
      <c r="BE499" s="428"/>
      <c r="BF499" s="428"/>
      <c r="BG499" s="428"/>
      <c r="BH499" s="428"/>
      <c r="BI499" s="428"/>
      <c r="BJ499" s="428"/>
      <c r="BK499" s="428"/>
      <c r="BL499" s="428"/>
      <c r="BM499" s="428"/>
      <c r="BN499" s="427"/>
      <c r="BO499" s="428"/>
      <c r="BP499" s="428"/>
      <c r="BQ499" s="427"/>
      <c r="BR499" s="428"/>
      <c r="BS499" s="427"/>
      <c r="BT499" s="432"/>
      <c r="BU499" s="428"/>
      <c r="BV499" s="428"/>
      <c r="BW499" s="428"/>
      <c r="BX499" s="428"/>
      <c r="BY499" s="428"/>
      <c r="BZ499" s="428"/>
      <c r="CA499" s="428"/>
      <c r="CB499" s="428"/>
      <c r="CC499" s="428"/>
      <c r="CD499" s="428"/>
      <c r="CE499" s="428"/>
      <c r="CF499" s="428"/>
      <c r="CG499" s="428"/>
      <c r="CH499" s="428"/>
      <c r="CI499" s="428"/>
      <c r="CJ499" s="428"/>
      <c r="CK499" s="428"/>
      <c r="CL499" s="428">
        <v>1</v>
      </c>
      <c r="CM499" s="428"/>
      <c r="CN499" s="428"/>
      <c r="CO499" s="428">
        <v>3</v>
      </c>
      <c r="CP499" s="432">
        <f>+IF(BD_MO[[#This Row],[FECHA]]&lt;&gt;"",BD_MO[[#This Row],[PUNTAL 4"]]+BD_MO[[#This Row],[PUNTAL 5"]]+BD_MO[[#This Row],[PUNTAL 6"]]+BD_MO[[#This Row],[PUNTAL 7"]]+BD_MO[[#This Row],[PUNTAL 8"]],"")</f>
        <v>4</v>
      </c>
      <c r="CQ499" s="428"/>
      <c r="CR499" s="428"/>
      <c r="CS499" s="428">
        <v>5</v>
      </c>
      <c r="CT499" s="428"/>
      <c r="CU499" s="428"/>
      <c r="CV499" s="428"/>
      <c r="CW499" s="428"/>
      <c r="CX499" s="428"/>
      <c r="CY499" s="432"/>
      <c r="CZ499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393.49099999999999</v>
      </c>
      <c r="DA499" s="432">
        <f>+IF(BD_MO[[#This Row],[FECHA]]&lt;&gt;"",BD_MO[[#This Row],[DURMIENTE2]]*6.561+BD_MO[[#This Row],[LISTONES]]*4.921+BD_MO[[#This Row],[TABLA 1"x8"x3m]]*6.561+BD_MO[[#This Row],[TABLA 2"x8"x3m]]*13.122,"")</f>
        <v>0</v>
      </c>
      <c r="DB499" s="432">
        <f>+IF(BD_MO[[#This Row],[FECHA]]&lt;&gt;"",BD_MO[[#This Row],[PIE2 MADERA ASERRADA]]*1.95,"")</f>
        <v>0</v>
      </c>
      <c r="DC499" s="432">
        <f>+IF(BD_MO[[#This Row],[FECHA]]&lt;&gt;"",BD_MO[[#This Row],[KG. MADERA REDONDA]]+BD_MO[[#This Row],[KG MADERA ASERRADA]],"")</f>
        <v>393.49099999999999</v>
      </c>
      <c r="DD499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132.65</v>
      </c>
      <c r="DE499" s="428"/>
      <c r="DF499" s="428"/>
      <c r="DG499" s="428"/>
      <c r="DH499" s="428"/>
      <c r="DI499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499" s="436"/>
      <c r="DK499" s="436"/>
      <c r="DL499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499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499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499" s="437"/>
      <c r="DP499" s="436" t="str">
        <f>+IF(BD_MO[[#This Row],[M o D]]&lt;&gt;"",IF(BD_MO[[#This Row],[M o D]]="M",BD_MO[[#This Row],[ROTURA TMH]]/2.65,BD_MO[[#This Row],[ROTURA TMH]]/2.4),"")</f>
        <v/>
      </c>
      <c r="DQ499" s="436"/>
      <c r="DR499" s="116" t="str">
        <f>IF(BD_MO[[#This Row],[TIPO AVANCE]]="Avance",((BD_MO[[#This Row],[AVANCE (m)]]/BD_MO[[#This Row],[AVANCE TEÓRICO]]))," ")</f>
        <v xml:space="preserve"> </v>
      </c>
      <c r="DS499" s="134"/>
      <c r="DT499" s="134"/>
      <c r="DU499" s="134"/>
      <c r="DV499" s="134"/>
      <c r="DW499" s="134"/>
      <c r="DX499" s="135"/>
      <c r="DY499" s="135"/>
      <c r="DZ499" s="135"/>
    </row>
    <row r="500" spans="1:130" s="136" customFormat="1" ht="18" customHeight="1" x14ac:dyDescent="0.25">
      <c r="A500" s="92">
        <v>44679</v>
      </c>
      <c r="B500" s="425" t="s">
        <v>10655</v>
      </c>
      <c r="C500" s="425" t="s">
        <v>10672</v>
      </c>
      <c r="D500" s="94" t="s">
        <v>11872</v>
      </c>
      <c r="E500" s="427" t="str">
        <f>LEFT(BD_MO[[#This Row],[LABOR]],2)</f>
        <v>PQ</v>
      </c>
      <c r="F500" s="428"/>
      <c r="G500" s="428" t="s">
        <v>10669</v>
      </c>
      <c r="H500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00" s="383" t="str">
        <f>IF(BD_MO[FECHA]&lt;&gt;"",VLOOKUP(BD_MO[LABOR],TB_CECO[[LABOR]:[CECO_T]],3,FALSE),"")</f>
        <v>ANDREA</v>
      </c>
      <c r="J500" s="383" t="str">
        <f>IF(BD_MO[FECHA]&lt;&gt;"",VLOOKUP(BD_MO[LABOR],D_CECO!B:H,7,FALSE),"")</f>
        <v>LINEAL</v>
      </c>
      <c r="K500" s="383" t="str">
        <f>IF(BD_MO[FECHA]&lt;&gt;"",VLOOKUP(BD_MO[LABOR],D_CECO!B:H,4,FALSE),"")</f>
        <v>EXPLOTACION</v>
      </c>
      <c r="L500" s="427"/>
      <c r="M500" s="425"/>
      <c r="N500" s="428"/>
      <c r="O500" s="429" t="s">
        <v>12199</v>
      </c>
      <c r="P500" s="429" t="s">
        <v>12220</v>
      </c>
      <c r="Q500" s="429" t="s">
        <v>12323</v>
      </c>
      <c r="R500" s="430"/>
      <c r="S500" s="431" t="str">
        <f>IFERROR(VLOOKUP(BD_MO[DNI 4],#REF!,2,FALSE)," ")</f>
        <v xml:space="preserve"> </v>
      </c>
      <c r="T500" s="432">
        <f>+IF(BD_MO[[#This Row],[FECHA]]&lt;&gt;"",COUNTA(BD_MO[[#This Row],[DNI]],BD_MO[[#This Row],[DNI 2]],BD_MO[[#This Row],[DNI 3]],BD_MO[[#This Row],[DNI 4]]),"")</f>
        <v>3</v>
      </c>
      <c r="U500" s="432"/>
      <c r="V500" s="432"/>
      <c r="W500" s="432"/>
      <c r="X500" s="432">
        <v>3</v>
      </c>
      <c r="Y500" s="433">
        <f>SUM(BD_MO[[#This Row],[LIMP]:[SERV]])</f>
        <v>3</v>
      </c>
      <c r="Z500" s="428"/>
      <c r="AA500" s="428" t="str">
        <f>+IF(BD_MO[[#This Row],[N° VALE]]&lt;&gt;"",1,"")</f>
        <v/>
      </c>
      <c r="AB500" s="425"/>
      <c r="AC500" s="428"/>
      <c r="AD500" s="428" t="str">
        <f>+IF(BD_MO[[#This Row],[N° VALE]]&lt;&gt;"",BD_MO[[#This Row],[FULMINANTE N° 08]]+BD_MO[CARMEX 7''],"")</f>
        <v/>
      </c>
      <c r="AE500" s="428"/>
      <c r="AF500" s="428" t="str">
        <f>+IF(BD_MO[[#This Row],[N° VALE]]&lt;&gt;"",BD_MO[[#This Row],[N° TALADROS]]+BD_MO[[#This Row],[N° TAL. VACIOS]],"")</f>
        <v/>
      </c>
      <c r="AG500" s="434"/>
      <c r="AH500" s="434"/>
      <c r="AI500" s="434"/>
      <c r="AJ500" s="434"/>
      <c r="AK500" s="434"/>
      <c r="AL500" s="434"/>
      <c r="AM500" s="427"/>
      <c r="AN500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00" s="428" t="str">
        <f>+IF(BD_MO[[#This Row],[N° VALE]]&lt;&gt;"",IF(BD_MO[[#This Row],[FULMINANTE N° 08]]&lt;&gt;"",BD_MO[[#This Row],[FULMINANTE N° 08]],IF(BD_MO[[#This Row],[CARMEX 7'']]&lt;&gt;0,0,"")),"")</f>
        <v/>
      </c>
      <c r="AP500" s="432" t="str">
        <f>+IF(BD_MO[[#This Row],[N° VALE]]&lt;&gt;"",BD_MO[[#This Row],[N°  TOTAL TALADROS]]*BD_MO[[#This Row],[BARRA]]*0.95,"")</f>
        <v/>
      </c>
      <c r="AQ500" s="432" t="str">
        <f>+IF(BD_MO[[#This Row],[N° VALE]]&lt;&gt;"",BD_MO[[#This Row],[EMULNOR 1000 (N° CART.)]]*PE_EMUL_1000[PE],"")</f>
        <v/>
      </c>
      <c r="AR500" s="432" t="str">
        <f>+IF(BD_MO[[#This Row],[N° VALE]]&lt;&gt;"",BD_MO[[#This Row],[EMULNOR 3000 (N° CART.)]]*PE_EMUL_3000[PE],"")</f>
        <v/>
      </c>
      <c r="AS500" s="432" t="str">
        <f>+IF(BD_MO[[#This Row],[N° VALE]]&lt;&gt;"",BD_MO[[#This Row],[PULVERULENTA (N° CART.)]]*PE_PULV_65[PE],"")</f>
        <v/>
      </c>
      <c r="AT500" s="432" t="str">
        <f>+IF(BD_MO[[#This Row],[N° DISP]]&lt;&gt;"",BD_MO[[#This Row],[SEMIGELATINA (N° CART.)]]*PE_SEMIGEL_65[PE],"")</f>
        <v/>
      </c>
      <c r="AU500" s="432" t="str">
        <f>+IF(BD_MO[N° VALE]&lt;&gt;"",BD_MO[[#This Row],[KG EXPLO SEMIGEL]]+BD_MO[[#This Row],[KG EXPLO PULVE]]+BD_MO[[#This Row],[KG EXPLO EMULN 3000]]+BD_MO[[#This Row],[KG EXPLO EMULN 1000]],"")</f>
        <v/>
      </c>
      <c r="AV500" s="428"/>
      <c r="AW500" s="428"/>
      <c r="AX500" s="428" t="str">
        <f>+IF(BD_MO[[#This Row],[MINERAL (U-35)]]&lt;&gt;"",BD_MO[[#This Row],[MINERAL (U-35)]]*1.45,"-")</f>
        <v>-</v>
      </c>
      <c r="AY500" s="428" t="str">
        <f>+IF(BD_MO[[#This Row],[DESMONTE (U-35)]]&lt;&gt;"",BD_MO[[#This Row],[DESMONTE (U-35)]]*1.23,"-")</f>
        <v>-</v>
      </c>
      <c r="AZ500" s="428"/>
      <c r="BA500" s="428"/>
      <c r="BB500" s="428"/>
      <c r="BC500" s="428"/>
      <c r="BD500" s="428"/>
      <c r="BE500" s="428"/>
      <c r="BF500" s="428"/>
      <c r="BG500" s="428"/>
      <c r="BH500" s="428"/>
      <c r="BI500" s="428"/>
      <c r="BJ500" s="428"/>
      <c r="BK500" s="428"/>
      <c r="BL500" s="428"/>
      <c r="BM500" s="428"/>
      <c r="BN500" s="427"/>
      <c r="BO500" s="428"/>
      <c r="BP500" s="428"/>
      <c r="BQ500" s="427"/>
      <c r="BR500" s="428"/>
      <c r="BS500" s="427"/>
      <c r="BT500" s="432"/>
      <c r="BU500" s="428"/>
      <c r="BV500" s="428"/>
      <c r="BW500" s="428"/>
      <c r="BX500" s="428"/>
      <c r="BY500" s="428"/>
      <c r="BZ500" s="428"/>
      <c r="CA500" s="428"/>
      <c r="CB500" s="428"/>
      <c r="CC500" s="428"/>
      <c r="CD500" s="428"/>
      <c r="CE500" s="428"/>
      <c r="CF500" s="428"/>
      <c r="CG500" s="428"/>
      <c r="CH500" s="428"/>
      <c r="CI500" s="428"/>
      <c r="CJ500" s="428"/>
      <c r="CK500" s="428"/>
      <c r="CL500" s="428"/>
      <c r="CM500" s="428"/>
      <c r="CN500" s="428"/>
      <c r="CO500" s="428"/>
      <c r="CP500" s="432">
        <f>+IF(BD_MO[[#This Row],[FECHA]]&lt;&gt;"",BD_MO[[#This Row],[PUNTAL 4"]]+BD_MO[[#This Row],[PUNTAL 5"]]+BD_MO[[#This Row],[PUNTAL 6"]]+BD_MO[[#This Row],[PUNTAL 7"]]+BD_MO[[#This Row],[PUNTAL 8"]],"")</f>
        <v>0</v>
      </c>
      <c r="CQ500" s="428"/>
      <c r="CR500" s="428"/>
      <c r="CS500" s="428"/>
      <c r="CT500" s="428"/>
      <c r="CU500" s="428"/>
      <c r="CV500" s="428"/>
      <c r="CW500" s="428"/>
      <c r="CX500" s="428"/>
      <c r="CY500" s="432"/>
      <c r="CZ500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00" s="432">
        <f>+IF(BD_MO[[#This Row],[FECHA]]&lt;&gt;"",BD_MO[[#This Row],[DURMIENTE2]]*6.561+BD_MO[[#This Row],[LISTONES]]*4.921+BD_MO[[#This Row],[TABLA 1"x8"x3m]]*6.561+BD_MO[[#This Row],[TABLA 2"x8"x3m]]*13.122,"")</f>
        <v>0</v>
      </c>
      <c r="DB500" s="432">
        <f>+IF(BD_MO[[#This Row],[FECHA]]&lt;&gt;"",BD_MO[[#This Row],[PIE2 MADERA ASERRADA]]*1.95,"")</f>
        <v>0</v>
      </c>
      <c r="DC500" s="432">
        <f>+IF(BD_MO[[#This Row],[FECHA]]&lt;&gt;"",BD_MO[[#This Row],[KG. MADERA REDONDA]]+BD_MO[[#This Row],[KG MADERA ASERRADA]],"")</f>
        <v>0</v>
      </c>
      <c r="DD500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00" s="428"/>
      <c r="DF500" s="428"/>
      <c r="DG500" s="428" t="s">
        <v>12184</v>
      </c>
      <c r="DH500" s="428">
        <v>8</v>
      </c>
      <c r="DI500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00" s="436"/>
      <c r="DK500" s="436"/>
      <c r="DL500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00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00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00" s="437"/>
      <c r="DP500" s="436" t="str">
        <f>+IF(BD_MO[[#This Row],[M o D]]&lt;&gt;"",IF(BD_MO[[#This Row],[M o D]]="M",BD_MO[[#This Row],[ROTURA TMH]]/2.65,BD_MO[[#This Row],[ROTURA TMH]]/2.4),"")</f>
        <v/>
      </c>
      <c r="DQ500" s="436"/>
      <c r="DR500" s="116" t="str">
        <f>IF(BD_MO[[#This Row],[TIPO AVANCE]]="Avance",((BD_MO[[#This Row],[AVANCE (m)]]/BD_MO[[#This Row],[AVANCE TEÓRICO]]))," ")</f>
        <v xml:space="preserve"> </v>
      </c>
      <c r="DS500" s="134"/>
      <c r="DT500" s="134"/>
      <c r="DU500" s="134"/>
      <c r="DV500" s="134"/>
      <c r="DW500" s="134"/>
      <c r="DX500" s="135"/>
      <c r="DY500" s="135"/>
      <c r="DZ500" s="135"/>
    </row>
    <row r="501" spans="1:130" s="136" customFormat="1" ht="18" customHeight="1" x14ac:dyDescent="0.25">
      <c r="A501" s="92">
        <v>44679</v>
      </c>
      <c r="B501" s="425" t="s">
        <v>10655</v>
      </c>
      <c r="C501" s="425" t="s">
        <v>10672</v>
      </c>
      <c r="D501" s="94" t="s">
        <v>10952</v>
      </c>
      <c r="E501" s="427" t="str">
        <f>LEFT(BD_MO[[#This Row],[LABOR]],2)</f>
        <v>In</v>
      </c>
      <c r="F501" s="428"/>
      <c r="G501" s="428" t="s">
        <v>10669</v>
      </c>
      <c r="H501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01" s="383" t="str">
        <f>IF(BD_MO[FECHA]&lt;&gt;"",VLOOKUP(BD_MO[LABOR],TB_CECO[[LABOR]:[CECO_T]],3,FALSE),"")</f>
        <v>VANESSA</v>
      </c>
      <c r="J501" s="383" t="str">
        <f>IF(BD_MO[FECHA]&lt;&gt;"",VLOOKUP(BD_MO[LABOR],D_CECO!B:H,7,FALSE),"")</f>
        <v>LINEAL</v>
      </c>
      <c r="K501" s="383" t="str">
        <f>IF(BD_MO[FECHA]&lt;&gt;"",VLOOKUP(BD_MO[LABOR],D_CECO!B:H,4,FALSE),"")</f>
        <v>EXPLORACION</v>
      </c>
      <c r="L501" s="427"/>
      <c r="M501" s="425"/>
      <c r="N501" s="428"/>
      <c r="O501" s="429" t="s">
        <v>12198</v>
      </c>
      <c r="P501" s="429" t="s">
        <v>12234</v>
      </c>
      <c r="Q501" s="429"/>
      <c r="R501" s="430"/>
      <c r="S501" s="431" t="str">
        <f>IFERROR(VLOOKUP(BD_MO[DNI 4],#REF!,2,FALSE)," ")</f>
        <v xml:space="preserve"> </v>
      </c>
      <c r="T501" s="432">
        <f>+IF(BD_MO[[#This Row],[FECHA]]&lt;&gt;"",COUNTA(BD_MO[[#This Row],[DNI]],BD_MO[[#This Row],[DNI 2]],BD_MO[[#This Row],[DNI 3]],BD_MO[[#This Row],[DNI 4]]),"")</f>
        <v>2</v>
      </c>
      <c r="U501" s="432"/>
      <c r="V501" s="432"/>
      <c r="W501" s="432"/>
      <c r="X501" s="432">
        <v>2</v>
      </c>
      <c r="Y501" s="433">
        <f>SUM(BD_MO[[#This Row],[LIMP]:[SERV]])</f>
        <v>2</v>
      </c>
      <c r="Z501" s="428"/>
      <c r="AA501" s="428" t="str">
        <f>+IF(BD_MO[[#This Row],[N° VALE]]&lt;&gt;"",1,"")</f>
        <v/>
      </c>
      <c r="AB501" s="425"/>
      <c r="AC501" s="428"/>
      <c r="AD501" s="428" t="str">
        <f>+IF(BD_MO[[#This Row],[N° VALE]]&lt;&gt;"",BD_MO[[#This Row],[FULMINANTE N° 08]]+BD_MO[CARMEX 7''],"")</f>
        <v/>
      </c>
      <c r="AE501" s="428"/>
      <c r="AF501" s="428" t="str">
        <f>+IF(BD_MO[[#This Row],[N° VALE]]&lt;&gt;"",BD_MO[[#This Row],[N° TALADROS]]+BD_MO[[#This Row],[N° TAL. VACIOS]],"")</f>
        <v/>
      </c>
      <c r="AG501" s="434"/>
      <c r="AH501" s="434"/>
      <c r="AI501" s="434"/>
      <c r="AJ501" s="434"/>
      <c r="AK501" s="434"/>
      <c r="AL501" s="434"/>
      <c r="AM501" s="427"/>
      <c r="AN501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01" s="428" t="str">
        <f>+IF(BD_MO[[#This Row],[N° VALE]]&lt;&gt;"",IF(BD_MO[[#This Row],[FULMINANTE N° 08]]&lt;&gt;"",BD_MO[[#This Row],[FULMINANTE N° 08]],IF(BD_MO[[#This Row],[CARMEX 7'']]&lt;&gt;0,0,"")),"")</f>
        <v/>
      </c>
      <c r="AP501" s="432" t="str">
        <f>+IF(BD_MO[[#This Row],[N° VALE]]&lt;&gt;"",BD_MO[[#This Row],[N°  TOTAL TALADROS]]*BD_MO[[#This Row],[BARRA]]*0.95,"")</f>
        <v/>
      </c>
      <c r="AQ501" s="432" t="str">
        <f>+IF(BD_MO[[#This Row],[N° VALE]]&lt;&gt;"",BD_MO[[#This Row],[EMULNOR 1000 (N° CART.)]]*PE_EMUL_1000[PE],"")</f>
        <v/>
      </c>
      <c r="AR501" s="432" t="str">
        <f>+IF(BD_MO[[#This Row],[N° VALE]]&lt;&gt;"",BD_MO[[#This Row],[EMULNOR 3000 (N° CART.)]]*PE_EMUL_3000[PE],"")</f>
        <v/>
      </c>
      <c r="AS501" s="432" t="str">
        <f>+IF(BD_MO[[#This Row],[N° VALE]]&lt;&gt;"",BD_MO[[#This Row],[PULVERULENTA (N° CART.)]]*PE_PULV_65[PE],"")</f>
        <v/>
      </c>
      <c r="AT501" s="432" t="str">
        <f>+IF(BD_MO[[#This Row],[N° DISP]]&lt;&gt;"",BD_MO[[#This Row],[SEMIGELATINA (N° CART.)]]*PE_SEMIGEL_65[PE],"")</f>
        <v/>
      </c>
      <c r="AU501" s="432" t="str">
        <f>+IF(BD_MO[N° VALE]&lt;&gt;"",BD_MO[[#This Row],[KG EXPLO SEMIGEL]]+BD_MO[[#This Row],[KG EXPLO PULVE]]+BD_MO[[#This Row],[KG EXPLO EMULN 3000]]+BD_MO[[#This Row],[KG EXPLO EMULN 1000]],"")</f>
        <v/>
      </c>
      <c r="AV501" s="428"/>
      <c r="AW501" s="428"/>
      <c r="AX501" s="428" t="str">
        <f>+IF(BD_MO[[#This Row],[MINERAL (U-35)]]&lt;&gt;"",BD_MO[[#This Row],[MINERAL (U-35)]]*1.45,"-")</f>
        <v>-</v>
      </c>
      <c r="AY501" s="428" t="str">
        <f>+IF(BD_MO[[#This Row],[DESMONTE (U-35)]]&lt;&gt;"",BD_MO[[#This Row],[DESMONTE (U-35)]]*1.23,"-")</f>
        <v>-</v>
      </c>
      <c r="AZ501" s="428"/>
      <c r="BA501" s="428"/>
      <c r="BB501" s="428"/>
      <c r="BC501" s="428"/>
      <c r="BD501" s="428"/>
      <c r="BE501" s="428"/>
      <c r="BF501" s="428"/>
      <c r="BG501" s="428"/>
      <c r="BH501" s="428"/>
      <c r="BI501" s="428"/>
      <c r="BJ501" s="428"/>
      <c r="BK501" s="428"/>
      <c r="BL501" s="428"/>
      <c r="BM501" s="428"/>
      <c r="BN501" s="427"/>
      <c r="BO501" s="428"/>
      <c r="BP501" s="428"/>
      <c r="BQ501" s="427"/>
      <c r="BR501" s="428"/>
      <c r="BS501" s="427"/>
      <c r="BT501" s="432"/>
      <c r="BU501" s="428"/>
      <c r="BV501" s="428"/>
      <c r="BW501" s="428"/>
      <c r="BX501" s="428"/>
      <c r="BY501" s="428"/>
      <c r="BZ501" s="428"/>
      <c r="CA501" s="428"/>
      <c r="CB501" s="428"/>
      <c r="CC501" s="428"/>
      <c r="CD501" s="428"/>
      <c r="CE501" s="428"/>
      <c r="CF501" s="428"/>
      <c r="CG501" s="428"/>
      <c r="CH501" s="428"/>
      <c r="CI501" s="428"/>
      <c r="CJ501" s="428"/>
      <c r="CK501" s="428"/>
      <c r="CL501" s="428"/>
      <c r="CM501" s="428"/>
      <c r="CN501" s="428"/>
      <c r="CO501" s="428"/>
      <c r="CP501" s="432">
        <f>+IF(BD_MO[[#This Row],[FECHA]]&lt;&gt;"",BD_MO[[#This Row],[PUNTAL 4"]]+BD_MO[[#This Row],[PUNTAL 5"]]+BD_MO[[#This Row],[PUNTAL 6"]]+BD_MO[[#This Row],[PUNTAL 7"]]+BD_MO[[#This Row],[PUNTAL 8"]],"")</f>
        <v>0</v>
      </c>
      <c r="CQ501" s="428"/>
      <c r="CR501" s="428"/>
      <c r="CS501" s="428"/>
      <c r="CT501" s="428"/>
      <c r="CU501" s="428"/>
      <c r="CV501" s="428"/>
      <c r="CW501" s="428"/>
      <c r="CX501" s="428"/>
      <c r="CY501" s="432"/>
      <c r="CZ501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01" s="432">
        <f>+IF(BD_MO[[#This Row],[FECHA]]&lt;&gt;"",BD_MO[[#This Row],[DURMIENTE2]]*6.561+BD_MO[[#This Row],[LISTONES]]*4.921+BD_MO[[#This Row],[TABLA 1"x8"x3m]]*6.561+BD_MO[[#This Row],[TABLA 2"x8"x3m]]*13.122,"")</f>
        <v>0</v>
      </c>
      <c r="DB501" s="432">
        <f>+IF(BD_MO[[#This Row],[FECHA]]&lt;&gt;"",BD_MO[[#This Row],[PIE2 MADERA ASERRADA]]*1.95,"")</f>
        <v>0</v>
      </c>
      <c r="DC501" s="432">
        <f>+IF(BD_MO[[#This Row],[FECHA]]&lt;&gt;"",BD_MO[[#This Row],[KG. MADERA REDONDA]]+BD_MO[[#This Row],[KG MADERA ASERRADA]],"")</f>
        <v>0</v>
      </c>
      <c r="DD501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01" s="428"/>
      <c r="DF501" s="428"/>
      <c r="DG501" s="428" t="s">
        <v>12460</v>
      </c>
      <c r="DH501" s="428">
        <v>8</v>
      </c>
      <c r="DI501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01" s="436"/>
      <c r="DK501" s="436"/>
      <c r="DL501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01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01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01" s="437"/>
      <c r="DP501" s="436" t="str">
        <f>+IF(BD_MO[[#This Row],[M o D]]&lt;&gt;"",IF(BD_MO[[#This Row],[M o D]]="M",BD_MO[[#This Row],[ROTURA TMH]]/2.65,BD_MO[[#This Row],[ROTURA TMH]]/2.4),"")</f>
        <v/>
      </c>
      <c r="DQ501" s="436"/>
      <c r="DR501" s="116" t="str">
        <f>IF(BD_MO[[#This Row],[TIPO AVANCE]]="Avance",((BD_MO[[#This Row],[AVANCE (m)]]/BD_MO[[#This Row],[AVANCE TEÓRICO]]))," ")</f>
        <v xml:space="preserve"> </v>
      </c>
      <c r="DS501" s="134"/>
      <c r="DT501" s="134"/>
      <c r="DU501" s="134"/>
      <c r="DV501" s="134"/>
      <c r="DW501" s="134"/>
      <c r="DX501" s="135"/>
      <c r="DY501" s="135"/>
      <c r="DZ501" s="135"/>
    </row>
    <row r="502" spans="1:130" s="136" customFormat="1" ht="18" customHeight="1" x14ac:dyDescent="0.25">
      <c r="A502" s="395">
        <v>44679</v>
      </c>
      <c r="B502" s="425" t="s">
        <v>10655</v>
      </c>
      <c r="C502" s="425" t="s">
        <v>10672</v>
      </c>
      <c r="D502" s="94" t="s">
        <v>10954</v>
      </c>
      <c r="E502" s="427" t="str">
        <f>LEFT(BD_MO[[#This Row],[LABOR]],2)</f>
        <v>MO</v>
      </c>
      <c r="F502" s="428"/>
      <c r="G502" s="428" t="s">
        <v>10669</v>
      </c>
      <c r="H502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02" s="383" t="str">
        <f>IF(BD_MO[FECHA]&lt;&gt;"",VLOOKUP(BD_MO[LABOR],TB_CECO[[LABOR]:[CECO_T]],3,FALSE),"")</f>
        <v>INCA</v>
      </c>
      <c r="J502" s="383" t="str">
        <f>IF(BD_MO[FECHA]&lt;&gt;"",VLOOKUP(BD_MO[LABOR],D_CECO!B:H,7,FALSE),"")</f>
        <v>SERVICIOS</v>
      </c>
      <c r="K502" s="383" t="str">
        <f>IF(BD_MO[FECHA]&lt;&gt;"",VLOOKUP(BD_MO[LABOR],D_CECO!B:H,4,FALSE),"")</f>
        <v>SERVICIOS</v>
      </c>
      <c r="L502" s="427"/>
      <c r="M502" s="425"/>
      <c r="N502" s="428"/>
      <c r="O502" s="429" t="s">
        <v>12221</v>
      </c>
      <c r="P502" s="429" t="s">
        <v>12209</v>
      </c>
      <c r="Q502" s="429"/>
      <c r="R502" s="430"/>
      <c r="S502" s="431" t="str">
        <f>IFERROR(VLOOKUP(BD_MO[DNI 4],#REF!,2,FALSE)," ")</f>
        <v xml:space="preserve"> </v>
      </c>
      <c r="T502" s="432">
        <f>+IF(BD_MO[[#This Row],[FECHA]]&lt;&gt;"",COUNTA(BD_MO[[#This Row],[DNI]],BD_MO[[#This Row],[DNI 2]],BD_MO[[#This Row],[DNI 3]],BD_MO[[#This Row],[DNI 4]]),"")</f>
        <v>2</v>
      </c>
      <c r="U502" s="432"/>
      <c r="V502" s="432"/>
      <c r="W502" s="432"/>
      <c r="X502" s="432">
        <v>2</v>
      </c>
      <c r="Y502" s="433">
        <f>SUM(BD_MO[[#This Row],[LIMP]:[SERV]])</f>
        <v>2</v>
      </c>
      <c r="Z502" s="428"/>
      <c r="AA502" s="428" t="str">
        <f>+IF(BD_MO[[#This Row],[N° VALE]]&lt;&gt;"",1,"")</f>
        <v/>
      </c>
      <c r="AB502" s="425"/>
      <c r="AC502" s="428"/>
      <c r="AD502" s="428" t="str">
        <f>+IF(BD_MO[[#This Row],[N° VALE]]&lt;&gt;"",BD_MO[[#This Row],[FULMINANTE N° 08]]+BD_MO[CARMEX 7''],"")</f>
        <v/>
      </c>
      <c r="AE502" s="428"/>
      <c r="AF502" s="428" t="str">
        <f>+IF(BD_MO[[#This Row],[N° VALE]]&lt;&gt;"",BD_MO[[#This Row],[N° TALADROS]]+BD_MO[[#This Row],[N° TAL. VACIOS]],"")</f>
        <v/>
      </c>
      <c r="AG502" s="434"/>
      <c r="AH502" s="434"/>
      <c r="AI502" s="434"/>
      <c r="AJ502" s="434"/>
      <c r="AK502" s="434"/>
      <c r="AL502" s="434"/>
      <c r="AM502" s="427"/>
      <c r="AN502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02" s="428" t="str">
        <f>+IF(BD_MO[[#This Row],[N° VALE]]&lt;&gt;"",IF(BD_MO[[#This Row],[FULMINANTE N° 08]]&lt;&gt;"",BD_MO[[#This Row],[FULMINANTE N° 08]],IF(BD_MO[[#This Row],[CARMEX 7'']]&lt;&gt;0,0,"")),"")</f>
        <v/>
      </c>
      <c r="AP502" s="432" t="str">
        <f>+IF(BD_MO[[#This Row],[N° VALE]]&lt;&gt;"",BD_MO[[#This Row],[N°  TOTAL TALADROS]]*BD_MO[[#This Row],[BARRA]]*0.95,"")</f>
        <v/>
      </c>
      <c r="AQ502" s="432" t="str">
        <f>+IF(BD_MO[[#This Row],[N° VALE]]&lt;&gt;"",BD_MO[[#This Row],[EMULNOR 1000 (N° CART.)]]*PE_EMUL_1000[PE],"")</f>
        <v/>
      </c>
      <c r="AR502" s="432" t="str">
        <f>+IF(BD_MO[[#This Row],[N° VALE]]&lt;&gt;"",BD_MO[[#This Row],[EMULNOR 3000 (N° CART.)]]*PE_EMUL_3000[PE],"")</f>
        <v/>
      </c>
      <c r="AS502" s="432" t="str">
        <f>+IF(BD_MO[[#This Row],[N° VALE]]&lt;&gt;"",BD_MO[[#This Row],[PULVERULENTA (N° CART.)]]*PE_PULV_65[PE],"")</f>
        <v/>
      </c>
      <c r="AT502" s="432" t="str">
        <f>+IF(BD_MO[[#This Row],[N° DISP]]&lt;&gt;"",BD_MO[[#This Row],[SEMIGELATINA (N° CART.)]]*PE_SEMIGEL_65[PE],"")</f>
        <v/>
      </c>
      <c r="AU502" s="432" t="str">
        <f>+IF(BD_MO[N° VALE]&lt;&gt;"",BD_MO[[#This Row],[KG EXPLO SEMIGEL]]+BD_MO[[#This Row],[KG EXPLO PULVE]]+BD_MO[[#This Row],[KG EXPLO EMULN 3000]]+BD_MO[[#This Row],[KG EXPLO EMULN 1000]],"")</f>
        <v/>
      </c>
      <c r="AV502" s="428"/>
      <c r="AW502" s="428"/>
      <c r="AX502" s="428" t="str">
        <f>+IF(BD_MO[[#This Row],[MINERAL (U-35)]]&lt;&gt;"",BD_MO[[#This Row],[MINERAL (U-35)]]*1.45,"-")</f>
        <v>-</v>
      </c>
      <c r="AY502" s="428" t="str">
        <f>+IF(BD_MO[[#This Row],[DESMONTE (U-35)]]&lt;&gt;"",BD_MO[[#This Row],[DESMONTE (U-35)]]*1.23,"-")</f>
        <v>-</v>
      </c>
      <c r="AZ502" s="428"/>
      <c r="BA502" s="428"/>
      <c r="BB502" s="428"/>
      <c r="BC502" s="428"/>
      <c r="BD502" s="428"/>
      <c r="BE502" s="428"/>
      <c r="BF502" s="428"/>
      <c r="BG502" s="428"/>
      <c r="BH502" s="428"/>
      <c r="BI502" s="428"/>
      <c r="BJ502" s="428"/>
      <c r="BK502" s="428"/>
      <c r="BL502" s="428"/>
      <c r="BM502" s="428"/>
      <c r="BN502" s="427"/>
      <c r="BO502" s="428"/>
      <c r="BP502" s="428"/>
      <c r="BQ502" s="427"/>
      <c r="BR502" s="428"/>
      <c r="BS502" s="427"/>
      <c r="BT502" s="432"/>
      <c r="BU502" s="428"/>
      <c r="BV502" s="428"/>
      <c r="BW502" s="428"/>
      <c r="BX502" s="428"/>
      <c r="BY502" s="428"/>
      <c r="BZ502" s="428"/>
      <c r="CA502" s="428"/>
      <c r="CB502" s="428"/>
      <c r="CC502" s="428"/>
      <c r="CD502" s="428"/>
      <c r="CE502" s="428"/>
      <c r="CF502" s="428"/>
      <c r="CG502" s="428"/>
      <c r="CH502" s="428"/>
      <c r="CI502" s="428"/>
      <c r="CJ502" s="428"/>
      <c r="CK502" s="428"/>
      <c r="CL502" s="428"/>
      <c r="CM502" s="428"/>
      <c r="CN502" s="428"/>
      <c r="CO502" s="428"/>
      <c r="CP502" s="432">
        <f>+IF(BD_MO[[#This Row],[FECHA]]&lt;&gt;"",BD_MO[[#This Row],[PUNTAL 4"]]+BD_MO[[#This Row],[PUNTAL 5"]]+BD_MO[[#This Row],[PUNTAL 6"]]+BD_MO[[#This Row],[PUNTAL 7"]]+BD_MO[[#This Row],[PUNTAL 8"]],"")</f>
        <v>0</v>
      </c>
      <c r="CQ502" s="428"/>
      <c r="CR502" s="428"/>
      <c r="CS502" s="428"/>
      <c r="CT502" s="428"/>
      <c r="CU502" s="428"/>
      <c r="CV502" s="428"/>
      <c r="CW502" s="428"/>
      <c r="CX502" s="428"/>
      <c r="CY502" s="432"/>
      <c r="CZ502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02" s="432">
        <f>+IF(BD_MO[[#This Row],[FECHA]]&lt;&gt;"",BD_MO[[#This Row],[DURMIENTE2]]*6.561+BD_MO[[#This Row],[LISTONES]]*4.921+BD_MO[[#This Row],[TABLA 1"x8"x3m]]*6.561+BD_MO[[#This Row],[TABLA 2"x8"x3m]]*13.122,"")</f>
        <v>0</v>
      </c>
      <c r="DB502" s="432">
        <f>+IF(BD_MO[[#This Row],[FECHA]]&lt;&gt;"",BD_MO[[#This Row],[PIE2 MADERA ASERRADA]]*1.95,"")</f>
        <v>0</v>
      </c>
      <c r="DC502" s="432">
        <f>+IF(BD_MO[[#This Row],[FECHA]]&lt;&gt;"",BD_MO[[#This Row],[KG. MADERA REDONDA]]+BD_MO[[#This Row],[KG MADERA ASERRADA]],"")</f>
        <v>0</v>
      </c>
      <c r="DD502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02" s="428"/>
      <c r="DF502" s="428"/>
      <c r="DG502" s="428"/>
      <c r="DH502" s="428"/>
      <c r="DI502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02" s="436"/>
      <c r="DK502" s="436"/>
      <c r="DL502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02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02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02" s="437"/>
      <c r="DP502" s="436" t="str">
        <f>+IF(BD_MO[[#This Row],[M o D]]&lt;&gt;"",IF(BD_MO[[#This Row],[M o D]]="M",BD_MO[[#This Row],[ROTURA TMH]]/2.65,BD_MO[[#This Row],[ROTURA TMH]]/2.4),"")</f>
        <v/>
      </c>
      <c r="DQ502" s="436"/>
      <c r="DR502" s="116" t="str">
        <f>IF(BD_MO[[#This Row],[TIPO AVANCE]]="Avance",((BD_MO[[#This Row],[AVANCE (m)]]/BD_MO[[#This Row],[AVANCE TEÓRICO]]))," ")</f>
        <v xml:space="preserve"> </v>
      </c>
      <c r="DS502" s="134"/>
      <c r="DT502" s="134"/>
      <c r="DU502" s="134"/>
      <c r="DV502" s="134"/>
      <c r="DW502" s="134"/>
      <c r="DX502" s="135"/>
      <c r="DY502" s="135"/>
      <c r="DZ502" s="135"/>
    </row>
    <row r="503" spans="1:130" s="136" customFormat="1" ht="18" customHeight="1" x14ac:dyDescent="0.25">
      <c r="A503" s="464">
        <v>44679</v>
      </c>
      <c r="B503" s="465" t="s">
        <v>10655</v>
      </c>
      <c r="C503" s="465" t="s">
        <v>10672</v>
      </c>
      <c r="D503" s="466" t="s">
        <v>10717</v>
      </c>
      <c r="E503" s="467" t="str">
        <f>LEFT(BD_MO[[#This Row],[LABOR]],2)</f>
        <v>BO</v>
      </c>
      <c r="F503" s="428"/>
      <c r="G503" s="428" t="s">
        <v>10669</v>
      </c>
      <c r="H503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03" s="383" t="str">
        <f>IF(BD_MO[FECHA]&lt;&gt;"",VLOOKUP(BD_MO[LABOR],TB_CECO[[LABOR]:[CECO_T]],3,FALSE),"")</f>
        <v>CACHORRO</v>
      </c>
      <c r="J503" s="383" t="str">
        <f>IF(BD_MO[FECHA]&lt;&gt;"",VLOOKUP(BD_MO[LABOR],D_CECO!B:H,7,FALSE),"")</f>
        <v>SERVICIOS</v>
      </c>
      <c r="K503" s="383" t="str">
        <f>IF(BD_MO[FECHA]&lt;&gt;"",VLOOKUP(BD_MO[LABOR],D_CECO!B:H,4,FALSE),"")</f>
        <v>SERVICIOS</v>
      </c>
      <c r="L503" s="427"/>
      <c r="M503" s="425"/>
      <c r="N503" s="428"/>
      <c r="O503" s="429" t="s">
        <v>12196</v>
      </c>
      <c r="P503" s="429"/>
      <c r="Q503" s="429"/>
      <c r="R503" s="430"/>
      <c r="S503" s="431" t="str">
        <f>IFERROR(VLOOKUP(BD_MO[DNI 4],#REF!,2,FALSE)," ")</f>
        <v xml:space="preserve"> </v>
      </c>
      <c r="T503" s="432">
        <f>+IF(BD_MO[[#This Row],[FECHA]]&lt;&gt;"",COUNTA(BD_MO[[#This Row],[DNI]],BD_MO[[#This Row],[DNI 2]],BD_MO[[#This Row],[DNI 3]],BD_MO[[#This Row],[DNI 4]]),"")</f>
        <v>1</v>
      </c>
      <c r="U503" s="432"/>
      <c r="V503" s="432"/>
      <c r="W503" s="432"/>
      <c r="X503" s="432">
        <v>1</v>
      </c>
      <c r="Y503" s="433">
        <f>SUM(BD_MO[[#This Row],[LIMP]:[SERV]])</f>
        <v>1</v>
      </c>
      <c r="Z503" s="428"/>
      <c r="AA503" s="428" t="str">
        <f>+IF(BD_MO[[#This Row],[N° VALE]]&lt;&gt;"",1,"")</f>
        <v/>
      </c>
      <c r="AB503" s="425"/>
      <c r="AC503" s="428"/>
      <c r="AD503" s="428" t="str">
        <f>+IF(BD_MO[[#This Row],[N° VALE]]&lt;&gt;"",BD_MO[[#This Row],[FULMINANTE N° 08]]+BD_MO[CARMEX 7''],"")</f>
        <v/>
      </c>
      <c r="AE503" s="428"/>
      <c r="AF503" s="428" t="str">
        <f>+IF(BD_MO[[#This Row],[N° VALE]]&lt;&gt;"",BD_MO[[#This Row],[N° TALADROS]]+BD_MO[[#This Row],[N° TAL. VACIOS]],"")</f>
        <v/>
      </c>
      <c r="AG503" s="434"/>
      <c r="AH503" s="434"/>
      <c r="AI503" s="434"/>
      <c r="AJ503" s="434"/>
      <c r="AK503" s="434"/>
      <c r="AL503" s="434"/>
      <c r="AM503" s="427"/>
      <c r="AN503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03" s="428" t="str">
        <f>+IF(BD_MO[[#This Row],[N° VALE]]&lt;&gt;"",IF(BD_MO[[#This Row],[FULMINANTE N° 08]]&lt;&gt;"",BD_MO[[#This Row],[FULMINANTE N° 08]],IF(BD_MO[[#This Row],[CARMEX 7'']]&lt;&gt;0,0,"")),"")</f>
        <v/>
      </c>
      <c r="AP503" s="432" t="str">
        <f>+IF(BD_MO[[#This Row],[N° VALE]]&lt;&gt;"",BD_MO[[#This Row],[N°  TOTAL TALADROS]]*BD_MO[[#This Row],[BARRA]]*0.95,"")</f>
        <v/>
      </c>
      <c r="AQ503" s="432" t="str">
        <f>+IF(BD_MO[[#This Row],[N° VALE]]&lt;&gt;"",BD_MO[[#This Row],[EMULNOR 1000 (N° CART.)]]*PE_EMUL_1000[PE],"")</f>
        <v/>
      </c>
      <c r="AR503" s="432" t="str">
        <f>+IF(BD_MO[[#This Row],[N° VALE]]&lt;&gt;"",BD_MO[[#This Row],[EMULNOR 3000 (N° CART.)]]*PE_EMUL_3000[PE],"")</f>
        <v/>
      </c>
      <c r="AS503" s="432" t="str">
        <f>+IF(BD_MO[[#This Row],[N° VALE]]&lt;&gt;"",BD_MO[[#This Row],[PULVERULENTA (N° CART.)]]*PE_PULV_65[PE],"")</f>
        <v/>
      </c>
      <c r="AT503" s="432" t="str">
        <f>+IF(BD_MO[[#This Row],[N° DISP]]&lt;&gt;"",BD_MO[[#This Row],[SEMIGELATINA (N° CART.)]]*PE_SEMIGEL_65[PE],"")</f>
        <v/>
      </c>
      <c r="AU503" s="432" t="str">
        <f>+IF(BD_MO[N° VALE]&lt;&gt;"",BD_MO[[#This Row],[KG EXPLO SEMIGEL]]+BD_MO[[#This Row],[KG EXPLO PULVE]]+BD_MO[[#This Row],[KG EXPLO EMULN 3000]]+BD_MO[[#This Row],[KG EXPLO EMULN 1000]],"")</f>
        <v/>
      </c>
      <c r="AV503" s="428"/>
      <c r="AW503" s="428"/>
      <c r="AX503" s="428" t="str">
        <f>+IF(BD_MO[[#This Row],[MINERAL (U-35)]]&lt;&gt;"",BD_MO[[#This Row],[MINERAL (U-35)]]*1.45,"-")</f>
        <v>-</v>
      </c>
      <c r="AY503" s="428" t="str">
        <f>+IF(BD_MO[[#This Row],[DESMONTE (U-35)]]&lt;&gt;"",BD_MO[[#This Row],[DESMONTE (U-35)]]*1.23,"-")</f>
        <v>-</v>
      </c>
      <c r="AZ503" s="428"/>
      <c r="BA503" s="428"/>
      <c r="BB503" s="428"/>
      <c r="BC503" s="428"/>
      <c r="BD503" s="428"/>
      <c r="BE503" s="428"/>
      <c r="BF503" s="428"/>
      <c r="BG503" s="428"/>
      <c r="BH503" s="428"/>
      <c r="BI503" s="428"/>
      <c r="BJ503" s="428"/>
      <c r="BK503" s="428"/>
      <c r="BL503" s="428"/>
      <c r="BM503" s="428"/>
      <c r="BN503" s="427"/>
      <c r="BO503" s="428"/>
      <c r="BP503" s="428"/>
      <c r="BQ503" s="427"/>
      <c r="BR503" s="428"/>
      <c r="BS503" s="427"/>
      <c r="BT503" s="432"/>
      <c r="BU503" s="428"/>
      <c r="BV503" s="428"/>
      <c r="BW503" s="428"/>
      <c r="BX503" s="428"/>
      <c r="BY503" s="428"/>
      <c r="BZ503" s="428"/>
      <c r="CA503" s="428"/>
      <c r="CB503" s="428"/>
      <c r="CC503" s="428"/>
      <c r="CD503" s="428"/>
      <c r="CE503" s="428"/>
      <c r="CF503" s="428"/>
      <c r="CG503" s="428"/>
      <c r="CH503" s="428"/>
      <c r="CI503" s="428"/>
      <c r="CJ503" s="428"/>
      <c r="CK503" s="428"/>
      <c r="CL503" s="428"/>
      <c r="CM503" s="428"/>
      <c r="CN503" s="428"/>
      <c r="CO503" s="428"/>
      <c r="CP503" s="432">
        <f>+IF(BD_MO[[#This Row],[FECHA]]&lt;&gt;"",BD_MO[[#This Row],[PUNTAL 4"]]+BD_MO[[#This Row],[PUNTAL 5"]]+BD_MO[[#This Row],[PUNTAL 6"]]+BD_MO[[#This Row],[PUNTAL 7"]]+BD_MO[[#This Row],[PUNTAL 8"]],"")</f>
        <v>0</v>
      </c>
      <c r="CQ503" s="428"/>
      <c r="CR503" s="428"/>
      <c r="CS503" s="428"/>
      <c r="CT503" s="428"/>
      <c r="CU503" s="428"/>
      <c r="CV503" s="428"/>
      <c r="CW503" s="428"/>
      <c r="CX503" s="428"/>
      <c r="CY503" s="432"/>
      <c r="CZ503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03" s="432">
        <f>+IF(BD_MO[[#This Row],[FECHA]]&lt;&gt;"",BD_MO[[#This Row],[DURMIENTE2]]*6.561+BD_MO[[#This Row],[LISTONES]]*4.921+BD_MO[[#This Row],[TABLA 1"x8"x3m]]*6.561+BD_MO[[#This Row],[TABLA 2"x8"x3m]]*13.122,"")</f>
        <v>0</v>
      </c>
      <c r="DB503" s="432">
        <f>+IF(BD_MO[[#This Row],[FECHA]]&lt;&gt;"",BD_MO[[#This Row],[PIE2 MADERA ASERRADA]]*1.95,"")</f>
        <v>0</v>
      </c>
      <c r="DC503" s="432">
        <f>+IF(BD_MO[[#This Row],[FECHA]]&lt;&gt;"",BD_MO[[#This Row],[KG. MADERA REDONDA]]+BD_MO[[#This Row],[KG MADERA ASERRADA]],"")</f>
        <v>0</v>
      </c>
      <c r="DD503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03" s="428"/>
      <c r="DF503" s="428"/>
      <c r="DG503" s="428"/>
      <c r="DH503" s="428"/>
      <c r="DI503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03" s="436"/>
      <c r="DK503" s="436"/>
      <c r="DL503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03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03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03" s="437"/>
      <c r="DP503" s="436" t="str">
        <f>+IF(BD_MO[[#This Row],[M o D]]&lt;&gt;"",IF(BD_MO[[#This Row],[M o D]]="M",BD_MO[[#This Row],[ROTURA TMH]]/2.65,BD_MO[[#This Row],[ROTURA TMH]]/2.4),"")</f>
        <v/>
      </c>
      <c r="DQ503" s="436"/>
      <c r="DR503" s="116" t="str">
        <f>IF(BD_MO[[#This Row],[TIPO AVANCE]]="Avance",((BD_MO[[#This Row],[AVANCE (m)]]/BD_MO[[#This Row],[AVANCE TEÓRICO]]))," ")</f>
        <v xml:space="preserve"> </v>
      </c>
      <c r="DS503" s="134"/>
      <c r="DT503" s="134"/>
      <c r="DU503" s="134"/>
      <c r="DV503" s="134"/>
      <c r="DW503" s="134"/>
      <c r="DX503" s="135"/>
      <c r="DY503" s="135"/>
      <c r="DZ503" s="135"/>
    </row>
    <row r="504" spans="1:130" s="115" customFormat="1" ht="18" customHeight="1" thickBot="1" x14ac:dyDescent="0.3">
      <c r="A504" s="468">
        <v>44679</v>
      </c>
      <c r="B504" s="469" t="s">
        <v>10655</v>
      </c>
      <c r="C504" s="469" t="s">
        <v>10672</v>
      </c>
      <c r="D504" s="470" t="s">
        <v>12339</v>
      </c>
      <c r="E504" s="471" t="str">
        <f>LEFT(BD_MO[[#This Row],[LABOR]],2)</f>
        <v>Tj</v>
      </c>
      <c r="F504" s="472"/>
      <c r="G504" s="472" t="s">
        <v>10669</v>
      </c>
      <c r="H504" s="47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04" s="119" t="str">
        <f>IF(BD_MO[FECHA]&lt;&gt;"",VLOOKUP(BD_MO[LABOR],TB_CECO[[LABOR]:[CECO_T]],3,FALSE),"")</f>
        <v>ESCONDIDA</v>
      </c>
      <c r="J504" s="119" t="str">
        <f>IF(BD_MO[FECHA]&lt;&gt;"",VLOOKUP(BD_MO[LABOR],D_CECO!B:H,7,FALSE),"")</f>
        <v>TAJO</v>
      </c>
      <c r="K504" s="119" t="str">
        <f>IF(BD_MO[FECHA]&lt;&gt;"",VLOOKUP(BD_MO[LABOR],D_CECO!B:H,4,FALSE),"")</f>
        <v>EXPLOTACION</v>
      </c>
      <c r="L504" s="473"/>
      <c r="M504" s="474"/>
      <c r="N504" s="472"/>
      <c r="O504" s="475" t="s">
        <v>12333</v>
      </c>
      <c r="P504" s="475" t="s">
        <v>12201</v>
      </c>
      <c r="Q504" s="475"/>
      <c r="R504" s="476"/>
      <c r="S504" s="477" t="str">
        <f>IFERROR(VLOOKUP(BD_MO[DNI 4],#REF!,2,FALSE)," ")</f>
        <v xml:space="preserve"> </v>
      </c>
      <c r="T504" s="478">
        <f>+IF(BD_MO[[#This Row],[FECHA]]&lt;&gt;"",COUNTA(BD_MO[[#This Row],[DNI]],BD_MO[[#This Row],[DNI 2]],BD_MO[[#This Row],[DNI 3]],BD_MO[[#This Row],[DNI 4]]),"")</f>
        <v>2</v>
      </c>
      <c r="U504" s="478"/>
      <c r="V504" s="478"/>
      <c r="W504" s="478"/>
      <c r="X504" s="478">
        <v>2</v>
      </c>
      <c r="Y504" s="479">
        <f>SUM(BD_MO[[#This Row],[LIMP]:[SERV]])</f>
        <v>2</v>
      </c>
      <c r="Z504" s="472"/>
      <c r="AA504" s="472" t="str">
        <f>+IF(BD_MO[[#This Row],[N° VALE]]&lt;&gt;"",1,"")</f>
        <v/>
      </c>
      <c r="AB504" s="474"/>
      <c r="AC504" s="472"/>
      <c r="AD504" s="472" t="str">
        <f>+IF(BD_MO[[#This Row],[N° VALE]]&lt;&gt;"",BD_MO[[#This Row],[FULMINANTE N° 08]]+BD_MO[CARMEX 7''],"")</f>
        <v/>
      </c>
      <c r="AE504" s="472"/>
      <c r="AF504" s="472" t="str">
        <f>+IF(BD_MO[[#This Row],[N° VALE]]&lt;&gt;"",BD_MO[[#This Row],[N° TALADROS]]+BD_MO[[#This Row],[N° TAL. VACIOS]],"")</f>
        <v/>
      </c>
      <c r="AG504" s="480"/>
      <c r="AH504" s="480"/>
      <c r="AI504" s="480"/>
      <c r="AJ504" s="480"/>
      <c r="AK504" s="480"/>
      <c r="AL504" s="480"/>
      <c r="AM504" s="473"/>
      <c r="AN504" s="4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04" s="472" t="str">
        <f>+IF(BD_MO[[#This Row],[N° VALE]]&lt;&gt;"",IF(BD_MO[[#This Row],[FULMINANTE N° 08]]&lt;&gt;"",BD_MO[[#This Row],[FULMINANTE N° 08]],IF(BD_MO[[#This Row],[CARMEX 7'']]&lt;&gt;0,0,"")),"")</f>
        <v/>
      </c>
      <c r="AP504" s="478" t="str">
        <f>+IF(BD_MO[[#This Row],[N° VALE]]&lt;&gt;"",BD_MO[[#This Row],[N°  TOTAL TALADROS]]*BD_MO[[#This Row],[BARRA]]*0.95,"")</f>
        <v/>
      </c>
      <c r="AQ504" s="478" t="str">
        <f>+IF(BD_MO[[#This Row],[N° VALE]]&lt;&gt;"",BD_MO[[#This Row],[EMULNOR 1000 (N° CART.)]]*PE_EMUL_1000[PE],"")</f>
        <v/>
      </c>
      <c r="AR504" s="478" t="str">
        <f>+IF(BD_MO[[#This Row],[N° VALE]]&lt;&gt;"",BD_MO[[#This Row],[EMULNOR 3000 (N° CART.)]]*PE_EMUL_3000[PE],"")</f>
        <v/>
      </c>
      <c r="AS504" s="478" t="str">
        <f>+IF(BD_MO[[#This Row],[N° VALE]]&lt;&gt;"",BD_MO[[#This Row],[PULVERULENTA (N° CART.)]]*PE_PULV_65[PE],"")</f>
        <v/>
      </c>
      <c r="AT504" s="478" t="str">
        <f>+IF(BD_MO[[#This Row],[N° DISP]]&lt;&gt;"",BD_MO[[#This Row],[SEMIGELATINA (N° CART.)]]*PE_SEMIGEL_65[PE],"")</f>
        <v/>
      </c>
      <c r="AU504" s="478" t="str">
        <f>+IF(BD_MO[N° VALE]&lt;&gt;"",BD_MO[[#This Row],[KG EXPLO SEMIGEL]]+BD_MO[[#This Row],[KG EXPLO PULVE]]+BD_MO[[#This Row],[KG EXPLO EMULN 3000]]+BD_MO[[#This Row],[KG EXPLO EMULN 1000]],"")</f>
        <v/>
      </c>
      <c r="AV504" s="472"/>
      <c r="AW504" s="472"/>
      <c r="AX504" s="472" t="str">
        <f>+IF(BD_MO[[#This Row],[MINERAL (U-35)]]&lt;&gt;"",BD_MO[[#This Row],[MINERAL (U-35)]]*1.45,"-")</f>
        <v>-</v>
      </c>
      <c r="AY504" s="472" t="str">
        <f>+IF(BD_MO[[#This Row],[DESMONTE (U-35)]]&lt;&gt;"",BD_MO[[#This Row],[DESMONTE (U-35)]]*1.23,"-")</f>
        <v>-</v>
      </c>
      <c r="AZ504" s="472"/>
      <c r="BA504" s="472"/>
      <c r="BB504" s="472"/>
      <c r="BC504" s="472"/>
      <c r="BD504" s="472"/>
      <c r="BE504" s="472"/>
      <c r="BF504" s="472"/>
      <c r="BG504" s="472"/>
      <c r="BH504" s="472"/>
      <c r="BI504" s="472"/>
      <c r="BJ504" s="472"/>
      <c r="BK504" s="472"/>
      <c r="BL504" s="472"/>
      <c r="BM504" s="472"/>
      <c r="BN504" s="473"/>
      <c r="BO504" s="472"/>
      <c r="BP504" s="472"/>
      <c r="BQ504" s="473"/>
      <c r="BR504" s="472"/>
      <c r="BS504" s="473"/>
      <c r="BT504" s="478"/>
      <c r="BU504" s="472"/>
      <c r="BV504" s="472"/>
      <c r="BW504" s="472"/>
      <c r="BX504" s="472"/>
      <c r="BY504" s="472"/>
      <c r="BZ504" s="472"/>
      <c r="CA504" s="472"/>
      <c r="CB504" s="472"/>
      <c r="CC504" s="472"/>
      <c r="CD504" s="472"/>
      <c r="CE504" s="472"/>
      <c r="CF504" s="472"/>
      <c r="CG504" s="472"/>
      <c r="CH504" s="472"/>
      <c r="CI504" s="472"/>
      <c r="CJ504" s="472"/>
      <c r="CK504" s="472"/>
      <c r="CL504" s="472"/>
      <c r="CM504" s="472"/>
      <c r="CN504" s="472"/>
      <c r="CO504" s="472"/>
      <c r="CP504" s="478">
        <f>+IF(BD_MO[[#This Row],[FECHA]]&lt;&gt;"",BD_MO[[#This Row],[PUNTAL 4"]]+BD_MO[[#This Row],[PUNTAL 5"]]+BD_MO[[#This Row],[PUNTAL 6"]]+BD_MO[[#This Row],[PUNTAL 7"]]+BD_MO[[#This Row],[PUNTAL 8"]],"")</f>
        <v>0</v>
      </c>
      <c r="CQ504" s="472"/>
      <c r="CR504" s="472"/>
      <c r="CS504" s="472"/>
      <c r="CT504" s="472"/>
      <c r="CU504" s="472"/>
      <c r="CV504" s="472"/>
      <c r="CW504" s="472"/>
      <c r="CX504" s="472"/>
      <c r="CY504" s="478"/>
      <c r="CZ504" s="47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04" s="478">
        <f>+IF(BD_MO[[#This Row],[FECHA]]&lt;&gt;"",BD_MO[[#This Row],[DURMIENTE2]]*6.561+BD_MO[[#This Row],[LISTONES]]*4.921+BD_MO[[#This Row],[TABLA 1"x8"x3m]]*6.561+BD_MO[[#This Row],[TABLA 2"x8"x3m]]*13.122,"")</f>
        <v>0</v>
      </c>
      <c r="DB504" s="478">
        <f>+IF(BD_MO[[#This Row],[FECHA]]&lt;&gt;"",BD_MO[[#This Row],[PIE2 MADERA ASERRADA]]*1.95,"")</f>
        <v>0</v>
      </c>
      <c r="DC504" s="478">
        <f>+IF(BD_MO[[#This Row],[FECHA]]&lt;&gt;"",BD_MO[[#This Row],[KG. MADERA REDONDA]]+BD_MO[[#This Row],[KG MADERA ASERRADA]],"")</f>
        <v>0</v>
      </c>
      <c r="DD504" s="48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04" s="472"/>
      <c r="DF504" s="472"/>
      <c r="DG504" s="472"/>
      <c r="DH504" s="472"/>
      <c r="DI504" s="48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04" s="482"/>
      <c r="DK504" s="482"/>
      <c r="DL504" s="48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04" s="48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04" s="48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04" s="483"/>
      <c r="DP504" s="482" t="str">
        <f>+IF(BD_MO[[#This Row],[M o D]]&lt;&gt;"",IF(BD_MO[[#This Row],[M o D]]="M",BD_MO[[#This Row],[ROTURA TMH]]/2.65,BD_MO[[#This Row],[ROTURA TMH]]/2.4),"")</f>
        <v/>
      </c>
      <c r="DQ504" s="482"/>
      <c r="DR504" s="484" t="str">
        <f>IF(BD_MO[[#This Row],[TIPO AVANCE]]="Avance",((BD_MO[[#This Row],[AVANCE (m)]]/BD_MO[[#This Row],[AVANCE TEÓRICO]]))," ")</f>
        <v xml:space="preserve"> </v>
      </c>
      <c r="DS504" s="113"/>
      <c r="DT504" s="113"/>
      <c r="DU504" s="113"/>
      <c r="DV504" s="113"/>
      <c r="DW504" s="113"/>
      <c r="DX504" s="114"/>
      <c r="DY504" s="114"/>
      <c r="DZ504" s="114"/>
    </row>
    <row r="505" spans="1:130" s="136" customFormat="1" ht="18" customHeight="1" x14ac:dyDescent="0.25">
      <c r="A505" s="424">
        <v>44680</v>
      </c>
      <c r="B505" s="425" t="s">
        <v>10647</v>
      </c>
      <c r="C505" s="425" t="s">
        <v>10668</v>
      </c>
      <c r="D505" s="94" t="s">
        <v>11827</v>
      </c>
      <c r="E505" s="427" t="str">
        <f>LEFT(BD_MO[[#This Row],[LABOR]],2)</f>
        <v>Tj</v>
      </c>
      <c r="F505" s="428"/>
      <c r="G505" s="428" t="s">
        <v>10662</v>
      </c>
      <c r="H505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505" s="383" t="str">
        <f>IF(BD_MO[FECHA]&lt;&gt;"",VLOOKUP(BD_MO[LABOR],TB_CECO[[LABOR]:[CECO_T]],3,FALSE),"")</f>
        <v>VANESSA</v>
      </c>
      <c r="J505" s="383" t="str">
        <f>IF(BD_MO[FECHA]&lt;&gt;"",VLOOKUP(BD_MO[LABOR],D_CECO!B:H,7,FALSE),"")</f>
        <v>TAJO</v>
      </c>
      <c r="K505" s="383" t="str">
        <f>IF(BD_MO[FECHA]&lt;&gt;"",VLOOKUP(BD_MO[LABOR],D_CECO!B:H,4,FALSE),"")</f>
        <v>EXPLOTACION</v>
      </c>
      <c r="L505" s="427"/>
      <c r="M505" s="425"/>
      <c r="N505" s="428"/>
      <c r="O505" s="93" t="s">
        <v>12194</v>
      </c>
      <c r="P505" s="93" t="s">
        <v>12461</v>
      </c>
      <c r="Q505" s="93"/>
      <c r="R505" s="430"/>
      <c r="S505" s="431" t="str">
        <f>IFERROR(VLOOKUP(BD_MO[DNI 4],#REF!,2,FALSE)," ")</f>
        <v xml:space="preserve"> </v>
      </c>
      <c r="T505" s="432">
        <f>+IF(BD_MO[[#This Row],[FECHA]]&lt;&gt;"",COUNTA(BD_MO[[#This Row],[DNI]],BD_MO[[#This Row],[DNI 2]],BD_MO[[#This Row],[DNI 3]],BD_MO[[#This Row],[DNI 4]]),"")</f>
        <v>2</v>
      </c>
      <c r="U505" s="432"/>
      <c r="V505" s="432"/>
      <c r="W505" s="432">
        <v>0.96</v>
      </c>
      <c r="X505" s="432">
        <v>1.04</v>
      </c>
      <c r="Y505" s="433">
        <f>SUM(BD_MO[[#This Row],[LIMP]:[SERV]])</f>
        <v>2</v>
      </c>
      <c r="Z505" s="428"/>
      <c r="AA505" s="428" t="str">
        <f>+IF(BD_MO[[#This Row],[N° VALE]]&lt;&gt;"",1,"")</f>
        <v/>
      </c>
      <c r="AB505" s="425"/>
      <c r="AC505" s="428"/>
      <c r="AD505" s="428" t="str">
        <f>+IF(BD_MO[[#This Row],[N° VALE]]&lt;&gt;"",BD_MO[[#This Row],[FULMINANTE N° 08]]+BD_MO[CARMEX 7''],"")</f>
        <v/>
      </c>
      <c r="AE505" s="428"/>
      <c r="AF505" s="428" t="str">
        <f>+IF(BD_MO[[#This Row],[N° VALE]]&lt;&gt;"",BD_MO[[#This Row],[N° TALADROS]]+BD_MO[[#This Row],[N° TAL. VACIOS]],"")</f>
        <v/>
      </c>
      <c r="AG505" s="434"/>
      <c r="AH505" s="434"/>
      <c r="AI505" s="434"/>
      <c r="AJ505" s="434"/>
      <c r="AK505" s="434"/>
      <c r="AL505" s="434"/>
      <c r="AM505" s="427"/>
      <c r="AN505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05" s="428" t="str">
        <f>+IF(BD_MO[[#This Row],[N° VALE]]&lt;&gt;"",IF(BD_MO[[#This Row],[FULMINANTE N° 08]]&lt;&gt;"",BD_MO[[#This Row],[FULMINANTE N° 08]],IF(BD_MO[[#This Row],[CARMEX 7'']]&lt;&gt;0,0,"")),"")</f>
        <v/>
      </c>
      <c r="AP505" s="432" t="str">
        <f>+IF(BD_MO[[#This Row],[N° VALE]]&lt;&gt;"",BD_MO[[#This Row],[N°  TOTAL TALADROS]]*BD_MO[[#This Row],[BARRA]]*0.95,"")</f>
        <v/>
      </c>
      <c r="AQ505" s="432" t="str">
        <f>+IF(BD_MO[[#This Row],[N° VALE]]&lt;&gt;"",BD_MO[[#This Row],[EMULNOR 1000 (N° CART.)]]*PE_EMUL_1000[PE],"")</f>
        <v/>
      </c>
      <c r="AR505" s="432" t="str">
        <f>+IF(BD_MO[[#This Row],[N° VALE]]&lt;&gt;"",BD_MO[[#This Row],[EMULNOR 3000 (N° CART.)]]*PE_EMUL_3000[PE],"")</f>
        <v/>
      </c>
      <c r="AS505" s="432" t="str">
        <f>+IF(BD_MO[[#This Row],[N° VALE]]&lt;&gt;"",BD_MO[[#This Row],[PULVERULENTA (N° CART.)]]*PE_PULV_65[PE],"")</f>
        <v/>
      </c>
      <c r="AT505" s="432" t="str">
        <f>+IF(BD_MO[[#This Row],[N° DISP]]&lt;&gt;"",BD_MO[[#This Row],[SEMIGELATINA (N° CART.)]]*PE_SEMIGEL_65[PE],"")</f>
        <v/>
      </c>
      <c r="AU505" s="432" t="str">
        <f>+IF(BD_MO[N° VALE]&lt;&gt;"",BD_MO[[#This Row],[KG EXPLO SEMIGEL]]+BD_MO[[#This Row],[KG EXPLO PULVE]]+BD_MO[[#This Row],[KG EXPLO EMULN 3000]]+BD_MO[[#This Row],[KG EXPLO EMULN 1000]],"")</f>
        <v/>
      </c>
      <c r="AV505" s="428"/>
      <c r="AW505" s="428"/>
      <c r="AX505" s="428" t="str">
        <f>+IF(BD_MO[[#This Row],[MINERAL (U-35)]]&lt;&gt;"",BD_MO[[#This Row],[MINERAL (U-35)]]*1.45,"-")</f>
        <v>-</v>
      </c>
      <c r="AY505" s="428" t="str">
        <f>+IF(BD_MO[[#This Row],[DESMONTE (U-35)]]&lt;&gt;"",BD_MO[[#This Row],[DESMONTE (U-35)]]*1.23,"-")</f>
        <v>-</v>
      </c>
      <c r="AZ505" s="428"/>
      <c r="BA505" s="428"/>
      <c r="BB505" s="428"/>
      <c r="BC505" s="428"/>
      <c r="BD505" s="428"/>
      <c r="BE505" s="428"/>
      <c r="BF505" s="428"/>
      <c r="BG505" s="428"/>
      <c r="BH505" s="428"/>
      <c r="BI505" s="428">
        <v>2</v>
      </c>
      <c r="BJ505" s="428"/>
      <c r="BK505" s="428"/>
      <c r="BL505" s="428"/>
      <c r="BM505" s="428"/>
      <c r="BN505" s="427">
        <v>4.5</v>
      </c>
      <c r="BO505" s="428"/>
      <c r="BP505" s="428"/>
      <c r="BQ505" s="427"/>
      <c r="BR505" s="428"/>
      <c r="BS505" s="427"/>
      <c r="BT505" s="432"/>
      <c r="BU505" s="428"/>
      <c r="BV505" s="428"/>
      <c r="BW505" s="428"/>
      <c r="BX505" s="428"/>
      <c r="BY505" s="428"/>
      <c r="BZ505" s="428"/>
      <c r="CA505" s="428"/>
      <c r="CB505" s="428"/>
      <c r="CC505" s="428"/>
      <c r="CD505" s="428"/>
      <c r="CE505" s="428"/>
      <c r="CF505" s="428"/>
      <c r="CG505" s="428"/>
      <c r="CH505" s="428"/>
      <c r="CI505" s="428"/>
      <c r="CJ505" s="428"/>
      <c r="CK505" s="428"/>
      <c r="CL505" s="428"/>
      <c r="CM505" s="428">
        <v>2</v>
      </c>
      <c r="CN505" s="428"/>
      <c r="CO505" s="428"/>
      <c r="CP505" s="432">
        <f>+IF(BD_MO[[#This Row],[FECHA]]&lt;&gt;"",BD_MO[[#This Row],[PUNTAL 4"]]+BD_MO[[#This Row],[PUNTAL 5"]]+BD_MO[[#This Row],[PUNTAL 6"]]+BD_MO[[#This Row],[PUNTAL 7"]]+BD_MO[[#This Row],[PUNTAL 8"]],"")</f>
        <v>2</v>
      </c>
      <c r="CQ505" s="428"/>
      <c r="CR505" s="428"/>
      <c r="CS505" s="428"/>
      <c r="CT505" s="428"/>
      <c r="CU505" s="428"/>
      <c r="CV505" s="428"/>
      <c r="CW505" s="428"/>
      <c r="CX505" s="428">
        <v>6</v>
      </c>
      <c r="CY505" s="432"/>
      <c r="CZ505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89.748000000000005</v>
      </c>
      <c r="DA505" s="432">
        <f>+IF(BD_MO[[#This Row],[FECHA]]&lt;&gt;"",BD_MO[[#This Row],[DURMIENTE2]]*6.561+BD_MO[[#This Row],[LISTONES]]*4.921+BD_MO[[#This Row],[TABLA 1"x8"x3m]]*6.561+BD_MO[[#This Row],[TABLA 2"x8"x3m]]*13.122,"")</f>
        <v>78.731999999999999</v>
      </c>
      <c r="DB505" s="432">
        <f>+IF(BD_MO[[#This Row],[FECHA]]&lt;&gt;"",BD_MO[[#This Row],[PIE2 MADERA ASERRADA]]*1.95,"")</f>
        <v>153.5274</v>
      </c>
      <c r="DC505" s="432">
        <f>+IF(BD_MO[[#This Row],[FECHA]]&lt;&gt;"",BD_MO[[#This Row],[KG. MADERA REDONDA]]+BD_MO[[#This Row],[KG MADERA ASERRADA]],"")</f>
        <v>243.27539999999999</v>
      </c>
      <c r="DD505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126.92000000000002</v>
      </c>
      <c r="DE505" s="428"/>
      <c r="DF505" s="428"/>
      <c r="DG505" s="428"/>
      <c r="DH505" s="428"/>
      <c r="DI505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05" s="436"/>
      <c r="DK505" s="436"/>
      <c r="DL505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05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05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05" s="437"/>
      <c r="DP505" s="436" t="str">
        <f>+IF(BD_MO[[#This Row],[M o D]]&lt;&gt;"",IF(BD_MO[[#This Row],[M o D]]="M",BD_MO[[#This Row],[ROTURA TMH]]/2.65,BD_MO[[#This Row],[ROTURA TMH]]/2.4),"")</f>
        <v/>
      </c>
      <c r="DQ505" s="436"/>
      <c r="DR505" s="116" t="str">
        <f>IF(BD_MO[[#This Row],[TIPO AVANCE]]="Avance",((BD_MO[[#This Row],[AVANCE (m)]]/BD_MO[[#This Row],[AVANCE TEÓRICO]]))," ")</f>
        <v xml:space="preserve"> </v>
      </c>
      <c r="DS505" s="134"/>
      <c r="DT505" s="134"/>
      <c r="DU505" s="134"/>
      <c r="DV505" s="134"/>
      <c r="DW505" s="134"/>
      <c r="DX505" s="135"/>
      <c r="DY505" s="135"/>
      <c r="DZ505" s="135"/>
    </row>
    <row r="506" spans="1:130" s="136" customFormat="1" ht="18" customHeight="1" x14ac:dyDescent="0.25">
      <c r="A506" s="424">
        <v>44680</v>
      </c>
      <c r="B506" s="425" t="s">
        <v>10647</v>
      </c>
      <c r="C506" s="425" t="s">
        <v>10668</v>
      </c>
      <c r="D506" s="81" t="s">
        <v>12437</v>
      </c>
      <c r="E506" s="427" t="str">
        <f>LEFT(BD_MO[[#This Row],[LABOR]],2)</f>
        <v>Sn</v>
      </c>
      <c r="F506" s="428"/>
      <c r="G506" s="428" t="s">
        <v>10656</v>
      </c>
      <c r="H506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506" s="383" t="str">
        <f>IF(BD_MO[FECHA]&lt;&gt;"",VLOOKUP(BD_MO[LABOR],TB_CECO[[LABOR]:[CECO_T]],3,FALSE),"")</f>
        <v>VANESSA</v>
      </c>
      <c r="J506" s="383" t="str">
        <f>IF(BD_MO[FECHA]&lt;&gt;"",VLOOKUP(BD_MO[LABOR],D_CECO!B:H,7,FALSE),"")</f>
        <v>LINEAL</v>
      </c>
      <c r="K506" s="383" t="str">
        <f>IF(BD_MO[FECHA]&lt;&gt;"",VLOOKUP(BD_MO[LABOR],D_CECO!B:H,4,FALSE),"")</f>
        <v>EXPLORACION</v>
      </c>
      <c r="L506" s="427"/>
      <c r="M506" s="425"/>
      <c r="N506" s="428"/>
      <c r="O506" s="93" t="s">
        <v>12205</v>
      </c>
      <c r="P506" s="93" t="s">
        <v>12195</v>
      </c>
      <c r="Q506" s="93"/>
      <c r="R506" s="430"/>
      <c r="S506" s="431" t="str">
        <f>IFERROR(VLOOKUP(BD_MO[DNI 4],#REF!,2,FALSE)," ")</f>
        <v xml:space="preserve"> </v>
      </c>
      <c r="T506" s="432">
        <f>+IF(BD_MO[[#This Row],[FECHA]]&lt;&gt;"",COUNTA(BD_MO[[#This Row],[DNI]],BD_MO[[#This Row],[DNI 2]],BD_MO[[#This Row],[DNI 3]],BD_MO[[#This Row],[DNI 4]]),"")</f>
        <v>2</v>
      </c>
      <c r="U506" s="432">
        <v>1.04</v>
      </c>
      <c r="V506" s="432"/>
      <c r="W506" s="432">
        <v>0.48</v>
      </c>
      <c r="X506" s="432">
        <v>0.48</v>
      </c>
      <c r="Y506" s="433">
        <f>SUM(BD_MO[[#This Row],[LIMP]:[SERV]])</f>
        <v>2</v>
      </c>
      <c r="Z506" s="428"/>
      <c r="AA506" s="428" t="str">
        <f>+IF(BD_MO[[#This Row],[N° VALE]]&lt;&gt;"",1,"")</f>
        <v/>
      </c>
      <c r="AB506" s="425"/>
      <c r="AC506" s="428"/>
      <c r="AD506" s="428" t="str">
        <f>+IF(BD_MO[[#This Row],[N° VALE]]&lt;&gt;"",BD_MO[[#This Row],[FULMINANTE N° 08]]+BD_MO[CARMEX 7''],"")</f>
        <v/>
      </c>
      <c r="AE506" s="428"/>
      <c r="AF506" s="428" t="str">
        <f>+IF(BD_MO[[#This Row],[N° VALE]]&lt;&gt;"",BD_MO[[#This Row],[N° TALADROS]]+BD_MO[[#This Row],[N° TAL. VACIOS]],"")</f>
        <v/>
      </c>
      <c r="AG506" s="434"/>
      <c r="AH506" s="434"/>
      <c r="AI506" s="434"/>
      <c r="AJ506" s="434"/>
      <c r="AK506" s="434"/>
      <c r="AL506" s="434"/>
      <c r="AM506" s="427"/>
      <c r="AN506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06" s="428" t="str">
        <f>+IF(BD_MO[[#This Row],[N° VALE]]&lt;&gt;"",IF(BD_MO[[#This Row],[FULMINANTE N° 08]]&lt;&gt;"",BD_MO[[#This Row],[FULMINANTE N° 08]],IF(BD_MO[[#This Row],[CARMEX 7'']]&lt;&gt;0,0,"")),"")</f>
        <v/>
      </c>
      <c r="AP506" s="432" t="str">
        <f>+IF(BD_MO[[#This Row],[N° VALE]]&lt;&gt;"",BD_MO[[#This Row],[N°  TOTAL TALADROS]]*BD_MO[[#This Row],[BARRA]]*0.95,"")</f>
        <v/>
      </c>
      <c r="AQ506" s="432" t="str">
        <f>+IF(BD_MO[[#This Row],[N° VALE]]&lt;&gt;"",BD_MO[[#This Row],[EMULNOR 1000 (N° CART.)]]*PE_EMUL_1000[PE],"")</f>
        <v/>
      </c>
      <c r="AR506" s="432" t="str">
        <f>+IF(BD_MO[[#This Row],[N° VALE]]&lt;&gt;"",BD_MO[[#This Row],[EMULNOR 3000 (N° CART.)]]*PE_EMUL_3000[PE],"")</f>
        <v/>
      </c>
      <c r="AS506" s="432" t="str">
        <f>+IF(BD_MO[[#This Row],[N° VALE]]&lt;&gt;"",BD_MO[[#This Row],[PULVERULENTA (N° CART.)]]*PE_PULV_65[PE],"")</f>
        <v/>
      </c>
      <c r="AT506" s="432" t="str">
        <f>+IF(BD_MO[[#This Row],[N° DISP]]&lt;&gt;"",BD_MO[[#This Row],[SEMIGELATINA (N° CART.)]]*PE_SEMIGEL_65[PE],"")</f>
        <v/>
      </c>
      <c r="AU506" s="432" t="str">
        <f>+IF(BD_MO[N° VALE]&lt;&gt;"",BD_MO[[#This Row],[KG EXPLO SEMIGEL]]+BD_MO[[#This Row],[KG EXPLO PULVE]]+BD_MO[[#This Row],[KG EXPLO EMULN 3000]]+BD_MO[[#This Row],[KG EXPLO EMULN 1000]],"")</f>
        <v/>
      </c>
      <c r="AV506" s="428"/>
      <c r="AW506" s="428"/>
      <c r="AX506" s="428" t="str">
        <f>+IF(BD_MO[[#This Row],[MINERAL (U-35)]]&lt;&gt;"",BD_MO[[#This Row],[MINERAL (U-35)]]*1.45,"-")</f>
        <v>-</v>
      </c>
      <c r="AY506" s="428" t="str">
        <f>+IF(BD_MO[[#This Row],[DESMONTE (U-35)]]&lt;&gt;"",BD_MO[[#This Row],[DESMONTE (U-35)]]*1.23,"-")</f>
        <v>-</v>
      </c>
      <c r="AZ506" s="428"/>
      <c r="BA506" s="428"/>
      <c r="BB506" s="428"/>
      <c r="BC506" s="428"/>
      <c r="BD506" s="428"/>
      <c r="BE506" s="428"/>
      <c r="BF506" s="428"/>
      <c r="BG506" s="428"/>
      <c r="BH506" s="428"/>
      <c r="BI506" s="428"/>
      <c r="BJ506" s="428"/>
      <c r="BK506" s="428"/>
      <c r="BL506" s="428"/>
      <c r="BM506" s="428"/>
      <c r="BN506" s="427"/>
      <c r="BO506" s="428">
        <v>1</v>
      </c>
      <c r="BP506" s="428"/>
      <c r="BQ506" s="427"/>
      <c r="BR506" s="428"/>
      <c r="BS506" s="427"/>
      <c r="BT506" s="432">
        <v>4.875</v>
      </c>
      <c r="BU506" s="428"/>
      <c r="BV506" s="428"/>
      <c r="BW506" s="428"/>
      <c r="BX506" s="428"/>
      <c r="BY506" s="428"/>
      <c r="BZ506" s="428"/>
      <c r="CA506" s="428"/>
      <c r="CB506" s="428"/>
      <c r="CC506" s="428"/>
      <c r="CD506" s="428"/>
      <c r="CE506" s="428"/>
      <c r="CF506" s="428"/>
      <c r="CG506" s="428"/>
      <c r="CH506" s="428"/>
      <c r="CI506" s="428"/>
      <c r="CJ506" s="428"/>
      <c r="CK506" s="428"/>
      <c r="CL506" s="428">
        <v>2</v>
      </c>
      <c r="CM506" s="428">
        <v>2</v>
      </c>
      <c r="CN506" s="428"/>
      <c r="CO506" s="428"/>
      <c r="CP506" s="432">
        <f>+IF(BD_MO[[#This Row],[FECHA]]&lt;&gt;"",BD_MO[[#This Row],[PUNTAL 4"]]+BD_MO[[#This Row],[PUNTAL 5"]]+BD_MO[[#This Row],[PUNTAL 6"]]+BD_MO[[#This Row],[PUNTAL 7"]]+BD_MO[[#This Row],[PUNTAL 8"]],"")</f>
        <v>4</v>
      </c>
      <c r="CQ506" s="428"/>
      <c r="CR506" s="428"/>
      <c r="CS506" s="428">
        <v>10</v>
      </c>
      <c r="CT506" s="428"/>
      <c r="CU506" s="428"/>
      <c r="CV506" s="428"/>
      <c r="CW506" s="428"/>
      <c r="CX506" s="428"/>
      <c r="CY506" s="432"/>
      <c r="CZ506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398.07400000000001</v>
      </c>
      <c r="DA506" s="432">
        <f>+IF(BD_MO[[#This Row],[FECHA]]&lt;&gt;"",BD_MO[[#This Row],[DURMIENTE2]]*6.561+BD_MO[[#This Row],[LISTONES]]*4.921+BD_MO[[#This Row],[TABLA 1"x8"x3m]]*6.561+BD_MO[[#This Row],[TABLA 2"x8"x3m]]*13.122,"")</f>
        <v>0</v>
      </c>
      <c r="DB506" s="432">
        <f>+IF(BD_MO[[#This Row],[FECHA]]&lt;&gt;"",BD_MO[[#This Row],[PIE2 MADERA ASERRADA]]*1.95,"")</f>
        <v>0</v>
      </c>
      <c r="DC506" s="432">
        <f>+IF(BD_MO[[#This Row],[FECHA]]&lt;&gt;"",BD_MO[[#This Row],[KG. MADERA REDONDA]]+BD_MO[[#This Row],[KG MADERA ASERRADA]],"")</f>
        <v>398.07400000000001</v>
      </c>
      <c r="DD506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194.1</v>
      </c>
      <c r="DE506" s="428"/>
      <c r="DF506" s="428"/>
      <c r="DG506" s="428"/>
      <c r="DH506" s="428"/>
      <c r="DI506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06" s="436"/>
      <c r="DK506" s="436"/>
      <c r="DL506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06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06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06" s="437"/>
      <c r="DP506" s="436" t="str">
        <f>+IF(BD_MO[[#This Row],[M o D]]&lt;&gt;"",IF(BD_MO[[#This Row],[M o D]]="M",BD_MO[[#This Row],[ROTURA TMH]]/2.65,BD_MO[[#This Row],[ROTURA TMH]]/2.4),"")</f>
        <v/>
      </c>
      <c r="DQ506" s="436"/>
      <c r="DR506" s="116" t="str">
        <f>IF(BD_MO[[#This Row],[TIPO AVANCE]]="Avance",((BD_MO[[#This Row],[AVANCE (m)]]/BD_MO[[#This Row],[AVANCE TEÓRICO]]))," ")</f>
        <v xml:space="preserve"> </v>
      </c>
      <c r="DS506" s="134"/>
      <c r="DT506" s="134"/>
      <c r="DU506" s="134"/>
      <c r="DV506" s="134"/>
      <c r="DW506" s="134"/>
      <c r="DX506" s="135"/>
      <c r="DY506" s="135"/>
      <c r="DZ506" s="135"/>
    </row>
    <row r="507" spans="1:130" s="136" customFormat="1" ht="18" customHeight="1" x14ac:dyDescent="0.25">
      <c r="A507" s="424">
        <v>44680</v>
      </c>
      <c r="B507" s="425" t="s">
        <v>10647</v>
      </c>
      <c r="C507" s="425" t="s">
        <v>10668</v>
      </c>
      <c r="D507" s="94" t="s">
        <v>12339</v>
      </c>
      <c r="E507" s="427" t="str">
        <f>LEFT(BD_MO[[#This Row],[LABOR]],2)</f>
        <v>Tj</v>
      </c>
      <c r="F507" s="428" t="s">
        <v>10950</v>
      </c>
      <c r="G507" s="428" t="s">
        <v>10648</v>
      </c>
      <c r="H507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507" s="383" t="str">
        <f>IF(BD_MO[FECHA]&lt;&gt;"",VLOOKUP(BD_MO[LABOR],TB_CECO[[LABOR]:[CECO_T]],3,FALSE),"")</f>
        <v>ESCONDIDA</v>
      </c>
      <c r="J507" s="383" t="str">
        <f>IF(BD_MO[FECHA]&lt;&gt;"",VLOOKUP(BD_MO[LABOR],D_CECO!B:H,7,FALSE),"")</f>
        <v>TAJO</v>
      </c>
      <c r="K507" s="383" t="str">
        <f>IF(BD_MO[FECHA]&lt;&gt;"",VLOOKUP(BD_MO[LABOR],D_CECO!B:H,4,FALSE),"")</f>
        <v>EXPLOTACION</v>
      </c>
      <c r="L507" s="427"/>
      <c r="M507" s="425" t="s">
        <v>10667</v>
      </c>
      <c r="N507" s="428"/>
      <c r="O507" s="93" t="s">
        <v>12233</v>
      </c>
      <c r="P507" s="93" t="s">
        <v>12197</v>
      </c>
      <c r="Q507" s="400"/>
      <c r="R507" s="430"/>
      <c r="S507" s="431" t="str">
        <f>IFERROR(VLOOKUP(BD_MO[DNI 4],#REF!,2,FALSE)," ")</f>
        <v xml:space="preserve"> </v>
      </c>
      <c r="T507" s="432">
        <v>1</v>
      </c>
      <c r="U507" s="432">
        <v>0.38</v>
      </c>
      <c r="V507" s="432">
        <v>0.14000000000000001</v>
      </c>
      <c r="W507" s="432"/>
      <c r="X507" s="432">
        <v>0.48</v>
      </c>
      <c r="Y507" s="433">
        <f>SUM(BD_MO[[#This Row],[LIMP]:[SERV]])</f>
        <v>1</v>
      </c>
      <c r="Z507" s="428" t="s">
        <v>12462</v>
      </c>
      <c r="AA507" s="428">
        <f>+IF(BD_MO[[#This Row],[N° VALE]]&lt;&gt;"",1,"")</f>
        <v>1</v>
      </c>
      <c r="AB507" s="425" t="s">
        <v>10710</v>
      </c>
      <c r="AC507" s="428">
        <v>4</v>
      </c>
      <c r="AD507" s="428">
        <f>+IF(BD_MO[[#This Row],[N° VALE]]&lt;&gt;"",BD_MO[[#This Row],[FULMINANTE N° 08]]+BD_MO[CARMEX 7''],"")</f>
        <v>3</v>
      </c>
      <c r="AE507" s="428"/>
      <c r="AF507" s="428">
        <f>+IF(BD_MO[[#This Row],[N° VALE]]&lt;&gt;"",BD_MO[[#This Row],[N° TALADROS]]+BD_MO[[#This Row],[N° TAL. VACIOS]],"")</f>
        <v>3</v>
      </c>
      <c r="AG507" s="434"/>
      <c r="AH507" s="434">
        <v>6</v>
      </c>
      <c r="AI507" s="434"/>
      <c r="AJ507" s="434"/>
      <c r="AK507" s="434">
        <v>3</v>
      </c>
      <c r="AL507" s="434">
        <v>1</v>
      </c>
      <c r="AM507" s="427"/>
      <c r="AN507" s="428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507" s="428">
        <f>+IF(BD_MO[[#This Row],[N° VALE]]&lt;&gt;"",IF(BD_MO[[#This Row],[FULMINANTE N° 08]]&lt;&gt;"",BD_MO[[#This Row],[FULMINANTE N° 08]],IF(BD_MO[[#This Row],[CARMEX 7'']]&lt;&gt;0,0,"")),"")</f>
        <v>0</v>
      </c>
      <c r="AP507" s="432">
        <f>+IF(BD_MO[[#This Row],[N° VALE]]&lt;&gt;"",BD_MO[[#This Row],[N°  TOTAL TALADROS]]*BD_MO[[#This Row],[BARRA]]*0.95,"")</f>
        <v>11.399999999999999</v>
      </c>
      <c r="AQ507" s="432">
        <f>+IF(BD_MO[[#This Row],[N° VALE]]&lt;&gt;"",BD_MO[[#This Row],[EMULNOR 1000 (N° CART.)]]*PE_EMUL_1000[PE],"")</f>
        <v>0.56820000000000004</v>
      </c>
      <c r="AR507" s="432">
        <f>+IF(BD_MO[[#This Row],[N° VALE]]&lt;&gt;"",BD_MO[[#This Row],[EMULNOR 3000 (N° CART.)]]*PE_EMUL_3000[PE],"")</f>
        <v>0</v>
      </c>
      <c r="AS507" s="432">
        <f>+IF(BD_MO[[#This Row],[N° VALE]]&lt;&gt;"",BD_MO[[#This Row],[PULVERULENTA (N° CART.)]]*PE_PULV_65[PE],"")</f>
        <v>0</v>
      </c>
      <c r="AT507" s="432">
        <f>+IF(BD_MO[[#This Row],[N° DISP]]&lt;&gt;"",BD_MO[[#This Row],[SEMIGELATINA (N° CART.)]]*PE_SEMIGEL_65[PE],"")</f>
        <v>0</v>
      </c>
      <c r="AU507" s="432">
        <f>+IF(BD_MO[N° VALE]&lt;&gt;"",BD_MO[[#This Row],[KG EXPLO SEMIGEL]]+BD_MO[[#This Row],[KG EXPLO PULVE]]+BD_MO[[#This Row],[KG EXPLO EMULN 3000]]+BD_MO[[#This Row],[KG EXPLO EMULN 1000]],"")</f>
        <v>0.56820000000000004</v>
      </c>
      <c r="AV507" s="428"/>
      <c r="AW507" s="428"/>
      <c r="AX507" s="428" t="str">
        <f>+IF(BD_MO[[#This Row],[MINERAL (U-35)]]&lt;&gt;"",BD_MO[[#This Row],[MINERAL (U-35)]]*1.45,"-")</f>
        <v>-</v>
      </c>
      <c r="AY507" s="428" t="str">
        <f>+IF(BD_MO[[#This Row],[DESMONTE (U-35)]]&lt;&gt;"",BD_MO[[#This Row],[DESMONTE (U-35)]]*1.23,"-")</f>
        <v>-</v>
      </c>
      <c r="AZ507" s="428"/>
      <c r="BA507" s="428"/>
      <c r="BB507" s="428"/>
      <c r="BC507" s="428"/>
      <c r="BD507" s="428"/>
      <c r="BE507" s="428"/>
      <c r="BF507" s="428"/>
      <c r="BG507" s="428"/>
      <c r="BH507" s="428"/>
      <c r="BI507" s="428"/>
      <c r="BJ507" s="428"/>
      <c r="BK507" s="428"/>
      <c r="BL507" s="428"/>
      <c r="BM507" s="428"/>
      <c r="BN507" s="427"/>
      <c r="BO507" s="428"/>
      <c r="BP507" s="428"/>
      <c r="BQ507" s="427"/>
      <c r="BR507" s="428"/>
      <c r="BS507" s="427"/>
      <c r="BT507" s="432"/>
      <c r="BU507" s="428"/>
      <c r="BV507" s="428"/>
      <c r="BW507" s="428"/>
      <c r="BX507" s="428"/>
      <c r="BY507" s="428"/>
      <c r="BZ507" s="428"/>
      <c r="CA507" s="428"/>
      <c r="CB507" s="428"/>
      <c r="CC507" s="428"/>
      <c r="CD507" s="428"/>
      <c r="CE507" s="428"/>
      <c r="CF507" s="428"/>
      <c r="CG507" s="428"/>
      <c r="CH507" s="428"/>
      <c r="CI507" s="428"/>
      <c r="CJ507" s="428"/>
      <c r="CK507" s="428"/>
      <c r="CL507" s="428"/>
      <c r="CM507" s="428"/>
      <c r="CN507" s="428"/>
      <c r="CO507" s="428"/>
      <c r="CP507" s="432">
        <f>+IF(BD_MO[[#This Row],[FECHA]]&lt;&gt;"",BD_MO[[#This Row],[PUNTAL 4"]]+BD_MO[[#This Row],[PUNTAL 5"]]+BD_MO[[#This Row],[PUNTAL 6"]]+BD_MO[[#This Row],[PUNTAL 7"]]+BD_MO[[#This Row],[PUNTAL 8"]],"")</f>
        <v>0</v>
      </c>
      <c r="CQ507" s="428"/>
      <c r="CR507" s="428"/>
      <c r="CS507" s="428"/>
      <c r="CT507" s="428"/>
      <c r="CU507" s="428"/>
      <c r="CV507" s="428"/>
      <c r="CW507" s="428"/>
      <c r="CX507" s="428"/>
      <c r="CY507" s="432"/>
      <c r="CZ507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07" s="432">
        <f>+IF(BD_MO[[#This Row],[FECHA]]&lt;&gt;"",BD_MO[[#This Row],[DURMIENTE2]]*6.561+BD_MO[[#This Row],[LISTONES]]*4.921+BD_MO[[#This Row],[TABLA 1"x8"x3m]]*6.561+BD_MO[[#This Row],[TABLA 2"x8"x3m]]*13.122,"")</f>
        <v>0</v>
      </c>
      <c r="DB507" s="432">
        <f>+IF(BD_MO[[#This Row],[FECHA]]&lt;&gt;"",BD_MO[[#This Row],[PIE2 MADERA ASERRADA]]*1.95,"")</f>
        <v>0</v>
      </c>
      <c r="DC507" s="432">
        <f>+IF(BD_MO[[#This Row],[FECHA]]&lt;&gt;"",BD_MO[[#This Row],[KG. MADERA REDONDA]]+BD_MO[[#This Row],[KG MADERA ASERRADA]],"")</f>
        <v>0</v>
      </c>
      <c r="DD507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07" s="428"/>
      <c r="DF507" s="428"/>
      <c r="DG507" s="428"/>
      <c r="DH507" s="428"/>
      <c r="DI507" s="43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507" s="436"/>
      <c r="DK507" s="436"/>
      <c r="DL507" s="43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0.7</v>
      </c>
      <c r="DM507" s="43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0.72799999999999998</v>
      </c>
      <c r="DN507" s="43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507" s="437">
        <v>1.2354000000000001</v>
      </c>
      <c r="DP507" s="436">
        <f>+IF(BD_MO[[#This Row],[M o D]]&lt;&gt;"",IF(BD_MO[[#This Row],[M o D]]="M",BD_MO[[#This Row],[ROTURA TMH]]/2.65,BD_MO[[#This Row],[ROTURA TMH]]/2.4),"")</f>
        <v>0.46618867924528307</v>
      </c>
      <c r="DQ507" s="436"/>
      <c r="DR507" s="116" t="str">
        <f>IF(BD_MO[[#This Row],[TIPO AVANCE]]="Avance",((BD_MO[[#This Row],[AVANCE (m)]]/BD_MO[[#This Row],[AVANCE TEÓRICO]]))," ")</f>
        <v xml:space="preserve"> </v>
      </c>
      <c r="DS507" s="134"/>
      <c r="DT507" s="134"/>
      <c r="DU507" s="134"/>
      <c r="DV507" s="134"/>
      <c r="DW507" s="134"/>
      <c r="DX507" s="135"/>
      <c r="DY507" s="135"/>
      <c r="DZ507" s="135"/>
    </row>
    <row r="508" spans="1:130" s="136" customFormat="1" ht="18" customHeight="1" x14ac:dyDescent="0.25">
      <c r="A508" s="424">
        <v>44680</v>
      </c>
      <c r="B508" s="425" t="s">
        <v>10647</v>
      </c>
      <c r="C508" s="425" t="s">
        <v>10668</v>
      </c>
      <c r="D508" s="94" t="s">
        <v>12339</v>
      </c>
      <c r="E508" s="427" t="str">
        <f>LEFT(BD_MO[[#This Row],[LABOR]],2)</f>
        <v>Tj</v>
      </c>
      <c r="F508" s="428" t="s">
        <v>10950</v>
      </c>
      <c r="G508" s="428" t="s">
        <v>10648</v>
      </c>
      <c r="H508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508" s="383" t="str">
        <f>IF(BD_MO[FECHA]&lt;&gt;"",VLOOKUP(BD_MO[LABOR],TB_CECO[[LABOR]:[CECO_T]],3,FALSE),"")</f>
        <v>ESCONDIDA</v>
      </c>
      <c r="J508" s="383" t="str">
        <f>IF(BD_MO[FECHA]&lt;&gt;"",VLOOKUP(BD_MO[LABOR],D_CECO!B:H,7,FALSE),"")</f>
        <v>TAJO</v>
      </c>
      <c r="K508" s="383" t="str">
        <f>IF(BD_MO[FECHA]&lt;&gt;"",VLOOKUP(BD_MO[LABOR],D_CECO!B:H,4,FALSE),"")</f>
        <v>EXPLOTACION</v>
      </c>
      <c r="L508" s="427"/>
      <c r="M508" s="425" t="s">
        <v>10654</v>
      </c>
      <c r="N508" s="428"/>
      <c r="O508" s="93" t="s">
        <v>12233</v>
      </c>
      <c r="P508" s="93" t="s">
        <v>12197</v>
      </c>
      <c r="Q508" s="429"/>
      <c r="R508" s="430"/>
      <c r="S508" s="431" t="str">
        <f>IFERROR(VLOOKUP(BD_MO[DNI 4],#REF!,2,FALSE)," ")</f>
        <v xml:space="preserve"> </v>
      </c>
      <c r="T508" s="432">
        <v>1</v>
      </c>
      <c r="U508" s="432">
        <v>0.38</v>
      </c>
      <c r="V508" s="432">
        <v>0.14000000000000001</v>
      </c>
      <c r="W508" s="432"/>
      <c r="X508" s="432">
        <v>0.48</v>
      </c>
      <c r="Y508" s="433">
        <f>SUM(BD_MO[[#This Row],[LIMP]:[SERV]])</f>
        <v>1</v>
      </c>
      <c r="Z508" s="428" t="s">
        <v>12463</v>
      </c>
      <c r="AA508" s="428">
        <f>+IF(BD_MO[[#This Row],[N° VALE]]&lt;&gt;"",1,"")</f>
        <v>1</v>
      </c>
      <c r="AB508" s="425" t="s">
        <v>10710</v>
      </c>
      <c r="AC508" s="428">
        <v>4</v>
      </c>
      <c r="AD508" s="428">
        <f>+IF(BD_MO[[#This Row],[N° VALE]]&lt;&gt;"",BD_MO[[#This Row],[FULMINANTE N° 08]]+BD_MO[CARMEX 7''],"")</f>
        <v>30</v>
      </c>
      <c r="AE508" s="428">
        <v>3</v>
      </c>
      <c r="AF508" s="428">
        <f>+IF(BD_MO[[#This Row],[N° VALE]]&lt;&gt;"",BD_MO[[#This Row],[N° TALADROS]]+BD_MO[[#This Row],[N° TAL. VACIOS]],"")</f>
        <v>33</v>
      </c>
      <c r="AG508" s="434">
        <v>62</v>
      </c>
      <c r="AH508" s="434">
        <v>70</v>
      </c>
      <c r="AI508" s="434"/>
      <c r="AJ508" s="434"/>
      <c r="AK508" s="434">
        <v>30</v>
      </c>
      <c r="AL508" s="434">
        <v>10</v>
      </c>
      <c r="AM508" s="427"/>
      <c r="AN508" s="428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508" s="428">
        <f>+IF(BD_MO[[#This Row],[N° VALE]]&lt;&gt;"",IF(BD_MO[[#This Row],[FULMINANTE N° 08]]&lt;&gt;"",BD_MO[[#This Row],[FULMINANTE N° 08]],IF(BD_MO[[#This Row],[CARMEX 7'']]&lt;&gt;0,0,"")),"")</f>
        <v>0</v>
      </c>
      <c r="AP508" s="432">
        <f>+IF(BD_MO[[#This Row],[N° VALE]]&lt;&gt;"",BD_MO[[#This Row],[N°  TOTAL TALADROS]]*BD_MO[[#This Row],[BARRA]]*0.95,"")</f>
        <v>125.39999999999999</v>
      </c>
      <c r="AQ508" s="432">
        <f>+IF(BD_MO[[#This Row],[N° VALE]]&lt;&gt;"",BD_MO[[#This Row],[EMULNOR 1000 (N° CART.)]]*PE_EMUL_1000[PE],"")</f>
        <v>6.6290000000000004</v>
      </c>
      <c r="AR508" s="432">
        <f>+IF(BD_MO[[#This Row],[N° VALE]]&lt;&gt;"",BD_MO[[#This Row],[EMULNOR 3000 (N° CART.)]]*PE_EMUL_3000[PE],"")</f>
        <v>5.9615384615384643</v>
      </c>
      <c r="AS508" s="432">
        <f>+IF(BD_MO[[#This Row],[N° VALE]]&lt;&gt;"",BD_MO[[#This Row],[PULVERULENTA (N° CART.)]]*PE_PULV_65[PE],"")</f>
        <v>0</v>
      </c>
      <c r="AT508" s="432">
        <f>+IF(BD_MO[[#This Row],[N° DISP]]&lt;&gt;"",BD_MO[[#This Row],[SEMIGELATINA (N° CART.)]]*PE_SEMIGEL_65[PE],"")</f>
        <v>0</v>
      </c>
      <c r="AU508" s="432">
        <f>+IF(BD_MO[N° VALE]&lt;&gt;"",BD_MO[[#This Row],[KG EXPLO SEMIGEL]]+BD_MO[[#This Row],[KG EXPLO PULVE]]+BD_MO[[#This Row],[KG EXPLO EMULN 3000]]+BD_MO[[#This Row],[KG EXPLO EMULN 1000]],"")</f>
        <v>12.590538461538465</v>
      </c>
      <c r="AV508" s="428"/>
      <c r="AW508" s="428"/>
      <c r="AX508" s="428" t="str">
        <f>+IF(BD_MO[[#This Row],[MINERAL (U-35)]]&lt;&gt;"",BD_MO[[#This Row],[MINERAL (U-35)]]*1.45,"-")</f>
        <v>-</v>
      </c>
      <c r="AY508" s="428" t="str">
        <f>+IF(BD_MO[[#This Row],[DESMONTE (U-35)]]&lt;&gt;"",BD_MO[[#This Row],[DESMONTE (U-35)]]*1.23,"-")</f>
        <v>-</v>
      </c>
      <c r="AZ508" s="428"/>
      <c r="BA508" s="428"/>
      <c r="BB508" s="428"/>
      <c r="BC508" s="428"/>
      <c r="BD508" s="428"/>
      <c r="BE508" s="428"/>
      <c r="BF508" s="428"/>
      <c r="BG508" s="428"/>
      <c r="BH508" s="428"/>
      <c r="BI508" s="428"/>
      <c r="BJ508" s="428"/>
      <c r="BK508" s="428"/>
      <c r="BL508" s="428"/>
      <c r="BM508" s="428"/>
      <c r="BN508" s="427"/>
      <c r="BO508" s="428"/>
      <c r="BP508" s="428"/>
      <c r="BQ508" s="427"/>
      <c r="BR508" s="428"/>
      <c r="BS508" s="427"/>
      <c r="BT508" s="432"/>
      <c r="BU508" s="428"/>
      <c r="BV508" s="428"/>
      <c r="BW508" s="428"/>
      <c r="BX508" s="428"/>
      <c r="BY508" s="428"/>
      <c r="BZ508" s="428"/>
      <c r="CA508" s="428"/>
      <c r="CB508" s="428"/>
      <c r="CC508" s="428"/>
      <c r="CD508" s="428"/>
      <c r="CE508" s="428"/>
      <c r="CF508" s="428"/>
      <c r="CG508" s="428"/>
      <c r="CH508" s="428"/>
      <c r="CI508" s="428"/>
      <c r="CJ508" s="428"/>
      <c r="CK508" s="428"/>
      <c r="CL508" s="428"/>
      <c r="CM508" s="428"/>
      <c r="CN508" s="428"/>
      <c r="CO508" s="428"/>
      <c r="CP508" s="432">
        <f>+IF(BD_MO[[#This Row],[FECHA]]&lt;&gt;"",BD_MO[[#This Row],[PUNTAL 4"]]+BD_MO[[#This Row],[PUNTAL 5"]]+BD_MO[[#This Row],[PUNTAL 6"]]+BD_MO[[#This Row],[PUNTAL 7"]]+BD_MO[[#This Row],[PUNTAL 8"]],"")</f>
        <v>0</v>
      </c>
      <c r="CQ508" s="428"/>
      <c r="CR508" s="428"/>
      <c r="CS508" s="428"/>
      <c r="CT508" s="428"/>
      <c r="CU508" s="428"/>
      <c r="CV508" s="428"/>
      <c r="CW508" s="428"/>
      <c r="CX508" s="428"/>
      <c r="CY508" s="432"/>
      <c r="CZ508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08" s="432">
        <f>+IF(BD_MO[[#This Row],[FECHA]]&lt;&gt;"",BD_MO[[#This Row],[DURMIENTE2]]*6.561+BD_MO[[#This Row],[LISTONES]]*4.921+BD_MO[[#This Row],[TABLA 1"x8"x3m]]*6.561+BD_MO[[#This Row],[TABLA 2"x8"x3m]]*13.122,"")</f>
        <v>0</v>
      </c>
      <c r="DB508" s="432">
        <f>+IF(BD_MO[[#This Row],[FECHA]]&lt;&gt;"",BD_MO[[#This Row],[PIE2 MADERA ASERRADA]]*1.95,"")</f>
        <v>0</v>
      </c>
      <c r="DC508" s="432">
        <f>+IF(BD_MO[[#This Row],[FECHA]]&lt;&gt;"",BD_MO[[#This Row],[KG. MADERA REDONDA]]+BD_MO[[#This Row],[KG MADERA ASERRADA]],"")</f>
        <v>0</v>
      </c>
      <c r="DD508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08" s="428"/>
      <c r="DF508" s="428"/>
      <c r="DG508" s="428"/>
      <c r="DH508" s="428"/>
      <c r="DI508" s="43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508" s="436"/>
      <c r="DK508" s="436"/>
      <c r="DL508" s="43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7.7</v>
      </c>
      <c r="DM508" s="43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8.0080000000000009</v>
      </c>
      <c r="DN508" s="43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508" s="437">
        <v>12.353999999999999</v>
      </c>
      <c r="DP508" s="436">
        <f>+IF(BD_MO[[#This Row],[M o D]]&lt;&gt;"",IF(BD_MO[[#This Row],[M o D]]="M",BD_MO[[#This Row],[ROTURA TMH]]/2.65,BD_MO[[#This Row],[ROTURA TMH]]/2.4),"")</f>
        <v>4.6618867924528304</v>
      </c>
      <c r="DQ508" s="436"/>
      <c r="DR508" s="116" t="str">
        <f>IF(BD_MO[[#This Row],[TIPO AVANCE]]="Avance",((BD_MO[[#This Row],[AVANCE (m)]]/BD_MO[[#This Row],[AVANCE TEÓRICO]]))," ")</f>
        <v xml:space="preserve"> </v>
      </c>
      <c r="DS508" s="134"/>
      <c r="DT508" s="134"/>
      <c r="DU508" s="134"/>
      <c r="DV508" s="134"/>
      <c r="DW508" s="134"/>
      <c r="DX508" s="135"/>
      <c r="DY508" s="135"/>
      <c r="DZ508" s="135"/>
    </row>
    <row r="509" spans="1:130" s="136" customFormat="1" ht="18" customHeight="1" x14ac:dyDescent="0.25">
      <c r="A509" s="424">
        <v>44680</v>
      </c>
      <c r="B509" s="425" t="s">
        <v>10647</v>
      </c>
      <c r="C509" s="425" t="s">
        <v>10668</v>
      </c>
      <c r="D509" s="94" t="s">
        <v>11872</v>
      </c>
      <c r="E509" s="427" t="str">
        <f>LEFT(BD_MO[[#This Row],[LABOR]],2)</f>
        <v>PQ</v>
      </c>
      <c r="F509" s="428"/>
      <c r="G509" s="428" t="s">
        <v>10669</v>
      </c>
      <c r="H509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09" s="383" t="str">
        <f>IF(BD_MO[FECHA]&lt;&gt;"",VLOOKUP(BD_MO[LABOR],TB_CECO[[LABOR]:[CECO_T]],3,FALSE),"")</f>
        <v>ANDREA</v>
      </c>
      <c r="J509" s="383" t="str">
        <f>IF(BD_MO[FECHA]&lt;&gt;"",VLOOKUP(BD_MO[LABOR],D_CECO!B:H,7,FALSE),"")</f>
        <v>LINEAL</v>
      </c>
      <c r="K509" s="383" t="str">
        <f>IF(BD_MO[FECHA]&lt;&gt;"",VLOOKUP(BD_MO[LABOR],D_CECO!B:H,4,FALSE),"")</f>
        <v>EXPLOTACION</v>
      </c>
      <c r="L509" s="427"/>
      <c r="M509" s="425"/>
      <c r="N509" s="428"/>
      <c r="O509" s="486" t="s">
        <v>12199</v>
      </c>
      <c r="P509" s="486" t="s">
        <v>12220</v>
      </c>
      <c r="Q509" s="487" t="s">
        <v>12323</v>
      </c>
      <c r="R509" s="430"/>
      <c r="S509" s="431" t="str">
        <f>IFERROR(VLOOKUP(BD_MO[DNI 4],#REF!,2,FALSE)," ")</f>
        <v xml:space="preserve"> </v>
      </c>
      <c r="T509" s="432">
        <f>+IF(BD_MO[[#This Row],[FECHA]]&lt;&gt;"",COUNTA(BD_MO[[#This Row],[DNI]],BD_MO[[#This Row],[DNI 2]],BD_MO[[#This Row],[DNI 3]],BD_MO[[#This Row],[DNI 4]]),"")</f>
        <v>3</v>
      </c>
      <c r="U509" s="432"/>
      <c r="V509" s="432"/>
      <c r="W509" s="432"/>
      <c r="X509" s="432"/>
      <c r="Y509" s="433">
        <f>SUM(BD_MO[[#This Row],[LIMP]:[SERV]])</f>
        <v>0</v>
      </c>
      <c r="Z509" s="428"/>
      <c r="AA509" s="428" t="str">
        <f>+IF(BD_MO[[#This Row],[N° VALE]]&lt;&gt;"",1,"")</f>
        <v/>
      </c>
      <c r="AB509" s="425"/>
      <c r="AC509" s="428"/>
      <c r="AD509" s="428" t="str">
        <f>+IF(BD_MO[[#This Row],[N° VALE]]&lt;&gt;"",BD_MO[[#This Row],[FULMINANTE N° 08]]+BD_MO[CARMEX 7''],"")</f>
        <v/>
      </c>
      <c r="AE509" s="428"/>
      <c r="AF509" s="428" t="str">
        <f>+IF(BD_MO[[#This Row],[N° VALE]]&lt;&gt;"",BD_MO[[#This Row],[N° TALADROS]]+BD_MO[[#This Row],[N° TAL. VACIOS]],"")</f>
        <v/>
      </c>
      <c r="AG509" s="434"/>
      <c r="AH509" s="434"/>
      <c r="AI509" s="434"/>
      <c r="AJ509" s="434"/>
      <c r="AK509" s="434"/>
      <c r="AL509" s="434"/>
      <c r="AM509" s="427"/>
      <c r="AN509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09" s="428" t="str">
        <f>+IF(BD_MO[[#This Row],[N° VALE]]&lt;&gt;"",IF(BD_MO[[#This Row],[FULMINANTE N° 08]]&lt;&gt;"",BD_MO[[#This Row],[FULMINANTE N° 08]],IF(BD_MO[[#This Row],[CARMEX 7'']]&lt;&gt;0,0,"")),"")</f>
        <v/>
      </c>
      <c r="AP509" s="432" t="str">
        <f>+IF(BD_MO[[#This Row],[N° VALE]]&lt;&gt;"",BD_MO[[#This Row],[N°  TOTAL TALADROS]]*BD_MO[[#This Row],[BARRA]]*0.95,"")</f>
        <v/>
      </c>
      <c r="AQ509" s="432" t="str">
        <f>+IF(BD_MO[[#This Row],[N° VALE]]&lt;&gt;"",BD_MO[[#This Row],[EMULNOR 1000 (N° CART.)]]*PE_EMUL_1000[PE],"")</f>
        <v/>
      </c>
      <c r="AR509" s="432" t="str">
        <f>+IF(BD_MO[[#This Row],[N° VALE]]&lt;&gt;"",BD_MO[[#This Row],[EMULNOR 3000 (N° CART.)]]*PE_EMUL_3000[PE],"")</f>
        <v/>
      </c>
      <c r="AS509" s="432" t="str">
        <f>+IF(BD_MO[[#This Row],[N° VALE]]&lt;&gt;"",BD_MO[[#This Row],[PULVERULENTA (N° CART.)]]*PE_PULV_65[PE],"")</f>
        <v/>
      </c>
      <c r="AT509" s="432" t="str">
        <f>+IF(BD_MO[[#This Row],[N° DISP]]&lt;&gt;"",BD_MO[[#This Row],[SEMIGELATINA (N° CART.)]]*PE_SEMIGEL_65[PE],"")</f>
        <v/>
      </c>
      <c r="AU509" s="432" t="str">
        <f>+IF(BD_MO[N° VALE]&lt;&gt;"",BD_MO[[#This Row],[KG EXPLO SEMIGEL]]+BD_MO[[#This Row],[KG EXPLO PULVE]]+BD_MO[[#This Row],[KG EXPLO EMULN 3000]]+BD_MO[[#This Row],[KG EXPLO EMULN 1000]],"")</f>
        <v/>
      </c>
      <c r="AV509" s="428"/>
      <c r="AW509" s="428"/>
      <c r="AX509" s="428" t="str">
        <f>+IF(BD_MO[[#This Row],[MINERAL (U-35)]]&lt;&gt;"",BD_MO[[#This Row],[MINERAL (U-35)]]*1.45,"-")</f>
        <v>-</v>
      </c>
      <c r="AY509" s="428" t="str">
        <f>+IF(BD_MO[[#This Row],[DESMONTE (U-35)]]&lt;&gt;"",BD_MO[[#This Row],[DESMONTE (U-35)]]*1.23,"-")</f>
        <v>-</v>
      </c>
      <c r="AZ509" s="428"/>
      <c r="BA509" s="428"/>
      <c r="BB509" s="428"/>
      <c r="BC509" s="428"/>
      <c r="BD509" s="428"/>
      <c r="BE509" s="428"/>
      <c r="BF509" s="428"/>
      <c r="BG509" s="428"/>
      <c r="BH509" s="428"/>
      <c r="BI509" s="428"/>
      <c r="BJ509" s="428"/>
      <c r="BK509" s="428"/>
      <c r="BL509" s="428"/>
      <c r="BM509" s="428"/>
      <c r="BN509" s="427"/>
      <c r="BO509" s="428"/>
      <c r="BP509" s="428"/>
      <c r="BQ509" s="427"/>
      <c r="BR509" s="428"/>
      <c r="BS509" s="427"/>
      <c r="BT509" s="432"/>
      <c r="BU509" s="428"/>
      <c r="BV509" s="428"/>
      <c r="BW509" s="428"/>
      <c r="BX509" s="428"/>
      <c r="BY509" s="428"/>
      <c r="BZ509" s="428"/>
      <c r="CA509" s="428"/>
      <c r="CB509" s="428"/>
      <c r="CC509" s="428"/>
      <c r="CD509" s="428"/>
      <c r="CE509" s="428"/>
      <c r="CF509" s="428"/>
      <c r="CG509" s="428"/>
      <c r="CH509" s="428"/>
      <c r="CI509" s="428"/>
      <c r="CJ509" s="428"/>
      <c r="CK509" s="428"/>
      <c r="CL509" s="428"/>
      <c r="CM509" s="428"/>
      <c r="CN509" s="428"/>
      <c r="CO509" s="428"/>
      <c r="CP509" s="432">
        <f>+IF(BD_MO[[#This Row],[FECHA]]&lt;&gt;"",BD_MO[[#This Row],[PUNTAL 4"]]+BD_MO[[#This Row],[PUNTAL 5"]]+BD_MO[[#This Row],[PUNTAL 6"]]+BD_MO[[#This Row],[PUNTAL 7"]]+BD_MO[[#This Row],[PUNTAL 8"]],"")</f>
        <v>0</v>
      </c>
      <c r="CQ509" s="428"/>
      <c r="CR509" s="428"/>
      <c r="CS509" s="428"/>
      <c r="CT509" s="428"/>
      <c r="CU509" s="428"/>
      <c r="CV509" s="428"/>
      <c r="CW509" s="428"/>
      <c r="CX509" s="428"/>
      <c r="CY509" s="432"/>
      <c r="CZ509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09" s="432">
        <f>+IF(BD_MO[[#This Row],[FECHA]]&lt;&gt;"",BD_MO[[#This Row],[DURMIENTE2]]*6.561+BD_MO[[#This Row],[LISTONES]]*4.921+BD_MO[[#This Row],[TABLA 1"x8"x3m]]*6.561+BD_MO[[#This Row],[TABLA 2"x8"x3m]]*13.122,"")</f>
        <v>0</v>
      </c>
      <c r="DB509" s="432">
        <f>+IF(BD_MO[[#This Row],[FECHA]]&lt;&gt;"",BD_MO[[#This Row],[PIE2 MADERA ASERRADA]]*1.95,"")</f>
        <v>0</v>
      </c>
      <c r="DC509" s="432">
        <f>+IF(BD_MO[[#This Row],[FECHA]]&lt;&gt;"",BD_MO[[#This Row],[KG. MADERA REDONDA]]+BD_MO[[#This Row],[KG MADERA ASERRADA]],"")</f>
        <v>0</v>
      </c>
      <c r="DD509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09" s="428"/>
      <c r="DF509" s="428"/>
      <c r="DG509" s="428" t="s">
        <v>12184</v>
      </c>
      <c r="DH509" s="428">
        <v>4</v>
      </c>
      <c r="DI509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09" s="436"/>
      <c r="DK509" s="436"/>
      <c r="DL509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09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09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09" s="437"/>
      <c r="DP509" s="436" t="str">
        <f>+IF(BD_MO[[#This Row],[M o D]]&lt;&gt;"",IF(BD_MO[[#This Row],[M o D]]="M",BD_MO[[#This Row],[ROTURA TMH]]/2.65,BD_MO[[#This Row],[ROTURA TMH]]/2.4),"")</f>
        <v/>
      </c>
      <c r="DQ509" s="436"/>
      <c r="DR509" s="116" t="str">
        <f>IF(BD_MO[[#This Row],[TIPO AVANCE]]="Avance",((BD_MO[[#This Row],[AVANCE (m)]]/BD_MO[[#This Row],[AVANCE TEÓRICO]]))," ")</f>
        <v xml:space="preserve"> </v>
      </c>
      <c r="DS509" s="134"/>
      <c r="DT509" s="134"/>
      <c r="DU509" s="134"/>
      <c r="DV509" s="134"/>
      <c r="DW509" s="134"/>
      <c r="DX509" s="135"/>
      <c r="DY509" s="135"/>
      <c r="DZ509" s="135"/>
    </row>
    <row r="510" spans="1:130" s="136" customFormat="1" ht="18" customHeight="1" x14ac:dyDescent="0.25">
      <c r="A510" s="424">
        <v>44680</v>
      </c>
      <c r="B510" s="425" t="s">
        <v>10647</v>
      </c>
      <c r="C510" s="425" t="s">
        <v>10668</v>
      </c>
      <c r="D510" s="81" t="s">
        <v>12437</v>
      </c>
      <c r="E510" s="427" t="str">
        <f>LEFT(BD_MO[[#This Row],[LABOR]],2)</f>
        <v>Sn</v>
      </c>
      <c r="F510" s="428"/>
      <c r="G510" s="428" t="s">
        <v>10669</v>
      </c>
      <c r="H510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10" s="383" t="str">
        <f>IF(BD_MO[FECHA]&lt;&gt;"",VLOOKUP(BD_MO[LABOR],TB_CECO[[LABOR]:[CECO_T]],3,FALSE),"")</f>
        <v>VANESSA</v>
      </c>
      <c r="J510" s="383" t="str">
        <f>IF(BD_MO[FECHA]&lt;&gt;"",VLOOKUP(BD_MO[LABOR],D_CECO!B:H,7,FALSE),"")</f>
        <v>LINEAL</v>
      </c>
      <c r="K510" s="383" t="str">
        <f>IF(BD_MO[FECHA]&lt;&gt;"",VLOOKUP(BD_MO[LABOR],D_CECO!B:H,4,FALSE),"")</f>
        <v>EXPLORACION</v>
      </c>
      <c r="L510" s="427"/>
      <c r="M510" s="425"/>
      <c r="N510" s="428"/>
      <c r="O510" s="486" t="s">
        <v>12333</v>
      </c>
      <c r="P510" s="486" t="s">
        <v>12201</v>
      </c>
      <c r="Q510" s="486"/>
      <c r="R510" s="430"/>
      <c r="S510" s="431" t="str">
        <f>IFERROR(VLOOKUP(BD_MO[DNI 4],#REF!,2,FALSE)," ")</f>
        <v xml:space="preserve"> </v>
      </c>
      <c r="T510" s="432">
        <f>+IF(BD_MO[[#This Row],[FECHA]]&lt;&gt;"",COUNTA(BD_MO[[#This Row],[DNI]],BD_MO[[#This Row],[DNI 2]],BD_MO[[#This Row],[DNI 3]],BD_MO[[#This Row],[DNI 4]]),"")</f>
        <v>2</v>
      </c>
      <c r="U510" s="432"/>
      <c r="V510" s="432"/>
      <c r="W510" s="432"/>
      <c r="X510" s="432"/>
      <c r="Y510" s="433">
        <f>SUM(BD_MO[[#This Row],[LIMP]:[SERV]])</f>
        <v>0</v>
      </c>
      <c r="Z510" s="428"/>
      <c r="AA510" s="428" t="str">
        <f>+IF(BD_MO[[#This Row],[N° VALE]]&lt;&gt;"",1,"")</f>
        <v/>
      </c>
      <c r="AB510" s="425"/>
      <c r="AC510" s="428"/>
      <c r="AD510" s="428" t="str">
        <f>+IF(BD_MO[[#This Row],[N° VALE]]&lt;&gt;"",BD_MO[[#This Row],[FULMINANTE N° 08]]+BD_MO[CARMEX 7''],"")</f>
        <v/>
      </c>
      <c r="AE510" s="428"/>
      <c r="AF510" s="428" t="str">
        <f>+IF(BD_MO[[#This Row],[N° VALE]]&lt;&gt;"",BD_MO[[#This Row],[N° TALADROS]]+BD_MO[[#This Row],[N° TAL. VACIOS]],"")</f>
        <v/>
      </c>
      <c r="AG510" s="434"/>
      <c r="AH510" s="434"/>
      <c r="AI510" s="434"/>
      <c r="AJ510" s="434"/>
      <c r="AK510" s="434"/>
      <c r="AL510" s="434"/>
      <c r="AM510" s="427"/>
      <c r="AN510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10" s="428" t="str">
        <f>+IF(BD_MO[[#This Row],[N° VALE]]&lt;&gt;"",IF(BD_MO[[#This Row],[FULMINANTE N° 08]]&lt;&gt;"",BD_MO[[#This Row],[FULMINANTE N° 08]],IF(BD_MO[[#This Row],[CARMEX 7'']]&lt;&gt;0,0,"")),"")</f>
        <v/>
      </c>
      <c r="AP510" s="432" t="str">
        <f>+IF(BD_MO[[#This Row],[N° VALE]]&lt;&gt;"",BD_MO[[#This Row],[N°  TOTAL TALADROS]]*BD_MO[[#This Row],[BARRA]]*0.95,"")</f>
        <v/>
      </c>
      <c r="AQ510" s="432" t="str">
        <f>+IF(BD_MO[[#This Row],[N° VALE]]&lt;&gt;"",BD_MO[[#This Row],[EMULNOR 1000 (N° CART.)]]*PE_EMUL_1000[PE],"")</f>
        <v/>
      </c>
      <c r="AR510" s="432" t="str">
        <f>+IF(BD_MO[[#This Row],[N° VALE]]&lt;&gt;"",BD_MO[[#This Row],[EMULNOR 3000 (N° CART.)]]*PE_EMUL_3000[PE],"")</f>
        <v/>
      </c>
      <c r="AS510" s="432" t="str">
        <f>+IF(BD_MO[[#This Row],[N° VALE]]&lt;&gt;"",BD_MO[[#This Row],[PULVERULENTA (N° CART.)]]*PE_PULV_65[PE],"")</f>
        <v/>
      </c>
      <c r="AT510" s="432" t="str">
        <f>+IF(BD_MO[[#This Row],[N° DISP]]&lt;&gt;"",BD_MO[[#This Row],[SEMIGELATINA (N° CART.)]]*PE_SEMIGEL_65[PE],"")</f>
        <v/>
      </c>
      <c r="AU510" s="432" t="str">
        <f>+IF(BD_MO[N° VALE]&lt;&gt;"",BD_MO[[#This Row],[KG EXPLO SEMIGEL]]+BD_MO[[#This Row],[KG EXPLO PULVE]]+BD_MO[[#This Row],[KG EXPLO EMULN 3000]]+BD_MO[[#This Row],[KG EXPLO EMULN 1000]],"")</f>
        <v/>
      </c>
      <c r="AV510" s="428"/>
      <c r="AW510" s="428"/>
      <c r="AX510" s="428" t="str">
        <f>+IF(BD_MO[[#This Row],[MINERAL (U-35)]]&lt;&gt;"",BD_MO[[#This Row],[MINERAL (U-35)]]*1.45,"-")</f>
        <v>-</v>
      </c>
      <c r="AY510" s="428" t="str">
        <f>+IF(BD_MO[[#This Row],[DESMONTE (U-35)]]&lt;&gt;"",BD_MO[[#This Row],[DESMONTE (U-35)]]*1.23,"-")</f>
        <v>-</v>
      </c>
      <c r="AZ510" s="428"/>
      <c r="BA510" s="428"/>
      <c r="BB510" s="428"/>
      <c r="BC510" s="428"/>
      <c r="BD510" s="428"/>
      <c r="BE510" s="428"/>
      <c r="BF510" s="428"/>
      <c r="BG510" s="428"/>
      <c r="BH510" s="428"/>
      <c r="BI510" s="428"/>
      <c r="BJ510" s="428"/>
      <c r="BK510" s="428"/>
      <c r="BL510" s="428"/>
      <c r="BM510" s="428"/>
      <c r="BN510" s="427"/>
      <c r="BO510" s="428"/>
      <c r="BP510" s="428"/>
      <c r="BQ510" s="427"/>
      <c r="BR510" s="428"/>
      <c r="BS510" s="427"/>
      <c r="BT510" s="432"/>
      <c r="BU510" s="428"/>
      <c r="BV510" s="428"/>
      <c r="BW510" s="428"/>
      <c r="BX510" s="428"/>
      <c r="BY510" s="428"/>
      <c r="BZ510" s="428"/>
      <c r="CA510" s="428"/>
      <c r="CB510" s="428"/>
      <c r="CC510" s="428"/>
      <c r="CD510" s="428"/>
      <c r="CE510" s="428"/>
      <c r="CF510" s="428"/>
      <c r="CG510" s="428"/>
      <c r="CH510" s="428"/>
      <c r="CI510" s="428"/>
      <c r="CJ510" s="428"/>
      <c r="CK510" s="428"/>
      <c r="CL510" s="428"/>
      <c r="CM510" s="428"/>
      <c r="CN510" s="428"/>
      <c r="CO510" s="428"/>
      <c r="CP510" s="432">
        <f>+IF(BD_MO[[#This Row],[FECHA]]&lt;&gt;"",BD_MO[[#This Row],[PUNTAL 4"]]+BD_MO[[#This Row],[PUNTAL 5"]]+BD_MO[[#This Row],[PUNTAL 6"]]+BD_MO[[#This Row],[PUNTAL 7"]]+BD_MO[[#This Row],[PUNTAL 8"]],"")</f>
        <v>0</v>
      </c>
      <c r="CQ510" s="428"/>
      <c r="CR510" s="428"/>
      <c r="CS510" s="428"/>
      <c r="CT510" s="428"/>
      <c r="CU510" s="428"/>
      <c r="CV510" s="428"/>
      <c r="CW510" s="428"/>
      <c r="CX510" s="428"/>
      <c r="CY510" s="432"/>
      <c r="CZ510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10" s="432">
        <f>+IF(BD_MO[[#This Row],[FECHA]]&lt;&gt;"",BD_MO[[#This Row],[DURMIENTE2]]*6.561+BD_MO[[#This Row],[LISTONES]]*4.921+BD_MO[[#This Row],[TABLA 1"x8"x3m]]*6.561+BD_MO[[#This Row],[TABLA 2"x8"x3m]]*13.122,"")</f>
        <v>0</v>
      </c>
      <c r="DB510" s="432">
        <f>+IF(BD_MO[[#This Row],[FECHA]]&lt;&gt;"",BD_MO[[#This Row],[PIE2 MADERA ASERRADA]]*1.95,"")</f>
        <v>0</v>
      </c>
      <c r="DC510" s="432">
        <f>+IF(BD_MO[[#This Row],[FECHA]]&lt;&gt;"",BD_MO[[#This Row],[KG. MADERA REDONDA]]+BD_MO[[#This Row],[KG MADERA ASERRADA]],"")</f>
        <v>0</v>
      </c>
      <c r="DD510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10" s="428"/>
      <c r="DF510" s="428"/>
      <c r="DG510" s="428"/>
      <c r="DH510" s="428"/>
      <c r="DI510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10" s="436"/>
      <c r="DK510" s="436"/>
      <c r="DL510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10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10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10" s="437"/>
      <c r="DP510" s="436" t="str">
        <f>+IF(BD_MO[[#This Row],[M o D]]&lt;&gt;"",IF(BD_MO[[#This Row],[M o D]]="M",BD_MO[[#This Row],[ROTURA TMH]]/2.65,BD_MO[[#This Row],[ROTURA TMH]]/2.4),"")</f>
        <v/>
      </c>
      <c r="DQ510" s="436"/>
      <c r="DR510" s="116" t="str">
        <f>IF(BD_MO[[#This Row],[TIPO AVANCE]]="Avance",((BD_MO[[#This Row],[AVANCE (m)]]/BD_MO[[#This Row],[AVANCE TEÓRICO]]))," ")</f>
        <v xml:space="preserve"> </v>
      </c>
      <c r="DS510" s="134"/>
      <c r="DT510" s="134"/>
      <c r="DU510" s="134"/>
      <c r="DV510" s="134"/>
      <c r="DW510" s="134"/>
      <c r="DX510" s="135"/>
      <c r="DY510" s="135"/>
      <c r="DZ510" s="135"/>
    </row>
    <row r="511" spans="1:130" s="136" customFormat="1" ht="18" customHeight="1" x14ac:dyDescent="0.25">
      <c r="A511" s="424">
        <v>44680</v>
      </c>
      <c r="B511" s="425" t="s">
        <v>10647</v>
      </c>
      <c r="C511" s="425" t="s">
        <v>10668</v>
      </c>
      <c r="D511" s="94" t="s">
        <v>10952</v>
      </c>
      <c r="E511" s="427" t="str">
        <f>LEFT(BD_MO[[#This Row],[LABOR]],2)</f>
        <v>In</v>
      </c>
      <c r="F511" s="428"/>
      <c r="G511" s="428" t="s">
        <v>10669</v>
      </c>
      <c r="H511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11" s="383" t="str">
        <f>IF(BD_MO[FECHA]&lt;&gt;"",VLOOKUP(BD_MO[LABOR],TB_CECO[[LABOR]:[CECO_T]],3,FALSE),"")</f>
        <v>VANESSA</v>
      </c>
      <c r="J511" s="383" t="str">
        <f>IF(BD_MO[FECHA]&lt;&gt;"",VLOOKUP(BD_MO[LABOR],D_CECO!B:H,7,FALSE),"")</f>
        <v>LINEAL</v>
      </c>
      <c r="K511" s="383" t="str">
        <f>IF(BD_MO[FECHA]&lt;&gt;"",VLOOKUP(BD_MO[LABOR],D_CECO!B:H,4,FALSE),"")</f>
        <v>EXPLORACION</v>
      </c>
      <c r="L511" s="427"/>
      <c r="M511" s="425"/>
      <c r="N511" s="428"/>
      <c r="O511" s="486" t="s">
        <v>12198</v>
      </c>
      <c r="P511" s="486" t="s">
        <v>12201</v>
      </c>
      <c r="Q511" s="486"/>
      <c r="R511" s="430"/>
      <c r="S511" s="431" t="str">
        <f>IFERROR(VLOOKUP(BD_MO[DNI 4],#REF!,2,FALSE)," ")</f>
        <v xml:space="preserve"> </v>
      </c>
      <c r="T511" s="432">
        <f>+IF(BD_MO[[#This Row],[FECHA]]&lt;&gt;"",COUNTA(BD_MO[[#This Row],[DNI]],BD_MO[[#This Row],[DNI 2]],BD_MO[[#This Row],[DNI 3]],BD_MO[[#This Row],[DNI 4]]),"")</f>
        <v>2</v>
      </c>
      <c r="U511" s="432"/>
      <c r="V511" s="432"/>
      <c r="W511" s="432"/>
      <c r="X511" s="432"/>
      <c r="Y511" s="433">
        <f>SUM(BD_MO[[#This Row],[LIMP]:[SERV]])</f>
        <v>0</v>
      </c>
      <c r="Z511" s="428"/>
      <c r="AA511" s="428" t="str">
        <f>+IF(BD_MO[[#This Row],[N° VALE]]&lt;&gt;"",1,"")</f>
        <v/>
      </c>
      <c r="AB511" s="425"/>
      <c r="AC511" s="428"/>
      <c r="AD511" s="428" t="str">
        <f>+IF(BD_MO[[#This Row],[N° VALE]]&lt;&gt;"",BD_MO[[#This Row],[FULMINANTE N° 08]]+BD_MO[CARMEX 7''],"")</f>
        <v/>
      </c>
      <c r="AE511" s="428"/>
      <c r="AF511" s="428" t="str">
        <f>+IF(BD_MO[[#This Row],[N° VALE]]&lt;&gt;"",BD_MO[[#This Row],[N° TALADROS]]+BD_MO[[#This Row],[N° TAL. VACIOS]],"")</f>
        <v/>
      </c>
      <c r="AG511" s="434"/>
      <c r="AH511" s="434"/>
      <c r="AI511" s="434"/>
      <c r="AJ511" s="434"/>
      <c r="AK511" s="434"/>
      <c r="AL511" s="434"/>
      <c r="AM511" s="427"/>
      <c r="AN511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11" s="428" t="str">
        <f>+IF(BD_MO[[#This Row],[N° VALE]]&lt;&gt;"",IF(BD_MO[[#This Row],[FULMINANTE N° 08]]&lt;&gt;"",BD_MO[[#This Row],[FULMINANTE N° 08]],IF(BD_MO[[#This Row],[CARMEX 7'']]&lt;&gt;0,0,"")),"")</f>
        <v/>
      </c>
      <c r="AP511" s="432" t="str">
        <f>+IF(BD_MO[[#This Row],[N° VALE]]&lt;&gt;"",BD_MO[[#This Row],[N°  TOTAL TALADROS]]*BD_MO[[#This Row],[BARRA]]*0.95,"")</f>
        <v/>
      </c>
      <c r="AQ511" s="432" t="str">
        <f>+IF(BD_MO[[#This Row],[N° VALE]]&lt;&gt;"",BD_MO[[#This Row],[EMULNOR 1000 (N° CART.)]]*PE_EMUL_1000[PE],"")</f>
        <v/>
      </c>
      <c r="AR511" s="432" t="str">
        <f>+IF(BD_MO[[#This Row],[N° VALE]]&lt;&gt;"",BD_MO[[#This Row],[EMULNOR 3000 (N° CART.)]]*PE_EMUL_3000[PE],"")</f>
        <v/>
      </c>
      <c r="AS511" s="432" t="str">
        <f>+IF(BD_MO[[#This Row],[N° VALE]]&lt;&gt;"",BD_MO[[#This Row],[PULVERULENTA (N° CART.)]]*PE_PULV_65[PE],"")</f>
        <v/>
      </c>
      <c r="AT511" s="432" t="str">
        <f>+IF(BD_MO[[#This Row],[N° DISP]]&lt;&gt;"",BD_MO[[#This Row],[SEMIGELATINA (N° CART.)]]*PE_SEMIGEL_65[PE],"")</f>
        <v/>
      </c>
      <c r="AU511" s="432" t="str">
        <f>+IF(BD_MO[N° VALE]&lt;&gt;"",BD_MO[[#This Row],[KG EXPLO SEMIGEL]]+BD_MO[[#This Row],[KG EXPLO PULVE]]+BD_MO[[#This Row],[KG EXPLO EMULN 3000]]+BD_MO[[#This Row],[KG EXPLO EMULN 1000]],"")</f>
        <v/>
      </c>
      <c r="AV511" s="428"/>
      <c r="AW511" s="428"/>
      <c r="AX511" s="428" t="str">
        <f>+IF(BD_MO[[#This Row],[MINERAL (U-35)]]&lt;&gt;"",BD_MO[[#This Row],[MINERAL (U-35)]]*1.45,"-")</f>
        <v>-</v>
      </c>
      <c r="AY511" s="428" t="str">
        <f>+IF(BD_MO[[#This Row],[DESMONTE (U-35)]]&lt;&gt;"",BD_MO[[#This Row],[DESMONTE (U-35)]]*1.23,"-")</f>
        <v>-</v>
      </c>
      <c r="AZ511" s="428"/>
      <c r="BA511" s="428"/>
      <c r="BB511" s="428"/>
      <c r="BC511" s="428"/>
      <c r="BD511" s="428"/>
      <c r="BE511" s="428"/>
      <c r="BF511" s="428"/>
      <c r="BG511" s="428"/>
      <c r="BH511" s="428"/>
      <c r="BI511" s="428"/>
      <c r="BJ511" s="428"/>
      <c r="BK511" s="428"/>
      <c r="BL511" s="428"/>
      <c r="BM511" s="428"/>
      <c r="BN511" s="427"/>
      <c r="BO511" s="428"/>
      <c r="BP511" s="428"/>
      <c r="BQ511" s="427"/>
      <c r="BR511" s="428"/>
      <c r="BS511" s="427"/>
      <c r="BT511" s="432"/>
      <c r="BU511" s="428"/>
      <c r="BV511" s="428"/>
      <c r="BW511" s="428"/>
      <c r="BX511" s="428"/>
      <c r="BY511" s="428"/>
      <c r="BZ511" s="428"/>
      <c r="CA511" s="428"/>
      <c r="CB511" s="428"/>
      <c r="CC511" s="428"/>
      <c r="CD511" s="428"/>
      <c r="CE511" s="428"/>
      <c r="CF511" s="428"/>
      <c r="CG511" s="428"/>
      <c r="CH511" s="428"/>
      <c r="CI511" s="428"/>
      <c r="CJ511" s="428"/>
      <c r="CK511" s="428"/>
      <c r="CL511" s="428"/>
      <c r="CM511" s="428"/>
      <c r="CN511" s="428"/>
      <c r="CO511" s="428"/>
      <c r="CP511" s="432">
        <f>+IF(BD_MO[[#This Row],[FECHA]]&lt;&gt;"",BD_MO[[#This Row],[PUNTAL 4"]]+BD_MO[[#This Row],[PUNTAL 5"]]+BD_MO[[#This Row],[PUNTAL 6"]]+BD_MO[[#This Row],[PUNTAL 7"]]+BD_MO[[#This Row],[PUNTAL 8"]],"")</f>
        <v>0</v>
      </c>
      <c r="CQ511" s="428"/>
      <c r="CR511" s="428"/>
      <c r="CS511" s="428"/>
      <c r="CT511" s="428"/>
      <c r="CU511" s="428"/>
      <c r="CV511" s="428"/>
      <c r="CW511" s="428"/>
      <c r="CX511" s="428"/>
      <c r="CY511" s="432"/>
      <c r="CZ511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11" s="432">
        <f>+IF(BD_MO[[#This Row],[FECHA]]&lt;&gt;"",BD_MO[[#This Row],[DURMIENTE2]]*6.561+BD_MO[[#This Row],[LISTONES]]*4.921+BD_MO[[#This Row],[TABLA 1"x8"x3m]]*6.561+BD_MO[[#This Row],[TABLA 2"x8"x3m]]*13.122,"")</f>
        <v>0</v>
      </c>
      <c r="DB511" s="432">
        <f>+IF(BD_MO[[#This Row],[FECHA]]&lt;&gt;"",BD_MO[[#This Row],[PIE2 MADERA ASERRADA]]*1.95,"")</f>
        <v>0</v>
      </c>
      <c r="DC511" s="432">
        <f>+IF(BD_MO[[#This Row],[FECHA]]&lt;&gt;"",BD_MO[[#This Row],[KG. MADERA REDONDA]]+BD_MO[[#This Row],[KG MADERA ASERRADA]],"")</f>
        <v>0</v>
      </c>
      <c r="DD511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11" s="428"/>
      <c r="DF511" s="428"/>
      <c r="DG511" s="428" t="s">
        <v>12460</v>
      </c>
      <c r="DH511" s="428">
        <v>6</v>
      </c>
      <c r="DI511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11" s="436"/>
      <c r="DK511" s="436"/>
      <c r="DL511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11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11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11" s="437"/>
      <c r="DP511" s="436" t="str">
        <f>+IF(BD_MO[[#This Row],[M o D]]&lt;&gt;"",IF(BD_MO[[#This Row],[M o D]]="M",BD_MO[[#This Row],[ROTURA TMH]]/2.65,BD_MO[[#This Row],[ROTURA TMH]]/2.4),"")</f>
        <v/>
      </c>
      <c r="DQ511" s="436"/>
      <c r="DR511" s="116" t="str">
        <f>IF(BD_MO[[#This Row],[TIPO AVANCE]]="Avance",((BD_MO[[#This Row],[AVANCE (m)]]/BD_MO[[#This Row],[AVANCE TEÓRICO]]))," ")</f>
        <v xml:space="preserve"> </v>
      </c>
      <c r="DS511" s="134"/>
      <c r="DT511" s="134"/>
      <c r="DU511" s="134"/>
      <c r="DV511" s="134"/>
      <c r="DW511" s="134"/>
      <c r="DX511" s="135"/>
      <c r="DY511" s="135"/>
      <c r="DZ511" s="135"/>
    </row>
    <row r="512" spans="1:130" s="136" customFormat="1" ht="18" customHeight="1" x14ac:dyDescent="0.25">
      <c r="A512" s="424">
        <v>44680</v>
      </c>
      <c r="B512" s="425" t="s">
        <v>10647</v>
      </c>
      <c r="C512" s="425" t="s">
        <v>10668</v>
      </c>
      <c r="D512" s="94" t="s">
        <v>10954</v>
      </c>
      <c r="E512" s="427" t="str">
        <f>LEFT(BD_MO[[#This Row],[LABOR]],2)</f>
        <v>MO</v>
      </c>
      <c r="F512" s="428"/>
      <c r="G512" s="428" t="s">
        <v>10669</v>
      </c>
      <c r="H512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12" s="383" t="str">
        <f>IF(BD_MO[FECHA]&lt;&gt;"",VLOOKUP(BD_MO[LABOR],TB_CECO[[LABOR]:[CECO_T]],3,FALSE),"")</f>
        <v>INCA</v>
      </c>
      <c r="J512" s="383" t="str">
        <f>IF(BD_MO[FECHA]&lt;&gt;"",VLOOKUP(BD_MO[LABOR],D_CECO!B:H,7,FALSE),"")</f>
        <v>SERVICIOS</v>
      </c>
      <c r="K512" s="383" t="str">
        <f>IF(BD_MO[FECHA]&lt;&gt;"",VLOOKUP(BD_MO[LABOR],D_CECO!B:H,4,FALSE),"")</f>
        <v>SERVICIOS</v>
      </c>
      <c r="L512" s="427"/>
      <c r="M512" s="425"/>
      <c r="N512" s="428"/>
      <c r="O512" s="486" t="s">
        <v>12221</v>
      </c>
      <c r="P512" s="486" t="s">
        <v>12209</v>
      </c>
      <c r="Q512" s="486"/>
      <c r="R512" s="430"/>
      <c r="S512" s="431" t="str">
        <f>IFERROR(VLOOKUP(BD_MO[DNI 4],#REF!,2,FALSE)," ")</f>
        <v xml:space="preserve"> </v>
      </c>
      <c r="T512" s="432">
        <f>+IF(BD_MO[[#This Row],[FECHA]]&lt;&gt;"",COUNTA(BD_MO[[#This Row],[DNI]],BD_MO[[#This Row],[DNI 2]],BD_MO[[#This Row],[DNI 3]],BD_MO[[#This Row],[DNI 4]]),"")</f>
        <v>2</v>
      </c>
      <c r="U512" s="432"/>
      <c r="V512" s="432"/>
      <c r="W512" s="432"/>
      <c r="X512" s="432"/>
      <c r="Y512" s="433">
        <f>SUM(BD_MO[[#This Row],[LIMP]:[SERV]])</f>
        <v>0</v>
      </c>
      <c r="Z512" s="428"/>
      <c r="AA512" s="428" t="str">
        <f>+IF(BD_MO[[#This Row],[N° VALE]]&lt;&gt;"",1,"")</f>
        <v/>
      </c>
      <c r="AB512" s="425"/>
      <c r="AC512" s="428"/>
      <c r="AD512" s="428" t="str">
        <f>+IF(BD_MO[[#This Row],[N° VALE]]&lt;&gt;"",BD_MO[[#This Row],[FULMINANTE N° 08]]+BD_MO[CARMEX 7''],"")</f>
        <v/>
      </c>
      <c r="AE512" s="428"/>
      <c r="AF512" s="428" t="str">
        <f>+IF(BD_MO[[#This Row],[N° VALE]]&lt;&gt;"",BD_MO[[#This Row],[N° TALADROS]]+BD_MO[[#This Row],[N° TAL. VACIOS]],"")</f>
        <v/>
      </c>
      <c r="AG512" s="434"/>
      <c r="AH512" s="434"/>
      <c r="AI512" s="434"/>
      <c r="AJ512" s="434"/>
      <c r="AK512" s="434"/>
      <c r="AL512" s="434"/>
      <c r="AM512" s="427"/>
      <c r="AN512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12" s="428" t="str">
        <f>+IF(BD_MO[[#This Row],[N° VALE]]&lt;&gt;"",IF(BD_MO[[#This Row],[FULMINANTE N° 08]]&lt;&gt;"",BD_MO[[#This Row],[FULMINANTE N° 08]],IF(BD_MO[[#This Row],[CARMEX 7'']]&lt;&gt;0,0,"")),"")</f>
        <v/>
      </c>
      <c r="AP512" s="432" t="str">
        <f>+IF(BD_MO[[#This Row],[N° VALE]]&lt;&gt;"",BD_MO[[#This Row],[N°  TOTAL TALADROS]]*BD_MO[[#This Row],[BARRA]]*0.95,"")</f>
        <v/>
      </c>
      <c r="AQ512" s="432" t="str">
        <f>+IF(BD_MO[[#This Row],[N° VALE]]&lt;&gt;"",BD_MO[[#This Row],[EMULNOR 1000 (N° CART.)]]*PE_EMUL_1000[PE],"")</f>
        <v/>
      </c>
      <c r="AR512" s="432" t="str">
        <f>+IF(BD_MO[[#This Row],[N° VALE]]&lt;&gt;"",BD_MO[[#This Row],[EMULNOR 3000 (N° CART.)]]*PE_EMUL_3000[PE],"")</f>
        <v/>
      </c>
      <c r="AS512" s="432" t="str">
        <f>+IF(BD_MO[[#This Row],[N° VALE]]&lt;&gt;"",BD_MO[[#This Row],[PULVERULENTA (N° CART.)]]*PE_PULV_65[PE],"")</f>
        <v/>
      </c>
      <c r="AT512" s="432" t="str">
        <f>+IF(BD_MO[[#This Row],[N° DISP]]&lt;&gt;"",BD_MO[[#This Row],[SEMIGELATINA (N° CART.)]]*PE_SEMIGEL_65[PE],"")</f>
        <v/>
      </c>
      <c r="AU512" s="432" t="str">
        <f>+IF(BD_MO[N° VALE]&lt;&gt;"",BD_MO[[#This Row],[KG EXPLO SEMIGEL]]+BD_MO[[#This Row],[KG EXPLO PULVE]]+BD_MO[[#This Row],[KG EXPLO EMULN 3000]]+BD_MO[[#This Row],[KG EXPLO EMULN 1000]],"")</f>
        <v/>
      </c>
      <c r="AV512" s="428"/>
      <c r="AW512" s="428"/>
      <c r="AX512" s="428" t="str">
        <f>+IF(BD_MO[[#This Row],[MINERAL (U-35)]]&lt;&gt;"",BD_MO[[#This Row],[MINERAL (U-35)]]*1.45,"-")</f>
        <v>-</v>
      </c>
      <c r="AY512" s="428" t="str">
        <f>+IF(BD_MO[[#This Row],[DESMONTE (U-35)]]&lt;&gt;"",BD_MO[[#This Row],[DESMONTE (U-35)]]*1.23,"-")</f>
        <v>-</v>
      </c>
      <c r="AZ512" s="428"/>
      <c r="BA512" s="428"/>
      <c r="BB512" s="428"/>
      <c r="BC512" s="428"/>
      <c r="BD512" s="428"/>
      <c r="BE512" s="428"/>
      <c r="BF512" s="428"/>
      <c r="BG512" s="428"/>
      <c r="BH512" s="428"/>
      <c r="BI512" s="428"/>
      <c r="BJ512" s="428"/>
      <c r="BK512" s="428"/>
      <c r="BL512" s="428"/>
      <c r="BM512" s="428"/>
      <c r="BN512" s="427"/>
      <c r="BO512" s="428"/>
      <c r="BP512" s="428"/>
      <c r="BQ512" s="427"/>
      <c r="BR512" s="428"/>
      <c r="BS512" s="427"/>
      <c r="BT512" s="432"/>
      <c r="BU512" s="428"/>
      <c r="BV512" s="428"/>
      <c r="BW512" s="428"/>
      <c r="BX512" s="428"/>
      <c r="BY512" s="428"/>
      <c r="BZ512" s="428"/>
      <c r="CA512" s="428"/>
      <c r="CB512" s="428"/>
      <c r="CC512" s="428"/>
      <c r="CD512" s="428"/>
      <c r="CE512" s="428"/>
      <c r="CF512" s="428"/>
      <c r="CG512" s="428"/>
      <c r="CH512" s="428"/>
      <c r="CI512" s="428"/>
      <c r="CJ512" s="428"/>
      <c r="CK512" s="428"/>
      <c r="CL512" s="428"/>
      <c r="CM512" s="428"/>
      <c r="CN512" s="428"/>
      <c r="CO512" s="428"/>
      <c r="CP512" s="432">
        <f>+IF(BD_MO[[#This Row],[FECHA]]&lt;&gt;"",BD_MO[[#This Row],[PUNTAL 4"]]+BD_MO[[#This Row],[PUNTAL 5"]]+BD_MO[[#This Row],[PUNTAL 6"]]+BD_MO[[#This Row],[PUNTAL 7"]]+BD_MO[[#This Row],[PUNTAL 8"]],"")</f>
        <v>0</v>
      </c>
      <c r="CQ512" s="428"/>
      <c r="CR512" s="428"/>
      <c r="CS512" s="428"/>
      <c r="CT512" s="428"/>
      <c r="CU512" s="428"/>
      <c r="CV512" s="428"/>
      <c r="CW512" s="428"/>
      <c r="CX512" s="428"/>
      <c r="CY512" s="432"/>
      <c r="CZ512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12" s="432">
        <f>+IF(BD_MO[[#This Row],[FECHA]]&lt;&gt;"",BD_MO[[#This Row],[DURMIENTE2]]*6.561+BD_MO[[#This Row],[LISTONES]]*4.921+BD_MO[[#This Row],[TABLA 1"x8"x3m]]*6.561+BD_MO[[#This Row],[TABLA 2"x8"x3m]]*13.122,"")</f>
        <v>0</v>
      </c>
      <c r="DB512" s="432">
        <f>+IF(BD_MO[[#This Row],[FECHA]]&lt;&gt;"",BD_MO[[#This Row],[PIE2 MADERA ASERRADA]]*1.95,"")</f>
        <v>0</v>
      </c>
      <c r="DC512" s="432">
        <f>+IF(BD_MO[[#This Row],[FECHA]]&lt;&gt;"",BD_MO[[#This Row],[KG. MADERA REDONDA]]+BD_MO[[#This Row],[KG MADERA ASERRADA]],"")</f>
        <v>0</v>
      </c>
      <c r="DD512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12" s="428"/>
      <c r="DF512" s="428"/>
      <c r="DG512" s="428"/>
      <c r="DH512" s="428"/>
      <c r="DI512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12" s="436"/>
      <c r="DK512" s="436"/>
      <c r="DL512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12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12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12" s="437"/>
      <c r="DP512" s="436" t="str">
        <f>+IF(BD_MO[[#This Row],[M o D]]&lt;&gt;"",IF(BD_MO[[#This Row],[M o D]]="M",BD_MO[[#This Row],[ROTURA TMH]]/2.65,BD_MO[[#This Row],[ROTURA TMH]]/2.4),"")</f>
        <v/>
      </c>
      <c r="DQ512" s="436"/>
      <c r="DR512" s="116" t="str">
        <f>IF(BD_MO[[#This Row],[TIPO AVANCE]]="Avance",((BD_MO[[#This Row],[AVANCE (m)]]/BD_MO[[#This Row],[AVANCE TEÓRICO]]))," ")</f>
        <v xml:space="preserve"> </v>
      </c>
      <c r="DS512" s="134"/>
      <c r="DT512" s="134"/>
      <c r="DU512" s="134"/>
      <c r="DV512" s="134"/>
      <c r="DW512" s="134"/>
      <c r="DX512" s="135"/>
      <c r="DY512" s="135"/>
      <c r="DZ512" s="135"/>
    </row>
    <row r="513" spans="1:130" s="115" customFormat="1" ht="18" customHeight="1" thickBot="1" x14ac:dyDescent="0.3">
      <c r="A513" s="485">
        <v>44680</v>
      </c>
      <c r="B513" s="474" t="s">
        <v>10647</v>
      </c>
      <c r="C513" s="474" t="s">
        <v>10668</v>
      </c>
      <c r="D513" s="470" t="s">
        <v>10717</v>
      </c>
      <c r="E513" s="473" t="str">
        <f>LEFT(BD_MO[[#This Row],[LABOR]],2)</f>
        <v>BO</v>
      </c>
      <c r="F513" s="472"/>
      <c r="G513" s="472" t="s">
        <v>10669</v>
      </c>
      <c r="H513" s="47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13" s="119" t="str">
        <f>IF(BD_MO[FECHA]&lt;&gt;"",VLOOKUP(BD_MO[LABOR],TB_CECO[[LABOR]:[CECO_T]],3,FALSE),"")</f>
        <v>CACHORRO</v>
      </c>
      <c r="J513" s="119" t="str">
        <f>IF(BD_MO[FECHA]&lt;&gt;"",VLOOKUP(BD_MO[LABOR],D_CECO!B:H,7,FALSE),"")</f>
        <v>SERVICIOS</v>
      </c>
      <c r="K513" s="119" t="str">
        <f>IF(BD_MO[FECHA]&lt;&gt;"",VLOOKUP(BD_MO[LABOR],D_CECO!B:H,4,FALSE),"")</f>
        <v>SERVICIOS</v>
      </c>
      <c r="L513" s="473"/>
      <c r="M513" s="474"/>
      <c r="N513" s="472"/>
      <c r="O513" s="475" t="s">
        <v>12196</v>
      </c>
      <c r="P513" s="475"/>
      <c r="Q513" s="475"/>
      <c r="R513" s="476"/>
      <c r="S513" s="477" t="str">
        <f>IFERROR(VLOOKUP(BD_MO[DNI 4],#REF!,2,FALSE)," ")</f>
        <v xml:space="preserve"> </v>
      </c>
      <c r="T513" s="478">
        <f>+IF(BD_MO[[#This Row],[FECHA]]&lt;&gt;"",COUNTA(BD_MO[[#This Row],[DNI]],BD_MO[[#This Row],[DNI 2]],BD_MO[[#This Row],[DNI 3]],BD_MO[[#This Row],[DNI 4]]),"")</f>
        <v>1</v>
      </c>
      <c r="U513" s="478"/>
      <c r="V513" s="478"/>
      <c r="W513" s="478"/>
      <c r="X513" s="478"/>
      <c r="Y513" s="479">
        <f>SUM(BD_MO[[#This Row],[LIMP]:[SERV]])</f>
        <v>0</v>
      </c>
      <c r="Z513" s="472"/>
      <c r="AA513" s="472" t="str">
        <f>+IF(BD_MO[[#This Row],[N° VALE]]&lt;&gt;"",1,"")</f>
        <v/>
      </c>
      <c r="AB513" s="474"/>
      <c r="AC513" s="472"/>
      <c r="AD513" s="472" t="str">
        <f>+IF(BD_MO[[#This Row],[N° VALE]]&lt;&gt;"",BD_MO[[#This Row],[FULMINANTE N° 08]]+BD_MO[CARMEX 7''],"")</f>
        <v/>
      </c>
      <c r="AE513" s="472"/>
      <c r="AF513" s="472" t="str">
        <f>+IF(BD_MO[[#This Row],[N° VALE]]&lt;&gt;"",BD_MO[[#This Row],[N° TALADROS]]+BD_MO[[#This Row],[N° TAL. VACIOS]],"")</f>
        <v/>
      </c>
      <c r="AG513" s="480"/>
      <c r="AH513" s="480"/>
      <c r="AI513" s="480"/>
      <c r="AJ513" s="480"/>
      <c r="AK513" s="480"/>
      <c r="AL513" s="480"/>
      <c r="AM513" s="473"/>
      <c r="AN513" s="4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13" s="472" t="str">
        <f>+IF(BD_MO[[#This Row],[N° VALE]]&lt;&gt;"",IF(BD_MO[[#This Row],[FULMINANTE N° 08]]&lt;&gt;"",BD_MO[[#This Row],[FULMINANTE N° 08]],IF(BD_MO[[#This Row],[CARMEX 7'']]&lt;&gt;0,0,"")),"")</f>
        <v/>
      </c>
      <c r="AP513" s="478" t="str">
        <f>+IF(BD_MO[[#This Row],[N° VALE]]&lt;&gt;"",BD_MO[[#This Row],[N°  TOTAL TALADROS]]*BD_MO[[#This Row],[BARRA]]*0.95,"")</f>
        <v/>
      </c>
      <c r="AQ513" s="478" t="str">
        <f>+IF(BD_MO[[#This Row],[N° VALE]]&lt;&gt;"",BD_MO[[#This Row],[EMULNOR 1000 (N° CART.)]]*PE_EMUL_1000[PE],"")</f>
        <v/>
      </c>
      <c r="AR513" s="478" t="str">
        <f>+IF(BD_MO[[#This Row],[N° VALE]]&lt;&gt;"",BD_MO[[#This Row],[EMULNOR 3000 (N° CART.)]]*PE_EMUL_3000[PE],"")</f>
        <v/>
      </c>
      <c r="AS513" s="478" t="str">
        <f>+IF(BD_MO[[#This Row],[N° VALE]]&lt;&gt;"",BD_MO[[#This Row],[PULVERULENTA (N° CART.)]]*PE_PULV_65[PE],"")</f>
        <v/>
      </c>
      <c r="AT513" s="478" t="str">
        <f>+IF(BD_MO[[#This Row],[N° DISP]]&lt;&gt;"",BD_MO[[#This Row],[SEMIGELATINA (N° CART.)]]*PE_SEMIGEL_65[PE],"")</f>
        <v/>
      </c>
      <c r="AU513" s="478" t="str">
        <f>+IF(BD_MO[N° VALE]&lt;&gt;"",BD_MO[[#This Row],[KG EXPLO SEMIGEL]]+BD_MO[[#This Row],[KG EXPLO PULVE]]+BD_MO[[#This Row],[KG EXPLO EMULN 3000]]+BD_MO[[#This Row],[KG EXPLO EMULN 1000]],"")</f>
        <v/>
      </c>
      <c r="AV513" s="472"/>
      <c r="AW513" s="472"/>
      <c r="AX513" s="472" t="str">
        <f>+IF(BD_MO[[#This Row],[MINERAL (U-35)]]&lt;&gt;"",BD_MO[[#This Row],[MINERAL (U-35)]]*1.45,"-")</f>
        <v>-</v>
      </c>
      <c r="AY513" s="472" t="str">
        <f>+IF(BD_MO[[#This Row],[DESMONTE (U-35)]]&lt;&gt;"",BD_MO[[#This Row],[DESMONTE (U-35)]]*1.23,"-")</f>
        <v>-</v>
      </c>
      <c r="AZ513" s="472"/>
      <c r="BA513" s="472"/>
      <c r="BB513" s="472"/>
      <c r="BC513" s="472"/>
      <c r="BD513" s="472"/>
      <c r="BE513" s="472"/>
      <c r="BF513" s="472"/>
      <c r="BG513" s="472"/>
      <c r="BH513" s="472"/>
      <c r="BI513" s="472"/>
      <c r="BJ513" s="472"/>
      <c r="BK513" s="472"/>
      <c r="BL513" s="472"/>
      <c r="BM513" s="472"/>
      <c r="BN513" s="473"/>
      <c r="BO513" s="472"/>
      <c r="BP513" s="472"/>
      <c r="BQ513" s="473"/>
      <c r="BR513" s="472"/>
      <c r="BS513" s="473"/>
      <c r="BT513" s="478"/>
      <c r="BU513" s="472"/>
      <c r="BV513" s="472"/>
      <c r="BW513" s="472"/>
      <c r="BX513" s="472"/>
      <c r="BY513" s="472"/>
      <c r="BZ513" s="472"/>
      <c r="CA513" s="472"/>
      <c r="CB513" s="472"/>
      <c r="CC513" s="472"/>
      <c r="CD513" s="472"/>
      <c r="CE513" s="472"/>
      <c r="CF513" s="472"/>
      <c r="CG513" s="472"/>
      <c r="CH513" s="472"/>
      <c r="CI513" s="472"/>
      <c r="CJ513" s="472"/>
      <c r="CK513" s="472"/>
      <c r="CL513" s="472"/>
      <c r="CM513" s="472"/>
      <c r="CN513" s="472"/>
      <c r="CO513" s="472"/>
      <c r="CP513" s="478">
        <f>+IF(BD_MO[[#This Row],[FECHA]]&lt;&gt;"",BD_MO[[#This Row],[PUNTAL 4"]]+BD_MO[[#This Row],[PUNTAL 5"]]+BD_MO[[#This Row],[PUNTAL 6"]]+BD_MO[[#This Row],[PUNTAL 7"]]+BD_MO[[#This Row],[PUNTAL 8"]],"")</f>
        <v>0</v>
      </c>
      <c r="CQ513" s="472"/>
      <c r="CR513" s="472"/>
      <c r="CS513" s="472"/>
      <c r="CT513" s="472"/>
      <c r="CU513" s="472"/>
      <c r="CV513" s="472"/>
      <c r="CW513" s="472"/>
      <c r="CX513" s="472"/>
      <c r="CY513" s="478"/>
      <c r="CZ513" s="47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13" s="478">
        <f>+IF(BD_MO[[#This Row],[FECHA]]&lt;&gt;"",BD_MO[[#This Row],[DURMIENTE2]]*6.561+BD_MO[[#This Row],[LISTONES]]*4.921+BD_MO[[#This Row],[TABLA 1"x8"x3m]]*6.561+BD_MO[[#This Row],[TABLA 2"x8"x3m]]*13.122,"")</f>
        <v>0</v>
      </c>
      <c r="DB513" s="478">
        <f>+IF(BD_MO[[#This Row],[FECHA]]&lt;&gt;"",BD_MO[[#This Row],[PIE2 MADERA ASERRADA]]*1.95,"")</f>
        <v>0</v>
      </c>
      <c r="DC513" s="478">
        <f>+IF(BD_MO[[#This Row],[FECHA]]&lt;&gt;"",BD_MO[[#This Row],[KG. MADERA REDONDA]]+BD_MO[[#This Row],[KG MADERA ASERRADA]],"")</f>
        <v>0</v>
      </c>
      <c r="DD513" s="48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13" s="472"/>
      <c r="DF513" s="472"/>
      <c r="DG513" s="472"/>
      <c r="DH513" s="472"/>
      <c r="DI513" s="48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13" s="482"/>
      <c r="DK513" s="482"/>
      <c r="DL513" s="48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13" s="48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13" s="48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13" s="483"/>
      <c r="DP513" s="482" t="str">
        <f>+IF(BD_MO[[#This Row],[M o D]]&lt;&gt;"",IF(BD_MO[[#This Row],[M o D]]="M",BD_MO[[#This Row],[ROTURA TMH]]/2.65,BD_MO[[#This Row],[ROTURA TMH]]/2.4),"")</f>
        <v/>
      </c>
      <c r="DQ513" s="482"/>
      <c r="DR513" s="484" t="str">
        <f>IF(BD_MO[[#This Row],[TIPO AVANCE]]="Avance",((BD_MO[[#This Row],[AVANCE (m)]]/BD_MO[[#This Row],[AVANCE TEÓRICO]]))," ")</f>
        <v xml:space="preserve"> </v>
      </c>
      <c r="DS513" s="113"/>
      <c r="DT513" s="113"/>
      <c r="DU513" s="113"/>
      <c r="DV513" s="113"/>
      <c r="DW513" s="113"/>
      <c r="DX513" s="114"/>
      <c r="DY513" s="114"/>
      <c r="DZ513" s="114"/>
    </row>
    <row r="514" spans="1:130" s="136" customFormat="1" ht="18" customHeight="1" x14ac:dyDescent="0.25">
      <c r="A514" s="424">
        <v>44680</v>
      </c>
      <c r="B514" s="425" t="s">
        <v>10655</v>
      </c>
      <c r="C514" s="425" t="s">
        <v>10672</v>
      </c>
      <c r="D514" s="94" t="s">
        <v>11827</v>
      </c>
      <c r="E514" s="427" t="str">
        <f>LEFT(BD_MO[[#This Row],[LABOR]],2)</f>
        <v>Tj</v>
      </c>
      <c r="F514" s="428"/>
      <c r="G514" s="428" t="s">
        <v>10656</v>
      </c>
      <c r="H514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514" s="383" t="str">
        <f>IF(BD_MO[FECHA]&lt;&gt;"",VLOOKUP(BD_MO[LABOR],TB_CECO[[LABOR]:[CECO_T]],3,FALSE),"")</f>
        <v>VANESSA</v>
      </c>
      <c r="J514" s="383" t="str">
        <f>IF(BD_MO[FECHA]&lt;&gt;"",VLOOKUP(BD_MO[LABOR],D_CECO!B:H,7,FALSE),"")</f>
        <v>TAJO</v>
      </c>
      <c r="K514" s="383" t="str">
        <f>IF(BD_MO[FECHA]&lt;&gt;"",VLOOKUP(BD_MO[LABOR],D_CECO!B:H,4,FALSE),"")</f>
        <v>EXPLOTACION</v>
      </c>
      <c r="L514" s="427"/>
      <c r="M514" s="425"/>
      <c r="N514" s="428"/>
      <c r="O514" s="429" t="s">
        <v>12095</v>
      </c>
      <c r="P514" s="429" t="s">
        <v>12088</v>
      </c>
      <c r="Q514" s="429"/>
      <c r="R514" s="430"/>
      <c r="S514" s="431" t="str">
        <f>IFERROR(VLOOKUP(BD_MO[DNI 4],#REF!,2,FALSE)," ")</f>
        <v xml:space="preserve"> </v>
      </c>
      <c r="T514" s="432">
        <f>+IF(BD_MO[[#This Row],[FECHA]]&lt;&gt;"",COUNTA(BD_MO[[#This Row],[DNI]],BD_MO[[#This Row],[DNI 2]],BD_MO[[#This Row],[DNI 3]],BD_MO[[#This Row],[DNI 4]]),"")</f>
        <v>2</v>
      </c>
      <c r="U514" s="432">
        <v>0.9</v>
      </c>
      <c r="V514" s="432">
        <v>0.6</v>
      </c>
      <c r="W514" s="432">
        <v>0.3</v>
      </c>
      <c r="X514" s="432">
        <v>0.2</v>
      </c>
      <c r="Y514" s="433">
        <f>SUM(BD_MO[[#This Row],[LIMP]:[SERV]])</f>
        <v>2</v>
      </c>
      <c r="Z514" s="428"/>
      <c r="AA514" s="428" t="str">
        <f>+IF(BD_MO[[#This Row],[N° VALE]]&lt;&gt;"",1,"")</f>
        <v/>
      </c>
      <c r="AB514" s="425"/>
      <c r="AC514" s="428"/>
      <c r="AD514" s="428" t="str">
        <f>+IF(BD_MO[[#This Row],[N° VALE]]&lt;&gt;"",BD_MO[[#This Row],[FULMINANTE N° 08]]+BD_MO[CARMEX 7''],"")</f>
        <v/>
      </c>
      <c r="AE514" s="428"/>
      <c r="AF514" s="428" t="str">
        <f>+IF(BD_MO[[#This Row],[N° VALE]]&lt;&gt;"",BD_MO[[#This Row],[N° TALADROS]]+BD_MO[[#This Row],[N° TAL. VACIOS]],"")</f>
        <v/>
      </c>
      <c r="AG514" s="434"/>
      <c r="AH514" s="434"/>
      <c r="AI514" s="434"/>
      <c r="AJ514" s="434"/>
      <c r="AK514" s="434"/>
      <c r="AL514" s="434"/>
      <c r="AM514" s="427"/>
      <c r="AN514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14" s="428" t="str">
        <f>+IF(BD_MO[[#This Row],[N° VALE]]&lt;&gt;"",IF(BD_MO[[#This Row],[FULMINANTE N° 08]]&lt;&gt;"",BD_MO[[#This Row],[FULMINANTE N° 08]],IF(BD_MO[[#This Row],[CARMEX 7'']]&lt;&gt;0,0,"")),"")</f>
        <v/>
      </c>
      <c r="AP514" s="432" t="str">
        <f>+IF(BD_MO[[#This Row],[N° VALE]]&lt;&gt;"",BD_MO[[#This Row],[N°  TOTAL TALADROS]]*BD_MO[[#This Row],[BARRA]]*0.95,"")</f>
        <v/>
      </c>
      <c r="AQ514" s="432" t="str">
        <f>+IF(BD_MO[[#This Row],[N° VALE]]&lt;&gt;"",BD_MO[[#This Row],[EMULNOR 1000 (N° CART.)]]*PE_EMUL_1000[PE],"")</f>
        <v/>
      </c>
      <c r="AR514" s="432" t="str">
        <f>+IF(BD_MO[[#This Row],[N° VALE]]&lt;&gt;"",BD_MO[[#This Row],[EMULNOR 3000 (N° CART.)]]*PE_EMUL_3000[PE],"")</f>
        <v/>
      </c>
      <c r="AS514" s="432" t="str">
        <f>+IF(BD_MO[[#This Row],[N° VALE]]&lt;&gt;"",BD_MO[[#This Row],[PULVERULENTA (N° CART.)]]*PE_PULV_65[PE],"")</f>
        <v/>
      </c>
      <c r="AT514" s="432" t="str">
        <f>+IF(BD_MO[[#This Row],[N° DISP]]&lt;&gt;"",BD_MO[[#This Row],[SEMIGELATINA (N° CART.)]]*PE_SEMIGEL_65[PE],"")</f>
        <v/>
      </c>
      <c r="AU514" s="432" t="str">
        <f>+IF(BD_MO[N° VALE]&lt;&gt;"",BD_MO[[#This Row],[KG EXPLO SEMIGEL]]+BD_MO[[#This Row],[KG EXPLO PULVE]]+BD_MO[[#This Row],[KG EXPLO EMULN 3000]]+BD_MO[[#This Row],[KG EXPLO EMULN 1000]],"")</f>
        <v/>
      </c>
      <c r="AV514" s="428">
        <v>13</v>
      </c>
      <c r="AW514" s="428"/>
      <c r="AX514" s="428">
        <f>+IF(BD_MO[[#This Row],[MINERAL (U-35)]]&lt;&gt;"",BD_MO[[#This Row],[MINERAL (U-35)]]*1.45,"-")</f>
        <v>18.849999999999998</v>
      </c>
      <c r="AY514" s="428" t="str">
        <f>+IF(BD_MO[[#This Row],[DESMONTE (U-35)]]&lt;&gt;"",BD_MO[[#This Row],[DESMONTE (U-35)]]*1.23,"-")</f>
        <v>-</v>
      </c>
      <c r="AZ514" s="428"/>
      <c r="BA514" s="428"/>
      <c r="BB514" s="428"/>
      <c r="BC514" s="428"/>
      <c r="BD514" s="428"/>
      <c r="BE514" s="428"/>
      <c r="BF514" s="428"/>
      <c r="BG514" s="428"/>
      <c r="BH514" s="428"/>
      <c r="BI514" s="428"/>
      <c r="BJ514" s="428"/>
      <c r="BK514" s="428"/>
      <c r="BL514" s="428">
        <v>2</v>
      </c>
      <c r="BM514" s="428"/>
      <c r="BN514" s="427">
        <v>11.4</v>
      </c>
      <c r="BO514" s="428"/>
      <c r="BP514" s="428"/>
      <c r="BQ514" s="427"/>
      <c r="BR514" s="428"/>
      <c r="BS514" s="427"/>
      <c r="BT514" s="432"/>
      <c r="BU514" s="428"/>
      <c r="BV514" s="428"/>
      <c r="BW514" s="428"/>
      <c r="BX514" s="428"/>
      <c r="BY514" s="428"/>
      <c r="BZ514" s="428"/>
      <c r="CA514" s="428"/>
      <c r="CB514" s="428"/>
      <c r="CC514" s="428"/>
      <c r="CD514" s="428"/>
      <c r="CE514" s="428"/>
      <c r="CF514" s="428"/>
      <c r="CG514" s="428"/>
      <c r="CH514" s="428"/>
      <c r="CI514" s="428"/>
      <c r="CJ514" s="428"/>
      <c r="CK514" s="428"/>
      <c r="CL514" s="428"/>
      <c r="CM514" s="428">
        <v>2</v>
      </c>
      <c r="CN514" s="428"/>
      <c r="CO514" s="428"/>
      <c r="CP514" s="432">
        <f>+IF(BD_MO[[#This Row],[FECHA]]&lt;&gt;"",BD_MO[[#This Row],[PUNTAL 4"]]+BD_MO[[#This Row],[PUNTAL 5"]]+BD_MO[[#This Row],[PUNTAL 6"]]+BD_MO[[#This Row],[PUNTAL 7"]]+BD_MO[[#This Row],[PUNTAL 8"]],"")</f>
        <v>2</v>
      </c>
      <c r="CQ514" s="428"/>
      <c r="CR514" s="428"/>
      <c r="CS514" s="428"/>
      <c r="CT514" s="428"/>
      <c r="CU514" s="428"/>
      <c r="CV514" s="428"/>
      <c r="CW514" s="428"/>
      <c r="CX514" s="428">
        <v>10</v>
      </c>
      <c r="CY514" s="432"/>
      <c r="CZ514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89.748000000000005</v>
      </c>
      <c r="DA514" s="432">
        <f>+IF(BD_MO[[#This Row],[FECHA]]&lt;&gt;"",BD_MO[[#This Row],[DURMIENTE2]]*6.561+BD_MO[[#This Row],[LISTONES]]*4.921+BD_MO[[#This Row],[TABLA 1"x8"x3m]]*6.561+BD_MO[[#This Row],[TABLA 2"x8"x3m]]*13.122,"")</f>
        <v>131.22</v>
      </c>
      <c r="DB514" s="432">
        <f>+IF(BD_MO[[#This Row],[FECHA]]&lt;&gt;"",BD_MO[[#This Row],[PIE2 MADERA ASERRADA]]*1.95,"")</f>
        <v>255.87899999999999</v>
      </c>
      <c r="DC514" s="432">
        <f>+IF(BD_MO[[#This Row],[FECHA]]&lt;&gt;"",BD_MO[[#This Row],[KG. MADERA REDONDA]]+BD_MO[[#This Row],[KG MADERA ASERRADA]],"")</f>
        <v>345.62700000000001</v>
      </c>
      <c r="DD514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187.8</v>
      </c>
      <c r="DE514" s="428"/>
      <c r="DF514" s="428"/>
      <c r="DG514" s="428"/>
      <c r="DH514" s="428"/>
      <c r="DI514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14" s="436"/>
      <c r="DK514" s="436"/>
      <c r="DL514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14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14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14" s="437"/>
      <c r="DP514" s="436" t="str">
        <f>+IF(BD_MO[[#This Row],[M o D]]&lt;&gt;"",IF(BD_MO[[#This Row],[M o D]]="M",BD_MO[[#This Row],[ROTURA TMH]]/2.65,BD_MO[[#This Row],[ROTURA TMH]]/2.4),"")</f>
        <v/>
      </c>
      <c r="DQ514" s="436"/>
      <c r="DR514" s="116" t="str">
        <f>IF(BD_MO[[#This Row],[TIPO AVANCE]]="Avance",((BD_MO[[#This Row],[AVANCE (m)]]/BD_MO[[#This Row],[AVANCE TEÓRICO]]))," ")</f>
        <v xml:space="preserve"> </v>
      </c>
      <c r="DS514" s="134"/>
      <c r="DT514" s="134"/>
      <c r="DU514" s="134"/>
      <c r="DV514" s="134"/>
      <c r="DW514" s="134"/>
      <c r="DX514" s="135"/>
      <c r="DY514" s="135"/>
      <c r="DZ514" s="135"/>
    </row>
    <row r="515" spans="1:130" s="136" customFormat="1" ht="18" customHeight="1" x14ac:dyDescent="0.25">
      <c r="A515" s="424">
        <v>44680</v>
      </c>
      <c r="B515" s="425" t="s">
        <v>10655</v>
      </c>
      <c r="C515" s="425" t="s">
        <v>10672</v>
      </c>
      <c r="D515" s="426" t="s">
        <v>11928</v>
      </c>
      <c r="E515" s="427" t="str">
        <f>LEFT(BD_MO[[#This Row],[LABOR]],2)</f>
        <v>Tj</v>
      </c>
      <c r="F515" s="428"/>
      <c r="G515" s="428" t="s">
        <v>10662</v>
      </c>
      <c r="H515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515" s="383" t="str">
        <f>IF(BD_MO[FECHA]&lt;&gt;"",VLOOKUP(BD_MO[LABOR],TB_CECO[[LABOR]:[CECO_T]],3,FALSE),"")</f>
        <v>ESCONDIDA</v>
      </c>
      <c r="J515" s="383" t="str">
        <f>IF(BD_MO[FECHA]&lt;&gt;"",VLOOKUP(BD_MO[LABOR],D_CECO!B:H,7,FALSE),"")</f>
        <v>TAJO</v>
      </c>
      <c r="K515" s="383" t="str">
        <f>IF(BD_MO[FECHA]&lt;&gt;"",VLOOKUP(BD_MO[LABOR],D_CECO!B:H,4,FALSE),"")</f>
        <v>EXPLOTACION</v>
      </c>
      <c r="L515" s="427"/>
      <c r="M515" s="425"/>
      <c r="N515" s="428"/>
      <c r="O515" s="429" t="s">
        <v>12101</v>
      </c>
      <c r="P515" s="429" t="s">
        <v>12305</v>
      </c>
      <c r="Q515" s="429"/>
      <c r="R515" s="430"/>
      <c r="S515" s="431" t="str">
        <f>IFERROR(VLOOKUP(BD_MO[DNI 4],#REF!,2,FALSE)," ")</f>
        <v xml:space="preserve"> </v>
      </c>
      <c r="T515" s="432">
        <f>+IF(BD_MO[[#This Row],[FECHA]]&lt;&gt;"",COUNTA(BD_MO[[#This Row],[DNI]],BD_MO[[#This Row],[DNI 2]],BD_MO[[#This Row],[DNI 3]],BD_MO[[#This Row],[DNI 4]]),"")</f>
        <v>2</v>
      </c>
      <c r="U515" s="432">
        <v>0.8</v>
      </c>
      <c r="V515" s="432"/>
      <c r="W515" s="432">
        <v>0.9</v>
      </c>
      <c r="X515" s="432">
        <v>0.3</v>
      </c>
      <c r="Y515" s="433">
        <f>SUM(BD_MO[[#This Row],[LIMP]:[SERV]])</f>
        <v>2</v>
      </c>
      <c r="Z515" s="428"/>
      <c r="AA515" s="428" t="str">
        <f>+IF(BD_MO[[#This Row],[N° VALE]]&lt;&gt;"",1,"")</f>
        <v/>
      </c>
      <c r="AB515" s="425"/>
      <c r="AC515" s="428"/>
      <c r="AD515" s="428" t="str">
        <f>+IF(BD_MO[[#This Row],[N° VALE]]&lt;&gt;"",BD_MO[[#This Row],[FULMINANTE N° 08]]+BD_MO[CARMEX 7''],"")</f>
        <v/>
      </c>
      <c r="AE515" s="428"/>
      <c r="AF515" s="428" t="str">
        <f>+IF(BD_MO[[#This Row],[N° VALE]]&lt;&gt;"",BD_MO[[#This Row],[N° TALADROS]]+BD_MO[[#This Row],[N° TAL. VACIOS]],"")</f>
        <v/>
      </c>
      <c r="AG515" s="434"/>
      <c r="AH515" s="434"/>
      <c r="AI515" s="434"/>
      <c r="AJ515" s="434"/>
      <c r="AK515" s="434"/>
      <c r="AL515" s="434"/>
      <c r="AM515" s="427"/>
      <c r="AN515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15" s="428" t="str">
        <f>+IF(BD_MO[[#This Row],[N° VALE]]&lt;&gt;"",IF(BD_MO[[#This Row],[FULMINANTE N° 08]]&lt;&gt;"",BD_MO[[#This Row],[FULMINANTE N° 08]],IF(BD_MO[[#This Row],[CARMEX 7'']]&lt;&gt;0,0,"")),"")</f>
        <v/>
      </c>
      <c r="AP515" s="432" t="str">
        <f>+IF(BD_MO[[#This Row],[N° VALE]]&lt;&gt;"",BD_MO[[#This Row],[N°  TOTAL TALADROS]]*BD_MO[[#This Row],[BARRA]]*0.95,"")</f>
        <v/>
      </c>
      <c r="AQ515" s="432" t="str">
        <f>+IF(BD_MO[[#This Row],[N° VALE]]&lt;&gt;"",BD_MO[[#This Row],[EMULNOR 1000 (N° CART.)]]*PE_EMUL_1000[PE],"")</f>
        <v/>
      </c>
      <c r="AR515" s="432" t="str">
        <f>+IF(BD_MO[[#This Row],[N° VALE]]&lt;&gt;"",BD_MO[[#This Row],[EMULNOR 3000 (N° CART.)]]*PE_EMUL_3000[PE],"")</f>
        <v/>
      </c>
      <c r="AS515" s="432" t="str">
        <f>+IF(BD_MO[[#This Row],[N° VALE]]&lt;&gt;"",BD_MO[[#This Row],[PULVERULENTA (N° CART.)]]*PE_PULV_65[PE],"")</f>
        <v/>
      </c>
      <c r="AT515" s="432" t="str">
        <f>+IF(BD_MO[[#This Row],[N° DISP]]&lt;&gt;"",BD_MO[[#This Row],[SEMIGELATINA (N° CART.)]]*PE_SEMIGEL_65[PE],"")</f>
        <v/>
      </c>
      <c r="AU515" s="432" t="str">
        <f>+IF(BD_MO[N° VALE]&lt;&gt;"",BD_MO[[#This Row],[KG EXPLO SEMIGEL]]+BD_MO[[#This Row],[KG EXPLO PULVE]]+BD_MO[[#This Row],[KG EXPLO EMULN 3000]]+BD_MO[[#This Row],[KG EXPLO EMULN 1000]],"")</f>
        <v/>
      </c>
      <c r="AV515" s="428"/>
      <c r="AW515" s="428"/>
      <c r="AX515" s="428" t="str">
        <f>+IF(BD_MO[[#This Row],[MINERAL (U-35)]]&lt;&gt;"",BD_MO[[#This Row],[MINERAL (U-35)]]*1.45,"-")</f>
        <v>-</v>
      </c>
      <c r="AY515" s="428" t="str">
        <f>+IF(BD_MO[[#This Row],[DESMONTE (U-35)]]&lt;&gt;"",BD_MO[[#This Row],[DESMONTE (U-35)]]*1.23,"-")</f>
        <v>-</v>
      </c>
      <c r="AZ515" s="428"/>
      <c r="BA515" s="428">
        <v>1</v>
      </c>
      <c r="BB515" s="428"/>
      <c r="BC515" s="428"/>
      <c r="BD515" s="428"/>
      <c r="BE515" s="428"/>
      <c r="BF515" s="428"/>
      <c r="BG515" s="428"/>
      <c r="BH515" s="428"/>
      <c r="BI515" s="428">
        <v>1</v>
      </c>
      <c r="BJ515" s="428"/>
      <c r="BK515" s="428"/>
      <c r="BL515" s="428"/>
      <c r="BM515" s="428"/>
      <c r="BN515" s="427"/>
      <c r="BO515" s="428">
        <v>1</v>
      </c>
      <c r="BP515" s="428"/>
      <c r="BQ515" s="427"/>
      <c r="BR515" s="428"/>
      <c r="BS515" s="427"/>
      <c r="BT515" s="432">
        <v>5.4</v>
      </c>
      <c r="BU515" s="428"/>
      <c r="BV515" s="428"/>
      <c r="BW515" s="428"/>
      <c r="BX515" s="428"/>
      <c r="BY515" s="428"/>
      <c r="BZ515" s="428"/>
      <c r="CA515" s="428"/>
      <c r="CB515" s="428"/>
      <c r="CC515" s="428"/>
      <c r="CD515" s="428"/>
      <c r="CE515" s="428"/>
      <c r="CF515" s="428"/>
      <c r="CG515" s="428"/>
      <c r="CH515" s="428"/>
      <c r="CI515" s="428"/>
      <c r="CJ515" s="428"/>
      <c r="CK515" s="428"/>
      <c r="CL515" s="428">
        <v>2</v>
      </c>
      <c r="CM515" s="428">
        <v>2</v>
      </c>
      <c r="CN515" s="428">
        <v>4</v>
      </c>
      <c r="CO515" s="428"/>
      <c r="CP515" s="432">
        <f>+IF(BD_MO[[#This Row],[FECHA]]&lt;&gt;"",BD_MO[[#This Row],[PUNTAL 4"]]+BD_MO[[#This Row],[PUNTAL 5"]]+BD_MO[[#This Row],[PUNTAL 6"]]+BD_MO[[#This Row],[PUNTAL 7"]]+BD_MO[[#This Row],[PUNTAL 8"]],"")</f>
        <v>8</v>
      </c>
      <c r="CQ515" s="428"/>
      <c r="CR515" s="428"/>
      <c r="CS515" s="428">
        <v>6</v>
      </c>
      <c r="CT515" s="428"/>
      <c r="CU515" s="428"/>
      <c r="CV515" s="428"/>
      <c r="CW515" s="428"/>
      <c r="CX515" s="428"/>
      <c r="CY515" s="432"/>
      <c r="CZ515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543.99</v>
      </c>
      <c r="DA515" s="432">
        <f>+IF(BD_MO[[#This Row],[FECHA]]&lt;&gt;"",BD_MO[[#This Row],[DURMIENTE2]]*6.561+BD_MO[[#This Row],[LISTONES]]*4.921+BD_MO[[#This Row],[TABLA 1"x8"x3m]]*6.561+BD_MO[[#This Row],[TABLA 2"x8"x3m]]*13.122,"")</f>
        <v>0</v>
      </c>
      <c r="DB515" s="432">
        <f>+IF(BD_MO[[#This Row],[FECHA]]&lt;&gt;"",BD_MO[[#This Row],[PIE2 MADERA ASERRADA]]*1.95,"")</f>
        <v>0</v>
      </c>
      <c r="DC515" s="432">
        <f>+IF(BD_MO[[#This Row],[FECHA]]&lt;&gt;"",BD_MO[[#This Row],[KG. MADERA REDONDA]]+BD_MO[[#This Row],[KG MADERA ASERRADA]],"")</f>
        <v>543.99</v>
      </c>
      <c r="DD515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216.14</v>
      </c>
      <c r="DE515" s="428"/>
      <c r="DF515" s="428"/>
      <c r="DG515" s="428"/>
      <c r="DH515" s="428"/>
      <c r="DI515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15" s="436"/>
      <c r="DK515" s="436"/>
      <c r="DL515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15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15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15" s="437"/>
      <c r="DP515" s="436" t="str">
        <f>+IF(BD_MO[[#This Row],[M o D]]&lt;&gt;"",IF(BD_MO[[#This Row],[M o D]]="M",BD_MO[[#This Row],[ROTURA TMH]]/2.65,BD_MO[[#This Row],[ROTURA TMH]]/2.4),"")</f>
        <v/>
      </c>
      <c r="DQ515" s="436"/>
      <c r="DR515" s="116" t="str">
        <f>IF(BD_MO[[#This Row],[TIPO AVANCE]]="Avance",((BD_MO[[#This Row],[AVANCE (m)]]/BD_MO[[#This Row],[AVANCE TEÓRICO]]))," ")</f>
        <v xml:space="preserve"> </v>
      </c>
      <c r="DS515" s="134"/>
      <c r="DT515" s="134"/>
      <c r="DU515" s="134"/>
      <c r="DV515" s="134"/>
      <c r="DW515" s="134"/>
      <c r="DX515" s="135"/>
      <c r="DY515" s="135"/>
      <c r="DZ515" s="135"/>
    </row>
    <row r="516" spans="1:130" s="136" customFormat="1" ht="18" customHeight="1" x14ac:dyDescent="0.25">
      <c r="A516" s="424">
        <v>44680</v>
      </c>
      <c r="B516" s="425" t="s">
        <v>10655</v>
      </c>
      <c r="C516" s="425" t="s">
        <v>10672</v>
      </c>
      <c r="D516" s="81" t="s">
        <v>12437</v>
      </c>
      <c r="E516" s="427" t="str">
        <f>LEFT(BD_MO[[#This Row],[LABOR]],2)</f>
        <v>Sn</v>
      </c>
      <c r="F516" s="428"/>
      <c r="G516" s="428" t="s">
        <v>10662</v>
      </c>
      <c r="H516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516" s="383" t="str">
        <f>IF(BD_MO[FECHA]&lt;&gt;"",VLOOKUP(BD_MO[LABOR],TB_CECO[[LABOR]:[CECO_T]],3,FALSE),"")</f>
        <v>VANESSA</v>
      </c>
      <c r="J516" s="383" t="str">
        <f>IF(BD_MO[FECHA]&lt;&gt;"",VLOOKUP(BD_MO[LABOR],D_CECO!B:H,7,FALSE),"")</f>
        <v>LINEAL</v>
      </c>
      <c r="K516" s="383" t="str">
        <f>IF(BD_MO[FECHA]&lt;&gt;"",VLOOKUP(BD_MO[LABOR],D_CECO!B:H,4,FALSE),"")</f>
        <v>EXPLORACION</v>
      </c>
      <c r="L516" s="427"/>
      <c r="M516" s="425"/>
      <c r="N516" s="428"/>
      <c r="O516" s="429" t="s">
        <v>12091</v>
      </c>
      <c r="P516" s="429" t="s">
        <v>12159</v>
      </c>
      <c r="Q516" s="429" t="s">
        <v>12361</v>
      </c>
      <c r="R516" s="430"/>
      <c r="S516" s="431" t="str">
        <f>IFERROR(VLOOKUP(BD_MO[DNI 4],#REF!,2,FALSE)," ")</f>
        <v xml:space="preserve"> </v>
      </c>
      <c r="T516" s="432">
        <f>+IF(BD_MO[[#This Row],[FECHA]]&lt;&gt;"",COUNTA(BD_MO[[#This Row],[DNI]],BD_MO[[#This Row],[DNI 2]],BD_MO[[#This Row],[DNI 3]],BD_MO[[#This Row],[DNI 4]]),"")</f>
        <v>3</v>
      </c>
      <c r="U516" s="432">
        <v>1.6</v>
      </c>
      <c r="V516" s="432"/>
      <c r="W516" s="432">
        <v>1.1000000000000001</v>
      </c>
      <c r="X516" s="432">
        <v>0.3</v>
      </c>
      <c r="Y516" s="433">
        <f>SUM(BD_MO[[#This Row],[LIMP]:[SERV]])</f>
        <v>3</v>
      </c>
      <c r="Z516" s="428"/>
      <c r="AA516" s="428" t="str">
        <f>+IF(BD_MO[[#This Row],[N° VALE]]&lt;&gt;"",1,"")</f>
        <v/>
      </c>
      <c r="AB516" s="425"/>
      <c r="AC516" s="428"/>
      <c r="AD516" s="428" t="str">
        <f>+IF(BD_MO[[#This Row],[N° VALE]]&lt;&gt;"",BD_MO[[#This Row],[FULMINANTE N° 08]]+BD_MO[CARMEX 7''],"")</f>
        <v/>
      </c>
      <c r="AE516" s="428"/>
      <c r="AF516" s="428" t="str">
        <f>+IF(BD_MO[[#This Row],[N° VALE]]&lt;&gt;"",BD_MO[[#This Row],[N° TALADROS]]+BD_MO[[#This Row],[N° TAL. VACIOS]],"")</f>
        <v/>
      </c>
      <c r="AG516" s="434"/>
      <c r="AH516" s="434"/>
      <c r="AI516" s="434"/>
      <c r="AJ516" s="434"/>
      <c r="AK516" s="434"/>
      <c r="AL516" s="434"/>
      <c r="AM516" s="427"/>
      <c r="AN516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16" s="428" t="str">
        <f>+IF(BD_MO[[#This Row],[N° VALE]]&lt;&gt;"",IF(BD_MO[[#This Row],[FULMINANTE N° 08]]&lt;&gt;"",BD_MO[[#This Row],[FULMINANTE N° 08]],IF(BD_MO[[#This Row],[CARMEX 7'']]&lt;&gt;0,0,"")),"")</f>
        <v/>
      </c>
      <c r="AP516" s="432" t="str">
        <f>+IF(BD_MO[[#This Row],[N° VALE]]&lt;&gt;"",BD_MO[[#This Row],[N°  TOTAL TALADROS]]*BD_MO[[#This Row],[BARRA]]*0.95,"")</f>
        <v/>
      </c>
      <c r="AQ516" s="432" t="str">
        <f>+IF(BD_MO[[#This Row],[N° VALE]]&lt;&gt;"",BD_MO[[#This Row],[EMULNOR 1000 (N° CART.)]]*PE_EMUL_1000[PE],"")</f>
        <v/>
      </c>
      <c r="AR516" s="432" t="str">
        <f>+IF(BD_MO[[#This Row],[N° VALE]]&lt;&gt;"",BD_MO[[#This Row],[EMULNOR 3000 (N° CART.)]]*PE_EMUL_3000[PE],"")</f>
        <v/>
      </c>
      <c r="AS516" s="432" t="str">
        <f>+IF(BD_MO[[#This Row],[N° VALE]]&lt;&gt;"",BD_MO[[#This Row],[PULVERULENTA (N° CART.)]]*PE_PULV_65[PE],"")</f>
        <v/>
      </c>
      <c r="AT516" s="432" t="str">
        <f>+IF(BD_MO[[#This Row],[N° DISP]]&lt;&gt;"",BD_MO[[#This Row],[SEMIGELATINA (N° CART.)]]*PE_SEMIGEL_65[PE],"")</f>
        <v/>
      </c>
      <c r="AU516" s="432" t="str">
        <f>+IF(BD_MO[N° VALE]&lt;&gt;"",BD_MO[[#This Row],[KG EXPLO SEMIGEL]]+BD_MO[[#This Row],[KG EXPLO PULVE]]+BD_MO[[#This Row],[KG EXPLO EMULN 3000]]+BD_MO[[#This Row],[KG EXPLO EMULN 1000]],"")</f>
        <v/>
      </c>
      <c r="AV516" s="428"/>
      <c r="AW516" s="428">
        <v>6</v>
      </c>
      <c r="AX516" s="428" t="str">
        <f>+IF(BD_MO[[#This Row],[MINERAL (U-35)]]&lt;&gt;"",BD_MO[[#This Row],[MINERAL (U-35)]]*1.45,"-")</f>
        <v>-</v>
      </c>
      <c r="AY516" s="428">
        <f>+IF(BD_MO[[#This Row],[DESMONTE (U-35)]]&lt;&gt;"",BD_MO[[#This Row],[DESMONTE (U-35)]]*1.23,"-")</f>
        <v>7.38</v>
      </c>
      <c r="AZ516" s="428"/>
      <c r="BA516" s="428">
        <v>1</v>
      </c>
      <c r="BB516" s="428"/>
      <c r="BC516" s="428"/>
      <c r="BD516" s="428"/>
      <c r="BE516" s="428"/>
      <c r="BF516" s="428"/>
      <c r="BG516" s="428"/>
      <c r="BH516" s="428"/>
      <c r="BI516" s="428">
        <v>1</v>
      </c>
      <c r="BJ516" s="428"/>
      <c r="BK516" s="428"/>
      <c r="BL516" s="428"/>
      <c r="BM516" s="428"/>
      <c r="BN516" s="427"/>
      <c r="BO516" s="428"/>
      <c r="BP516" s="428"/>
      <c r="BQ516" s="427"/>
      <c r="BR516" s="428"/>
      <c r="BS516" s="427"/>
      <c r="BT516" s="432"/>
      <c r="BU516" s="428"/>
      <c r="BV516" s="428"/>
      <c r="BW516" s="428"/>
      <c r="BX516" s="428"/>
      <c r="BY516" s="428"/>
      <c r="BZ516" s="428"/>
      <c r="CA516" s="428"/>
      <c r="CB516" s="428"/>
      <c r="CC516" s="428"/>
      <c r="CD516" s="428"/>
      <c r="CE516" s="428"/>
      <c r="CF516" s="428"/>
      <c r="CG516" s="428"/>
      <c r="CH516" s="428"/>
      <c r="CI516" s="428"/>
      <c r="CJ516" s="428"/>
      <c r="CK516" s="428"/>
      <c r="CL516" s="428">
        <v>2</v>
      </c>
      <c r="CM516" s="428">
        <v>2</v>
      </c>
      <c r="CN516" s="428">
        <v>4</v>
      </c>
      <c r="CO516" s="428"/>
      <c r="CP516" s="432">
        <f>+IF(BD_MO[[#This Row],[FECHA]]&lt;&gt;"",BD_MO[[#This Row],[PUNTAL 4"]]+BD_MO[[#This Row],[PUNTAL 5"]]+BD_MO[[#This Row],[PUNTAL 6"]]+BD_MO[[#This Row],[PUNTAL 7"]]+BD_MO[[#This Row],[PUNTAL 8"]],"")</f>
        <v>8</v>
      </c>
      <c r="CQ516" s="428"/>
      <c r="CR516" s="428"/>
      <c r="CS516" s="428">
        <v>8</v>
      </c>
      <c r="CT516" s="428"/>
      <c r="CU516" s="428"/>
      <c r="CV516" s="428"/>
      <c r="CW516" s="428"/>
      <c r="CX516" s="428"/>
      <c r="CY516" s="432"/>
      <c r="CZ516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593.19000000000005</v>
      </c>
      <c r="DA516" s="432">
        <f>+IF(BD_MO[[#This Row],[FECHA]]&lt;&gt;"",BD_MO[[#This Row],[DURMIENTE2]]*6.561+BD_MO[[#This Row],[LISTONES]]*4.921+BD_MO[[#This Row],[TABLA 1"x8"x3m]]*6.561+BD_MO[[#This Row],[TABLA 2"x8"x3m]]*13.122,"")</f>
        <v>0</v>
      </c>
      <c r="DB516" s="432">
        <f>+IF(BD_MO[[#This Row],[FECHA]]&lt;&gt;"",BD_MO[[#This Row],[PIE2 MADERA ASERRADA]]*1.95,"")</f>
        <v>0</v>
      </c>
      <c r="DC516" s="432">
        <f>+IF(BD_MO[[#This Row],[FECHA]]&lt;&gt;"",BD_MO[[#This Row],[KG. MADERA REDONDA]]+BD_MO[[#This Row],[KG MADERA ASERRADA]],"")</f>
        <v>593.19000000000005</v>
      </c>
      <c r="DD516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240.72</v>
      </c>
      <c r="DE516" s="428"/>
      <c r="DF516" s="428"/>
      <c r="DG516" s="428"/>
      <c r="DH516" s="428"/>
      <c r="DI516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16" s="436"/>
      <c r="DK516" s="436"/>
      <c r="DL516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16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16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16" s="437"/>
      <c r="DP516" s="436" t="str">
        <f>+IF(BD_MO[[#This Row],[M o D]]&lt;&gt;"",IF(BD_MO[[#This Row],[M o D]]="M",BD_MO[[#This Row],[ROTURA TMH]]/2.65,BD_MO[[#This Row],[ROTURA TMH]]/2.4),"")</f>
        <v/>
      </c>
      <c r="DQ516" s="436"/>
      <c r="DR516" s="116" t="str">
        <f>IF(BD_MO[[#This Row],[TIPO AVANCE]]="Avance",((BD_MO[[#This Row],[AVANCE (m)]]/BD_MO[[#This Row],[AVANCE TEÓRICO]]))," ")</f>
        <v xml:space="preserve"> </v>
      </c>
      <c r="DS516" s="134"/>
      <c r="DT516" s="134"/>
      <c r="DU516" s="134"/>
      <c r="DV516" s="134"/>
      <c r="DW516" s="134"/>
      <c r="DX516" s="135"/>
      <c r="DY516" s="135"/>
      <c r="DZ516" s="135"/>
    </row>
    <row r="517" spans="1:130" s="136" customFormat="1" ht="18" customHeight="1" x14ac:dyDescent="0.25">
      <c r="A517" s="424">
        <v>44680</v>
      </c>
      <c r="B517" s="425" t="s">
        <v>10655</v>
      </c>
      <c r="C517" s="425" t="s">
        <v>10672</v>
      </c>
      <c r="D517" s="94" t="s">
        <v>12339</v>
      </c>
      <c r="E517" s="427" t="str">
        <f>LEFT(BD_MO[[#This Row],[LABOR]],2)</f>
        <v>Tj</v>
      </c>
      <c r="F517" s="428"/>
      <c r="G517" s="428" t="s">
        <v>10656</v>
      </c>
      <c r="H517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517" s="383" t="str">
        <f>IF(BD_MO[FECHA]&lt;&gt;"",VLOOKUP(BD_MO[LABOR],TB_CECO[[LABOR]:[CECO_T]],3,FALSE),"")</f>
        <v>ESCONDIDA</v>
      </c>
      <c r="J517" s="383" t="str">
        <f>IF(BD_MO[FECHA]&lt;&gt;"",VLOOKUP(BD_MO[LABOR],D_CECO!B:H,7,FALSE),"")</f>
        <v>TAJO</v>
      </c>
      <c r="K517" s="383" t="str">
        <f>IF(BD_MO[FECHA]&lt;&gt;"",VLOOKUP(BD_MO[LABOR],D_CECO!B:H,4,FALSE),"")</f>
        <v>EXPLOTACION</v>
      </c>
      <c r="L517" s="427"/>
      <c r="M517" s="425"/>
      <c r="N517" s="428"/>
      <c r="O517" s="429" t="s">
        <v>12306</v>
      </c>
      <c r="P517" s="429" t="s">
        <v>12093</v>
      </c>
      <c r="Q517" s="429"/>
      <c r="R517" s="430"/>
      <c r="S517" s="431" t="str">
        <f>IFERROR(VLOOKUP(BD_MO[DNI 4],#REF!,2,FALSE)," ")</f>
        <v xml:space="preserve"> </v>
      </c>
      <c r="T517" s="432">
        <f>+IF(BD_MO[[#This Row],[FECHA]]&lt;&gt;"",COUNTA(BD_MO[[#This Row],[DNI]],BD_MO[[#This Row],[DNI 2]],BD_MO[[#This Row],[DNI 3]],BD_MO[[#This Row],[DNI 4]]),"")</f>
        <v>2</v>
      </c>
      <c r="U517" s="432">
        <v>2</v>
      </c>
      <c r="V517" s="432"/>
      <c r="W517" s="432"/>
      <c r="X517" s="432"/>
      <c r="Y517" s="433">
        <f>SUM(BD_MO[[#This Row],[LIMP]:[SERV]])</f>
        <v>2</v>
      </c>
      <c r="Z517" s="428"/>
      <c r="AA517" s="428" t="str">
        <f>+IF(BD_MO[[#This Row],[N° VALE]]&lt;&gt;"",1,"")</f>
        <v/>
      </c>
      <c r="AB517" s="425"/>
      <c r="AC517" s="428"/>
      <c r="AD517" s="428" t="str">
        <f>+IF(BD_MO[[#This Row],[N° VALE]]&lt;&gt;"",BD_MO[[#This Row],[FULMINANTE N° 08]]+BD_MO[CARMEX 7''],"")</f>
        <v/>
      </c>
      <c r="AE517" s="428"/>
      <c r="AF517" s="428" t="str">
        <f>+IF(BD_MO[[#This Row],[N° VALE]]&lt;&gt;"",BD_MO[[#This Row],[N° TALADROS]]+BD_MO[[#This Row],[N° TAL. VACIOS]],"")</f>
        <v/>
      </c>
      <c r="AG517" s="434"/>
      <c r="AH517" s="434"/>
      <c r="AI517" s="434"/>
      <c r="AJ517" s="434"/>
      <c r="AK517" s="434"/>
      <c r="AL517" s="434"/>
      <c r="AM517" s="427"/>
      <c r="AN517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17" s="428" t="str">
        <f>+IF(BD_MO[[#This Row],[N° VALE]]&lt;&gt;"",IF(BD_MO[[#This Row],[FULMINANTE N° 08]]&lt;&gt;"",BD_MO[[#This Row],[FULMINANTE N° 08]],IF(BD_MO[[#This Row],[CARMEX 7'']]&lt;&gt;0,0,"")),"")</f>
        <v/>
      </c>
      <c r="AP517" s="432" t="str">
        <f>+IF(BD_MO[[#This Row],[N° VALE]]&lt;&gt;"",BD_MO[[#This Row],[N°  TOTAL TALADROS]]*BD_MO[[#This Row],[BARRA]]*0.95,"")</f>
        <v/>
      </c>
      <c r="AQ517" s="432" t="str">
        <f>+IF(BD_MO[[#This Row],[N° VALE]]&lt;&gt;"",BD_MO[[#This Row],[EMULNOR 1000 (N° CART.)]]*PE_EMUL_1000[PE],"")</f>
        <v/>
      </c>
      <c r="AR517" s="432" t="str">
        <f>+IF(BD_MO[[#This Row],[N° VALE]]&lt;&gt;"",BD_MO[[#This Row],[EMULNOR 3000 (N° CART.)]]*PE_EMUL_3000[PE],"")</f>
        <v/>
      </c>
      <c r="AS517" s="432" t="str">
        <f>+IF(BD_MO[[#This Row],[N° VALE]]&lt;&gt;"",BD_MO[[#This Row],[PULVERULENTA (N° CART.)]]*PE_PULV_65[PE],"")</f>
        <v/>
      </c>
      <c r="AT517" s="432" t="str">
        <f>+IF(BD_MO[[#This Row],[N° DISP]]&lt;&gt;"",BD_MO[[#This Row],[SEMIGELATINA (N° CART.)]]*PE_SEMIGEL_65[PE],"")</f>
        <v/>
      </c>
      <c r="AU517" s="432" t="str">
        <f>+IF(BD_MO[N° VALE]&lt;&gt;"",BD_MO[[#This Row],[KG EXPLO SEMIGEL]]+BD_MO[[#This Row],[KG EXPLO PULVE]]+BD_MO[[#This Row],[KG EXPLO EMULN 3000]]+BD_MO[[#This Row],[KG EXPLO EMULN 1000]],"")</f>
        <v/>
      </c>
      <c r="AV517" s="428">
        <v>2</v>
      </c>
      <c r="AW517" s="428"/>
      <c r="AX517" s="428">
        <f>+IF(BD_MO[[#This Row],[MINERAL (U-35)]]&lt;&gt;"",BD_MO[[#This Row],[MINERAL (U-35)]]*1.45,"-")</f>
        <v>2.9</v>
      </c>
      <c r="AY517" s="428" t="str">
        <f>+IF(BD_MO[[#This Row],[DESMONTE (U-35)]]&lt;&gt;"",BD_MO[[#This Row],[DESMONTE (U-35)]]*1.23,"-")</f>
        <v>-</v>
      </c>
      <c r="AZ517" s="428"/>
      <c r="BA517" s="428"/>
      <c r="BB517" s="428"/>
      <c r="BC517" s="428"/>
      <c r="BD517" s="428"/>
      <c r="BE517" s="428"/>
      <c r="BF517" s="428"/>
      <c r="BG517" s="428"/>
      <c r="BH517" s="428"/>
      <c r="BI517" s="428">
        <v>1</v>
      </c>
      <c r="BJ517" s="428"/>
      <c r="BK517" s="428"/>
      <c r="BL517" s="428"/>
      <c r="BM517" s="428"/>
      <c r="BN517" s="427"/>
      <c r="BO517" s="428"/>
      <c r="BP517" s="428"/>
      <c r="BQ517" s="427"/>
      <c r="BR517" s="428"/>
      <c r="BS517" s="427"/>
      <c r="BT517" s="432"/>
      <c r="BU517" s="428"/>
      <c r="BV517" s="428"/>
      <c r="BW517" s="428"/>
      <c r="BX517" s="428"/>
      <c r="BY517" s="428"/>
      <c r="BZ517" s="428"/>
      <c r="CA517" s="428"/>
      <c r="CB517" s="428"/>
      <c r="CC517" s="428"/>
      <c r="CD517" s="428"/>
      <c r="CE517" s="428"/>
      <c r="CF517" s="428"/>
      <c r="CG517" s="428"/>
      <c r="CH517" s="428"/>
      <c r="CI517" s="428"/>
      <c r="CJ517" s="428"/>
      <c r="CK517" s="428"/>
      <c r="CL517" s="428"/>
      <c r="CM517" s="428"/>
      <c r="CN517" s="428">
        <v>1</v>
      </c>
      <c r="CO517" s="428"/>
      <c r="CP517" s="432">
        <f>+IF(BD_MO[[#This Row],[FECHA]]&lt;&gt;"",BD_MO[[#This Row],[PUNTAL 4"]]+BD_MO[[#This Row],[PUNTAL 5"]]+BD_MO[[#This Row],[PUNTAL 6"]]+BD_MO[[#This Row],[PUNTAL 7"]]+BD_MO[[#This Row],[PUNTAL 8"]],"")</f>
        <v>1</v>
      </c>
      <c r="CQ517" s="428"/>
      <c r="CR517" s="428"/>
      <c r="CS517" s="428"/>
      <c r="CT517" s="428"/>
      <c r="CU517" s="428"/>
      <c r="CV517" s="428"/>
      <c r="CW517" s="428"/>
      <c r="CX517" s="428"/>
      <c r="CY517" s="432"/>
      <c r="CZ517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61.079000000000001</v>
      </c>
      <c r="DA517" s="432">
        <f>+IF(BD_MO[[#This Row],[FECHA]]&lt;&gt;"",BD_MO[[#This Row],[DURMIENTE2]]*6.561+BD_MO[[#This Row],[LISTONES]]*4.921+BD_MO[[#This Row],[TABLA 1"x8"x3m]]*6.561+BD_MO[[#This Row],[TABLA 2"x8"x3m]]*13.122,"")</f>
        <v>0</v>
      </c>
      <c r="DB517" s="432">
        <f>+IF(BD_MO[[#This Row],[FECHA]]&lt;&gt;"",BD_MO[[#This Row],[PIE2 MADERA ASERRADA]]*1.95,"")</f>
        <v>0</v>
      </c>
      <c r="DC517" s="432">
        <f>+IF(BD_MO[[#This Row],[FECHA]]&lt;&gt;"",BD_MO[[#This Row],[KG. MADERA REDONDA]]+BD_MO[[#This Row],[KG MADERA ASERRADA]],"")</f>
        <v>61.079000000000001</v>
      </c>
      <c r="DD517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17.8</v>
      </c>
      <c r="DE517" s="428"/>
      <c r="DF517" s="428"/>
      <c r="DG517" s="428"/>
      <c r="DH517" s="428"/>
      <c r="DI517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17" s="436"/>
      <c r="DK517" s="436"/>
      <c r="DL517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17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17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17" s="437"/>
      <c r="DP517" s="436" t="str">
        <f>+IF(BD_MO[[#This Row],[M o D]]&lt;&gt;"",IF(BD_MO[[#This Row],[M o D]]="M",BD_MO[[#This Row],[ROTURA TMH]]/2.65,BD_MO[[#This Row],[ROTURA TMH]]/2.4),"")</f>
        <v/>
      </c>
      <c r="DQ517" s="436"/>
      <c r="DR517" s="116" t="str">
        <f>IF(BD_MO[[#This Row],[TIPO AVANCE]]="Avance",((BD_MO[[#This Row],[AVANCE (m)]]/BD_MO[[#This Row],[AVANCE TEÓRICO]]))," ")</f>
        <v xml:space="preserve"> </v>
      </c>
      <c r="DS517" s="134"/>
      <c r="DT517" s="134"/>
      <c r="DU517" s="134"/>
      <c r="DV517" s="134"/>
      <c r="DW517" s="134"/>
      <c r="DX517" s="135"/>
      <c r="DY517" s="135"/>
      <c r="DZ517" s="135"/>
    </row>
    <row r="518" spans="1:130" s="136" customFormat="1" ht="18" customHeight="1" x14ac:dyDescent="0.25">
      <c r="A518" s="424">
        <v>44680</v>
      </c>
      <c r="B518" s="425" t="s">
        <v>10655</v>
      </c>
      <c r="C518" s="425" t="s">
        <v>10672</v>
      </c>
      <c r="D518" s="94" t="s">
        <v>10952</v>
      </c>
      <c r="E518" s="427" t="str">
        <f>LEFT(BD_MO[[#This Row],[LABOR]],2)</f>
        <v>In</v>
      </c>
      <c r="F518" s="428"/>
      <c r="G518" s="428" t="s">
        <v>10669</v>
      </c>
      <c r="H518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18" s="383" t="str">
        <f>IF(BD_MO[FECHA]&lt;&gt;"",VLOOKUP(BD_MO[LABOR],TB_CECO[[LABOR]:[CECO_T]],3,FALSE),"")</f>
        <v>VANESSA</v>
      </c>
      <c r="J518" s="383" t="str">
        <f>IF(BD_MO[FECHA]&lt;&gt;"",VLOOKUP(BD_MO[LABOR],D_CECO!B:H,7,FALSE),"")</f>
        <v>LINEAL</v>
      </c>
      <c r="K518" s="383" t="str">
        <f>IF(BD_MO[FECHA]&lt;&gt;"",VLOOKUP(BD_MO[LABOR],D_CECO!B:H,4,FALSE),"")</f>
        <v>EXPLORACION</v>
      </c>
      <c r="L518" s="427"/>
      <c r="M518" s="425"/>
      <c r="N518" s="428"/>
      <c r="O518" s="429" t="s">
        <v>12092</v>
      </c>
      <c r="P518" s="429" t="s">
        <v>12099</v>
      </c>
      <c r="Q518" s="429"/>
      <c r="R518" s="430"/>
      <c r="S518" s="431" t="str">
        <f>IFERROR(VLOOKUP(BD_MO[DNI 4],#REF!,2,FALSE)," ")</f>
        <v xml:space="preserve"> </v>
      </c>
      <c r="T518" s="432">
        <f>+IF(BD_MO[[#This Row],[FECHA]]&lt;&gt;"",COUNTA(BD_MO[[#This Row],[DNI]],BD_MO[[#This Row],[DNI 2]],BD_MO[[#This Row],[DNI 3]],BD_MO[[#This Row],[DNI 4]]),"")</f>
        <v>2</v>
      </c>
      <c r="U518" s="432">
        <v>0.9</v>
      </c>
      <c r="V518" s="432"/>
      <c r="W518" s="432">
        <v>0.9</v>
      </c>
      <c r="X518" s="432">
        <v>0.2</v>
      </c>
      <c r="Y518" s="433">
        <f>SUM(BD_MO[[#This Row],[LIMP]:[SERV]])</f>
        <v>2</v>
      </c>
      <c r="Z518" s="428"/>
      <c r="AA518" s="428" t="str">
        <f>+IF(BD_MO[[#This Row],[N° VALE]]&lt;&gt;"",1,"")</f>
        <v/>
      </c>
      <c r="AB518" s="425"/>
      <c r="AC518" s="428"/>
      <c r="AD518" s="428" t="str">
        <f>+IF(BD_MO[[#This Row],[N° VALE]]&lt;&gt;"",BD_MO[[#This Row],[FULMINANTE N° 08]]+BD_MO[CARMEX 7''],"")</f>
        <v/>
      </c>
      <c r="AE518" s="428"/>
      <c r="AF518" s="428" t="str">
        <f>+IF(BD_MO[[#This Row],[N° VALE]]&lt;&gt;"",BD_MO[[#This Row],[N° TALADROS]]+BD_MO[[#This Row],[N° TAL. VACIOS]],"")</f>
        <v/>
      </c>
      <c r="AG518" s="434"/>
      <c r="AH518" s="434"/>
      <c r="AI518" s="434"/>
      <c r="AJ518" s="434"/>
      <c r="AK518" s="434"/>
      <c r="AL518" s="434"/>
      <c r="AM518" s="427"/>
      <c r="AN518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18" s="428" t="str">
        <f>+IF(BD_MO[[#This Row],[N° VALE]]&lt;&gt;"",IF(BD_MO[[#This Row],[FULMINANTE N° 08]]&lt;&gt;"",BD_MO[[#This Row],[FULMINANTE N° 08]],IF(BD_MO[[#This Row],[CARMEX 7'']]&lt;&gt;0,0,"")),"")</f>
        <v/>
      </c>
      <c r="AP518" s="432" t="str">
        <f>+IF(BD_MO[[#This Row],[N° VALE]]&lt;&gt;"",BD_MO[[#This Row],[N°  TOTAL TALADROS]]*BD_MO[[#This Row],[BARRA]]*0.95,"")</f>
        <v/>
      </c>
      <c r="AQ518" s="432" t="str">
        <f>+IF(BD_MO[[#This Row],[N° VALE]]&lt;&gt;"",BD_MO[[#This Row],[EMULNOR 1000 (N° CART.)]]*PE_EMUL_1000[PE],"")</f>
        <v/>
      </c>
      <c r="AR518" s="432" t="str">
        <f>+IF(BD_MO[[#This Row],[N° VALE]]&lt;&gt;"",BD_MO[[#This Row],[EMULNOR 3000 (N° CART.)]]*PE_EMUL_3000[PE],"")</f>
        <v/>
      </c>
      <c r="AS518" s="432" t="str">
        <f>+IF(BD_MO[[#This Row],[N° VALE]]&lt;&gt;"",BD_MO[[#This Row],[PULVERULENTA (N° CART.)]]*PE_PULV_65[PE],"")</f>
        <v/>
      </c>
      <c r="AT518" s="432" t="str">
        <f>+IF(BD_MO[[#This Row],[N° DISP]]&lt;&gt;"",BD_MO[[#This Row],[SEMIGELATINA (N° CART.)]]*PE_SEMIGEL_65[PE],"")</f>
        <v/>
      </c>
      <c r="AU518" s="432" t="str">
        <f>+IF(BD_MO[N° VALE]&lt;&gt;"",BD_MO[[#This Row],[KG EXPLO SEMIGEL]]+BD_MO[[#This Row],[KG EXPLO PULVE]]+BD_MO[[#This Row],[KG EXPLO EMULN 3000]]+BD_MO[[#This Row],[KG EXPLO EMULN 1000]],"")</f>
        <v/>
      </c>
      <c r="AV518" s="428"/>
      <c r="AW518" s="428"/>
      <c r="AX518" s="428" t="str">
        <f>+IF(BD_MO[[#This Row],[MINERAL (U-35)]]&lt;&gt;"",BD_MO[[#This Row],[MINERAL (U-35)]]*1.45,"-")</f>
        <v>-</v>
      </c>
      <c r="AY518" s="428" t="str">
        <f>+IF(BD_MO[[#This Row],[DESMONTE (U-35)]]&lt;&gt;"",BD_MO[[#This Row],[DESMONTE (U-35)]]*1.23,"-")</f>
        <v>-</v>
      </c>
      <c r="AZ518" s="428"/>
      <c r="BA518" s="428"/>
      <c r="BB518" s="428"/>
      <c r="BC518" s="428"/>
      <c r="BD518" s="428"/>
      <c r="BE518" s="428"/>
      <c r="BF518" s="428"/>
      <c r="BG518" s="428"/>
      <c r="BH518" s="428"/>
      <c r="BI518" s="428"/>
      <c r="BJ518" s="428"/>
      <c r="BK518" s="428"/>
      <c r="BL518" s="428"/>
      <c r="BM518" s="428"/>
      <c r="BN518" s="427"/>
      <c r="BO518" s="428"/>
      <c r="BP518" s="428"/>
      <c r="BQ518" s="427"/>
      <c r="BR518" s="428"/>
      <c r="BS518" s="427"/>
      <c r="BT518" s="432"/>
      <c r="BU518" s="428"/>
      <c r="BV518" s="428"/>
      <c r="BW518" s="428"/>
      <c r="BX518" s="428"/>
      <c r="BY518" s="428"/>
      <c r="BZ518" s="428"/>
      <c r="CA518" s="428"/>
      <c r="CB518" s="428"/>
      <c r="CC518" s="428"/>
      <c r="CD518" s="428"/>
      <c r="CE518" s="428"/>
      <c r="CF518" s="428"/>
      <c r="CG518" s="428"/>
      <c r="CH518" s="428"/>
      <c r="CI518" s="428"/>
      <c r="CJ518" s="428"/>
      <c r="CK518" s="428"/>
      <c r="CL518" s="428"/>
      <c r="CM518" s="428"/>
      <c r="CN518" s="428"/>
      <c r="CO518" s="428"/>
      <c r="CP518" s="432">
        <f>+IF(BD_MO[[#This Row],[FECHA]]&lt;&gt;"",BD_MO[[#This Row],[PUNTAL 4"]]+BD_MO[[#This Row],[PUNTAL 5"]]+BD_MO[[#This Row],[PUNTAL 6"]]+BD_MO[[#This Row],[PUNTAL 7"]]+BD_MO[[#This Row],[PUNTAL 8"]],"")</f>
        <v>0</v>
      </c>
      <c r="CQ518" s="428"/>
      <c r="CR518" s="428"/>
      <c r="CS518" s="428"/>
      <c r="CT518" s="428"/>
      <c r="CU518" s="428"/>
      <c r="CV518" s="428"/>
      <c r="CW518" s="428"/>
      <c r="CX518" s="428"/>
      <c r="CY518" s="432"/>
      <c r="CZ518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18" s="432">
        <f>+IF(BD_MO[[#This Row],[FECHA]]&lt;&gt;"",BD_MO[[#This Row],[DURMIENTE2]]*6.561+BD_MO[[#This Row],[LISTONES]]*4.921+BD_MO[[#This Row],[TABLA 1"x8"x3m]]*6.561+BD_MO[[#This Row],[TABLA 2"x8"x3m]]*13.122,"")</f>
        <v>0</v>
      </c>
      <c r="DB518" s="432">
        <f>+IF(BD_MO[[#This Row],[FECHA]]&lt;&gt;"",BD_MO[[#This Row],[PIE2 MADERA ASERRADA]]*1.95,"")</f>
        <v>0</v>
      </c>
      <c r="DC518" s="432">
        <f>+IF(BD_MO[[#This Row],[FECHA]]&lt;&gt;"",BD_MO[[#This Row],[KG. MADERA REDONDA]]+BD_MO[[#This Row],[KG MADERA ASERRADA]],"")</f>
        <v>0</v>
      </c>
      <c r="DD518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18" s="428"/>
      <c r="DF518" s="428"/>
      <c r="DG518" s="428"/>
      <c r="DH518" s="428"/>
      <c r="DI518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18" s="436"/>
      <c r="DK518" s="436"/>
      <c r="DL518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18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18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18" s="437"/>
      <c r="DP518" s="436" t="str">
        <f>+IF(BD_MO[[#This Row],[M o D]]&lt;&gt;"",IF(BD_MO[[#This Row],[M o D]]="M",BD_MO[[#This Row],[ROTURA TMH]]/2.65,BD_MO[[#This Row],[ROTURA TMH]]/2.4),"")</f>
        <v/>
      </c>
      <c r="DQ518" s="436"/>
      <c r="DR518" s="116" t="str">
        <f>IF(BD_MO[[#This Row],[TIPO AVANCE]]="Avance",((BD_MO[[#This Row],[AVANCE (m)]]/BD_MO[[#This Row],[AVANCE TEÓRICO]]))," ")</f>
        <v xml:space="preserve"> </v>
      </c>
      <c r="DS518" s="134"/>
      <c r="DT518" s="134"/>
      <c r="DU518" s="134"/>
      <c r="DV518" s="134"/>
      <c r="DW518" s="134"/>
      <c r="DX518" s="135"/>
      <c r="DY518" s="135"/>
      <c r="DZ518" s="135"/>
    </row>
    <row r="519" spans="1:130" s="136" customFormat="1" ht="18" customHeight="1" x14ac:dyDescent="0.25">
      <c r="A519" s="424">
        <v>44680</v>
      </c>
      <c r="B519" s="425" t="s">
        <v>10655</v>
      </c>
      <c r="C519" s="425" t="s">
        <v>10672</v>
      </c>
      <c r="D519" s="94" t="s">
        <v>11872</v>
      </c>
      <c r="E519" s="427" t="str">
        <f>LEFT(BD_MO[[#This Row],[LABOR]],2)</f>
        <v>PQ</v>
      </c>
      <c r="F519" s="428"/>
      <c r="G519" s="428" t="s">
        <v>10669</v>
      </c>
      <c r="H519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19" s="383" t="str">
        <f>IF(BD_MO[FECHA]&lt;&gt;"",VLOOKUP(BD_MO[LABOR],TB_CECO[[LABOR]:[CECO_T]],3,FALSE),"")</f>
        <v>ANDREA</v>
      </c>
      <c r="J519" s="383" t="str">
        <f>IF(BD_MO[FECHA]&lt;&gt;"",VLOOKUP(BD_MO[LABOR],D_CECO!B:H,7,FALSE),"")</f>
        <v>LINEAL</v>
      </c>
      <c r="K519" s="383" t="str">
        <f>IF(BD_MO[FECHA]&lt;&gt;"",VLOOKUP(BD_MO[LABOR],D_CECO!B:H,4,FALSE),"")</f>
        <v>EXPLOTACION</v>
      </c>
      <c r="L519" s="427"/>
      <c r="M519" s="425"/>
      <c r="N519" s="428"/>
      <c r="O519" s="429" t="s">
        <v>12097</v>
      </c>
      <c r="P519" s="429" t="s">
        <v>12090</v>
      </c>
      <c r="Q519" s="429"/>
      <c r="R519" s="430"/>
      <c r="S519" s="431" t="str">
        <f>IFERROR(VLOOKUP(BD_MO[DNI 4],#REF!,2,FALSE)," ")</f>
        <v xml:space="preserve"> </v>
      </c>
      <c r="T519" s="432">
        <f>+IF(BD_MO[[#This Row],[FECHA]]&lt;&gt;"",COUNTA(BD_MO[[#This Row],[DNI]],BD_MO[[#This Row],[DNI 2]],BD_MO[[#This Row],[DNI 3]],BD_MO[[#This Row],[DNI 4]]),"")</f>
        <v>2</v>
      </c>
      <c r="U519" s="432"/>
      <c r="V519" s="432"/>
      <c r="W519" s="432"/>
      <c r="X519" s="432">
        <v>2</v>
      </c>
      <c r="Y519" s="433">
        <f>SUM(BD_MO[[#This Row],[LIMP]:[SERV]])</f>
        <v>2</v>
      </c>
      <c r="Z519" s="428"/>
      <c r="AA519" s="428" t="str">
        <f>+IF(BD_MO[[#This Row],[N° VALE]]&lt;&gt;"",1,"")</f>
        <v/>
      </c>
      <c r="AB519" s="425"/>
      <c r="AC519" s="428"/>
      <c r="AD519" s="428" t="str">
        <f>+IF(BD_MO[[#This Row],[N° VALE]]&lt;&gt;"",BD_MO[[#This Row],[FULMINANTE N° 08]]+BD_MO[CARMEX 7''],"")</f>
        <v/>
      </c>
      <c r="AE519" s="428"/>
      <c r="AF519" s="428" t="str">
        <f>+IF(BD_MO[[#This Row],[N° VALE]]&lt;&gt;"",BD_MO[[#This Row],[N° TALADROS]]+BD_MO[[#This Row],[N° TAL. VACIOS]],"")</f>
        <v/>
      </c>
      <c r="AG519" s="434"/>
      <c r="AH519" s="434"/>
      <c r="AI519" s="434"/>
      <c r="AJ519" s="434"/>
      <c r="AK519" s="434"/>
      <c r="AL519" s="434"/>
      <c r="AM519" s="427"/>
      <c r="AN519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19" s="428" t="str">
        <f>+IF(BD_MO[[#This Row],[N° VALE]]&lt;&gt;"",IF(BD_MO[[#This Row],[FULMINANTE N° 08]]&lt;&gt;"",BD_MO[[#This Row],[FULMINANTE N° 08]],IF(BD_MO[[#This Row],[CARMEX 7'']]&lt;&gt;0,0,"")),"")</f>
        <v/>
      </c>
      <c r="AP519" s="432" t="str">
        <f>+IF(BD_MO[[#This Row],[N° VALE]]&lt;&gt;"",BD_MO[[#This Row],[N°  TOTAL TALADROS]]*BD_MO[[#This Row],[BARRA]]*0.95,"")</f>
        <v/>
      </c>
      <c r="AQ519" s="432" t="str">
        <f>+IF(BD_MO[[#This Row],[N° VALE]]&lt;&gt;"",BD_MO[[#This Row],[EMULNOR 1000 (N° CART.)]]*PE_EMUL_1000[PE],"")</f>
        <v/>
      </c>
      <c r="AR519" s="432" t="str">
        <f>+IF(BD_MO[[#This Row],[N° VALE]]&lt;&gt;"",BD_MO[[#This Row],[EMULNOR 3000 (N° CART.)]]*PE_EMUL_3000[PE],"")</f>
        <v/>
      </c>
      <c r="AS519" s="432" t="str">
        <f>+IF(BD_MO[[#This Row],[N° VALE]]&lt;&gt;"",BD_MO[[#This Row],[PULVERULENTA (N° CART.)]]*PE_PULV_65[PE],"")</f>
        <v/>
      </c>
      <c r="AT519" s="432" t="str">
        <f>+IF(BD_MO[[#This Row],[N° DISP]]&lt;&gt;"",BD_MO[[#This Row],[SEMIGELATINA (N° CART.)]]*PE_SEMIGEL_65[PE],"")</f>
        <v/>
      </c>
      <c r="AU519" s="432" t="str">
        <f>+IF(BD_MO[N° VALE]&lt;&gt;"",BD_MO[[#This Row],[KG EXPLO SEMIGEL]]+BD_MO[[#This Row],[KG EXPLO PULVE]]+BD_MO[[#This Row],[KG EXPLO EMULN 3000]]+BD_MO[[#This Row],[KG EXPLO EMULN 1000]],"")</f>
        <v/>
      </c>
      <c r="AV519" s="428"/>
      <c r="AW519" s="428"/>
      <c r="AX519" s="428" t="str">
        <f>+IF(BD_MO[[#This Row],[MINERAL (U-35)]]&lt;&gt;"",BD_MO[[#This Row],[MINERAL (U-35)]]*1.45,"-")</f>
        <v>-</v>
      </c>
      <c r="AY519" s="428" t="str">
        <f>+IF(BD_MO[[#This Row],[DESMONTE (U-35)]]&lt;&gt;"",BD_MO[[#This Row],[DESMONTE (U-35)]]*1.23,"-")</f>
        <v>-</v>
      </c>
      <c r="AZ519" s="428"/>
      <c r="BA519" s="428"/>
      <c r="BB519" s="428"/>
      <c r="BC519" s="428"/>
      <c r="BD519" s="428"/>
      <c r="BE519" s="428"/>
      <c r="BF519" s="428"/>
      <c r="BG519" s="428"/>
      <c r="BH519" s="428"/>
      <c r="BI519" s="428"/>
      <c r="BJ519" s="428"/>
      <c r="BK519" s="428"/>
      <c r="BL519" s="428"/>
      <c r="BM519" s="428"/>
      <c r="BN519" s="427"/>
      <c r="BO519" s="428"/>
      <c r="BP519" s="428"/>
      <c r="BQ519" s="427"/>
      <c r="BR519" s="428"/>
      <c r="BS519" s="427"/>
      <c r="BT519" s="432"/>
      <c r="BU519" s="428"/>
      <c r="BV519" s="428"/>
      <c r="BW519" s="428"/>
      <c r="BX519" s="428"/>
      <c r="BY519" s="428"/>
      <c r="BZ519" s="428"/>
      <c r="CA519" s="428"/>
      <c r="CB519" s="428"/>
      <c r="CC519" s="428"/>
      <c r="CD519" s="428"/>
      <c r="CE519" s="428"/>
      <c r="CF519" s="428"/>
      <c r="CG519" s="428"/>
      <c r="CH519" s="428"/>
      <c r="CI519" s="428"/>
      <c r="CJ519" s="428"/>
      <c r="CK519" s="428"/>
      <c r="CL519" s="428"/>
      <c r="CM519" s="428"/>
      <c r="CN519" s="428"/>
      <c r="CO519" s="428"/>
      <c r="CP519" s="432">
        <f>+IF(BD_MO[[#This Row],[FECHA]]&lt;&gt;"",BD_MO[[#This Row],[PUNTAL 4"]]+BD_MO[[#This Row],[PUNTAL 5"]]+BD_MO[[#This Row],[PUNTAL 6"]]+BD_MO[[#This Row],[PUNTAL 7"]]+BD_MO[[#This Row],[PUNTAL 8"]],"")</f>
        <v>0</v>
      </c>
      <c r="CQ519" s="428"/>
      <c r="CR519" s="428"/>
      <c r="CS519" s="428"/>
      <c r="CT519" s="428"/>
      <c r="CU519" s="428"/>
      <c r="CV519" s="428"/>
      <c r="CW519" s="428"/>
      <c r="CX519" s="428"/>
      <c r="CY519" s="432"/>
      <c r="CZ519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19" s="432">
        <f>+IF(BD_MO[[#This Row],[FECHA]]&lt;&gt;"",BD_MO[[#This Row],[DURMIENTE2]]*6.561+BD_MO[[#This Row],[LISTONES]]*4.921+BD_MO[[#This Row],[TABLA 1"x8"x3m]]*6.561+BD_MO[[#This Row],[TABLA 2"x8"x3m]]*13.122,"")</f>
        <v>0</v>
      </c>
      <c r="DB519" s="432">
        <f>+IF(BD_MO[[#This Row],[FECHA]]&lt;&gt;"",BD_MO[[#This Row],[PIE2 MADERA ASERRADA]]*1.95,"")</f>
        <v>0</v>
      </c>
      <c r="DC519" s="432">
        <f>+IF(BD_MO[[#This Row],[FECHA]]&lt;&gt;"",BD_MO[[#This Row],[KG. MADERA REDONDA]]+BD_MO[[#This Row],[KG MADERA ASERRADA]],"")</f>
        <v>0</v>
      </c>
      <c r="DD519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19" s="428"/>
      <c r="DF519" s="428"/>
      <c r="DG519" s="428"/>
      <c r="DH519" s="428"/>
      <c r="DI519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19" s="436"/>
      <c r="DK519" s="436"/>
      <c r="DL519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19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19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19" s="437"/>
      <c r="DP519" s="436" t="str">
        <f>+IF(BD_MO[[#This Row],[M o D]]&lt;&gt;"",IF(BD_MO[[#This Row],[M o D]]="M",BD_MO[[#This Row],[ROTURA TMH]]/2.65,BD_MO[[#This Row],[ROTURA TMH]]/2.4),"")</f>
        <v/>
      </c>
      <c r="DQ519" s="436"/>
      <c r="DR519" s="116" t="str">
        <f>IF(BD_MO[[#This Row],[TIPO AVANCE]]="Avance",((BD_MO[[#This Row],[AVANCE (m)]]/BD_MO[[#This Row],[AVANCE TEÓRICO]]))," ")</f>
        <v xml:space="preserve"> </v>
      </c>
      <c r="DS519" s="134"/>
      <c r="DT519" s="134"/>
      <c r="DU519" s="134"/>
      <c r="DV519" s="134"/>
      <c r="DW519" s="134"/>
      <c r="DX519" s="135"/>
      <c r="DY519" s="135"/>
      <c r="DZ519" s="135"/>
    </row>
    <row r="520" spans="1:130" s="136" customFormat="1" ht="18" customHeight="1" x14ac:dyDescent="0.25">
      <c r="A520" s="424">
        <v>44680</v>
      </c>
      <c r="B520" s="425" t="s">
        <v>10655</v>
      </c>
      <c r="C520" s="425" t="s">
        <v>10672</v>
      </c>
      <c r="D520" s="94" t="s">
        <v>10954</v>
      </c>
      <c r="E520" s="427" t="str">
        <f>LEFT(BD_MO[[#This Row],[LABOR]],2)</f>
        <v>MO</v>
      </c>
      <c r="F520" s="428"/>
      <c r="G520" s="428" t="s">
        <v>10669</v>
      </c>
      <c r="H520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20" s="383" t="str">
        <f>IF(BD_MO[FECHA]&lt;&gt;"",VLOOKUP(BD_MO[LABOR],TB_CECO[[LABOR]:[CECO_T]],3,FALSE),"")</f>
        <v>INCA</v>
      </c>
      <c r="J520" s="383" t="str">
        <f>IF(BD_MO[FECHA]&lt;&gt;"",VLOOKUP(BD_MO[LABOR],D_CECO!B:H,7,FALSE),"")</f>
        <v>SERVICIOS</v>
      </c>
      <c r="K520" s="383" t="str">
        <f>IF(BD_MO[FECHA]&lt;&gt;"",VLOOKUP(BD_MO[LABOR],D_CECO!B:H,4,FALSE),"")</f>
        <v>SERVICIOS</v>
      </c>
      <c r="L520" s="427"/>
      <c r="M520" s="425"/>
      <c r="N520" s="428"/>
      <c r="O520" s="429" t="s">
        <v>12098</v>
      </c>
      <c r="P520" s="429" t="s">
        <v>12162</v>
      </c>
      <c r="Q520" s="429"/>
      <c r="R520" s="430"/>
      <c r="S520" s="431" t="str">
        <f>IFERROR(VLOOKUP(BD_MO[DNI 4],#REF!,2,FALSE)," ")</f>
        <v xml:space="preserve"> </v>
      </c>
      <c r="T520" s="432">
        <f>+IF(BD_MO[[#This Row],[FECHA]]&lt;&gt;"",COUNTA(BD_MO[[#This Row],[DNI]],BD_MO[[#This Row],[DNI 2]],BD_MO[[#This Row],[DNI 3]],BD_MO[[#This Row],[DNI 4]]),"")</f>
        <v>2</v>
      </c>
      <c r="U520" s="432"/>
      <c r="V520" s="432"/>
      <c r="W520" s="432"/>
      <c r="X520" s="432">
        <v>2</v>
      </c>
      <c r="Y520" s="433">
        <f>SUM(BD_MO[[#This Row],[LIMP]:[SERV]])</f>
        <v>2</v>
      </c>
      <c r="Z520" s="428"/>
      <c r="AA520" s="428" t="str">
        <f>+IF(BD_MO[[#This Row],[N° VALE]]&lt;&gt;"",1,"")</f>
        <v/>
      </c>
      <c r="AB520" s="425"/>
      <c r="AC520" s="428"/>
      <c r="AD520" s="428" t="str">
        <f>+IF(BD_MO[[#This Row],[N° VALE]]&lt;&gt;"",BD_MO[[#This Row],[FULMINANTE N° 08]]+BD_MO[CARMEX 7''],"")</f>
        <v/>
      </c>
      <c r="AE520" s="428"/>
      <c r="AF520" s="428" t="str">
        <f>+IF(BD_MO[[#This Row],[N° VALE]]&lt;&gt;"",BD_MO[[#This Row],[N° TALADROS]]+BD_MO[[#This Row],[N° TAL. VACIOS]],"")</f>
        <v/>
      </c>
      <c r="AG520" s="434"/>
      <c r="AH520" s="434"/>
      <c r="AI520" s="434"/>
      <c r="AJ520" s="434"/>
      <c r="AK520" s="434"/>
      <c r="AL520" s="434"/>
      <c r="AM520" s="427"/>
      <c r="AN520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20" s="428" t="str">
        <f>+IF(BD_MO[[#This Row],[N° VALE]]&lt;&gt;"",IF(BD_MO[[#This Row],[FULMINANTE N° 08]]&lt;&gt;"",BD_MO[[#This Row],[FULMINANTE N° 08]],IF(BD_MO[[#This Row],[CARMEX 7'']]&lt;&gt;0,0,"")),"")</f>
        <v/>
      </c>
      <c r="AP520" s="432" t="str">
        <f>+IF(BD_MO[[#This Row],[N° VALE]]&lt;&gt;"",BD_MO[[#This Row],[N°  TOTAL TALADROS]]*BD_MO[[#This Row],[BARRA]]*0.95,"")</f>
        <v/>
      </c>
      <c r="AQ520" s="432" t="str">
        <f>+IF(BD_MO[[#This Row],[N° VALE]]&lt;&gt;"",BD_MO[[#This Row],[EMULNOR 1000 (N° CART.)]]*PE_EMUL_1000[PE],"")</f>
        <v/>
      </c>
      <c r="AR520" s="432" t="str">
        <f>+IF(BD_MO[[#This Row],[N° VALE]]&lt;&gt;"",BD_MO[[#This Row],[EMULNOR 3000 (N° CART.)]]*PE_EMUL_3000[PE],"")</f>
        <v/>
      </c>
      <c r="AS520" s="432" t="str">
        <f>+IF(BD_MO[[#This Row],[N° VALE]]&lt;&gt;"",BD_MO[[#This Row],[PULVERULENTA (N° CART.)]]*PE_PULV_65[PE],"")</f>
        <v/>
      </c>
      <c r="AT520" s="432" t="str">
        <f>+IF(BD_MO[[#This Row],[N° DISP]]&lt;&gt;"",BD_MO[[#This Row],[SEMIGELATINA (N° CART.)]]*PE_SEMIGEL_65[PE],"")</f>
        <v/>
      </c>
      <c r="AU520" s="432" t="str">
        <f>+IF(BD_MO[N° VALE]&lt;&gt;"",BD_MO[[#This Row],[KG EXPLO SEMIGEL]]+BD_MO[[#This Row],[KG EXPLO PULVE]]+BD_MO[[#This Row],[KG EXPLO EMULN 3000]]+BD_MO[[#This Row],[KG EXPLO EMULN 1000]],"")</f>
        <v/>
      </c>
      <c r="AV520" s="428"/>
      <c r="AW520" s="428"/>
      <c r="AX520" s="428" t="str">
        <f>+IF(BD_MO[[#This Row],[MINERAL (U-35)]]&lt;&gt;"",BD_MO[[#This Row],[MINERAL (U-35)]]*1.45,"-")</f>
        <v>-</v>
      </c>
      <c r="AY520" s="428" t="str">
        <f>+IF(BD_MO[[#This Row],[DESMONTE (U-35)]]&lt;&gt;"",BD_MO[[#This Row],[DESMONTE (U-35)]]*1.23,"-")</f>
        <v>-</v>
      </c>
      <c r="AZ520" s="428"/>
      <c r="BA520" s="428"/>
      <c r="BB520" s="428"/>
      <c r="BC520" s="428"/>
      <c r="BD520" s="428"/>
      <c r="BE520" s="428"/>
      <c r="BF520" s="428"/>
      <c r="BG520" s="428"/>
      <c r="BH520" s="428"/>
      <c r="BI520" s="428"/>
      <c r="BJ520" s="428"/>
      <c r="BK520" s="428"/>
      <c r="BL520" s="428"/>
      <c r="BM520" s="428"/>
      <c r="BN520" s="427"/>
      <c r="BO520" s="428"/>
      <c r="BP520" s="428"/>
      <c r="BQ520" s="427"/>
      <c r="BR520" s="428"/>
      <c r="BS520" s="427"/>
      <c r="BT520" s="432"/>
      <c r="BU520" s="428"/>
      <c r="BV520" s="428"/>
      <c r="BW520" s="428"/>
      <c r="BX520" s="428"/>
      <c r="BY520" s="428"/>
      <c r="BZ520" s="428"/>
      <c r="CA520" s="428"/>
      <c r="CB520" s="428"/>
      <c r="CC520" s="428"/>
      <c r="CD520" s="428"/>
      <c r="CE520" s="428"/>
      <c r="CF520" s="428"/>
      <c r="CG520" s="428"/>
      <c r="CH520" s="428"/>
      <c r="CI520" s="428"/>
      <c r="CJ520" s="428"/>
      <c r="CK520" s="428"/>
      <c r="CL520" s="428"/>
      <c r="CM520" s="428"/>
      <c r="CN520" s="428"/>
      <c r="CO520" s="428"/>
      <c r="CP520" s="432">
        <f>+IF(BD_MO[[#This Row],[FECHA]]&lt;&gt;"",BD_MO[[#This Row],[PUNTAL 4"]]+BD_MO[[#This Row],[PUNTAL 5"]]+BD_MO[[#This Row],[PUNTAL 6"]]+BD_MO[[#This Row],[PUNTAL 7"]]+BD_MO[[#This Row],[PUNTAL 8"]],"")</f>
        <v>0</v>
      </c>
      <c r="CQ520" s="428"/>
      <c r="CR520" s="428"/>
      <c r="CS520" s="428"/>
      <c r="CT520" s="428"/>
      <c r="CU520" s="428"/>
      <c r="CV520" s="428"/>
      <c r="CW520" s="428"/>
      <c r="CX520" s="428"/>
      <c r="CY520" s="432"/>
      <c r="CZ520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20" s="432">
        <f>+IF(BD_MO[[#This Row],[FECHA]]&lt;&gt;"",BD_MO[[#This Row],[DURMIENTE2]]*6.561+BD_MO[[#This Row],[LISTONES]]*4.921+BD_MO[[#This Row],[TABLA 1"x8"x3m]]*6.561+BD_MO[[#This Row],[TABLA 2"x8"x3m]]*13.122,"")</f>
        <v>0</v>
      </c>
      <c r="DB520" s="432">
        <f>+IF(BD_MO[[#This Row],[FECHA]]&lt;&gt;"",BD_MO[[#This Row],[PIE2 MADERA ASERRADA]]*1.95,"")</f>
        <v>0</v>
      </c>
      <c r="DC520" s="432">
        <f>+IF(BD_MO[[#This Row],[FECHA]]&lt;&gt;"",BD_MO[[#This Row],[KG. MADERA REDONDA]]+BD_MO[[#This Row],[KG MADERA ASERRADA]],"")</f>
        <v>0</v>
      </c>
      <c r="DD520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20" s="428"/>
      <c r="DF520" s="428"/>
      <c r="DG520" s="428"/>
      <c r="DH520" s="428"/>
      <c r="DI520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20" s="436"/>
      <c r="DK520" s="436"/>
      <c r="DL520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20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20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20" s="437"/>
      <c r="DP520" s="436" t="str">
        <f>+IF(BD_MO[[#This Row],[M o D]]&lt;&gt;"",IF(BD_MO[[#This Row],[M o D]]="M",BD_MO[[#This Row],[ROTURA TMH]]/2.65,BD_MO[[#This Row],[ROTURA TMH]]/2.4),"")</f>
        <v/>
      </c>
      <c r="DQ520" s="436"/>
      <c r="DR520" s="116" t="str">
        <f>IF(BD_MO[[#This Row],[TIPO AVANCE]]="Avance",((BD_MO[[#This Row],[AVANCE (m)]]/BD_MO[[#This Row],[AVANCE TEÓRICO]]))," ")</f>
        <v xml:space="preserve"> </v>
      </c>
      <c r="DS520" s="134"/>
      <c r="DT520" s="134"/>
      <c r="DU520" s="134"/>
      <c r="DV520" s="134"/>
      <c r="DW520" s="134"/>
      <c r="DX520" s="135"/>
      <c r="DY520" s="135"/>
      <c r="DZ520" s="135"/>
    </row>
    <row r="521" spans="1:130" s="115" customFormat="1" ht="18" customHeight="1" thickBot="1" x14ac:dyDescent="0.3">
      <c r="A521" s="485">
        <v>44680</v>
      </c>
      <c r="B521" s="469" t="s">
        <v>10655</v>
      </c>
      <c r="C521" s="469" t="s">
        <v>10672</v>
      </c>
      <c r="D521" s="470" t="s">
        <v>10717</v>
      </c>
      <c r="E521" s="473" t="str">
        <f>LEFT(BD_MO[[#This Row],[LABOR]],2)</f>
        <v>BO</v>
      </c>
      <c r="F521" s="472"/>
      <c r="G521" s="472" t="s">
        <v>10669</v>
      </c>
      <c r="H521" s="47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21" s="119" t="str">
        <f>IF(BD_MO[FECHA]&lt;&gt;"",VLOOKUP(BD_MO[LABOR],TB_CECO[[LABOR]:[CECO_T]],3,FALSE),"")</f>
        <v>CACHORRO</v>
      </c>
      <c r="J521" s="119" t="str">
        <f>IF(BD_MO[FECHA]&lt;&gt;"",VLOOKUP(BD_MO[LABOR],D_CECO!B:H,7,FALSE),"")</f>
        <v>SERVICIOS</v>
      </c>
      <c r="K521" s="119" t="str">
        <f>IF(BD_MO[FECHA]&lt;&gt;"",VLOOKUP(BD_MO[LABOR],D_CECO!B:H,4,FALSE),"")</f>
        <v>SERVICIOS</v>
      </c>
      <c r="L521" s="473"/>
      <c r="M521" s="474"/>
      <c r="N521" s="472"/>
      <c r="O521" s="475" t="s">
        <v>12118</v>
      </c>
      <c r="P521" s="475"/>
      <c r="Q521" s="475"/>
      <c r="R521" s="476"/>
      <c r="S521" s="477" t="str">
        <f>IFERROR(VLOOKUP(BD_MO[DNI 4],#REF!,2,FALSE)," ")</f>
        <v xml:space="preserve"> </v>
      </c>
      <c r="T521" s="478">
        <f>+IF(BD_MO[[#This Row],[FECHA]]&lt;&gt;"",COUNTA(BD_MO[[#This Row],[DNI]],BD_MO[[#This Row],[DNI 2]],BD_MO[[#This Row],[DNI 3]],BD_MO[[#This Row],[DNI 4]]),"")</f>
        <v>1</v>
      </c>
      <c r="U521" s="478"/>
      <c r="V521" s="478"/>
      <c r="W521" s="478"/>
      <c r="X521" s="478">
        <v>1</v>
      </c>
      <c r="Y521" s="479">
        <f>SUM(BD_MO[[#This Row],[LIMP]:[SERV]])</f>
        <v>1</v>
      </c>
      <c r="Z521" s="472"/>
      <c r="AA521" s="472" t="str">
        <f>+IF(BD_MO[[#This Row],[N° VALE]]&lt;&gt;"",1,"")</f>
        <v/>
      </c>
      <c r="AB521" s="474"/>
      <c r="AC521" s="472"/>
      <c r="AD521" s="472" t="str">
        <f>+IF(BD_MO[[#This Row],[N° VALE]]&lt;&gt;"",BD_MO[[#This Row],[FULMINANTE N° 08]]+BD_MO[CARMEX 7''],"")</f>
        <v/>
      </c>
      <c r="AE521" s="472"/>
      <c r="AF521" s="472" t="str">
        <f>+IF(BD_MO[[#This Row],[N° VALE]]&lt;&gt;"",BD_MO[[#This Row],[N° TALADROS]]+BD_MO[[#This Row],[N° TAL. VACIOS]],"")</f>
        <v/>
      </c>
      <c r="AG521" s="480"/>
      <c r="AH521" s="480"/>
      <c r="AI521" s="480"/>
      <c r="AJ521" s="480"/>
      <c r="AK521" s="480"/>
      <c r="AL521" s="480"/>
      <c r="AM521" s="473"/>
      <c r="AN521" s="4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21" s="472" t="str">
        <f>+IF(BD_MO[[#This Row],[N° VALE]]&lt;&gt;"",IF(BD_MO[[#This Row],[FULMINANTE N° 08]]&lt;&gt;"",BD_MO[[#This Row],[FULMINANTE N° 08]],IF(BD_MO[[#This Row],[CARMEX 7'']]&lt;&gt;0,0,"")),"")</f>
        <v/>
      </c>
      <c r="AP521" s="478" t="str">
        <f>+IF(BD_MO[[#This Row],[N° VALE]]&lt;&gt;"",BD_MO[[#This Row],[N°  TOTAL TALADROS]]*BD_MO[[#This Row],[BARRA]]*0.95,"")</f>
        <v/>
      </c>
      <c r="AQ521" s="478" t="str">
        <f>+IF(BD_MO[[#This Row],[N° VALE]]&lt;&gt;"",BD_MO[[#This Row],[EMULNOR 1000 (N° CART.)]]*PE_EMUL_1000[PE],"")</f>
        <v/>
      </c>
      <c r="AR521" s="478" t="str">
        <f>+IF(BD_MO[[#This Row],[N° VALE]]&lt;&gt;"",BD_MO[[#This Row],[EMULNOR 3000 (N° CART.)]]*PE_EMUL_3000[PE],"")</f>
        <v/>
      </c>
      <c r="AS521" s="478" t="str">
        <f>+IF(BD_MO[[#This Row],[N° VALE]]&lt;&gt;"",BD_MO[[#This Row],[PULVERULENTA (N° CART.)]]*PE_PULV_65[PE],"")</f>
        <v/>
      </c>
      <c r="AT521" s="478" t="str">
        <f>+IF(BD_MO[[#This Row],[N° DISP]]&lt;&gt;"",BD_MO[[#This Row],[SEMIGELATINA (N° CART.)]]*PE_SEMIGEL_65[PE],"")</f>
        <v/>
      </c>
      <c r="AU521" s="478" t="str">
        <f>+IF(BD_MO[N° VALE]&lt;&gt;"",BD_MO[[#This Row],[KG EXPLO SEMIGEL]]+BD_MO[[#This Row],[KG EXPLO PULVE]]+BD_MO[[#This Row],[KG EXPLO EMULN 3000]]+BD_MO[[#This Row],[KG EXPLO EMULN 1000]],"")</f>
        <v/>
      </c>
      <c r="AV521" s="472"/>
      <c r="AW521" s="472"/>
      <c r="AX521" s="472" t="str">
        <f>+IF(BD_MO[[#This Row],[MINERAL (U-35)]]&lt;&gt;"",BD_MO[[#This Row],[MINERAL (U-35)]]*1.45,"-")</f>
        <v>-</v>
      </c>
      <c r="AY521" s="472" t="str">
        <f>+IF(BD_MO[[#This Row],[DESMONTE (U-35)]]&lt;&gt;"",BD_MO[[#This Row],[DESMONTE (U-35)]]*1.23,"-")</f>
        <v>-</v>
      </c>
      <c r="AZ521" s="472"/>
      <c r="BA521" s="472"/>
      <c r="BB521" s="472"/>
      <c r="BC521" s="472"/>
      <c r="BD521" s="472"/>
      <c r="BE521" s="472"/>
      <c r="BF521" s="472"/>
      <c r="BG521" s="472"/>
      <c r="BH521" s="472"/>
      <c r="BI521" s="472"/>
      <c r="BJ521" s="472"/>
      <c r="BK521" s="472"/>
      <c r="BL521" s="472"/>
      <c r="BM521" s="472"/>
      <c r="BN521" s="473"/>
      <c r="BO521" s="472"/>
      <c r="BP521" s="472"/>
      <c r="BQ521" s="473"/>
      <c r="BR521" s="472"/>
      <c r="BS521" s="473"/>
      <c r="BT521" s="478"/>
      <c r="BU521" s="472"/>
      <c r="BV521" s="472"/>
      <c r="BW521" s="472"/>
      <c r="BX521" s="472"/>
      <c r="BY521" s="472"/>
      <c r="BZ521" s="472"/>
      <c r="CA521" s="472"/>
      <c r="CB521" s="472"/>
      <c r="CC521" s="472"/>
      <c r="CD521" s="472"/>
      <c r="CE521" s="472"/>
      <c r="CF521" s="472"/>
      <c r="CG521" s="472"/>
      <c r="CH521" s="472"/>
      <c r="CI521" s="472"/>
      <c r="CJ521" s="472"/>
      <c r="CK521" s="472"/>
      <c r="CL521" s="472"/>
      <c r="CM521" s="472"/>
      <c r="CN521" s="472"/>
      <c r="CO521" s="472"/>
      <c r="CP521" s="478">
        <f>+IF(BD_MO[[#This Row],[FECHA]]&lt;&gt;"",BD_MO[[#This Row],[PUNTAL 4"]]+BD_MO[[#This Row],[PUNTAL 5"]]+BD_MO[[#This Row],[PUNTAL 6"]]+BD_MO[[#This Row],[PUNTAL 7"]]+BD_MO[[#This Row],[PUNTAL 8"]],"")</f>
        <v>0</v>
      </c>
      <c r="CQ521" s="472"/>
      <c r="CR521" s="472"/>
      <c r="CS521" s="472"/>
      <c r="CT521" s="472"/>
      <c r="CU521" s="472"/>
      <c r="CV521" s="472"/>
      <c r="CW521" s="472"/>
      <c r="CX521" s="472"/>
      <c r="CY521" s="478"/>
      <c r="CZ521" s="47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21" s="478">
        <f>+IF(BD_MO[[#This Row],[FECHA]]&lt;&gt;"",BD_MO[[#This Row],[DURMIENTE2]]*6.561+BD_MO[[#This Row],[LISTONES]]*4.921+BD_MO[[#This Row],[TABLA 1"x8"x3m]]*6.561+BD_MO[[#This Row],[TABLA 2"x8"x3m]]*13.122,"")</f>
        <v>0</v>
      </c>
      <c r="DB521" s="478">
        <f>+IF(BD_MO[[#This Row],[FECHA]]&lt;&gt;"",BD_MO[[#This Row],[PIE2 MADERA ASERRADA]]*1.95,"")</f>
        <v>0</v>
      </c>
      <c r="DC521" s="478">
        <f>+IF(BD_MO[[#This Row],[FECHA]]&lt;&gt;"",BD_MO[[#This Row],[KG. MADERA REDONDA]]+BD_MO[[#This Row],[KG MADERA ASERRADA]],"")</f>
        <v>0</v>
      </c>
      <c r="DD521" s="48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21" s="472"/>
      <c r="DF521" s="472"/>
      <c r="DG521" s="472"/>
      <c r="DH521" s="472"/>
      <c r="DI521" s="48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21" s="482"/>
      <c r="DK521" s="482"/>
      <c r="DL521" s="48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21" s="48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21" s="48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21" s="483"/>
      <c r="DP521" s="482" t="str">
        <f>+IF(BD_MO[[#This Row],[M o D]]&lt;&gt;"",IF(BD_MO[[#This Row],[M o D]]="M",BD_MO[[#This Row],[ROTURA TMH]]/2.65,BD_MO[[#This Row],[ROTURA TMH]]/2.4),"")</f>
        <v/>
      </c>
      <c r="DQ521" s="482"/>
      <c r="DR521" s="484" t="str">
        <f>IF(BD_MO[[#This Row],[TIPO AVANCE]]="Avance",((BD_MO[[#This Row],[AVANCE (m)]]/BD_MO[[#This Row],[AVANCE TEÓRICO]]))," ")</f>
        <v xml:space="preserve"> </v>
      </c>
      <c r="DS521" s="113"/>
      <c r="DT521" s="113"/>
      <c r="DU521" s="113"/>
      <c r="DV521" s="113"/>
      <c r="DW521" s="113"/>
      <c r="DX521" s="114"/>
      <c r="DY521" s="114"/>
      <c r="DZ521" s="114"/>
    </row>
    <row r="522" spans="1:130" s="136" customFormat="1" ht="18" customHeight="1" x14ac:dyDescent="0.25">
      <c r="A522" s="488">
        <v>44681</v>
      </c>
      <c r="B522" s="489" t="s">
        <v>10647</v>
      </c>
      <c r="C522" s="489" t="s">
        <v>10680</v>
      </c>
      <c r="D522" s="94" t="s">
        <v>11827</v>
      </c>
      <c r="E522" s="427" t="str">
        <f>LEFT(BD_MO[[#This Row],[LABOR]],2)</f>
        <v>Tj</v>
      </c>
      <c r="F522" s="428"/>
      <c r="G522" s="428" t="s">
        <v>10662</v>
      </c>
      <c r="H522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522" s="427" t="str">
        <f>IF(BD_MO[FECHA]&lt;&gt;"",VLOOKUP(BD_MO[LABOR],TB_CECO[[LABOR]:[CECO_T]],3,FALSE),"")</f>
        <v>VANESSA</v>
      </c>
      <c r="J522" s="427" t="str">
        <f>IF(BD_MO[FECHA]&lt;&gt;"",VLOOKUP(BD_MO[LABOR],D_CECO!B:H,7,FALSE),"")</f>
        <v>TAJO</v>
      </c>
      <c r="K522" s="427" t="str">
        <f>IF(BD_MO[FECHA]&lt;&gt;"",VLOOKUP(BD_MO[LABOR],D_CECO!B:H,4,FALSE),"")</f>
        <v>EXPLOTACION</v>
      </c>
      <c r="L522" s="427"/>
      <c r="M522" s="425"/>
      <c r="N522" s="428"/>
      <c r="O522" s="429" t="s">
        <v>11904</v>
      </c>
      <c r="P522" s="429" t="s">
        <v>11925</v>
      </c>
      <c r="Q522" s="429"/>
      <c r="R522" s="430"/>
      <c r="S522" s="431" t="str">
        <f>IFERROR(VLOOKUP(BD_MO[DNI 4],#REF!,2,FALSE)," ")</f>
        <v xml:space="preserve"> </v>
      </c>
      <c r="T522" s="432">
        <f>+IF(BD_MO[[#This Row],[FECHA]]&lt;&gt;"",COUNTA(BD_MO[[#This Row],[DNI]],BD_MO[[#This Row],[DNI 2]],BD_MO[[#This Row],[DNI 3]],BD_MO[[#This Row],[DNI 4]]),"")</f>
        <v>2</v>
      </c>
      <c r="U522" s="432">
        <v>1</v>
      </c>
      <c r="V522" s="432"/>
      <c r="W522" s="432">
        <v>0.6</v>
      </c>
      <c r="X522" s="432">
        <v>0.4</v>
      </c>
      <c r="Y522" s="433">
        <f>SUM(BD_MO[[#This Row],[LIMP]:[SERV]])</f>
        <v>2</v>
      </c>
      <c r="Z522" s="428"/>
      <c r="AA522" s="428" t="str">
        <f>+IF(BD_MO[[#This Row],[N° VALE]]&lt;&gt;"",1,"")</f>
        <v/>
      </c>
      <c r="AB522" s="425"/>
      <c r="AC522" s="428"/>
      <c r="AD522" s="428" t="str">
        <f>+IF(BD_MO[[#This Row],[N° VALE]]&lt;&gt;"",BD_MO[[#This Row],[FULMINANTE N° 08]]+BD_MO[CARMEX 7''],"")</f>
        <v/>
      </c>
      <c r="AE522" s="428"/>
      <c r="AF522" s="428" t="str">
        <f>+IF(BD_MO[[#This Row],[N° VALE]]&lt;&gt;"",BD_MO[[#This Row],[N° TALADROS]]+BD_MO[[#This Row],[N° TAL. VACIOS]],"")</f>
        <v/>
      </c>
      <c r="AG522" s="434"/>
      <c r="AH522" s="434"/>
      <c r="AI522" s="434"/>
      <c r="AJ522" s="434"/>
      <c r="AK522" s="434"/>
      <c r="AL522" s="434"/>
      <c r="AM522" s="427"/>
      <c r="AN522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22" s="428" t="str">
        <f>+IF(BD_MO[[#This Row],[N° VALE]]&lt;&gt;"",IF(BD_MO[[#This Row],[FULMINANTE N° 08]]&lt;&gt;"",BD_MO[[#This Row],[FULMINANTE N° 08]],IF(BD_MO[[#This Row],[CARMEX 7'']]&lt;&gt;0,0,"")),"")</f>
        <v/>
      </c>
      <c r="AP522" s="432" t="str">
        <f>+IF(BD_MO[[#This Row],[N° VALE]]&lt;&gt;"",BD_MO[[#This Row],[N°  TOTAL TALADROS]]*BD_MO[[#This Row],[BARRA]]*0.95,"")</f>
        <v/>
      </c>
      <c r="AQ522" s="432" t="str">
        <f>+IF(BD_MO[[#This Row],[N° VALE]]&lt;&gt;"",BD_MO[[#This Row],[EMULNOR 1000 (N° CART.)]]*PE_EMUL_1000[PE],"")</f>
        <v/>
      </c>
      <c r="AR522" s="432" t="str">
        <f>+IF(BD_MO[[#This Row],[N° VALE]]&lt;&gt;"",BD_MO[[#This Row],[EMULNOR 3000 (N° CART.)]]*PE_EMUL_3000[PE],"")</f>
        <v/>
      </c>
      <c r="AS522" s="432" t="str">
        <f>+IF(BD_MO[[#This Row],[N° VALE]]&lt;&gt;"",BD_MO[[#This Row],[PULVERULENTA (N° CART.)]]*PE_PULV_65[PE],"")</f>
        <v/>
      </c>
      <c r="AT522" s="432" t="str">
        <f>+IF(BD_MO[[#This Row],[N° DISP]]&lt;&gt;"",BD_MO[[#This Row],[SEMIGELATINA (N° CART.)]]*PE_SEMIGEL_65[PE],"")</f>
        <v/>
      </c>
      <c r="AU522" s="432" t="str">
        <f>+IF(BD_MO[N° VALE]&lt;&gt;"",BD_MO[[#This Row],[KG EXPLO SEMIGEL]]+BD_MO[[#This Row],[KG EXPLO PULVE]]+BD_MO[[#This Row],[KG EXPLO EMULN 3000]]+BD_MO[[#This Row],[KG EXPLO EMULN 1000]],"")</f>
        <v/>
      </c>
      <c r="AV522" s="428">
        <v>8</v>
      </c>
      <c r="AW522" s="428"/>
      <c r="AX522" s="428">
        <f>+IF(BD_MO[[#This Row],[MINERAL (U-35)]]&lt;&gt;"",BD_MO[[#This Row],[MINERAL (U-35)]]*1.45,"-")</f>
        <v>11.6</v>
      </c>
      <c r="AY522" s="428" t="str">
        <f>+IF(BD_MO[[#This Row],[DESMONTE (U-35)]]&lt;&gt;"",BD_MO[[#This Row],[DESMONTE (U-35)]]*1.23,"-")</f>
        <v>-</v>
      </c>
      <c r="AZ522" s="428"/>
      <c r="BA522" s="428"/>
      <c r="BB522" s="428"/>
      <c r="BC522" s="428"/>
      <c r="BD522" s="428"/>
      <c r="BE522" s="428"/>
      <c r="BF522" s="428"/>
      <c r="BG522" s="428"/>
      <c r="BH522" s="428"/>
      <c r="BI522" s="428">
        <v>2</v>
      </c>
      <c r="BJ522" s="428"/>
      <c r="BK522" s="428"/>
      <c r="BL522" s="428"/>
      <c r="BM522" s="428"/>
      <c r="BN522" s="427"/>
      <c r="BO522" s="428"/>
      <c r="BP522" s="428"/>
      <c r="BQ522" s="427"/>
      <c r="BR522" s="428"/>
      <c r="BS522" s="427"/>
      <c r="BT522" s="432"/>
      <c r="BU522" s="428"/>
      <c r="BV522" s="428"/>
      <c r="BW522" s="428"/>
      <c r="BX522" s="428"/>
      <c r="BY522" s="428"/>
      <c r="BZ522" s="428"/>
      <c r="CA522" s="428"/>
      <c r="CB522" s="428"/>
      <c r="CC522" s="428"/>
      <c r="CD522" s="428"/>
      <c r="CE522" s="428">
        <v>1</v>
      </c>
      <c r="CF522" s="428"/>
      <c r="CG522" s="428"/>
      <c r="CH522" s="428"/>
      <c r="CI522" s="428"/>
      <c r="CJ522" s="428"/>
      <c r="CK522" s="428"/>
      <c r="CL522" s="428"/>
      <c r="CM522" s="428"/>
      <c r="CN522" s="428">
        <v>2</v>
      </c>
      <c r="CO522" s="428"/>
      <c r="CP522" s="432">
        <f>+IF(BD_MO[[#This Row],[FECHA]]&lt;&gt;"",BD_MO[[#This Row],[PUNTAL 4"]]+BD_MO[[#This Row],[PUNTAL 5"]]+BD_MO[[#This Row],[PUNTAL 6"]]+BD_MO[[#This Row],[PUNTAL 7"]]+BD_MO[[#This Row],[PUNTAL 8"]],"")</f>
        <v>2</v>
      </c>
      <c r="CQ522" s="428"/>
      <c r="CR522" s="428"/>
      <c r="CS522" s="428"/>
      <c r="CT522" s="428"/>
      <c r="CU522" s="428">
        <v>1</v>
      </c>
      <c r="CV522" s="428"/>
      <c r="CW522" s="428"/>
      <c r="CX522" s="428"/>
      <c r="CY522" s="432"/>
      <c r="CZ522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122.158</v>
      </c>
      <c r="DA522" s="432">
        <f>+IF(BD_MO[[#This Row],[FECHA]]&lt;&gt;"",BD_MO[[#This Row],[DURMIENTE2]]*6.561+BD_MO[[#This Row],[LISTONES]]*4.921+BD_MO[[#This Row],[TABLA 1"x8"x3m]]*6.561+BD_MO[[#This Row],[TABLA 2"x8"x3m]]*13.122,"")</f>
        <v>0</v>
      </c>
      <c r="DB522" s="432">
        <f>+IF(BD_MO[[#This Row],[FECHA]]&lt;&gt;"",BD_MO[[#This Row],[PIE2 MADERA ASERRADA]]*1.95,"")</f>
        <v>0</v>
      </c>
      <c r="DC522" s="432">
        <f>+IF(BD_MO[[#This Row],[FECHA]]&lt;&gt;"",BD_MO[[#This Row],[KG. MADERA REDONDA]]+BD_MO[[#This Row],[KG MADERA ASERRADA]],"")</f>
        <v>122.158</v>
      </c>
      <c r="DD522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73.740000000000009</v>
      </c>
      <c r="DE522" s="428"/>
      <c r="DF522" s="428"/>
      <c r="DG522" s="428"/>
      <c r="DH522" s="428"/>
      <c r="DI522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22" s="436"/>
      <c r="DK522" s="436"/>
      <c r="DL522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22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22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22" s="437"/>
      <c r="DP522" s="436" t="str">
        <f>+IF(BD_MO[[#This Row],[M o D]]&lt;&gt;"",IF(BD_MO[[#This Row],[M o D]]="M",BD_MO[[#This Row],[ROTURA TMH]]/2.65,BD_MO[[#This Row],[ROTURA TMH]]/2.4),"")</f>
        <v/>
      </c>
      <c r="DQ522" s="436"/>
      <c r="DR522" s="116" t="str">
        <f>IF(BD_MO[[#This Row],[TIPO AVANCE]]="Avance",((BD_MO[[#This Row],[AVANCE (m)]]/BD_MO[[#This Row],[AVANCE TEÓRICO]]))," ")</f>
        <v xml:space="preserve"> </v>
      </c>
      <c r="DS522" s="134"/>
      <c r="DT522" s="134"/>
      <c r="DU522" s="134"/>
      <c r="DV522" s="134"/>
      <c r="DW522" s="134"/>
      <c r="DX522" s="135"/>
      <c r="DY522" s="135"/>
      <c r="DZ522" s="135"/>
    </row>
    <row r="523" spans="1:130" s="136" customFormat="1" ht="18" customHeight="1" x14ac:dyDescent="0.25">
      <c r="A523" s="488">
        <v>44681</v>
      </c>
      <c r="B523" s="489" t="s">
        <v>10647</v>
      </c>
      <c r="C523" s="489" t="s">
        <v>10680</v>
      </c>
      <c r="D523" s="426" t="s">
        <v>11928</v>
      </c>
      <c r="E523" s="427" t="str">
        <f>LEFT(BD_MO[[#This Row],[LABOR]],2)</f>
        <v>Tj</v>
      </c>
      <c r="F523" s="496" t="s">
        <v>10950</v>
      </c>
      <c r="G523" s="428" t="s">
        <v>10648</v>
      </c>
      <c r="H523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523" s="427" t="str">
        <f>IF(BD_MO[FECHA]&lt;&gt;"",VLOOKUP(BD_MO[LABOR],TB_CECO[[LABOR]:[CECO_T]],3,FALSE),"")</f>
        <v>ESCONDIDA</v>
      </c>
      <c r="J523" s="427" t="str">
        <f>IF(BD_MO[FECHA]&lt;&gt;"",VLOOKUP(BD_MO[LABOR],D_CECO!B:H,7,FALSE),"")</f>
        <v>TAJO</v>
      </c>
      <c r="K523" s="427" t="str">
        <f>IF(BD_MO[FECHA]&lt;&gt;"",VLOOKUP(BD_MO[LABOR],D_CECO!B:H,4,FALSE),"")</f>
        <v>EXPLOTACION</v>
      </c>
      <c r="L523" s="427"/>
      <c r="M523" s="496" t="s">
        <v>10661</v>
      </c>
      <c r="N523" s="428"/>
      <c r="O523" s="429" t="s">
        <v>12160</v>
      </c>
      <c r="P523" s="429" t="s">
        <v>11912</v>
      </c>
      <c r="Q523" s="429"/>
      <c r="R523" s="430"/>
      <c r="S523" s="431" t="str">
        <f>IFERROR(VLOOKUP(BD_MO[DNI 4],#REF!,2,FALSE)," ")</f>
        <v xml:space="preserve"> </v>
      </c>
      <c r="T523" s="432">
        <f>+IF(BD_MO[[#This Row],[FECHA]]&lt;&gt;"",COUNTA(BD_MO[[#This Row],[DNI]],BD_MO[[#This Row],[DNI 2]],BD_MO[[#This Row],[DNI 3]],BD_MO[[#This Row],[DNI 4]]),"")</f>
        <v>2</v>
      </c>
      <c r="U523" s="432">
        <v>0.3</v>
      </c>
      <c r="V523" s="432">
        <v>0.4</v>
      </c>
      <c r="W523" s="432">
        <v>1</v>
      </c>
      <c r="X523" s="432">
        <v>0.3</v>
      </c>
      <c r="Y523" s="433">
        <f>SUM(BD_MO[[#This Row],[LIMP]:[SERV]])</f>
        <v>2</v>
      </c>
      <c r="Z523" s="428" t="s">
        <v>12467</v>
      </c>
      <c r="AA523" s="428">
        <f>+IF(BD_MO[[#This Row],[N° VALE]]&lt;&gt;"",1,"")</f>
        <v>1</v>
      </c>
      <c r="AB523" s="425" t="s">
        <v>10659</v>
      </c>
      <c r="AC523" s="428">
        <v>4</v>
      </c>
      <c r="AD523" s="428">
        <f>+IF(BD_MO[[#This Row],[N° VALE]]&lt;&gt;"",BD_MO[[#This Row],[FULMINANTE N° 08]]+BD_MO[CARMEX 7''],"")</f>
        <v>3</v>
      </c>
      <c r="AE523" s="428">
        <v>2</v>
      </c>
      <c r="AF523" s="428">
        <f>+IF(BD_MO[[#This Row],[N° VALE]]&lt;&gt;"",BD_MO[[#This Row],[N° TALADROS]]+BD_MO[[#This Row],[N° TAL. VACIOS]],"")</f>
        <v>5</v>
      </c>
      <c r="AG523" s="434"/>
      <c r="AH523" s="434">
        <v>9</v>
      </c>
      <c r="AI523" s="434"/>
      <c r="AJ523" s="434"/>
      <c r="AK523" s="434">
        <v>3</v>
      </c>
      <c r="AL523" s="434">
        <v>1</v>
      </c>
      <c r="AM523" s="427"/>
      <c r="AN523" s="428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523" s="428">
        <f>+IF(BD_MO[[#This Row],[N° VALE]]&lt;&gt;"",IF(BD_MO[[#This Row],[FULMINANTE N° 08]]&lt;&gt;"",BD_MO[[#This Row],[FULMINANTE N° 08]],IF(BD_MO[[#This Row],[CARMEX 7'']]&lt;&gt;0,0,"")),"")</f>
        <v>0</v>
      </c>
      <c r="AP523" s="432">
        <f>+IF(BD_MO[[#This Row],[N° VALE]]&lt;&gt;"",BD_MO[[#This Row],[N°  TOTAL TALADROS]]*BD_MO[[#This Row],[BARRA]]*0.95,"")</f>
        <v>19</v>
      </c>
      <c r="AQ523" s="432">
        <f>+IF(BD_MO[[#This Row],[N° VALE]]&lt;&gt;"",BD_MO[[#This Row],[EMULNOR 1000 (N° CART.)]]*PE_EMUL_1000[PE],"")</f>
        <v>0.85230000000000006</v>
      </c>
      <c r="AR523" s="432">
        <f>+IF(BD_MO[[#This Row],[N° VALE]]&lt;&gt;"",BD_MO[[#This Row],[EMULNOR 3000 (N° CART.)]]*PE_EMUL_3000[PE],"")</f>
        <v>0</v>
      </c>
      <c r="AS523" s="432">
        <f>+IF(BD_MO[[#This Row],[N° VALE]]&lt;&gt;"",BD_MO[[#This Row],[PULVERULENTA (N° CART.)]]*PE_PULV_65[PE],"")</f>
        <v>0</v>
      </c>
      <c r="AT523" s="432">
        <f>+IF(BD_MO[[#This Row],[N° DISP]]&lt;&gt;"",BD_MO[[#This Row],[SEMIGELATINA (N° CART.)]]*PE_SEMIGEL_65[PE],"")</f>
        <v>0</v>
      </c>
      <c r="AU523" s="432">
        <f>+IF(BD_MO[N° VALE]&lt;&gt;"",BD_MO[[#This Row],[KG EXPLO SEMIGEL]]+BD_MO[[#This Row],[KG EXPLO PULVE]]+BD_MO[[#This Row],[KG EXPLO EMULN 3000]]+BD_MO[[#This Row],[KG EXPLO EMULN 1000]],"")</f>
        <v>0.85230000000000006</v>
      </c>
      <c r="AV523" s="428"/>
      <c r="AW523" s="428"/>
      <c r="AX523" s="428" t="str">
        <f>+IF(BD_MO[[#This Row],[MINERAL (U-35)]]&lt;&gt;"",BD_MO[[#This Row],[MINERAL (U-35)]]*1.45,"-")</f>
        <v>-</v>
      </c>
      <c r="AY523" s="428" t="str">
        <f>+IF(BD_MO[[#This Row],[DESMONTE (U-35)]]&lt;&gt;"",BD_MO[[#This Row],[DESMONTE (U-35)]]*1.23,"-")</f>
        <v>-</v>
      </c>
      <c r="AZ523" s="428"/>
      <c r="BA523" s="428">
        <v>1</v>
      </c>
      <c r="BB523" s="428"/>
      <c r="BC523" s="428"/>
      <c r="BD523" s="428"/>
      <c r="BE523" s="428"/>
      <c r="BF523" s="428"/>
      <c r="BG523" s="428"/>
      <c r="BH523" s="428"/>
      <c r="BI523" s="428">
        <v>1</v>
      </c>
      <c r="BJ523" s="428"/>
      <c r="BK523" s="428"/>
      <c r="BL523" s="428"/>
      <c r="BM523" s="428"/>
      <c r="BN523" s="427"/>
      <c r="BO523" s="428"/>
      <c r="BP523" s="428"/>
      <c r="BQ523" s="427">
        <v>9</v>
      </c>
      <c r="BR523" s="428"/>
      <c r="BS523" s="427"/>
      <c r="BT523" s="432"/>
      <c r="BU523" s="428"/>
      <c r="BV523" s="428"/>
      <c r="BW523" s="428">
        <v>2</v>
      </c>
      <c r="BX523" s="428"/>
      <c r="BY523" s="428"/>
      <c r="BZ523" s="428"/>
      <c r="CA523" s="428"/>
      <c r="CB523" s="428"/>
      <c r="CC523" s="428"/>
      <c r="CD523" s="428"/>
      <c r="CE523" s="428"/>
      <c r="CF523" s="428"/>
      <c r="CG523" s="428"/>
      <c r="CH523" s="428"/>
      <c r="CI523" s="428"/>
      <c r="CJ523" s="428"/>
      <c r="CK523" s="428"/>
      <c r="CL523" s="428">
        <v>2</v>
      </c>
      <c r="CM523" s="428">
        <v>2</v>
      </c>
      <c r="CN523" s="428">
        <v>4</v>
      </c>
      <c r="CO523" s="428"/>
      <c r="CP523" s="432">
        <f>+IF(BD_MO[[#This Row],[FECHA]]&lt;&gt;"",BD_MO[[#This Row],[PUNTAL 4"]]+BD_MO[[#This Row],[PUNTAL 5"]]+BD_MO[[#This Row],[PUNTAL 6"]]+BD_MO[[#This Row],[PUNTAL 7"]]+BD_MO[[#This Row],[PUNTAL 8"]],"")</f>
        <v>8</v>
      </c>
      <c r="CQ523" s="428"/>
      <c r="CR523" s="428"/>
      <c r="CS523" s="428">
        <v>14</v>
      </c>
      <c r="CT523" s="428"/>
      <c r="CU523" s="428"/>
      <c r="CV523" s="428"/>
      <c r="CW523" s="428"/>
      <c r="CX523" s="428">
        <v>5</v>
      </c>
      <c r="CY523" s="432"/>
      <c r="CZ523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740.79</v>
      </c>
      <c r="DA523" s="432">
        <f>+IF(BD_MO[[#This Row],[FECHA]]&lt;&gt;"",BD_MO[[#This Row],[DURMIENTE2]]*6.561+BD_MO[[#This Row],[LISTONES]]*4.921+BD_MO[[#This Row],[TABLA 1"x8"x3m]]*6.561+BD_MO[[#This Row],[TABLA 2"x8"x3m]]*13.122,"")</f>
        <v>65.61</v>
      </c>
      <c r="DB523" s="432">
        <f>+IF(BD_MO[[#This Row],[FECHA]]&lt;&gt;"",BD_MO[[#This Row],[PIE2 MADERA ASERRADA]]*1.95,"")</f>
        <v>127.9395</v>
      </c>
      <c r="DC523" s="432">
        <f>+IF(BD_MO[[#This Row],[FECHA]]&lt;&gt;"",BD_MO[[#This Row],[KG. MADERA REDONDA]]+BD_MO[[#This Row],[KG MADERA ASERRADA]],"")</f>
        <v>868.72949999999992</v>
      </c>
      <c r="DD523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390.56000000000006</v>
      </c>
      <c r="DE523" s="428"/>
      <c r="DF523" s="428"/>
      <c r="DG523" s="428"/>
      <c r="DH523" s="428"/>
      <c r="DI523" s="43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1.04</v>
      </c>
      <c r="DJ523" s="436"/>
      <c r="DK523" s="436"/>
      <c r="DL523" s="43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1.17</v>
      </c>
      <c r="DM523" s="43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1.2167999999999999</v>
      </c>
      <c r="DN523" s="43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523" s="437"/>
      <c r="DP523" s="436">
        <f>+IF(BD_MO[[#This Row],[M o D]]&lt;&gt;"",IF(BD_MO[[#This Row],[M o D]]="M",BD_MO[[#This Row],[ROTURA TMH]]/2.65,BD_MO[[#This Row],[ROTURA TMH]]/2.4),"")</f>
        <v>0</v>
      </c>
      <c r="DQ523" s="436"/>
      <c r="DR523" s="493">
        <f>(BD_MO[[#This Row],[AVANCE (m)]]/BD_MO[[#This Row],[AVANCE TEÓRICO]])*100</f>
        <v>0</v>
      </c>
      <c r="DS523" s="134"/>
      <c r="DT523" s="134"/>
      <c r="DU523" s="134"/>
      <c r="DV523" s="134"/>
      <c r="DW523" s="134"/>
      <c r="DX523" s="135"/>
      <c r="DY523" s="135"/>
      <c r="DZ523" s="135"/>
    </row>
    <row r="524" spans="1:130" s="136" customFormat="1" ht="18" customHeight="1" x14ac:dyDescent="0.25">
      <c r="A524" s="488">
        <v>44681</v>
      </c>
      <c r="B524" s="489" t="s">
        <v>10647</v>
      </c>
      <c r="C524" s="489" t="s">
        <v>10680</v>
      </c>
      <c r="D524" s="81" t="s">
        <v>12437</v>
      </c>
      <c r="E524" s="427" t="str">
        <f>LEFT(BD_MO[[#This Row],[LABOR]],2)</f>
        <v>Sn</v>
      </c>
      <c r="F524" s="496" t="s">
        <v>10687</v>
      </c>
      <c r="G524" s="428" t="s">
        <v>10648</v>
      </c>
      <c r="H524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524" s="427" t="str">
        <f>IF(BD_MO[FECHA]&lt;&gt;"",VLOOKUP(BD_MO[LABOR],TB_CECO[[LABOR]:[CECO_T]],3,FALSE),"")</f>
        <v>VANESSA</v>
      </c>
      <c r="J524" s="427" t="str">
        <f>IF(BD_MO[FECHA]&lt;&gt;"",VLOOKUP(BD_MO[LABOR],D_CECO!B:H,7,FALSE),"")</f>
        <v>LINEAL</v>
      </c>
      <c r="K524" s="427" t="str">
        <f>IF(BD_MO[FECHA]&lt;&gt;"",VLOOKUP(BD_MO[LABOR],D_CECO!B:H,4,FALSE),"")</f>
        <v>EXPLORACION</v>
      </c>
      <c r="L524" s="427"/>
      <c r="M524" s="496" t="s">
        <v>10679</v>
      </c>
      <c r="N524" s="428"/>
      <c r="O524" s="429" t="s">
        <v>11911</v>
      </c>
      <c r="P524" s="429" t="s">
        <v>11913</v>
      </c>
      <c r="Q524" s="429"/>
      <c r="R524" s="430"/>
      <c r="S524" s="431" t="str">
        <f>IFERROR(VLOOKUP(BD_MO[DNI 4],#REF!,2,FALSE)," ")</f>
        <v xml:space="preserve"> </v>
      </c>
      <c r="T524" s="432">
        <f>+IF(BD_MO[[#This Row],[FECHA]]&lt;&gt;"",COUNTA(BD_MO[[#This Row],[DNI]],BD_MO[[#This Row],[DNI 2]],BD_MO[[#This Row],[DNI 3]],BD_MO[[#This Row],[DNI 4]]),"")</f>
        <v>2</v>
      </c>
      <c r="U524" s="432">
        <v>0.6</v>
      </c>
      <c r="V524" s="432">
        <v>0.4</v>
      </c>
      <c r="W524" s="432">
        <v>0.5</v>
      </c>
      <c r="X524" s="432">
        <v>0.4</v>
      </c>
      <c r="Y524" s="433">
        <f>SUM(BD_MO[[#This Row],[LIMP]:[SERV]])</f>
        <v>1.9</v>
      </c>
      <c r="Z524" s="428" t="s">
        <v>12468</v>
      </c>
      <c r="AA524" s="428">
        <f>+IF(BD_MO[[#This Row],[N° VALE]]&lt;&gt;"",1,"")</f>
        <v>1</v>
      </c>
      <c r="AB524" s="425" t="s">
        <v>10709</v>
      </c>
      <c r="AC524" s="428">
        <v>4</v>
      </c>
      <c r="AD524" s="428">
        <f>+IF(BD_MO[[#This Row],[N° VALE]]&lt;&gt;"",BD_MO[[#This Row],[FULMINANTE N° 08]]+BD_MO[CARMEX 7''],"")</f>
        <v>4</v>
      </c>
      <c r="AE524" s="428"/>
      <c r="AF524" s="428">
        <f>+IF(BD_MO[[#This Row],[N° VALE]]&lt;&gt;"",BD_MO[[#This Row],[N° TALADROS]]+BD_MO[[#This Row],[N° TAL. VACIOS]],"")</f>
        <v>4</v>
      </c>
      <c r="AG524" s="434"/>
      <c r="AH524" s="434">
        <v>16</v>
      </c>
      <c r="AI524" s="434"/>
      <c r="AJ524" s="434"/>
      <c r="AK524" s="434">
        <v>4</v>
      </c>
      <c r="AL524" s="434">
        <v>1</v>
      </c>
      <c r="AM524" s="427"/>
      <c r="AN524" s="428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524" s="428">
        <f>+IF(BD_MO[[#This Row],[N° VALE]]&lt;&gt;"",IF(BD_MO[[#This Row],[FULMINANTE N° 08]]&lt;&gt;"",BD_MO[[#This Row],[FULMINANTE N° 08]],IF(BD_MO[[#This Row],[CARMEX 7'']]&lt;&gt;0,0,"")),"")</f>
        <v>0</v>
      </c>
      <c r="AP524" s="432">
        <f>+IF(BD_MO[[#This Row],[N° VALE]]&lt;&gt;"",BD_MO[[#This Row],[N°  TOTAL TALADROS]]*BD_MO[[#This Row],[BARRA]]*0.95,"")</f>
        <v>15.2</v>
      </c>
      <c r="AQ524" s="432">
        <f>+IF(BD_MO[[#This Row],[N° VALE]]&lt;&gt;"",BD_MO[[#This Row],[EMULNOR 1000 (N° CART.)]]*PE_EMUL_1000[PE],"")</f>
        <v>1.5152000000000001</v>
      </c>
      <c r="AR524" s="432">
        <f>+IF(BD_MO[[#This Row],[N° VALE]]&lt;&gt;"",BD_MO[[#This Row],[EMULNOR 3000 (N° CART.)]]*PE_EMUL_3000[PE],"")</f>
        <v>0</v>
      </c>
      <c r="AS524" s="432">
        <f>+IF(BD_MO[[#This Row],[N° VALE]]&lt;&gt;"",BD_MO[[#This Row],[PULVERULENTA (N° CART.)]]*PE_PULV_65[PE],"")</f>
        <v>0</v>
      </c>
      <c r="AT524" s="432">
        <f>+IF(BD_MO[[#This Row],[N° DISP]]&lt;&gt;"",BD_MO[[#This Row],[SEMIGELATINA (N° CART.)]]*PE_SEMIGEL_65[PE],"")</f>
        <v>0</v>
      </c>
      <c r="AU524" s="432">
        <f>+IF(BD_MO[N° VALE]&lt;&gt;"",BD_MO[[#This Row],[KG EXPLO SEMIGEL]]+BD_MO[[#This Row],[KG EXPLO PULVE]]+BD_MO[[#This Row],[KG EXPLO EMULN 3000]]+BD_MO[[#This Row],[KG EXPLO EMULN 1000]],"")</f>
        <v>1.5152000000000001</v>
      </c>
      <c r="AV524" s="428">
        <v>2</v>
      </c>
      <c r="AW524" s="428"/>
      <c r="AX524" s="428">
        <f>+IF(BD_MO[[#This Row],[MINERAL (U-35)]]&lt;&gt;"",BD_MO[[#This Row],[MINERAL (U-35)]]*1.45,"-")</f>
        <v>2.9</v>
      </c>
      <c r="AY524" s="428" t="str">
        <f>+IF(BD_MO[[#This Row],[DESMONTE (U-35)]]&lt;&gt;"",BD_MO[[#This Row],[DESMONTE (U-35)]]*1.23,"-")</f>
        <v>-</v>
      </c>
      <c r="AZ524" s="428"/>
      <c r="BA524" s="428">
        <v>1</v>
      </c>
      <c r="BB524" s="428"/>
      <c r="BC524" s="428"/>
      <c r="BD524" s="428"/>
      <c r="BE524" s="428"/>
      <c r="BF524" s="428"/>
      <c r="BG524" s="428"/>
      <c r="BH524" s="428"/>
      <c r="BI524" s="428">
        <v>1</v>
      </c>
      <c r="BJ524" s="428"/>
      <c r="BK524" s="428"/>
      <c r="BL524" s="428"/>
      <c r="BM524" s="428"/>
      <c r="BN524" s="427"/>
      <c r="BO524" s="428"/>
      <c r="BP524" s="428"/>
      <c r="BQ524" s="427">
        <v>3</v>
      </c>
      <c r="BR524" s="428"/>
      <c r="BS524" s="427"/>
      <c r="BT524" s="432"/>
      <c r="BU524" s="428"/>
      <c r="BV524" s="428"/>
      <c r="BW524" s="428"/>
      <c r="BX524" s="428"/>
      <c r="BY524" s="428"/>
      <c r="BZ524" s="428"/>
      <c r="CA524" s="428"/>
      <c r="CB524" s="428"/>
      <c r="CC524" s="428"/>
      <c r="CD524" s="428"/>
      <c r="CE524" s="428"/>
      <c r="CF524" s="428"/>
      <c r="CG524" s="428"/>
      <c r="CH524" s="428"/>
      <c r="CI524" s="428"/>
      <c r="CJ524" s="428"/>
      <c r="CK524" s="428"/>
      <c r="CL524" s="428">
        <v>1</v>
      </c>
      <c r="CM524" s="428">
        <v>2</v>
      </c>
      <c r="CN524" s="428">
        <v>3</v>
      </c>
      <c r="CO524" s="428"/>
      <c r="CP524" s="432">
        <f>+IF(BD_MO[[#This Row],[FECHA]]&lt;&gt;"",BD_MO[[#This Row],[PUNTAL 4"]]+BD_MO[[#This Row],[PUNTAL 5"]]+BD_MO[[#This Row],[PUNTAL 6"]]+BD_MO[[#This Row],[PUNTAL 7"]]+BD_MO[[#This Row],[PUNTAL 8"]],"")</f>
        <v>6</v>
      </c>
      <c r="CQ524" s="428"/>
      <c r="CR524" s="428"/>
      <c r="CS524" s="428">
        <v>6</v>
      </c>
      <c r="CT524" s="428"/>
      <c r="CU524" s="428"/>
      <c r="CV524" s="428"/>
      <c r="CW524" s="428"/>
      <c r="CX524" s="428"/>
      <c r="CY524" s="432"/>
      <c r="CZ524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451.74800000000005</v>
      </c>
      <c r="DA524" s="432">
        <f>+IF(BD_MO[[#This Row],[FECHA]]&lt;&gt;"",BD_MO[[#This Row],[DURMIENTE2]]*6.561+BD_MO[[#This Row],[LISTONES]]*4.921+BD_MO[[#This Row],[TABLA 1"x8"x3m]]*6.561+BD_MO[[#This Row],[TABLA 2"x8"x3m]]*13.122,"")</f>
        <v>0</v>
      </c>
      <c r="DB524" s="432">
        <f>+IF(BD_MO[[#This Row],[FECHA]]&lt;&gt;"",BD_MO[[#This Row],[PIE2 MADERA ASERRADA]]*1.95,"")</f>
        <v>0</v>
      </c>
      <c r="DC524" s="432">
        <f>+IF(BD_MO[[#This Row],[FECHA]]&lt;&gt;"",BD_MO[[#This Row],[KG. MADERA REDONDA]]+BD_MO[[#This Row],[KG MADERA ASERRADA]],"")</f>
        <v>451.74800000000005</v>
      </c>
      <c r="DD524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180.54000000000002</v>
      </c>
      <c r="DE524" s="428"/>
      <c r="DF524" s="428"/>
      <c r="DG524" s="428"/>
      <c r="DH524" s="428"/>
      <c r="DI524" s="43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524" s="436"/>
      <c r="DK524" s="436"/>
      <c r="DL524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24" s="43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524" s="43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524" s="437"/>
      <c r="DP524" s="436">
        <f>+IF(BD_MO[[#This Row],[M o D]]&lt;&gt;"",IF(BD_MO[[#This Row],[M o D]]="M",BD_MO[[#This Row],[ROTURA TMH]]/2.65,BD_MO[[#This Row],[ROTURA TMH]]/2.4),"")</f>
        <v>0</v>
      </c>
      <c r="DQ524" s="436"/>
      <c r="DR524" s="493">
        <f>(BD_MO[[#This Row],[AVANCE (m)]]/BD_MO[[#This Row],[AVANCE TEÓRICO]])*100</f>
        <v>0</v>
      </c>
      <c r="DS524" s="134"/>
      <c r="DT524" s="134"/>
      <c r="DU524" s="134"/>
      <c r="DV524" s="134"/>
      <c r="DW524" s="134"/>
      <c r="DX524" s="135"/>
      <c r="DY524" s="135"/>
      <c r="DZ524" s="135"/>
    </row>
    <row r="525" spans="1:130" s="136" customFormat="1" ht="18" customHeight="1" x14ac:dyDescent="0.25">
      <c r="A525" s="488">
        <v>44681</v>
      </c>
      <c r="B525" s="489" t="s">
        <v>10647</v>
      </c>
      <c r="C525" s="489" t="s">
        <v>10680</v>
      </c>
      <c r="D525" s="94" t="s">
        <v>12339</v>
      </c>
      <c r="E525" s="427" t="str">
        <f>LEFT(BD_MO[[#This Row],[LABOR]],2)</f>
        <v>Tj</v>
      </c>
      <c r="F525" s="428"/>
      <c r="G525" s="428" t="s">
        <v>10656</v>
      </c>
      <c r="H525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525" s="427" t="str">
        <f>IF(BD_MO[FECHA]&lt;&gt;"",VLOOKUP(BD_MO[LABOR],TB_CECO[[LABOR]:[CECO_T]],3,FALSE),"")</f>
        <v>ESCONDIDA</v>
      </c>
      <c r="J525" s="427" t="str">
        <f>IF(BD_MO[FECHA]&lt;&gt;"",VLOOKUP(BD_MO[LABOR],D_CECO!B:H,7,FALSE),"")</f>
        <v>TAJO</v>
      </c>
      <c r="K525" s="427" t="str">
        <f>IF(BD_MO[FECHA]&lt;&gt;"",VLOOKUP(BD_MO[LABOR],D_CECO!B:H,4,FALSE),"")</f>
        <v>EXPLOTACION</v>
      </c>
      <c r="L525" s="427"/>
      <c r="M525" s="425"/>
      <c r="N525" s="428"/>
      <c r="O525" s="429" t="s">
        <v>11976</v>
      </c>
      <c r="P525" s="429" t="s">
        <v>11924</v>
      </c>
      <c r="Q525" s="429"/>
      <c r="R525" s="430"/>
      <c r="S525" s="431" t="str">
        <f>IFERROR(VLOOKUP(BD_MO[DNI 4],#REF!,2,FALSE)," ")</f>
        <v xml:space="preserve"> </v>
      </c>
      <c r="T525" s="432">
        <f>+IF(BD_MO[[#This Row],[FECHA]]&lt;&gt;"",COUNTA(BD_MO[[#This Row],[DNI]],BD_MO[[#This Row],[DNI 2]],BD_MO[[#This Row],[DNI 3]],BD_MO[[#This Row],[DNI 4]]),"")</f>
        <v>2</v>
      </c>
      <c r="U525" s="432">
        <v>1</v>
      </c>
      <c r="V525" s="432"/>
      <c r="W525" s="432"/>
      <c r="X525" s="432">
        <v>1</v>
      </c>
      <c r="Y525" s="433">
        <f>SUM(BD_MO[[#This Row],[LIMP]:[SERV]])</f>
        <v>2</v>
      </c>
      <c r="Z525" s="428"/>
      <c r="AA525" s="428" t="str">
        <f>+IF(BD_MO[[#This Row],[N° VALE]]&lt;&gt;"",1,"")</f>
        <v/>
      </c>
      <c r="AB525" s="425"/>
      <c r="AC525" s="428"/>
      <c r="AD525" s="428" t="str">
        <f>+IF(BD_MO[[#This Row],[N° VALE]]&lt;&gt;"",BD_MO[[#This Row],[FULMINANTE N° 08]]+BD_MO[CARMEX 7''],"")</f>
        <v/>
      </c>
      <c r="AE525" s="428"/>
      <c r="AF525" s="428" t="str">
        <f>+IF(BD_MO[[#This Row],[N° VALE]]&lt;&gt;"",BD_MO[[#This Row],[N° TALADROS]]+BD_MO[[#This Row],[N° TAL. VACIOS]],"")</f>
        <v/>
      </c>
      <c r="AG525" s="434"/>
      <c r="AH525" s="434"/>
      <c r="AI525" s="434"/>
      <c r="AJ525" s="434"/>
      <c r="AK525" s="434"/>
      <c r="AL525" s="434"/>
      <c r="AM525" s="427"/>
      <c r="AN525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25" s="428" t="str">
        <f>+IF(BD_MO[[#This Row],[N° VALE]]&lt;&gt;"",IF(BD_MO[[#This Row],[FULMINANTE N° 08]]&lt;&gt;"",BD_MO[[#This Row],[FULMINANTE N° 08]],IF(BD_MO[[#This Row],[CARMEX 7'']]&lt;&gt;0,0,"")),"")</f>
        <v/>
      </c>
      <c r="AP525" s="432" t="str">
        <f>+IF(BD_MO[[#This Row],[N° VALE]]&lt;&gt;"",BD_MO[[#This Row],[N°  TOTAL TALADROS]]*BD_MO[[#This Row],[BARRA]]*0.95,"")</f>
        <v/>
      </c>
      <c r="AQ525" s="432" t="str">
        <f>+IF(BD_MO[[#This Row],[N° VALE]]&lt;&gt;"",BD_MO[[#This Row],[EMULNOR 1000 (N° CART.)]]*PE_EMUL_1000[PE],"")</f>
        <v/>
      </c>
      <c r="AR525" s="432" t="str">
        <f>+IF(BD_MO[[#This Row],[N° VALE]]&lt;&gt;"",BD_MO[[#This Row],[EMULNOR 3000 (N° CART.)]]*PE_EMUL_3000[PE],"")</f>
        <v/>
      </c>
      <c r="AS525" s="432" t="str">
        <f>+IF(BD_MO[[#This Row],[N° VALE]]&lt;&gt;"",BD_MO[[#This Row],[PULVERULENTA (N° CART.)]]*PE_PULV_65[PE],"")</f>
        <v/>
      </c>
      <c r="AT525" s="432" t="str">
        <f>+IF(BD_MO[[#This Row],[N° DISP]]&lt;&gt;"",BD_MO[[#This Row],[SEMIGELATINA (N° CART.)]]*PE_SEMIGEL_65[PE],"")</f>
        <v/>
      </c>
      <c r="AU525" s="432" t="str">
        <f>+IF(BD_MO[N° VALE]&lt;&gt;"",BD_MO[[#This Row],[KG EXPLO SEMIGEL]]+BD_MO[[#This Row],[KG EXPLO PULVE]]+BD_MO[[#This Row],[KG EXPLO EMULN 3000]]+BD_MO[[#This Row],[KG EXPLO EMULN 1000]],"")</f>
        <v/>
      </c>
      <c r="AV525" s="428">
        <v>3</v>
      </c>
      <c r="AW525" s="428"/>
      <c r="AX525" s="428">
        <f>+IF(BD_MO[[#This Row],[MINERAL (U-35)]]&lt;&gt;"",BD_MO[[#This Row],[MINERAL (U-35)]]*1.45,"-")</f>
        <v>4.3499999999999996</v>
      </c>
      <c r="AY525" s="428" t="str">
        <f>+IF(BD_MO[[#This Row],[DESMONTE (U-35)]]&lt;&gt;"",BD_MO[[#This Row],[DESMONTE (U-35)]]*1.23,"-")</f>
        <v>-</v>
      </c>
      <c r="AZ525" s="428"/>
      <c r="BA525" s="428"/>
      <c r="BB525" s="428"/>
      <c r="BC525" s="428"/>
      <c r="BD525" s="428"/>
      <c r="BE525" s="428"/>
      <c r="BF525" s="428"/>
      <c r="BG525" s="428"/>
      <c r="BH525" s="428"/>
      <c r="BI525" s="428"/>
      <c r="BJ525" s="428"/>
      <c r="BK525" s="428"/>
      <c r="BL525" s="428"/>
      <c r="BM525" s="428"/>
      <c r="BN525" s="427"/>
      <c r="BO525" s="428"/>
      <c r="BP525" s="428"/>
      <c r="BQ525" s="427"/>
      <c r="BR525" s="428"/>
      <c r="BS525" s="427"/>
      <c r="BT525" s="432"/>
      <c r="BU525" s="428"/>
      <c r="BV525" s="428"/>
      <c r="BW525" s="428"/>
      <c r="BX525" s="428"/>
      <c r="BY525" s="428"/>
      <c r="BZ525" s="428"/>
      <c r="CA525" s="428"/>
      <c r="CB525" s="428"/>
      <c r="CC525" s="428"/>
      <c r="CD525" s="428"/>
      <c r="CE525" s="428"/>
      <c r="CF525" s="428"/>
      <c r="CG525" s="428"/>
      <c r="CH525" s="428"/>
      <c r="CI525" s="428"/>
      <c r="CJ525" s="428"/>
      <c r="CK525" s="428"/>
      <c r="CL525" s="428"/>
      <c r="CM525" s="428"/>
      <c r="CN525" s="428"/>
      <c r="CO525" s="428"/>
      <c r="CP525" s="432">
        <f>+IF(BD_MO[[#This Row],[FECHA]]&lt;&gt;"",BD_MO[[#This Row],[PUNTAL 4"]]+BD_MO[[#This Row],[PUNTAL 5"]]+BD_MO[[#This Row],[PUNTAL 6"]]+BD_MO[[#This Row],[PUNTAL 7"]]+BD_MO[[#This Row],[PUNTAL 8"]],"")</f>
        <v>0</v>
      </c>
      <c r="CQ525" s="428"/>
      <c r="CR525" s="428"/>
      <c r="CS525" s="428"/>
      <c r="CT525" s="428"/>
      <c r="CU525" s="428"/>
      <c r="CV525" s="428"/>
      <c r="CW525" s="428"/>
      <c r="CX525" s="428"/>
      <c r="CY525" s="432"/>
      <c r="CZ525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25" s="432">
        <f>+IF(BD_MO[[#This Row],[FECHA]]&lt;&gt;"",BD_MO[[#This Row],[DURMIENTE2]]*6.561+BD_MO[[#This Row],[LISTONES]]*4.921+BD_MO[[#This Row],[TABLA 1"x8"x3m]]*6.561+BD_MO[[#This Row],[TABLA 2"x8"x3m]]*13.122,"")</f>
        <v>0</v>
      </c>
      <c r="DB525" s="432">
        <f>+IF(BD_MO[[#This Row],[FECHA]]&lt;&gt;"",BD_MO[[#This Row],[PIE2 MADERA ASERRADA]]*1.95,"")</f>
        <v>0</v>
      </c>
      <c r="DC525" s="432">
        <f>+IF(BD_MO[[#This Row],[FECHA]]&lt;&gt;"",BD_MO[[#This Row],[KG. MADERA REDONDA]]+BD_MO[[#This Row],[KG MADERA ASERRADA]],"")</f>
        <v>0</v>
      </c>
      <c r="DD525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25" s="428"/>
      <c r="DF525" s="428"/>
      <c r="DG525" s="428"/>
      <c r="DH525" s="428"/>
      <c r="DI525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25" s="436"/>
      <c r="DK525" s="436"/>
      <c r="DL525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25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25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25" s="437"/>
      <c r="DP525" s="436" t="str">
        <f>+IF(BD_MO[[#This Row],[M o D]]&lt;&gt;"",IF(BD_MO[[#This Row],[M o D]]="M",BD_MO[[#This Row],[ROTURA TMH]]/2.65,BD_MO[[#This Row],[ROTURA TMH]]/2.4),"")</f>
        <v/>
      </c>
      <c r="DQ525" s="436"/>
      <c r="DR525" s="493" t="e">
        <f>(BD_MO[[#This Row],[AVANCE (m)]]/BD_MO[[#This Row],[AVANCE TEÓRICO]])*100</f>
        <v>#VALUE!</v>
      </c>
      <c r="DS525" s="134"/>
      <c r="DT525" s="134"/>
      <c r="DU525" s="134"/>
      <c r="DV525" s="134"/>
      <c r="DW525" s="134"/>
      <c r="DX525" s="135"/>
      <c r="DY525" s="135"/>
      <c r="DZ525" s="135"/>
    </row>
    <row r="526" spans="1:130" s="136" customFormat="1" ht="18" customHeight="1" x14ac:dyDescent="0.25">
      <c r="A526" s="488">
        <v>44681</v>
      </c>
      <c r="B526" s="489" t="s">
        <v>10647</v>
      </c>
      <c r="C526" s="489" t="s">
        <v>10680</v>
      </c>
      <c r="D526" s="94" t="s">
        <v>10952</v>
      </c>
      <c r="E526" s="427" t="str">
        <f>LEFT(BD_MO[[#This Row],[LABOR]],2)</f>
        <v>In</v>
      </c>
      <c r="F526" s="428"/>
      <c r="G526" s="428" t="s">
        <v>10669</v>
      </c>
      <c r="H526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26" s="427" t="str">
        <f>IF(BD_MO[FECHA]&lt;&gt;"",VLOOKUP(BD_MO[LABOR],TB_CECO[[LABOR]:[CECO_T]],3,FALSE),"")</f>
        <v>VANESSA</v>
      </c>
      <c r="J526" s="427" t="str">
        <f>IF(BD_MO[FECHA]&lt;&gt;"",VLOOKUP(BD_MO[LABOR],D_CECO!B:H,7,FALSE),"")</f>
        <v>LINEAL</v>
      </c>
      <c r="K526" s="427" t="str">
        <f>IF(BD_MO[FECHA]&lt;&gt;"",VLOOKUP(BD_MO[LABOR],D_CECO!B:H,4,FALSE),"")</f>
        <v>EXPLORACION</v>
      </c>
      <c r="L526" s="427"/>
      <c r="M526" s="425"/>
      <c r="N526" s="428"/>
      <c r="O526" s="429" t="s">
        <v>11908</v>
      </c>
      <c r="P526" s="429" t="s">
        <v>11906</v>
      </c>
      <c r="Q526" s="429"/>
      <c r="R526" s="430"/>
      <c r="S526" s="431" t="str">
        <f>IFERROR(VLOOKUP(BD_MO[DNI 4],#REF!,2,FALSE)," ")</f>
        <v xml:space="preserve"> </v>
      </c>
      <c r="T526" s="432">
        <f>+IF(BD_MO[[#This Row],[FECHA]]&lt;&gt;"",COUNTA(BD_MO[[#This Row],[DNI]],BD_MO[[#This Row],[DNI 2]],BD_MO[[#This Row],[DNI 3]],BD_MO[[#This Row],[DNI 4]]),"")</f>
        <v>2</v>
      </c>
      <c r="U526" s="432"/>
      <c r="V526" s="432"/>
      <c r="W526" s="432"/>
      <c r="X526" s="432">
        <v>2</v>
      </c>
      <c r="Y526" s="433">
        <f>SUM(BD_MO[[#This Row],[LIMP]:[SERV]])</f>
        <v>2</v>
      </c>
      <c r="Z526" s="428"/>
      <c r="AA526" s="428" t="str">
        <f>+IF(BD_MO[[#This Row],[N° VALE]]&lt;&gt;"",1,"")</f>
        <v/>
      </c>
      <c r="AB526" s="425"/>
      <c r="AC526" s="428"/>
      <c r="AD526" s="428" t="str">
        <f>+IF(BD_MO[[#This Row],[N° VALE]]&lt;&gt;"",BD_MO[[#This Row],[FULMINANTE N° 08]]+BD_MO[CARMEX 7''],"")</f>
        <v/>
      </c>
      <c r="AE526" s="428"/>
      <c r="AF526" s="428" t="str">
        <f>+IF(BD_MO[[#This Row],[N° VALE]]&lt;&gt;"",BD_MO[[#This Row],[N° TALADROS]]+BD_MO[[#This Row],[N° TAL. VACIOS]],"")</f>
        <v/>
      </c>
      <c r="AG526" s="434"/>
      <c r="AH526" s="434"/>
      <c r="AI526" s="434"/>
      <c r="AJ526" s="434"/>
      <c r="AK526" s="434"/>
      <c r="AL526" s="434"/>
      <c r="AM526" s="427"/>
      <c r="AN526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26" s="428" t="str">
        <f>+IF(BD_MO[[#This Row],[N° VALE]]&lt;&gt;"",IF(BD_MO[[#This Row],[FULMINANTE N° 08]]&lt;&gt;"",BD_MO[[#This Row],[FULMINANTE N° 08]],IF(BD_MO[[#This Row],[CARMEX 7'']]&lt;&gt;0,0,"")),"")</f>
        <v/>
      </c>
      <c r="AP526" s="432" t="str">
        <f>+IF(BD_MO[[#This Row],[N° VALE]]&lt;&gt;"",BD_MO[[#This Row],[N°  TOTAL TALADROS]]*BD_MO[[#This Row],[BARRA]]*0.95,"")</f>
        <v/>
      </c>
      <c r="AQ526" s="432" t="str">
        <f>+IF(BD_MO[[#This Row],[N° VALE]]&lt;&gt;"",BD_MO[[#This Row],[EMULNOR 1000 (N° CART.)]]*PE_EMUL_1000[PE],"")</f>
        <v/>
      </c>
      <c r="AR526" s="432" t="str">
        <f>+IF(BD_MO[[#This Row],[N° VALE]]&lt;&gt;"",BD_MO[[#This Row],[EMULNOR 3000 (N° CART.)]]*PE_EMUL_3000[PE],"")</f>
        <v/>
      </c>
      <c r="AS526" s="432" t="str">
        <f>+IF(BD_MO[[#This Row],[N° VALE]]&lt;&gt;"",BD_MO[[#This Row],[PULVERULENTA (N° CART.)]]*PE_PULV_65[PE],"")</f>
        <v/>
      </c>
      <c r="AT526" s="432" t="str">
        <f>+IF(BD_MO[[#This Row],[N° DISP]]&lt;&gt;"",BD_MO[[#This Row],[SEMIGELATINA (N° CART.)]]*PE_SEMIGEL_65[PE],"")</f>
        <v/>
      </c>
      <c r="AU526" s="432" t="str">
        <f>+IF(BD_MO[N° VALE]&lt;&gt;"",BD_MO[[#This Row],[KG EXPLO SEMIGEL]]+BD_MO[[#This Row],[KG EXPLO PULVE]]+BD_MO[[#This Row],[KG EXPLO EMULN 3000]]+BD_MO[[#This Row],[KG EXPLO EMULN 1000]],"")</f>
        <v/>
      </c>
      <c r="AV526" s="428"/>
      <c r="AW526" s="428"/>
      <c r="AX526" s="428" t="str">
        <f>+IF(BD_MO[[#This Row],[MINERAL (U-35)]]&lt;&gt;"",BD_MO[[#This Row],[MINERAL (U-35)]]*1.45,"-")</f>
        <v>-</v>
      </c>
      <c r="AY526" s="428" t="str">
        <f>+IF(BD_MO[[#This Row],[DESMONTE (U-35)]]&lt;&gt;"",BD_MO[[#This Row],[DESMONTE (U-35)]]*1.23,"-")</f>
        <v>-</v>
      </c>
      <c r="AZ526" s="428"/>
      <c r="BA526" s="428"/>
      <c r="BB526" s="428"/>
      <c r="BC526" s="428"/>
      <c r="BD526" s="428"/>
      <c r="BE526" s="428"/>
      <c r="BF526" s="428"/>
      <c r="BG526" s="428"/>
      <c r="BH526" s="428"/>
      <c r="BI526" s="428"/>
      <c r="BJ526" s="428"/>
      <c r="BK526" s="428"/>
      <c r="BL526" s="428"/>
      <c r="BM526" s="428"/>
      <c r="BN526" s="427"/>
      <c r="BO526" s="428"/>
      <c r="BP526" s="428"/>
      <c r="BQ526" s="427"/>
      <c r="BR526" s="428"/>
      <c r="BS526" s="427"/>
      <c r="BT526" s="432"/>
      <c r="BU526" s="428"/>
      <c r="BV526" s="428"/>
      <c r="BW526" s="428"/>
      <c r="BX526" s="428"/>
      <c r="BY526" s="428"/>
      <c r="BZ526" s="428"/>
      <c r="CA526" s="428"/>
      <c r="CB526" s="428"/>
      <c r="CC526" s="428"/>
      <c r="CD526" s="428"/>
      <c r="CE526" s="428"/>
      <c r="CF526" s="428"/>
      <c r="CG526" s="428"/>
      <c r="CH526" s="428"/>
      <c r="CI526" s="428"/>
      <c r="CJ526" s="428"/>
      <c r="CK526" s="428"/>
      <c r="CL526" s="428"/>
      <c r="CM526" s="428"/>
      <c r="CN526" s="428"/>
      <c r="CO526" s="428"/>
      <c r="CP526" s="432">
        <f>+IF(BD_MO[[#This Row],[FECHA]]&lt;&gt;"",BD_MO[[#This Row],[PUNTAL 4"]]+BD_MO[[#This Row],[PUNTAL 5"]]+BD_MO[[#This Row],[PUNTAL 6"]]+BD_MO[[#This Row],[PUNTAL 7"]]+BD_MO[[#This Row],[PUNTAL 8"]],"")</f>
        <v>0</v>
      </c>
      <c r="CQ526" s="428"/>
      <c r="CR526" s="428"/>
      <c r="CS526" s="428"/>
      <c r="CT526" s="428"/>
      <c r="CU526" s="428"/>
      <c r="CV526" s="428"/>
      <c r="CW526" s="428"/>
      <c r="CX526" s="428"/>
      <c r="CY526" s="432"/>
      <c r="CZ526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26" s="432">
        <f>+IF(BD_MO[[#This Row],[FECHA]]&lt;&gt;"",BD_MO[[#This Row],[DURMIENTE2]]*6.561+BD_MO[[#This Row],[LISTONES]]*4.921+BD_MO[[#This Row],[TABLA 1"x8"x3m]]*6.561+BD_MO[[#This Row],[TABLA 2"x8"x3m]]*13.122,"")</f>
        <v>0</v>
      </c>
      <c r="DB526" s="432">
        <f>+IF(BD_MO[[#This Row],[FECHA]]&lt;&gt;"",BD_MO[[#This Row],[PIE2 MADERA ASERRADA]]*1.95,"")</f>
        <v>0</v>
      </c>
      <c r="DC526" s="432">
        <f>+IF(BD_MO[[#This Row],[FECHA]]&lt;&gt;"",BD_MO[[#This Row],[KG. MADERA REDONDA]]+BD_MO[[#This Row],[KG MADERA ASERRADA]],"")</f>
        <v>0</v>
      </c>
      <c r="DD526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26" s="428"/>
      <c r="DF526" s="428"/>
      <c r="DG526" s="212" t="s">
        <v>12460</v>
      </c>
      <c r="DH526" s="428">
        <v>6</v>
      </c>
      <c r="DI526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26" s="436"/>
      <c r="DK526" s="436"/>
      <c r="DL526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26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26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26" s="437"/>
      <c r="DP526" s="436" t="str">
        <f>+IF(BD_MO[[#This Row],[M o D]]&lt;&gt;"",IF(BD_MO[[#This Row],[M o D]]="M",BD_MO[[#This Row],[ROTURA TMH]]/2.65,BD_MO[[#This Row],[ROTURA TMH]]/2.4),"")</f>
        <v/>
      </c>
      <c r="DQ526" s="436"/>
      <c r="DR526" s="493" t="e">
        <f>(BD_MO[[#This Row],[AVANCE (m)]]/BD_MO[[#This Row],[AVANCE TEÓRICO]])*100</f>
        <v>#VALUE!</v>
      </c>
      <c r="DS526" s="134"/>
      <c r="DT526" s="134"/>
      <c r="DU526" s="134"/>
      <c r="DV526" s="134"/>
      <c r="DW526" s="134"/>
      <c r="DX526" s="135"/>
      <c r="DY526" s="135"/>
      <c r="DZ526" s="135"/>
    </row>
    <row r="527" spans="1:130" s="136" customFormat="1" ht="18" customHeight="1" x14ac:dyDescent="0.25">
      <c r="A527" s="488">
        <v>44681</v>
      </c>
      <c r="B527" s="489" t="s">
        <v>10647</v>
      </c>
      <c r="C527" s="489" t="s">
        <v>10680</v>
      </c>
      <c r="D527" s="94" t="s">
        <v>11872</v>
      </c>
      <c r="E527" s="427" t="str">
        <f>LEFT(BD_MO[[#This Row],[LABOR]],2)</f>
        <v>PQ</v>
      </c>
      <c r="F527" s="428"/>
      <c r="G527" s="428" t="s">
        <v>10669</v>
      </c>
      <c r="H527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27" s="427" t="str">
        <f>IF(BD_MO[FECHA]&lt;&gt;"",VLOOKUP(BD_MO[LABOR],TB_CECO[[LABOR]:[CECO_T]],3,FALSE),"")</f>
        <v>ANDREA</v>
      </c>
      <c r="J527" s="427" t="str">
        <f>IF(BD_MO[FECHA]&lt;&gt;"",VLOOKUP(BD_MO[LABOR],D_CECO!B:H,7,FALSE),"")</f>
        <v>LINEAL</v>
      </c>
      <c r="K527" s="427" t="str">
        <f>IF(BD_MO[FECHA]&lt;&gt;"",VLOOKUP(BD_MO[LABOR],D_CECO!B:H,4,FALSE),"")</f>
        <v>EXPLOTACION</v>
      </c>
      <c r="L527" s="427"/>
      <c r="M527" s="425"/>
      <c r="N527" s="428"/>
      <c r="O527" s="429" t="s">
        <v>12094</v>
      </c>
      <c r="P527" s="429" t="s">
        <v>11905</v>
      </c>
      <c r="Q527" s="429" t="s">
        <v>12466</v>
      </c>
      <c r="R527" s="430"/>
      <c r="S527" s="431" t="str">
        <f>IFERROR(VLOOKUP(BD_MO[DNI 4],#REF!,2,FALSE)," ")</f>
        <v xml:space="preserve"> </v>
      </c>
      <c r="T527" s="432">
        <f>+IF(BD_MO[[#This Row],[FECHA]]&lt;&gt;"",COUNTA(BD_MO[[#This Row],[DNI]],BD_MO[[#This Row],[DNI 2]],BD_MO[[#This Row],[DNI 3]],BD_MO[[#This Row],[DNI 4]]),"")</f>
        <v>3</v>
      </c>
      <c r="U527" s="432"/>
      <c r="V527" s="432"/>
      <c r="W527" s="432"/>
      <c r="X527" s="432">
        <v>3</v>
      </c>
      <c r="Y527" s="433">
        <f>SUM(BD_MO[[#This Row],[LIMP]:[SERV]])</f>
        <v>3</v>
      </c>
      <c r="Z527" s="428"/>
      <c r="AA527" s="428" t="str">
        <f>+IF(BD_MO[[#This Row],[N° VALE]]&lt;&gt;"",1,"")</f>
        <v/>
      </c>
      <c r="AB527" s="425"/>
      <c r="AC527" s="428"/>
      <c r="AD527" s="428" t="str">
        <f>+IF(BD_MO[[#This Row],[N° VALE]]&lt;&gt;"",BD_MO[[#This Row],[FULMINANTE N° 08]]+BD_MO[CARMEX 7''],"")</f>
        <v/>
      </c>
      <c r="AE527" s="428"/>
      <c r="AF527" s="428" t="str">
        <f>+IF(BD_MO[[#This Row],[N° VALE]]&lt;&gt;"",BD_MO[[#This Row],[N° TALADROS]]+BD_MO[[#This Row],[N° TAL. VACIOS]],"")</f>
        <v/>
      </c>
      <c r="AG527" s="434"/>
      <c r="AH527" s="434"/>
      <c r="AI527" s="434"/>
      <c r="AJ527" s="434"/>
      <c r="AK527" s="434"/>
      <c r="AL527" s="434"/>
      <c r="AM527" s="427"/>
      <c r="AN527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27" s="428" t="str">
        <f>+IF(BD_MO[[#This Row],[N° VALE]]&lt;&gt;"",IF(BD_MO[[#This Row],[FULMINANTE N° 08]]&lt;&gt;"",BD_MO[[#This Row],[FULMINANTE N° 08]],IF(BD_MO[[#This Row],[CARMEX 7'']]&lt;&gt;0,0,"")),"")</f>
        <v/>
      </c>
      <c r="AP527" s="432" t="str">
        <f>+IF(BD_MO[[#This Row],[N° VALE]]&lt;&gt;"",BD_MO[[#This Row],[N°  TOTAL TALADROS]]*BD_MO[[#This Row],[BARRA]]*0.95,"")</f>
        <v/>
      </c>
      <c r="AQ527" s="432" t="str">
        <f>+IF(BD_MO[[#This Row],[N° VALE]]&lt;&gt;"",BD_MO[[#This Row],[EMULNOR 1000 (N° CART.)]]*PE_EMUL_1000[PE],"")</f>
        <v/>
      </c>
      <c r="AR527" s="432" t="str">
        <f>+IF(BD_MO[[#This Row],[N° VALE]]&lt;&gt;"",BD_MO[[#This Row],[EMULNOR 3000 (N° CART.)]]*PE_EMUL_3000[PE],"")</f>
        <v/>
      </c>
      <c r="AS527" s="432" t="str">
        <f>+IF(BD_MO[[#This Row],[N° VALE]]&lt;&gt;"",BD_MO[[#This Row],[PULVERULENTA (N° CART.)]]*PE_PULV_65[PE],"")</f>
        <v/>
      </c>
      <c r="AT527" s="432" t="str">
        <f>+IF(BD_MO[[#This Row],[N° DISP]]&lt;&gt;"",BD_MO[[#This Row],[SEMIGELATINA (N° CART.)]]*PE_SEMIGEL_65[PE],"")</f>
        <v/>
      </c>
      <c r="AU527" s="432" t="str">
        <f>+IF(BD_MO[N° VALE]&lt;&gt;"",BD_MO[[#This Row],[KG EXPLO SEMIGEL]]+BD_MO[[#This Row],[KG EXPLO PULVE]]+BD_MO[[#This Row],[KG EXPLO EMULN 3000]]+BD_MO[[#This Row],[KG EXPLO EMULN 1000]],"")</f>
        <v/>
      </c>
      <c r="AV527" s="428"/>
      <c r="AW527" s="428"/>
      <c r="AX527" s="428" t="str">
        <f>+IF(BD_MO[[#This Row],[MINERAL (U-35)]]&lt;&gt;"",BD_MO[[#This Row],[MINERAL (U-35)]]*1.45,"-")</f>
        <v>-</v>
      </c>
      <c r="AY527" s="428" t="str">
        <f>+IF(BD_MO[[#This Row],[DESMONTE (U-35)]]&lt;&gt;"",BD_MO[[#This Row],[DESMONTE (U-35)]]*1.23,"-")</f>
        <v>-</v>
      </c>
      <c r="AZ527" s="428"/>
      <c r="BA527" s="428"/>
      <c r="BB527" s="428"/>
      <c r="BC527" s="428"/>
      <c r="BD527" s="428"/>
      <c r="BE527" s="428"/>
      <c r="BF527" s="428"/>
      <c r="BG527" s="428"/>
      <c r="BH527" s="428"/>
      <c r="BI527" s="428"/>
      <c r="BJ527" s="428"/>
      <c r="BK527" s="428"/>
      <c r="BL527" s="428"/>
      <c r="BM527" s="428"/>
      <c r="BN527" s="427"/>
      <c r="BO527" s="428"/>
      <c r="BP527" s="428"/>
      <c r="BQ527" s="427"/>
      <c r="BR527" s="428"/>
      <c r="BS527" s="427"/>
      <c r="BT527" s="432"/>
      <c r="BU527" s="428"/>
      <c r="BV527" s="428"/>
      <c r="BW527" s="428"/>
      <c r="BX527" s="428"/>
      <c r="BY527" s="428"/>
      <c r="BZ527" s="428"/>
      <c r="CA527" s="428"/>
      <c r="CB527" s="428"/>
      <c r="CC527" s="428"/>
      <c r="CD527" s="428"/>
      <c r="CE527" s="428"/>
      <c r="CF527" s="428"/>
      <c r="CG527" s="428"/>
      <c r="CH527" s="428"/>
      <c r="CI527" s="428"/>
      <c r="CJ527" s="428"/>
      <c r="CK527" s="428"/>
      <c r="CL527" s="428"/>
      <c r="CM527" s="428"/>
      <c r="CN527" s="428"/>
      <c r="CO527" s="428"/>
      <c r="CP527" s="432">
        <f>+IF(BD_MO[[#This Row],[FECHA]]&lt;&gt;"",BD_MO[[#This Row],[PUNTAL 4"]]+BD_MO[[#This Row],[PUNTAL 5"]]+BD_MO[[#This Row],[PUNTAL 6"]]+BD_MO[[#This Row],[PUNTAL 7"]]+BD_MO[[#This Row],[PUNTAL 8"]],"")</f>
        <v>0</v>
      </c>
      <c r="CQ527" s="428"/>
      <c r="CR527" s="428"/>
      <c r="CS527" s="428"/>
      <c r="CT527" s="428"/>
      <c r="CU527" s="428"/>
      <c r="CV527" s="428"/>
      <c r="CW527" s="428"/>
      <c r="CX527" s="428"/>
      <c r="CY527" s="432"/>
      <c r="CZ527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27" s="432">
        <f>+IF(BD_MO[[#This Row],[FECHA]]&lt;&gt;"",BD_MO[[#This Row],[DURMIENTE2]]*6.561+BD_MO[[#This Row],[LISTONES]]*4.921+BD_MO[[#This Row],[TABLA 1"x8"x3m]]*6.561+BD_MO[[#This Row],[TABLA 2"x8"x3m]]*13.122,"")</f>
        <v>0</v>
      </c>
      <c r="DB527" s="432">
        <f>+IF(BD_MO[[#This Row],[FECHA]]&lt;&gt;"",BD_MO[[#This Row],[PIE2 MADERA ASERRADA]]*1.95,"")</f>
        <v>0</v>
      </c>
      <c r="DC527" s="432">
        <f>+IF(BD_MO[[#This Row],[FECHA]]&lt;&gt;"",BD_MO[[#This Row],[KG. MADERA REDONDA]]+BD_MO[[#This Row],[KG MADERA ASERRADA]],"")</f>
        <v>0</v>
      </c>
      <c r="DD527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27" s="428"/>
      <c r="DF527" s="428"/>
      <c r="DG527" s="212" t="s">
        <v>12184</v>
      </c>
      <c r="DH527" s="428">
        <v>7</v>
      </c>
      <c r="DI527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27" s="436"/>
      <c r="DK527" s="436"/>
      <c r="DL527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27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27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27" s="437"/>
      <c r="DP527" s="436" t="str">
        <f>+IF(BD_MO[[#This Row],[M o D]]&lt;&gt;"",IF(BD_MO[[#This Row],[M o D]]="M",BD_MO[[#This Row],[ROTURA TMH]]/2.65,BD_MO[[#This Row],[ROTURA TMH]]/2.4),"")</f>
        <v/>
      </c>
      <c r="DQ527" s="436"/>
      <c r="DR527" s="493" t="e">
        <f>(BD_MO[[#This Row],[AVANCE (m)]]/BD_MO[[#This Row],[AVANCE TEÓRICO]])*100</f>
        <v>#VALUE!</v>
      </c>
      <c r="DS527" s="134"/>
      <c r="DT527" s="134"/>
      <c r="DU527" s="134"/>
      <c r="DV527" s="134"/>
      <c r="DW527" s="134"/>
      <c r="DX527" s="135"/>
      <c r="DY527" s="135"/>
      <c r="DZ527" s="135"/>
    </row>
    <row r="528" spans="1:130" s="115" customFormat="1" ht="18" customHeight="1" thickBot="1" x14ac:dyDescent="0.3">
      <c r="A528" s="494">
        <v>44681</v>
      </c>
      <c r="B528" s="495" t="s">
        <v>10647</v>
      </c>
      <c r="C528" s="495" t="s">
        <v>10680</v>
      </c>
      <c r="D528" s="118" t="s">
        <v>10954</v>
      </c>
      <c r="E528" s="473" t="str">
        <f>LEFT(BD_MO[[#This Row],[LABOR]],2)</f>
        <v>MO</v>
      </c>
      <c r="F528" s="472"/>
      <c r="G528" s="472" t="s">
        <v>10669</v>
      </c>
      <c r="H528" s="47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28" s="473" t="str">
        <f>IF(BD_MO[FECHA]&lt;&gt;"",VLOOKUP(BD_MO[LABOR],TB_CECO[[LABOR]:[CECO_T]],3,FALSE),"")</f>
        <v>INCA</v>
      </c>
      <c r="J528" s="473" t="str">
        <f>IF(BD_MO[FECHA]&lt;&gt;"",VLOOKUP(BD_MO[LABOR],D_CECO!B:H,7,FALSE),"")</f>
        <v>SERVICIOS</v>
      </c>
      <c r="K528" s="473" t="str">
        <f>IF(BD_MO[FECHA]&lt;&gt;"",VLOOKUP(BD_MO[LABOR],D_CECO!B:H,4,FALSE),"")</f>
        <v>SERVICIOS</v>
      </c>
      <c r="L528" s="473"/>
      <c r="M528" s="474"/>
      <c r="N528" s="472"/>
      <c r="O528" s="475" t="s">
        <v>12117</v>
      </c>
      <c r="P528" s="475"/>
      <c r="Q528" s="475"/>
      <c r="R528" s="476"/>
      <c r="S528" s="477" t="str">
        <f>IFERROR(VLOOKUP(BD_MO[DNI 4],#REF!,2,FALSE)," ")</f>
        <v xml:space="preserve"> </v>
      </c>
      <c r="T528" s="478">
        <f>+IF(BD_MO[[#This Row],[FECHA]]&lt;&gt;"",COUNTA(BD_MO[[#This Row],[DNI]],BD_MO[[#This Row],[DNI 2]],BD_MO[[#This Row],[DNI 3]],BD_MO[[#This Row],[DNI 4]]),"")</f>
        <v>1</v>
      </c>
      <c r="U528" s="478"/>
      <c r="V528" s="478"/>
      <c r="W528" s="478"/>
      <c r="X528" s="478">
        <v>1</v>
      </c>
      <c r="Y528" s="479">
        <f>SUM(BD_MO[[#This Row],[LIMP]:[SERV]])</f>
        <v>1</v>
      </c>
      <c r="Z528" s="472"/>
      <c r="AA528" s="472" t="str">
        <f>+IF(BD_MO[[#This Row],[N° VALE]]&lt;&gt;"",1,"")</f>
        <v/>
      </c>
      <c r="AB528" s="474"/>
      <c r="AC528" s="472"/>
      <c r="AD528" s="472" t="str">
        <f>+IF(BD_MO[[#This Row],[N° VALE]]&lt;&gt;"",BD_MO[[#This Row],[FULMINANTE N° 08]]+BD_MO[CARMEX 7''],"")</f>
        <v/>
      </c>
      <c r="AE528" s="472"/>
      <c r="AF528" s="472" t="str">
        <f>+IF(BD_MO[[#This Row],[N° VALE]]&lt;&gt;"",BD_MO[[#This Row],[N° TALADROS]]+BD_MO[[#This Row],[N° TAL. VACIOS]],"")</f>
        <v/>
      </c>
      <c r="AG528" s="480"/>
      <c r="AH528" s="480"/>
      <c r="AI528" s="480"/>
      <c r="AJ528" s="480"/>
      <c r="AK528" s="480"/>
      <c r="AL528" s="480"/>
      <c r="AM528" s="473"/>
      <c r="AN528" s="4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28" s="472" t="str">
        <f>+IF(BD_MO[[#This Row],[N° VALE]]&lt;&gt;"",IF(BD_MO[[#This Row],[FULMINANTE N° 08]]&lt;&gt;"",BD_MO[[#This Row],[FULMINANTE N° 08]],IF(BD_MO[[#This Row],[CARMEX 7'']]&lt;&gt;0,0,"")),"")</f>
        <v/>
      </c>
      <c r="AP528" s="478" t="str">
        <f>+IF(BD_MO[[#This Row],[N° VALE]]&lt;&gt;"",BD_MO[[#This Row],[N°  TOTAL TALADROS]]*BD_MO[[#This Row],[BARRA]]*0.95,"")</f>
        <v/>
      </c>
      <c r="AQ528" s="478" t="str">
        <f>+IF(BD_MO[[#This Row],[N° VALE]]&lt;&gt;"",BD_MO[[#This Row],[EMULNOR 1000 (N° CART.)]]*PE_EMUL_1000[PE],"")</f>
        <v/>
      </c>
      <c r="AR528" s="478" t="str">
        <f>+IF(BD_MO[[#This Row],[N° VALE]]&lt;&gt;"",BD_MO[[#This Row],[EMULNOR 3000 (N° CART.)]]*PE_EMUL_3000[PE],"")</f>
        <v/>
      </c>
      <c r="AS528" s="478" t="str">
        <f>+IF(BD_MO[[#This Row],[N° VALE]]&lt;&gt;"",BD_MO[[#This Row],[PULVERULENTA (N° CART.)]]*PE_PULV_65[PE],"")</f>
        <v/>
      </c>
      <c r="AT528" s="478" t="str">
        <f>+IF(BD_MO[[#This Row],[N° DISP]]&lt;&gt;"",BD_MO[[#This Row],[SEMIGELATINA (N° CART.)]]*PE_SEMIGEL_65[PE],"")</f>
        <v/>
      </c>
      <c r="AU528" s="478" t="str">
        <f>+IF(BD_MO[N° VALE]&lt;&gt;"",BD_MO[[#This Row],[KG EXPLO SEMIGEL]]+BD_MO[[#This Row],[KG EXPLO PULVE]]+BD_MO[[#This Row],[KG EXPLO EMULN 3000]]+BD_MO[[#This Row],[KG EXPLO EMULN 1000]],"")</f>
        <v/>
      </c>
      <c r="AV528" s="472"/>
      <c r="AW528" s="472"/>
      <c r="AX528" s="472" t="str">
        <f>+IF(BD_MO[[#This Row],[MINERAL (U-35)]]&lt;&gt;"",BD_MO[[#This Row],[MINERAL (U-35)]]*1.45,"-")</f>
        <v>-</v>
      </c>
      <c r="AY528" s="472" t="str">
        <f>+IF(BD_MO[[#This Row],[DESMONTE (U-35)]]&lt;&gt;"",BD_MO[[#This Row],[DESMONTE (U-35)]]*1.23,"-")</f>
        <v>-</v>
      </c>
      <c r="AZ528" s="472"/>
      <c r="BA528" s="472"/>
      <c r="BB528" s="472"/>
      <c r="BC528" s="472"/>
      <c r="BD528" s="472"/>
      <c r="BE528" s="472"/>
      <c r="BF528" s="472"/>
      <c r="BG528" s="472"/>
      <c r="BH528" s="472"/>
      <c r="BI528" s="472"/>
      <c r="BJ528" s="472"/>
      <c r="BK528" s="472"/>
      <c r="BL528" s="472"/>
      <c r="BM528" s="472"/>
      <c r="BN528" s="473"/>
      <c r="BO528" s="472"/>
      <c r="BP528" s="472"/>
      <c r="BQ528" s="473"/>
      <c r="BR528" s="472"/>
      <c r="BS528" s="473"/>
      <c r="BT528" s="478"/>
      <c r="BU528" s="472"/>
      <c r="BV528" s="472"/>
      <c r="BW528" s="472"/>
      <c r="BX528" s="472"/>
      <c r="BY528" s="472"/>
      <c r="BZ528" s="472"/>
      <c r="CA528" s="472"/>
      <c r="CB528" s="472"/>
      <c r="CC528" s="472"/>
      <c r="CD528" s="472"/>
      <c r="CE528" s="472"/>
      <c r="CF528" s="472"/>
      <c r="CG528" s="472"/>
      <c r="CH528" s="472"/>
      <c r="CI528" s="472"/>
      <c r="CJ528" s="472"/>
      <c r="CK528" s="472"/>
      <c r="CL528" s="472"/>
      <c r="CM528" s="472"/>
      <c r="CN528" s="472"/>
      <c r="CO528" s="472"/>
      <c r="CP528" s="478">
        <f>+IF(BD_MO[[#This Row],[FECHA]]&lt;&gt;"",BD_MO[[#This Row],[PUNTAL 4"]]+BD_MO[[#This Row],[PUNTAL 5"]]+BD_MO[[#This Row],[PUNTAL 6"]]+BD_MO[[#This Row],[PUNTAL 7"]]+BD_MO[[#This Row],[PUNTAL 8"]],"")</f>
        <v>0</v>
      </c>
      <c r="CQ528" s="472"/>
      <c r="CR528" s="472"/>
      <c r="CS528" s="472"/>
      <c r="CT528" s="472"/>
      <c r="CU528" s="472"/>
      <c r="CV528" s="472"/>
      <c r="CW528" s="472"/>
      <c r="CX528" s="472"/>
      <c r="CY528" s="478"/>
      <c r="CZ528" s="47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28" s="478">
        <f>+IF(BD_MO[[#This Row],[FECHA]]&lt;&gt;"",BD_MO[[#This Row],[DURMIENTE2]]*6.561+BD_MO[[#This Row],[LISTONES]]*4.921+BD_MO[[#This Row],[TABLA 1"x8"x3m]]*6.561+BD_MO[[#This Row],[TABLA 2"x8"x3m]]*13.122,"")</f>
        <v>0</v>
      </c>
      <c r="DB528" s="478">
        <f>+IF(BD_MO[[#This Row],[FECHA]]&lt;&gt;"",BD_MO[[#This Row],[PIE2 MADERA ASERRADA]]*1.95,"")</f>
        <v>0</v>
      </c>
      <c r="DC528" s="478">
        <f>+IF(BD_MO[[#This Row],[FECHA]]&lt;&gt;"",BD_MO[[#This Row],[KG. MADERA REDONDA]]+BD_MO[[#This Row],[KG MADERA ASERRADA]],"")</f>
        <v>0</v>
      </c>
      <c r="DD528" s="48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28" s="472"/>
      <c r="DF528" s="472"/>
      <c r="DG528" s="472"/>
      <c r="DH528" s="472"/>
      <c r="DI528" s="48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28" s="482"/>
      <c r="DK528" s="482"/>
      <c r="DL528" s="48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28" s="48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28" s="48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28" s="483"/>
      <c r="DP528" s="482" t="str">
        <f>+IF(BD_MO[[#This Row],[M o D]]&lt;&gt;"",IF(BD_MO[[#This Row],[M o D]]="M",BD_MO[[#This Row],[ROTURA TMH]]/2.65,BD_MO[[#This Row],[ROTURA TMH]]/2.4),"")</f>
        <v/>
      </c>
      <c r="DQ528" s="482"/>
      <c r="DR528" s="483" t="e">
        <f>(BD_MO[[#This Row],[AVANCE (m)]]/BD_MO[[#This Row],[AVANCE TEÓRICO]])*100</f>
        <v>#VALUE!</v>
      </c>
      <c r="DS528" s="113"/>
      <c r="DT528" s="113"/>
      <c r="DU528" s="113"/>
      <c r="DV528" s="113"/>
      <c r="DW528" s="113"/>
      <c r="DX528" s="114"/>
      <c r="DY528" s="114"/>
      <c r="DZ528" s="114"/>
    </row>
    <row r="529" spans="1:130" s="136" customFormat="1" ht="18" customHeight="1" x14ac:dyDescent="0.25">
      <c r="A529" s="488">
        <v>44681</v>
      </c>
      <c r="B529" s="489" t="s">
        <v>10655</v>
      </c>
      <c r="C529" s="489" t="s">
        <v>10668</v>
      </c>
      <c r="D529" s="94" t="s">
        <v>11827</v>
      </c>
      <c r="E529" s="427" t="str">
        <f>LEFT(BD_MO[[#This Row],[LABOR]],2)</f>
        <v>Tj</v>
      </c>
      <c r="F529" s="428" t="s">
        <v>10950</v>
      </c>
      <c r="G529" s="428" t="s">
        <v>10648</v>
      </c>
      <c r="H529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529" s="427" t="str">
        <f>IF(BD_MO[FECHA]&lt;&gt;"",VLOOKUP(BD_MO[LABOR],TB_CECO[[LABOR]:[CECO_T]],3,FALSE),"")</f>
        <v>VANESSA</v>
      </c>
      <c r="J529" s="427" t="str">
        <f>IF(BD_MO[FECHA]&lt;&gt;"",VLOOKUP(BD_MO[LABOR],D_CECO!B:H,7,FALSE),"")</f>
        <v>TAJO</v>
      </c>
      <c r="K529" s="427" t="str">
        <f>IF(BD_MO[FECHA]&lt;&gt;"",VLOOKUP(BD_MO[LABOR],D_CECO!B:H,4,FALSE),"")</f>
        <v>EXPLOTACION</v>
      </c>
      <c r="L529" s="427"/>
      <c r="M529" s="425"/>
      <c r="N529" s="428"/>
      <c r="O529" s="429" t="s">
        <v>12095</v>
      </c>
      <c r="P529" s="429" t="s">
        <v>12088</v>
      </c>
      <c r="Q529" s="429" t="s">
        <v>12361</v>
      </c>
      <c r="R529" s="430"/>
      <c r="S529" s="431" t="str">
        <f>IFERROR(VLOOKUP(BD_MO[DNI 4],#REF!,2,FALSE)," ")</f>
        <v xml:space="preserve"> </v>
      </c>
      <c r="T529" s="432">
        <f>+IF(BD_MO[[#This Row],[FECHA]]&lt;&gt;"",COUNTA(BD_MO[[#This Row],[DNI]],BD_MO[[#This Row],[DNI 2]],BD_MO[[#This Row],[DNI 3]],BD_MO[[#This Row],[DNI 4]]),"")</f>
        <v>3</v>
      </c>
      <c r="U529" s="432">
        <v>1.1000000000000001</v>
      </c>
      <c r="V529" s="432">
        <v>0.6</v>
      </c>
      <c r="W529" s="432">
        <v>0.8</v>
      </c>
      <c r="X529" s="432">
        <v>0.5</v>
      </c>
      <c r="Y529" s="433">
        <f>SUM(BD_MO[[#This Row],[LIMP]:[SERV]])</f>
        <v>3</v>
      </c>
      <c r="Z529" s="428" t="s">
        <v>12469</v>
      </c>
      <c r="AA529" s="428">
        <f>+IF(BD_MO[[#This Row],[N° VALE]]&lt;&gt;"",1,"")</f>
        <v>1</v>
      </c>
      <c r="AB529" s="425" t="s">
        <v>10652</v>
      </c>
      <c r="AC529" s="428">
        <v>5</v>
      </c>
      <c r="AD529" s="428">
        <f>+IF(BD_MO[[#This Row],[N° VALE]]&lt;&gt;"",BD_MO[[#This Row],[FULMINANTE N° 08]]+BD_MO[CARMEX 7''],"")</f>
        <v>38</v>
      </c>
      <c r="AE529" s="428"/>
      <c r="AF529" s="428">
        <f>+IF(BD_MO[[#This Row],[N° VALE]]&lt;&gt;"",BD_MO[[#This Row],[N° TALADROS]]+BD_MO[[#This Row],[N° TAL. VACIOS]],"")</f>
        <v>38</v>
      </c>
      <c r="AG529" s="434">
        <v>95</v>
      </c>
      <c r="AH529" s="434">
        <v>97</v>
      </c>
      <c r="AI529" s="434"/>
      <c r="AJ529" s="434"/>
      <c r="AK529" s="434">
        <v>38</v>
      </c>
      <c r="AL529" s="434">
        <v>10</v>
      </c>
      <c r="AM529" s="427"/>
      <c r="AN529" s="428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529" s="428">
        <f>+IF(BD_MO[[#This Row],[N° VALE]]&lt;&gt;"",IF(BD_MO[[#This Row],[FULMINANTE N° 08]]&lt;&gt;"",BD_MO[[#This Row],[FULMINANTE N° 08]],IF(BD_MO[[#This Row],[CARMEX 7'']]&lt;&gt;0,0,"")),"")</f>
        <v>0</v>
      </c>
      <c r="AP529" s="432">
        <f>+IF(BD_MO[[#This Row],[N° VALE]]&lt;&gt;"",BD_MO[[#This Row],[N°  TOTAL TALADROS]]*BD_MO[[#This Row],[BARRA]]*0.95,"")</f>
        <v>180.5</v>
      </c>
      <c r="AQ529" s="432">
        <f>+IF(BD_MO[[#This Row],[N° VALE]]&lt;&gt;"",BD_MO[[#This Row],[EMULNOR 1000 (N° CART.)]]*PE_EMUL_1000[PE],"")</f>
        <v>9.1859000000000002</v>
      </c>
      <c r="AR529" s="432">
        <f>+IF(BD_MO[[#This Row],[N° VALE]]&lt;&gt;"",BD_MO[[#This Row],[EMULNOR 3000 (N° CART.)]]*PE_EMUL_3000[PE],"")</f>
        <v>9.1346153846153886</v>
      </c>
      <c r="AS529" s="432">
        <f>+IF(BD_MO[[#This Row],[N° VALE]]&lt;&gt;"",BD_MO[[#This Row],[PULVERULENTA (N° CART.)]]*PE_PULV_65[PE],"")</f>
        <v>0</v>
      </c>
      <c r="AT529" s="432">
        <f>+IF(BD_MO[[#This Row],[N° DISP]]&lt;&gt;"",BD_MO[[#This Row],[SEMIGELATINA (N° CART.)]]*PE_SEMIGEL_65[PE],"")</f>
        <v>0</v>
      </c>
      <c r="AU529" s="432">
        <f>+IF(BD_MO[N° VALE]&lt;&gt;"",BD_MO[[#This Row],[KG EXPLO SEMIGEL]]+BD_MO[[#This Row],[KG EXPLO PULVE]]+BD_MO[[#This Row],[KG EXPLO EMULN 3000]]+BD_MO[[#This Row],[KG EXPLO EMULN 1000]],"")</f>
        <v>18.320515384615391</v>
      </c>
      <c r="AV529" s="428">
        <v>10</v>
      </c>
      <c r="AW529" s="428"/>
      <c r="AX529" s="428">
        <f>+IF(BD_MO[[#This Row],[MINERAL (U-35)]]&lt;&gt;"",BD_MO[[#This Row],[MINERAL (U-35)]]*1.45,"-")</f>
        <v>14.5</v>
      </c>
      <c r="AY529" s="428" t="str">
        <f>+IF(BD_MO[[#This Row],[DESMONTE (U-35)]]&lt;&gt;"",BD_MO[[#This Row],[DESMONTE (U-35)]]*1.23,"-")</f>
        <v>-</v>
      </c>
      <c r="AZ529" s="428"/>
      <c r="BA529" s="428"/>
      <c r="BB529" s="428"/>
      <c r="BC529" s="428"/>
      <c r="BD529" s="428"/>
      <c r="BE529" s="428"/>
      <c r="BF529" s="428"/>
      <c r="BG529" s="428"/>
      <c r="BH529" s="428"/>
      <c r="BI529" s="428">
        <v>2</v>
      </c>
      <c r="BJ529" s="428">
        <v>3</v>
      </c>
      <c r="BK529" s="428"/>
      <c r="BL529" s="428">
        <v>1</v>
      </c>
      <c r="BM529" s="428"/>
      <c r="BN529" s="427">
        <v>6</v>
      </c>
      <c r="BO529" s="428"/>
      <c r="BP529" s="428"/>
      <c r="BQ529" s="427"/>
      <c r="BR529" s="428"/>
      <c r="BS529" s="427"/>
      <c r="BT529" s="432"/>
      <c r="BU529" s="428"/>
      <c r="BV529" s="428"/>
      <c r="BW529" s="428"/>
      <c r="BX529" s="428"/>
      <c r="BY529" s="428"/>
      <c r="BZ529" s="428"/>
      <c r="CA529" s="428"/>
      <c r="CB529" s="428"/>
      <c r="CC529" s="428"/>
      <c r="CD529" s="428"/>
      <c r="CE529" s="428"/>
      <c r="CF529" s="428"/>
      <c r="CG529" s="428"/>
      <c r="CH529" s="428"/>
      <c r="CI529" s="428"/>
      <c r="CJ529" s="428"/>
      <c r="CK529" s="428"/>
      <c r="CL529" s="428"/>
      <c r="CM529" s="428">
        <v>1</v>
      </c>
      <c r="CN529" s="428">
        <v>4</v>
      </c>
      <c r="CO529" s="428"/>
      <c r="CP529" s="432">
        <f>+IF(BD_MO[[#This Row],[FECHA]]&lt;&gt;"",BD_MO[[#This Row],[PUNTAL 4"]]+BD_MO[[#This Row],[PUNTAL 5"]]+BD_MO[[#This Row],[PUNTAL 6"]]+BD_MO[[#This Row],[PUNTAL 7"]]+BD_MO[[#This Row],[PUNTAL 8"]],"")</f>
        <v>5</v>
      </c>
      <c r="CQ529" s="428"/>
      <c r="CR529" s="428"/>
      <c r="CS529" s="428"/>
      <c r="CT529" s="428"/>
      <c r="CU529" s="428"/>
      <c r="CV529" s="428"/>
      <c r="CW529" s="428"/>
      <c r="CX529" s="428">
        <v>10</v>
      </c>
      <c r="CY529" s="432"/>
      <c r="CZ529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289.19</v>
      </c>
      <c r="DA529" s="432">
        <f>+IF(BD_MO[[#This Row],[FECHA]]&lt;&gt;"",BD_MO[[#This Row],[DURMIENTE2]]*6.561+BD_MO[[#This Row],[LISTONES]]*4.921+BD_MO[[#This Row],[TABLA 1"x8"x3m]]*6.561+BD_MO[[#This Row],[TABLA 2"x8"x3m]]*13.122,"")</f>
        <v>131.22</v>
      </c>
      <c r="DB529" s="432">
        <f>+IF(BD_MO[[#This Row],[FECHA]]&lt;&gt;"",BD_MO[[#This Row],[PIE2 MADERA ASERRADA]]*1.95,"")</f>
        <v>255.87899999999999</v>
      </c>
      <c r="DC529" s="432">
        <f>+IF(BD_MO[[#This Row],[FECHA]]&lt;&gt;"",BD_MO[[#This Row],[KG. MADERA REDONDA]]+BD_MO[[#This Row],[KG MADERA ASERRADA]],"")</f>
        <v>545.06899999999996</v>
      </c>
      <c r="DD529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241.20000000000002</v>
      </c>
      <c r="DE529" s="428"/>
      <c r="DF529" s="428"/>
      <c r="DG529" s="428"/>
      <c r="DH529" s="428"/>
      <c r="DI529" s="43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1.3</v>
      </c>
      <c r="DJ529" s="436"/>
      <c r="DK529" s="436"/>
      <c r="DL529" s="436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>8.8699999999999992</v>
      </c>
      <c r="DM529" s="43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11.530999999999999</v>
      </c>
      <c r="DN529" s="43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529" s="437"/>
      <c r="DP529" s="436">
        <f>+IF(BD_MO[[#This Row],[M o D]]&lt;&gt;"",IF(BD_MO[[#This Row],[M o D]]="M",BD_MO[[#This Row],[ROTURA TMH]]/2.65,BD_MO[[#This Row],[ROTURA TMH]]/2.4),"")</f>
        <v>0</v>
      </c>
      <c r="DQ529" s="436"/>
      <c r="DR529" s="493">
        <f>(BD_MO[[#This Row],[AVANCE (m)]]/BD_MO[[#This Row],[AVANCE TEÓRICO]])*100</f>
        <v>0</v>
      </c>
      <c r="DS529" s="134"/>
      <c r="DT529" s="134"/>
      <c r="DU529" s="134"/>
      <c r="DV529" s="134"/>
      <c r="DW529" s="134"/>
      <c r="DX529" s="135"/>
      <c r="DY529" s="135"/>
      <c r="DZ529" s="135"/>
    </row>
    <row r="530" spans="1:130" s="136" customFormat="1" ht="18" customHeight="1" x14ac:dyDescent="0.25">
      <c r="A530" s="488">
        <v>44681</v>
      </c>
      <c r="B530" s="489" t="s">
        <v>10655</v>
      </c>
      <c r="C530" s="489" t="s">
        <v>10668</v>
      </c>
      <c r="D530" s="426" t="s">
        <v>11928</v>
      </c>
      <c r="E530" s="427" t="str">
        <f>LEFT(BD_MO[[#This Row],[LABOR]],2)</f>
        <v>Tj</v>
      </c>
      <c r="F530" s="428"/>
      <c r="G530" s="428" t="s">
        <v>10662</v>
      </c>
      <c r="H530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SOSTENIMIENTO</v>
      </c>
      <c r="I530" s="427" t="str">
        <f>IF(BD_MO[FECHA]&lt;&gt;"",VLOOKUP(BD_MO[LABOR],TB_CECO[[LABOR]:[CECO_T]],3,FALSE),"")</f>
        <v>ESCONDIDA</v>
      </c>
      <c r="J530" s="427" t="str">
        <f>IF(BD_MO[FECHA]&lt;&gt;"",VLOOKUP(BD_MO[LABOR],D_CECO!B:H,7,FALSE),"")</f>
        <v>TAJO</v>
      </c>
      <c r="K530" s="427" t="str">
        <f>IF(BD_MO[FECHA]&lt;&gt;"",VLOOKUP(BD_MO[LABOR],D_CECO!B:H,4,FALSE),"")</f>
        <v>EXPLOTACION</v>
      </c>
      <c r="L530" s="427"/>
      <c r="M530" s="425"/>
      <c r="N530" s="428"/>
      <c r="O530" s="429" t="s">
        <v>12101</v>
      </c>
      <c r="P530" s="429" t="s">
        <v>12305</v>
      </c>
      <c r="Q530" s="429"/>
      <c r="R530" s="430"/>
      <c r="S530" s="431" t="str">
        <f>IFERROR(VLOOKUP(BD_MO[DNI 4],#REF!,2,FALSE)," ")</f>
        <v xml:space="preserve"> </v>
      </c>
      <c r="T530" s="432">
        <f>+IF(BD_MO[[#This Row],[FECHA]]&lt;&gt;"",COUNTA(BD_MO[[#This Row],[DNI]],BD_MO[[#This Row],[DNI 2]],BD_MO[[#This Row],[DNI 3]],BD_MO[[#This Row],[DNI 4]]),"")</f>
        <v>2</v>
      </c>
      <c r="U530" s="432"/>
      <c r="V530" s="432"/>
      <c r="W530" s="432">
        <v>1.4</v>
      </c>
      <c r="X530" s="432">
        <v>0.6</v>
      </c>
      <c r="Y530" s="433">
        <f>SUM(BD_MO[[#This Row],[LIMP]:[SERV]])</f>
        <v>2</v>
      </c>
      <c r="Z530" s="428"/>
      <c r="AA530" s="428" t="str">
        <f>+IF(BD_MO[[#This Row],[N° VALE]]&lt;&gt;"",1,"")</f>
        <v/>
      </c>
      <c r="AB530" s="425"/>
      <c r="AC530" s="428"/>
      <c r="AD530" s="428" t="str">
        <f>+IF(BD_MO[[#This Row],[N° VALE]]&lt;&gt;"",BD_MO[[#This Row],[FULMINANTE N° 08]]+BD_MO[CARMEX 7''],"")</f>
        <v/>
      </c>
      <c r="AE530" s="428"/>
      <c r="AF530" s="428" t="str">
        <f>+IF(BD_MO[[#This Row],[N° VALE]]&lt;&gt;"",BD_MO[[#This Row],[N° TALADROS]]+BD_MO[[#This Row],[N° TAL. VACIOS]],"")</f>
        <v/>
      </c>
      <c r="AG530" s="434"/>
      <c r="AH530" s="434"/>
      <c r="AI530" s="434"/>
      <c r="AJ530" s="434"/>
      <c r="AK530" s="434"/>
      <c r="AL530" s="434"/>
      <c r="AM530" s="427"/>
      <c r="AN530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30" s="428" t="str">
        <f>+IF(BD_MO[[#This Row],[N° VALE]]&lt;&gt;"",IF(BD_MO[[#This Row],[FULMINANTE N° 08]]&lt;&gt;"",BD_MO[[#This Row],[FULMINANTE N° 08]],IF(BD_MO[[#This Row],[CARMEX 7'']]&lt;&gt;0,0,"")),"")</f>
        <v/>
      </c>
      <c r="AP530" s="432" t="str">
        <f>+IF(BD_MO[[#This Row],[N° VALE]]&lt;&gt;"",BD_MO[[#This Row],[N°  TOTAL TALADROS]]*BD_MO[[#This Row],[BARRA]]*0.95,"")</f>
        <v/>
      </c>
      <c r="AQ530" s="432" t="str">
        <f>+IF(BD_MO[[#This Row],[N° VALE]]&lt;&gt;"",BD_MO[[#This Row],[EMULNOR 1000 (N° CART.)]]*PE_EMUL_1000[PE],"")</f>
        <v/>
      </c>
      <c r="AR530" s="432" t="str">
        <f>+IF(BD_MO[[#This Row],[N° VALE]]&lt;&gt;"",BD_MO[[#This Row],[EMULNOR 3000 (N° CART.)]]*PE_EMUL_3000[PE],"")</f>
        <v/>
      </c>
      <c r="AS530" s="432" t="str">
        <f>+IF(BD_MO[[#This Row],[N° VALE]]&lt;&gt;"",BD_MO[[#This Row],[PULVERULENTA (N° CART.)]]*PE_PULV_65[PE],"")</f>
        <v/>
      </c>
      <c r="AT530" s="432" t="str">
        <f>+IF(BD_MO[[#This Row],[N° DISP]]&lt;&gt;"",BD_MO[[#This Row],[SEMIGELATINA (N° CART.)]]*PE_SEMIGEL_65[PE],"")</f>
        <v/>
      </c>
      <c r="AU530" s="432" t="str">
        <f>+IF(BD_MO[N° VALE]&lt;&gt;"",BD_MO[[#This Row],[KG EXPLO SEMIGEL]]+BD_MO[[#This Row],[KG EXPLO PULVE]]+BD_MO[[#This Row],[KG EXPLO EMULN 3000]]+BD_MO[[#This Row],[KG EXPLO EMULN 1000]],"")</f>
        <v/>
      </c>
      <c r="AV530" s="428"/>
      <c r="AW530" s="428"/>
      <c r="AX530" s="428" t="str">
        <f>+IF(BD_MO[[#This Row],[MINERAL (U-35)]]&lt;&gt;"",BD_MO[[#This Row],[MINERAL (U-35)]]*1.45,"-")</f>
        <v>-</v>
      </c>
      <c r="AY530" s="428" t="str">
        <f>+IF(BD_MO[[#This Row],[DESMONTE (U-35)]]&lt;&gt;"",BD_MO[[#This Row],[DESMONTE (U-35)]]*1.23,"-")</f>
        <v>-</v>
      </c>
      <c r="AZ530" s="428"/>
      <c r="BA530" s="428"/>
      <c r="BB530" s="428"/>
      <c r="BC530" s="428"/>
      <c r="BD530" s="428"/>
      <c r="BE530" s="428"/>
      <c r="BF530" s="428">
        <v>1</v>
      </c>
      <c r="BG530" s="428"/>
      <c r="BH530" s="428"/>
      <c r="BI530" s="428"/>
      <c r="BJ530" s="428"/>
      <c r="BK530" s="428"/>
      <c r="BL530" s="428"/>
      <c r="BM530" s="428"/>
      <c r="BN530" s="427"/>
      <c r="BO530" s="428">
        <v>2</v>
      </c>
      <c r="BP530" s="428"/>
      <c r="BQ530" s="427"/>
      <c r="BR530" s="428"/>
      <c r="BS530" s="427"/>
      <c r="BT530" s="432">
        <v>5.4</v>
      </c>
      <c r="BU530" s="428"/>
      <c r="BV530" s="428"/>
      <c r="BW530" s="428"/>
      <c r="BX530" s="428"/>
      <c r="BY530" s="428"/>
      <c r="BZ530" s="428"/>
      <c r="CA530" s="428"/>
      <c r="CB530" s="428"/>
      <c r="CC530" s="428"/>
      <c r="CD530" s="428"/>
      <c r="CE530" s="428"/>
      <c r="CF530" s="428"/>
      <c r="CG530" s="428"/>
      <c r="CH530" s="428"/>
      <c r="CI530" s="428"/>
      <c r="CJ530" s="428"/>
      <c r="CK530" s="428"/>
      <c r="CL530" s="428"/>
      <c r="CM530" s="428">
        <v>3</v>
      </c>
      <c r="CN530" s="428">
        <v>2</v>
      </c>
      <c r="CO530" s="428"/>
      <c r="CP530" s="432">
        <f>+IF(BD_MO[[#This Row],[FECHA]]&lt;&gt;"",BD_MO[[#This Row],[PUNTAL 4"]]+BD_MO[[#This Row],[PUNTAL 5"]]+BD_MO[[#This Row],[PUNTAL 6"]]+BD_MO[[#This Row],[PUNTAL 7"]]+BD_MO[[#This Row],[PUNTAL 8"]],"")</f>
        <v>5</v>
      </c>
      <c r="CQ530" s="428"/>
      <c r="CR530" s="428"/>
      <c r="CS530" s="428">
        <v>6</v>
      </c>
      <c r="CT530" s="428"/>
      <c r="CU530" s="428"/>
      <c r="CV530" s="428"/>
      <c r="CW530" s="428"/>
      <c r="CX530" s="428"/>
      <c r="CY530" s="432"/>
      <c r="CZ530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404.38000000000005</v>
      </c>
      <c r="DA530" s="432">
        <f>+IF(BD_MO[[#This Row],[FECHA]]&lt;&gt;"",BD_MO[[#This Row],[DURMIENTE2]]*6.561+BD_MO[[#This Row],[LISTONES]]*4.921+BD_MO[[#This Row],[TABLA 1"x8"x3m]]*6.561+BD_MO[[#This Row],[TABLA 2"x8"x3m]]*13.122,"")</f>
        <v>0</v>
      </c>
      <c r="DB530" s="432">
        <f>+IF(BD_MO[[#This Row],[FECHA]]&lt;&gt;"",BD_MO[[#This Row],[PIE2 MADERA ASERRADA]]*1.95,"")</f>
        <v>0</v>
      </c>
      <c r="DC530" s="432">
        <f>+IF(BD_MO[[#This Row],[FECHA]]&lt;&gt;"",BD_MO[[#This Row],[KG. MADERA REDONDA]]+BD_MO[[#This Row],[KG MADERA ASERRADA]],"")</f>
        <v>404.38000000000005</v>
      </c>
      <c r="DD530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162.74</v>
      </c>
      <c r="DE530" s="428"/>
      <c r="DF530" s="428"/>
      <c r="DG530" s="428"/>
      <c r="DH530" s="428"/>
      <c r="DI530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30" s="436"/>
      <c r="DK530" s="436"/>
      <c r="DL530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30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30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30" s="437"/>
      <c r="DP530" s="436" t="str">
        <f>+IF(BD_MO[[#This Row],[M o D]]&lt;&gt;"",IF(BD_MO[[#This Row],[M o D]]="M",BD_MO[[#This Row],[ROTURA TMH]]/2.65,BD_MO[[#This Row],[ROTURA TMH]]/2.4),"")</f>
        <v/>
      </c>
      <c r="DQ530" s="436"/>
      <c r="DR530" s="493" t="e">
        <f>(BD_MO[[#This Row],[AVANCE (m)]]/BD_MO[[#This Row],[AVANCE TEÓRICO]])*100</f>
        <v>#VALUE!</v>
      </c>
      <c r="DS530" s="134"/>
      <c r="DT530" s="134"/>
      <c r="DU530" s="134"/>
      <c r="DV530" s="134"/>
      <c r="DW530" s="134"/>
      <c r="DX530" s="135"/>
      <c r="DY530" s="135"/>
      <c r="DZ530" s="135"/>
    </row>
    <row r="531" spans="1:130" s="136" customFormat="1" ht="18" customHeight="1" x14ac:dyDescent="0.25">
      <c r="A531" s="488">
        <v>44681</v>
      </c>
      <c r="B531" s="489" t="s">
        <v>10655</v>
      </c>
      <c r="C531" s="489" t="s">
        <v>10668</v>
      </c>
      <c r="D531" s="81" t="s">
        <v>12437</v>
      </c>
      <c r="E531" s="427" t="str">
        <f>LEFT(BD_MO[[#This Row],[LABOR]],2)</f>
        <v>Sn</v>
      </c>
      <c r="F531" s="428" t="s">
        <v>10687</v>
      </c>
      <c r="G531" s="428" t="s">
        <v>10648</v>
      </c>
      <c r="H531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SUMINISTROS</v>
      </c>
      <c r="I531" s="427" t="str">
        <f>IF(BD_MO[FECHA]&lt;&gt;"",VLOOKUP(BD_MO[LABOR],TB_CECO[[LABOR]:[CECO_T]],3,FALSE),"")</f>
        <v>VANESSA</v>
      </c>
      <c r="J531" s="427" t="str">
        <f>IF(BD_MO[FECHA]&lt;&gt;"",VLOOKUP(BD_MO[LABOR],D_CECO!B:H,7,FALSE),"")</f>
        <v>LINEAL</v>
      </c>
      <c r="K531" s="427" t="str">
        <f>IF(BD_MO[FECHA]&lt;&gt;"",VLOOKUP(BD_MO[LABOR],D_CECO!B:H,4,FALSE),"")</f>
        <v>EXPLORACION</v>
      </c>
      <c r="L531" s="427"/>
      <c r="M531" s="425"/>
      <c r="N531" s="428"/>
      <c r="O531" s="429" t="s">
        <v>12091</v>
      </c>
      <c r="P531" s="429" t="s">
        <v>12159</v>
      </c>
      <c r="Q531" s="429"/>
      <c r="R531" s="430"/>
      <c r="S531" s="431" t="str">
        <f>IFERROR(VLOOKUP(BD_MO[DNI 4],#REF!,2,FALSE)," ")</f>
        <v xml:space="preserve"> </v>
      </c>
      <c r="T531" s="432">
        <f>+IF(BD_MO[[#This Row],[FECHA]]&lt;&gt;"",COUNTA(BD_MO[[#This Row],[DNI]],BD_MO[[#This Row],[DNI 2]],BD_MO[[#This Row],[DNI 3]],BD_MO[[#This Row],[DNI 4]]),"")</f>
        <v>2</v>
      </c>
      <c r="U531" s="432">
        <v>0.9</v>
      </c>
      <c r="V531" s="432">
        <v>0.2</v>
      </c>
      <c r="W531" s="432">
        <v>0.6</v>
      </c>
      <c r="X531" s="432">
        <v>0.3</v>
      </c>
      <c r="Y531" s="433">
        <f>SUM(BD_MO[[#This Row],[LIMP]:[SERV]])</f>
        <v>2</v>
      </c>
      <c r="Z531" s="428" t="s">
        <v>12470</v>
      </c>
      <c r="AA531" s="428">
        <f>+IF(BD_MO[[#This Row],[N° VALE]]&lt;&gt;"",1,"")</f>
        <v>1</v>
      </c>
      <c r="AB531" s="425" t="s">
        <v>10709</v>
      </c>
      <c r="AC531" s="428">
        <v>4</v>
      </c>
      <c r="AD531" s="428">
        <f>+IF(BD_MO[[#This Row],[N° VALE]]&lt;&gt;"",BD_MO[[#This Row],[FULMINANTE N° 08]]+BD_MO[CARMEX 7''],"")</f>
        <v>8</v>
      </c>
      <c r="AE531" s="428"/>
      <c r="AF531" s="428">
        <f>+IF(BD_MO[[#This Row],[N° VALE]]&lt;&gt;"",BD_MO[[#This Row],[N° TALADROS]]+BD_MO[[#This Row],[N° TAL. VACIOS]],"")</f>
        <v>8</v>
      </c>
      <c r="AG531" s="434"/>
      <c r="AH531" s="434">
        <v>24</v>
      </c>
      <c r="AI531" s="434"/>
      <c r="AJ531" s="434"/>
      <c r="AK531" s="434">
        <v>8</v>
      </c>
      <c r="AL531" s="434">
        <v>2</v>
      </c>
      <c r="AM531" s="427"/>
      <c r="AN531" s="428">
        <f>+IF(BD_MO[[#This Row],[N° TALADROS]]&lt;&gt;"",IF(BD_MO[[#This Row],[FULMINANTE N° 08]]&lt;&gt;0,BD_MO[[#This Row],[FULMINANTE N° 08]]*IF(BD_MO[[#This Row],[BARRA]]=5,2.14,IF(BD_MO[[#This Row],[BARRA]]=8,2.75,1.83)),0),"")</f>
        <v>0</v>
      </c>
      <c r="AO531" s="428">
        <f>+IF(BD_MO[[#This Row],[N° VALE]]&lt;&gt;"",IF(BD_MO[[#This Row],[FULMINANTE N° 08]]&lt;&gt;"",BD_MO[[#This Row],[FULMINANTE N° 08]],IF(BD_MO[[#This Row],[CARMEX 7'']]&lt;&gt;0,0,"")),"")</f>
        <v>0</v>
      </c>
      <c r="AP531" s="432">
        <f>+IF(BD_MO[[#This Row],[N° VALE]]&lt;&gt;"",BD_MO[[#This Row],[N°  TOTAL TALADROS]]*BD_MO[[#This Row],[BARRA]]*0.95,"")</f>
        <v>30.4</v>
      </c>
      <c r="AQ531" s="432">
        <f>+IF(BD_MO[[#This Row],[N° VALE]]&lt;&gt;"",BD_MO[[#This Row],[EMULNOR 1000 (N° CART.)]]*PE_EMUL_1000[PE],"")</f>
        <v>2.2728000000000002</v>
      </c>
      <c r="AR531" s="432">
        <f>+IF(BD_MO[[#This Row],[N° VALE]]&lt;&gt;"",BD_MO[[#This Row],[EMULNOR 3000 (N° CART.)]]*PE_EMUL_3000[PE],"")</f>
        <v>0</v>
      </c>
      <c r="AS531" s="432">
        <f>+IF(BD_MO[[#This Row],[N° VALE]]&lt;&gt;"",BD_MO[[#This Row],[PULVERULENTA (N° CART.)]]*PE_PULV_65[PE],"")</f>
        <v>0</v>
      </c>
      <c r="AT531" s="432">
        <f>+IF(BD_MO[[#This Row],[N° DISP]]&lt;&gt;"",BD_MO[[#This Row],[SEMIGELATINA (N° CART.)]]*PE_SEMIGEL_65[PE],"")</f>
        <v>0</v>
      </c>
      <c r="AU531" s="432">
        <f>+IF(BD_MO[N° VALE]&lt;&gt;"",BD_MO[[#This Row],[KG EXPLO SEMIGEL]]+BD_MO[[#This Row],[KG EXPLO PULVE]]+BD_MO[[#This Row],[KG EXPLO EMULN 3000]]+BD_MO[[#This Row],[KG EXPLO EMULN 1000]],"")</f>
        <v>2.2728000000000002</v>
      </c>
      <c r="AV531" s="428"/>
      <c r="AW531" s="428">
        <v>2</v>
      </c>
      <c r="AX531" s="428" t="str">
        <f>+IF(BD_MO[[#This Row],[MINERAL (U-35)]]&lt;&gt;"",BD_MO[[#This Row],[MINERAL (U-35)]]*1.45,"-")</f>
        <v>-</v>
      </c>
      <c r="AY531" s="428">
        <f>+IF(BD_MO[[#This Row],[DESMONTE (U-35)]]&lt;&gt;"",BD_MO[[#This Row],[DESMONTE (U-35)]]*1.23,"-")</f>
        <v>2.46</v>
      </c>
      <c r="AZ531" s="428"/>
      <c r="BA531" s="428"/>
      <c r="BB531" s="428"/>
      <c r="BC531" s="428"/>
      <c r="BD531" s="428"/>
      <c r="BE531" s="428"/>
      <c r="BF531" s="428"/>
      <c r="BG531" s="428"/>
      <c r="BH531" s="428"/>
      <c r="BI531" s="428"/>
      <c r="BJ531" s="428">
        <v>1</v>
      </c>
      <c r="BK531" s="428"/>
      <c r="BL531" s="428"/>
      <c r="BM531" s="428"/>
      <c r="BN531" s="427"/>
      <c r="BO531" s="428">
        <v>1</v>
      </c>
      <c r="BP531" s="428"/>
      <c r="BQ531" s="427"/>
      <c r="BR531" s="428"/>
      <c r="BS531" s="427"/>
      <c r="BT531" s="432">
        <v>2.7</v>
      </c>
      <c r="BU531" s="428"/>
      <c r="BV531" s="428"/>
      <c r="BW531" s="428">
        <v>5</v>
      </c>
      <c r="BX531" s="428"/>
      <c r="BY531" s="428"/>
      <c r="BZ531" s="428"/>
      <c r="CA531" s="428"/>
      <c r="CB531" s="428"/>
      <c r="CC531" s="428"/>
      <c r="CD531" s="428"/>
      <c r="CE531" s="428"/>
      <c r="CF531" s="428"/>
      <c r="CG531" s="428"/>
      <c r="CH531" s="428"/>
      <c r="CI531" s="428"/>
      <c r="CJ531" s="428"/>
      <c r="CK531" s="428"/>
      <c r="CL531" s="428">
        <v>1</v>
      </c>
      <c r="CM531" s="428">
        <v>2</v>
      </c>
      <c r="CN531" s="428">
        <v>3</v>
      </c>
      <c r="CO531" s="428"/>
      <c r="CP531" s="432">
        <f>+IF(BD_MO[[#This Row],[FECHA]]&lt;&gt;"",BD_MO[[#This Row],[PUNTAL 4"]]+BD_MO[[#This Row],[PUNTAL 5"]]+BD_MO[[#This Row],[PUNTAL 6"]]+BD_MO[[#This Row],[PUNTAL 7"]]+BD_MO[[#This Row],[PUNTAL 8"]],"")</f>
        <v>6</v>
      </c>
      <c r="CQ531" s="428"/>
      <c r="CR531" s="428"/>
      <c r="CS531" s="428">
        <v>10</v>
      </c>
      <c r="CT531" s="428"/>
      <c r="CU531" s="428"/>
      <c r="CV531" s="428"/>
      <c r="CW531" s="428"/>
      <c r="CX531" s="428">
        <v>1</v>
      </c>
      <c r="CY531" s="432"/>
      <c r="CZ531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550.14800000000002</v>
      </c>
      <c r="DA531" s="432">
        <f>+IF(BD_MO[[#This Row],[FECHA]]&lt;&gt;"",BD_MO[[#This Row],[DURMIENTE2]]*6.561+BD_MO[[#This Row],[LISTONES]]*4.921+BD_MO[[#This Row],[TABLA 1"x8"x3m]]*6.561+BD_MO[[#This Row],[TABLA 2"x8"x3m]]*13.122,"")</f>
        <v>13.122</v>
      </c>
      <c r="DB531" s="432">
        <f>+IF(BD_MO[[#This Row],[FECHA]]&lt;&gt;"",BD_MO[[#This Row],[PIE2 MADERA ASERRADA]]*1.95,"")</f>
        <v>25.587899999999998</v>
      </c>
      <c r="DC531" s="432">
        <f>+IF(BD_MO[[#This Row],[FECHA]]&lt;&gt;"",BD_MO[[#This Row],[KG. MADERA REDONDA]]+BD_MO[[#This Row],[KG MADERA ASERRADA]],"")</f>
        <v>575.73590000000002</v>
      </c>
      <c r="DD531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244.92</v>
      </c>
      <c r="DE531" s="428"/>
      <c r="DF531" s="428"/>
      <c r="DG531" s="428"/>
      <c r="DH531" s="428"/>
      <c r="DI531" s="436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>1.08</v>
      </c>
      <c r="DJ531" s="436"/>
      <c r="DK531" s="436"/>
      <c r="DL531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31" s="436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>0</v>
      </c>
      <c r="DN531" s="436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>0</v>
      </c>
      <c r="DO531" s="437"/>
      <c r="DP531" s="436">
        <f>+IF(BD_MO[[#This Row],[M o D]]&lt;&gt;"",IF(BD_MO[[#This Row],[M o D]]="M",BD_MO[[#This Row],[ROTURA TMH]]/2.65,BD_MO[[#This Row],[ROTURA TMH]]/2.4),"")</f>
        <v>0</v>
      </c>
      <c r="DQ531" s="436"/>
      <c r="DR531" s="493">
        <f>(BD_MO[[#This Row],[AVANCE (m)]]/BD_MO[[#This Row],[AVANCE TEÓRICO]])*100</f>
        <v>0</v>
      </c>
      <c r="DS531" s="134"/>
      <c r="DT531" s="134"/>
      <c r="DU531" s="134"/>
      <c r="DV531" s="134"/>
      <c r="DW531" s="134"/>
      <c r="DX531" s="135"/>
      <c r="DY531" s="135"/>
      <c r="DZ531" s="135"/>
    </row>
    <row r="532" spans="1:130" s="136" customFormat="1" ht="18" customHeight="1" x14ac:dyDescent="0.25">
      <c r="A532" s="488">
        <v>44681</v>
      </c>
      <c r="B532" s="489" t="s">
        <v>10655</v>
      </c>
      <c r="C532" s="489" t="s">
        <v>10668</v>
      </c>
      <c r="D532" s="94" t="s">
        <v>12339</v>
      </c>
      <c r="E532" s="427" t="str">
        <f>LEFT(BD_MO[[#This Row],[LABOR]],2)</f>
        <v>Tj</v>
      </c>
      <c r="F532" s="428"/>
      <c r="G532" s="428" t="s">
        <v>10656</v>
      </c>
      <c r="H532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LIMPIEZA</v>
      </c>
      <c r="I532" s="427" t="str">
        <f>IF(BD_MO[FECHA]&lt;&gt;"",VLOOKUP(BD_MO[LABOR],TB_CECO[[LABOR]:[CECO_T]],3,FALSE),"")</f>
        <v>ESCONDIDA</v>
      </c>
      <c r="J532" s="427" t="str">
        <f>IF(BD_MO[FECHA]&lt;&gt;"",VLOOKUP(BD_MO[LABOR],D_CECO!B:H,7,FALSE),"")</f>
        <v>TAJO</v>
      </c>
      <c r="K532" s="427" t="str">
        <f>IF(BD_MO[FECHA]&lt;&gt;"",VLOOKUP(BD_MO[LABOR],D_CECO!B:H,4,FALSE),"")</f>
        <v>EXPLOTACION</v>
      </c>
      <c r="L532" s="427"/>
      <c r="M532" s="425"/>
      <c r="N532" s="428"/>
      <c r="O532" s="429" t="s">
        <v>12306</v>
      </c>
      <c r="P532" s="429" t="s">
        <v>12093</v>
      </c>
      <c r="Q532" s="429"/>
      <c r="R532" s="430"/>
      <c r="S532" s="431" t="str">
        <f>IFERROR(VLOOKUP(BD_MO[DNI 4],#REF!,2,FALSE)," ")</f>
        <v xml:space="preserve"> </v>
      </c>
      <c r="T532" s="432">
        <f>+IF(BD_MO[[#This Row],[FECHA]]&lt;&gt;"",COUNTA(BD_MO[[#This Row],[DNI]],BD_MO[[#This Row],[DNI 2]],BD_MO[[#This Row],[DNI 3]],BD_MO[[#This Row],[DNI 4]]),"")</f>
        <v>2</v>
      </c>
      <c r="U532" s="432">
        <v>0.9</v>
      </c>
      <c r="V532" s="432"/>
      <c r="W532" s="432">
        <v>0.8</v>
      </c>
      <c r="X532" s="432">
        <v>0.3</v>
      </c>
      <c r="Y532" s="433">
        <f>SUM(BD_MO[[#This Row],[LIMP]:[SERV]])</f>
        <v>2</v>
      </c>
      <c r="Z532" s="428"/>
      <c r="AA532" s="428" t="str">
        <f>+IF(BD_MO[[#This Row],[N° VALE]]&lt;&gt;"",1,"")</f>
        <v/>
      </c>
      <c r="AB532" s="425"/>
      <c r="AC532" s="428"/>
      <c r="AD532" s="428" t="str">
        <f>+IF(BD_MO[[#This Row],[N° VALE]]&lt;&gt;"",BD_MO[[#This Row],[FULMINANTE N° 08]]+BD_MO[CARMEX 7''],"")</f>
        <v/>
      </c>
      <c r="AE532" s="428"/>
      <c r="AF532" s="428" t="str">
        <f>+IF(BD_MO[[#This Row],[N° VALE]]&lt;&gt;"",BD_MO[[#This Row],[N° TALADROS]]+BD_MO[[#This Row],[N° TAL. VACIOS]],"")</f>
        <v/>
      </c>
      <c r="AG532" s="434"/>
      <c r="AH532" s="434"/>
      <c r="AI532" s="434"/>
      <c r="AJ532" s="434"/>
      <c r="AK532" s="434"/>
      <c r="AL532" s="434"/>
      <c r="AM532" s="427"/>
      <c r="AN532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32" s="428" t="str">
        <f>+IF(BD_MO[[#This Row],[N° VALE]]&lt;&gt;"",IF(BD_MO[[#This Row],[FULMINANTE N° 08]]&lt;&gt;"",BD_MO[[#This Row],[FULMINANTE N° 08]],IF(BD_MO[[#This Row],[CARMEX 7'']]&lt;&gt;0,0,"")),"")</f>
        <v/>
      </c>
      <c r="AP532" s="432" t="str">
        <f>+IF(BD_MO[[#This Row],[N° VALE]]&lt;&gt;"",BD_MO[[#This Row],[N°  TOTAL TALADROS]]*BD_MO[[#This Row],[BARRA]]*0.95,"")</f>
        <v/>
      </c>
      <c r="AQ532" s="432" t="str">
        <f>+IF(BD_MO[[#This Row],[N° VALE]]&lt;&gt;"",BD_MO[[#This Row],[EMULNOR 1000 (N° CART.)]]*PE_EMUL_1000[PE],"")</f>
        <v/>
      </c>
      <c r="AR532" s="432" t="str">
        <f>+IF(BD_MO[[#This Row],[N° VALE]]&lt;&gt;"",BD_MO[[#This Row],[EMULNOR 3000 (N° CART.)]]*PE_EMUL_3000[PE],"")</f>
        <v/>
      </c>
      <c r="AS532" s="432" t="str">
        <f>+IF(BD_MO[[#This Row],[N° VALE]]&lt;&gt;"",BD_MO[[#This Row],[PULVERULENTA (N° CART.)]]*PE_PULV_65[PE],"")</f>
        <v/>
      </c>
      <c r="AT532" s="432" t="str">
        <f>+IF(BD_MO[[#This Row],[N° DISP]]&lt;&gt;"",BD_MO[[#This Row],[SEMIGELATINA (N° CART.)]]*PE_SEMIGEL_65[PE],"")</f>
        <v/>
      </c>
      <c r="AU532" s="432" t="str">
        <f>+IF(BD_MO[N° VALE]&lt;&gt;"",BD_MO[[#This Row],[KG EXPLO SEMIGEL]]+BD_MO[[#This Row],[KG EXPLO PULVE]]+BD_MO[[#This Row],[KG EXPLO EMULN 3000]]+BD_MO[[#This Row],[KG EXPLO EMULN 1000]],"")</f>
        <v/>
      </c>
      <c r="AV532" s="428">
        <v>4</v>
      </c>
      <c r="AW532" s="428"/>
      <c r="AX532" s="428">
        <f>+IF(BD_MO[[#This Row],[MINERAL (U-35)]]&lt;&gt;"",BD_MO[[#This Row],[MINERAL (U-35)]]*1.45,"-")</f>
        <v>5.8</v>
      </c>
      <c r="AY532" s="428" t="str">
        <f>+IF(BD_MO[[#This Row],[DESMONTE (U-35)]]&lt;&gt;"",BD_MO[[#This Row],[DESMONTE (U-35)]]*1.23,"-")</f>
        <v>-</v>
      </c>
      <c r="AZ532" s="428"/>
      <c r="BA532" s="428"/>
      <c r="BB532" s="428"/>
      <c r="BC532" s="428"/>
      <c r="BD532" s="428"/>
      <c r="BE532" s="428"/>
      <c r="BF532" s="428"/>
      <c r="BG532" s="428"/>
      <c r="BH532" s="428"/>
      <c r="BI532" s="428">
        <v>2</v>
      </c>
      <c r="BJ532" s="428"/>
      <c r="BK532" s="428"/>
      <c r="BL532" s="428"/>
      <c r="BM532" s="428"/>
      <c r="BN532" s="427"/>
      <c r="BO532" s="428"/>
      <c r="BP532" s="428"/>
      <c r="BQ532" s="427"/>
      <c r="BR532" s="428"/>
      <c r="BS532" s="427"/>
      <c r="BT532" s="432"/>
      <c r="BU532" s="428"/>
      <c r="BV532" s="428"/>
      <c r="BW532" s="428"/>
      <c r="BX532" s="428"/>
      <c r="BY532" s="428"/>
      <c r="BZ532" s="428"/>
      <c r="CA532" s="428"/>
      <c r="CB532" s="428"/>
      <c r="CC532" s="428"/>
      <c r="CD532" s="428"/>
      <c r="CE532" s="428">
        <v>1</v>
      </c>
      <c r="CF532" s="428"/>
      <c r="CG532" s="428"/>
      <c r="CH532" s="428"/>
      <c r="CI532" s="428"/>
      <c r="CJ532" s="428"/>
      <c r="CK532" s="428"/>
      <c r="CL532" s="428"/>
      <c r="CM532" s="428"/>
      <c r="CN532" s="428">
        <v>1</v>
      </c>
      <c r="CO532" s="428"/>
      <c r="CP532" s="432">
        <f>+IF(BD_MO[[#This Row],[FECHA]]&lt;&gt;"",BD_MO[[#This Row],[PUNTAL 4"]]+BD_MO[[#This Row],[PUNTAL 5"]]+BD_MO[[#This Row],[PUNTAL 6"]]+BD_MO[[#This Row],[PUNTAL 7"]]+BD_MO[[#This Row],[PUNTAL 8"]],"")</f>
        <v>1</v>
      </c>
      <c r="CQ532" s="428"/>
      <c r="CR532" s="428"/>
      <c r="CS532" s="428"/>
      <c r="CT532" s="428"/>
      <c r="CU532" s="428">
        <v>1</v>
      </c>
      <c r="CV532" s="428"/>
      <c r="CW532" s="428"/>
      <c r="CX532" s="428"/>
      <c r="CY532" s="432"/>
      <c r="CZ532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61.079000000000001</v>
      </c>
      <c r="DA532" s="432">
        <f>+IF(BD_MO[[#This Row],[FECHA]]&lt;&gt;"",BD_MO[[#This Row],[DURMIENTE2]]*6.561+BD_MO[[#This Row],[LISTONES]]*4.921+BD_MO[[#This Row],[TABLA 1"x8"x3m]]*6.561+BD_MO[[#This Row],[TABLA 2"x8"x3m]]*13.122,"")</f>
        <v>0</v>
      </c>
      <c r="DB532" s="432">
        <f>+IF(BD_MO[[#This Row],[FECHA]]&lt;&gt;"",BD_MO[[#This Row],[PIE2 MADERA ASERRADA]]*1.95,"")</f>
        <v>0</v>
      </c>
      <c r="DC532" s="432">
        <f>+IF(BD_MO[[#This Row],[FECHA]]&lt;&gt;"",BD_MO[[#This Row],[KG. MADERA REDONDA]]+BD_MO[[#This Row],[KG MADERA ASERRADA]],"")</f>
        <v>61.079000000000001</v>
      </c>
      <c r="DD532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55.94</v>
      </c>
      <c r="DE532" s="428"/>
      <c r="DF532" s="428"/>
      <c r="DG532" s="428"/>
      <c r="DH532" s="428"/>
      <c r="DI532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32" s="436"/>
      <c r="DK532" s="436"/>
      <c r="DL532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32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32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32" s="437"/>
      <c r="DP532" s="436" t="str">
        <f>+IF(BD_MO[[#This Row],[M o D]]&lt;&gt;"",IF(BD_MO[[#This Row],[M o D]]="M",BD_MO[[#This Row],[ROTURA TMH]]/2.65,BD_MO[[#This Row],[ROTURA TMH]]/2.4),"")</f>
        <v/>
      </c>
      <c r="DQ532" s="436"/>
      <c r="DR532" s="493" t="e">
        <f>(BD_MO[[#This Row],[AVANCE (m)]]/BD_MO[[#This Row],[AVANCE TEÓRICO]])*100</f>
        <v>#VALUE!</v>
      </c>
      <c r="DS532" s="134"/>
      <c r="DT532" s="134"/>
      <c r="DU532" s="134"/>
      <c r="DV532" s="134"/>
      <c r="DW532" s="134"/>
      <c r="DX532" s="135"/>
      <c r="DY532" s="135"/>
      <c r="DZ532" s="135"/>
    </row>
    <row r="533" spans="1:130" s="136" customFormat="1" ht="18" customHeight="1" x14ac:dyDescent="0.25">
      <c r="A533" s="488">
        <v>44681</v>
      </c>
      <c r="B533" s="489" t="s">
        <v>10655</v>
      </c>
      <c r="C533" s="489" t="s">
        <v>10668</v>
      </c>
      <c r="D533" s="94" t="s">
        <v>10952</v>
      </c>
      <c r="E533" s="427" t="str">
        <f>LEFT(BD_MO[[#This Row],[LABOR]],2)</f>
        <v>In</v>
      </c>
      <c r="F533" s="428"/>
      <c r="G533" s="428" t="s">
        <v>10669</v>
      </c>
      <c r="H533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33" s="427" t="str">
        <f>IF(BD_MO[FECHA]&lt;&gt;"",VLOOKUP(BD_MO[LABOR],TB_CECO[[LABOR]:[CECO_T]],3,FALSE),"")</f>
        <v>VANESSA</v>
      </c>
      <c r="J533" s="427" t="str">
        <f>IF(BD_MO[FECHA]&lt;&gt;"",VLOOKUP(BD_MO[LABOR],D_CECO!B:H,7,FALSE),"")</f>
        <v>LINEAL</v>
      </c>
      <c r="K533" s="427" t="str">
        <f>IF(BD_MO[FECHA]&lt;&gt;"",VLOOKUP(BD_MO[LABOR],D_CECO!B:H,4,FALSE),"")</f>
        <v>EXPLORACION</v>
      </c>
      <c r="L533" s="427"/>
      <c r="M533" s="425"/>
      <c r="N533" s="428"/>
      <c r="O533" s="429" t="s">
        <v>12092</v>
      </c>
      <c r="P533" s="429" t="s">
        <v>12099</v>
      </c>
      <c r="Q533" s="429"/>
      <c r="R533" s="430"/>
      <c r="S533" s="431" t="str">
        <f>IFERROR(VLOOKUP(BD_MO[DNI 4],#REF!,2,FALSE)," ")</f>
        <v xml:space="preserve"> </v>
      </c>
      <c r="T533" s="432">
        <f>+IF(BD_MO[[#This Row],[FECHA]]&lt;&gt;"",COUNTA(BD_MO[[#This Row],[DNI]],BD_MO[[#This Row],[DNI 2]],BD_MO[[#This Row],[DNI 3]],BD_MO[[#This Row],[DNI 4]]),"")</f>
        <v>2</v>
      </c>
      <c r="U533" s="432"/>
      <c r="V533" s="432"/>
      <c r="W533" s="432"/>
      <c r="X533" s="432">
        <v>2</v>
      </c>
      <c r="Y533" s="433">
        <f>SUM(BD_MO[[#This Row],[LIMP]:[SERV]])</f>
        <v>2</v>
      </c>
      <c r="Z533" s="428"/>
      <c r="AA533" s="428" t="str">
        <f>+IF(BD_MO[[#This Row],[N° VALE]]&lt;&gt;"",1,"")</f>
        <v/>
      </c>
      <c r="AB533" s="425"/>
      <c r="AC533" s="428"/>
      <c r="AD533" s="428" t="str">
        <f>+IF(BD_MO[[#This Row],[N° VALE]]&lt;&gt;"",BD_MO[[#This Row],[FULMINANTE N° 08]]+BD_MO[CARMEX 7''],"")</f>
        <v/>
      </c>
      <c r="AE533" s="428"/>
      <c r="AF533" s="428" t="str">
        <f>+IF(BD_MO[[#This Row],[N° VALE]]&lt;&gt;"",BD_MO[[#This Row],[N° TALADROS]]+BD_MO[[#This Row],[N° TAL. VACIOS]],"")</f>
        <v/>
      </c>
      <c r="AG533" s="434"/>
      <c r="AH533" s="434"/>
      <c r="AI533" s="434"/>
      <c r="AJ533" s="434"/>
      <c r="AK533" s="434"/>
      <c r="AL533" s="434"/>
      <c r="AM533" s="427"/>
      <c r="AN533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33" s="428" t="str">
        <f>+IF(BD_MO[[#This Row],[N° VALE]]&lt;&gt;"",IF(BD_MO[[#This Row],[FULMINANTE N° 08]]&lt;&gt;"",BD_MO[[#This Row],[FULMINANTE N° 08]],IF(BD_MO[[#This Row],[CARMEX 7'']]&lt;&gt;0,0,"")),"")</f>
        <v/>
      </c>
      <c r="AP533" s="432" t="str">
        <f>+IF(BD_MO[[#This Row],[N° VALE]]&lt;&gt;"",BD_MO[[#This Row],[N°  TOTAL TALADROS]]*BD_MO[[#This Row],[BARRA]]*0.95,"")</f>
        <v/>
      </c>
      <c r="AQ533" s="432" t="str">
        <f>+IF(BD_MO[[#This Row],[N° VALE]]&lt;&gt;"",BD_MO[[#This Row],[EMULNOR 1000 (N° CART.)]]*PE_EMUL_1000[PE],"")</f>
        <v/>
      </c>
      <c r="AR533" s="432" t="str">
        <f>+IF(BD_MO[[#This Row],[N° VALE]]&lt;&gt;"",BD_MO[[#This Row],[EMULNOR 3000 (N° CART.)]]*PE_EMUL_3000[PE],"")</f>
        <v/>
      </c>
      <c r="AS533" s="432" t="str">
        <f>+IF(BD_MO[[#This Row],[N° VALE]]&lt;&gt;"",BD_MO[[#This Row],[PULVERULENTA (N° CART.)]]*PE_PULV_65[PE],"")</f>
        <v/>
      </c>
      <c r="AT533" s="432" t="str">
        <f>+IF(BD_MO[[#This Row],[N° DISP]]&lt;&gt;"",BD_MO[[#This Row],[SEMIGELATINA (N° CART.)]]*PE_SEMIGEL_65[PE],"")</f>
        <v/>
      </c>
      <c r="AU533" s="432" t="str">
        <f>+IF(BD_MO[N° VALE]&lt;&gt;"",BD_MO[[#This Row],[KG EXPLO SEMIGEL]]+BD_MO[[#This Row],[KG EXPLO PULVE]]+BD_MO[[#This Row],[KG EXPLO EMULN 3000]]+BD_MO[[#This Row],[KG EXPLO EMULN 1000]],"")</f>
        <v/>
      </c>
      <c r="AV533" s="428"/>
      <c r="AW533" s="428"/>
      <c r="AX533" s="428" t="str">
        <f>+IF(BD_MO[[#This Row],[MINERAL (U-35)]]&lt;&gt;"",BD_MO[[#This Row],[MINERAL (U-35)]]*1.45,"-")</f>
        <v>-</v>
      </c>
      <c r="AY533" s="428" t="str">
        <f>+IF(BD_MO[[#This Row],[DESMONTE (U-35)]]&lt;&gt;"",BD_MO[[#This Row],[DESMONTE (U-35)]]*1.23,"-")</f>
        <v>-</v>
      </c>
      <c r="AZ533" s="428"/>
      <c r="BA533" s="428"/>
      <c r="BB533" s="428"/>
      <c r="BC533" s="428"/>
      <c r="BD533" s="428"/>
      <c r="BE533" s="428"/>
      <c r="BF533" s="428"/>
      <c r="BG533" s="428"/>
      <c r="BH533" s="428"/>
      <c r="BI533" s="428"/>
      <c r="BJ533" s="428"/>
      <c r="BK533" s="428"/>
      <c r="BL533" s="428"/>
      <c r="BM533" s="428"/>
      <c r="BN533" s="427"/>
      <c r="BO533" s="428"/>
      <c r="BP533" s="428"/>
      <c r="BQ533" s="427"/>
      <c r="BR533" s="428"/>
      <c r="BS533" s="427"/>
      <c r="BT533" s="432"/>
      <c r="BU533" s="428"/>
      <c r="BV533" s="428"/>
      <c r="BW533" s="428"/>
      <c r="BX533" s="428"/>
      <c r="BY533" s="428"/>
      <c r="BZ533" s="428"/>
      <c r="CA533" s="428"/>
      <c r="CB533" s="428"/>
      <c r="CC533" s="428"/>
      <c r="CD533" s="428"/>
      <c r="CE533" s="428"/>
      <c r="CF533" s="428"/>
      <c r="CG533" s="428"/>
      <c r="CH533" s="428"/>
      <c r="CI533" s="428"/>
      <c r="CJ533" s="428"/>
      <c r="CK533" s="428"/>
      <c r="CL533" s="428"/>
      <c r="CM533" s="428"/>
      <c r="CN533" s="428"/>
      <c r="CO533" s="428"/>
      <c r="CP533" s="432">
        <f>+IF(BD_MO[[#This Row],[FECHA]]&lt;&gt;"",BD_MO[[#This Row],[PUNTAL 4"]]+BD_MO[[#This Row],[PUNTAL 5"]]+BD_MO[[#This Row],[PUNTAL 6"]]+BD_MO[[#This Row],[PUNTAL 7"]]+BD_MO[[#This Row],[PUNTAL 8"]],"")</f>
        <v>0</v>
      </c>
      <c r="CQ533" s="428"/>
      <c r="CR533" s="428"/>
      <c r="CS533" s="428"/>
      <c r="CT533" s="428"/>
      <c r="CU533" s="428"/>
      <c r="CV533" s="428"/>
      <c r="CW533" s="428"/>
      <c r="CX533" s="428"/>
      <c r="CY533" s="432"/>
      <c r="CZ533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33" s="432">
        <f>+IF(BD_MO[[#This Row],[FECHA]]&lt;&gt;"",BD_MO[[#This Row],[DURMIENTE2]]*6.561+BD_MO[[#This Row],[LISTONES]]*4.921+BD_MO[[#This Row],[TABLA 1"x8"x3m]]*6.561+BD_MO[[#This Row],[TABLA 2"x8"x3m]]*13.122,"")</f>
        <v>0</v>
      </c>
      <c r="DB533" s="432">
        <f>+IF(BD_MO[[#This Row],[FECHA]]&lt;&gt;"",BD_MO[[#This Row],[PIE2 MADERA ASERRADA]]*1.95,"")</f>
        <v>0</v>
      </c>
      <c r="DC533" s="432">
        <f>+IF(BD_MO[[#This Row],[FECHA]]&lt;&gt;"",BD_MO[[#This Row],[KG. MADERA REDONDA]]+BD_MO[[#This Row],[KG MADERA ASERRADA]],"")</f>
        <v>0</v>
      </c>
      <c r="DD533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33" s="428"/>
      <c r="DF533" s="428"/>
      <c r="DG533" s="428"/>
      <c r="DH533" s="428"/>
      <c r="DI533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33" s="436"/>
      <c r="DK533" s="436"/>
      <c r="DL533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33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33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33" s="437"/>
      <c r="DP533" s="436" t="str">
        <f>+IF(BD_MO[[#This Row],[M o D]]&lt;&gt;"",IF(BD_MO[[#This Row],[M o D]]="M",BD_MO[[#This Row],[ROTURA TMH]]/2.65,BD_MO[[#This Row],[ROTURA TMH]]/2.4),"")</f>
        <v/>
      </c>
      <c r="DQ533" s="436"/>
      <c r="DR533" s="493" t="e">
        <f>(BD_MO[[#This Row],[AVANCE (m)]]/BD_MO[[#This Row],[AVANCE TEÓRICO]])*100</f>
        <v>#VALUE!</v>
      </c>
      <c r="DS533" s="134"/>
      <c r="DT533" s="134"/>
      <c r="DU533" s="134"/>
      <c r="DV533" s="134"/>
      <c r="DW533" s="134"/>
      <c r="DX533" s="135"/>
      <c r="DY533" s="135"/>
      <c r="DZ533" s="135"/>
    </row>
    <row r="534" spans="1:130" s="136" customFormat="1" ht="18" customHeight="1" x14ac:dyDescent="0.25">
      <c r="A534" s="488">
        <v>44681</v>
      </c>
      <c r="B534" s="489" t="s">
        <v>10655</v>
      </c>
      <c r="C534" s="489" t="s">
        <v>10668</v>
      </c>
      <c r="D534" s="94" t="s">
        <v>11872</v>
      </c>
      <c r="E534" s="427" t="str">
        <f>LEFT(BD_MO[[#This Row],[LABOR]],2)</f>
        <v>PQ</v>
      </c>
      <c r="F534" s="428"/>
      <c r="G534" s="428" t="s">
        <v>10669</v>
      </c>
      <c r="H534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34" s="427" t="str">
        <f>IF(BD_MO[FECHA]&lt;&gt;"",VLOOKUP(BD_MO[LABOR],TB_CECO[[LABOR]:[CECO_T]],3,FALSE),"")</f>
        <v>ANDREA</v>
      </c>
      <c r="J534" s="427" t="str">
        <f>IF(BD_MO[FECHA]&lt;&gt;"",VLOOKUP(BD_MO[LABOR],D_CECO!B:H,7,FALSE),"")</f>
        <v>LINEAL</v>
      </c>
      <c r="K534" s="427" t="str">
        <f>IF(BD_MO[FECHA]&lt;&gt;"",VLOOKUP(BD_MO[LABOR],D_CECO!B:H,4,FALSE),"")</f>
        <v>EXPLOTACION</v>
      </c>
      <c r="L534" s="427"/>
      <c r="M534" s="425"/>
      <c r="N534" s="428"/>
      <c r="O534" s="429" t="s">
        <v>12097</v>
      </c>
      <c r="P534" s="429" t="s">
        <v>12090</v>
      </c>
      <c r="Q534" s="429" t="s">
        <v>12089</v>
      </c>
      <c r="R534" s="430"/>
      <c r="S534" s="431" t="str">
        <f>IFERROR(VLOOKUP(BD_MO[DNI 4],#REF!,2,FALSE)," ")</f>
        <v xml:space="preserve"> </v>
      </c>
      <c r="T534" s="432">
        <f>+IF(BD_MO[[#This Row],[FECHA]]&lt;&gt;"",COUNTA(BD_MO[[#This Row],[DNI]],BD_MO[[#This Row],[DNI 2]],BD_MO[[#This Row],[DNI 3]],BD_MO[[#This Row],[DNI 4]]),"")</f>
        <v>3</v>
      </c>
      <c r="U534" s="432"/>
      <c r="V534" s="432"/>
      <c r="W534" s="432"/>
      <c r="X534" s="432">
        <v>3</v>
      </c>
      <c r="Y534" s="433">
        <f>SUM(BD_MO[[#This Row],[LIMP]:[SERV]])</f>
        <v>3</v>
      </c>
      <c r="Z534" s="428"/>
      <c r="AA534" s="428" t="str">
        <f>+IF(BD_MO[[#This Row],[N° VALE]]&lt;&gt;"",1,"")</f>
        <v/>
      </c>
      <c r="AB534" s="425"/>
      <c r="AC534" s="428"/>
      <c r="AD534" s="428" t="str">
        <f>+IF(BD_MO[[#This Row],[N° VALE]]&lt;&gt;"",BD_MO[[#This Row],[FULMINANTE N° 08]]+BD_MO[CARMEX 7''],"")</f>
        <v/>
      </c>
      <c r="AE534" s="428"/>
      <c r="AF534" s="428" t="str">
        <f>+IF(BD_MO[[#This Row],[N° VALE]]&lt;&gt;"",BD_MO[[#This Row],[N° TALADROS]]+BD_MO[[#This Row],[N° TAL. VACIOS]],"")</f>
        <v/>
      </c>
      <c r="AG534" s="434"/>
      <c r="AH534" s="434"/>
      <c r="AI534" s="434"/>
      <c r="AJ534" s="434"/>
      <c r="AK534" s="434"/>
      <c r="AL534" s="434"/>
      <c r="AM534" s="427"/>
      <c r="AN534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34" s="428" t="str">
        <f>+IF(BD_MO[[#This Row],[N° VALE]]&lt;&gt;"",IF(BD_MO[[#This Row],[FULMINANTE N° 08]]&lt;&gt;"",BD_MO[[#This Row],[FULMINANTE N° 08]],IF(BD_MO[[#This Row],[CARMEX 7'']]&lt;&gt;0,0,"")),"")</f>
        <v/>
      </c>
      <c r="AP534" s="432" t="str">
        <f>+IF(BD_MO[[#This Row],[N° VALE]]&lt;&gt;"",BD_MO[[#This Row],[N°  TOTAL TALADROS]]*BD_MO[[#This Row],[BARRA]]*0.95,"")</f>
        <v/>
      </c>
      <c r="AQ534" s="432" t="str">
        <f>+IF(BD_MO[[#This Row],[N° VALE]]&lt;&gt;"",BD_MO[[#This Row],[EMULNOR 1000 (N° CART.)]]*PE_EMUL_1000[PE],"")</f>
        <v/>
      </c>
      <c r="AR534" s="432" t="str">
        <f>+IF(BD_MO[[#This Row],[N° VALE]]&lt;&gt;"",BD_MO[[#This Row],[EMULNOR 3000 (N° CART.)]]*PE_EMUL_3000[PE],"")</f>
        <v/>
      </c>
      <c r="AS534" s="432" t="str">
        <f>+IF(BD_MO[[#This Row],[N° VALE]]&lt;&gt;"",BD_MO[[#This Row],[PULVERULENTA (N° CART.)]]*PE_PULV_65[PE],"")</f>
        <v/>
      </c>
      <c r="AT534" s="432" t="str">
        <f>+IF(BD_MO[[#This Row],[N° DISP]]&lt;&gt;"",BD_MO[[#This Row],[SEMIGELATINA (N° CART.)]]*PE_SEMIGEL_65[PE],"")</f>
        <v/>
      </c>
      <c r="AU534" s="432" t="str">
        <f>+IF(BD_MO[N° VALE]&lt;&gt;"",BD_MO[[#This Row],[KG EXPLO SEMIGEL]]+BD_MO[[#This Row],[KG EXPLO PULVE]]+BD_MO[[#This Row],[KG EXPLO EMULN 3000]]+BD_MO[[#This Row],[KG EXPLO EMULN 1000]],"")</f>
        <v/>
      </c>
      <c r="AV534" s="428"/>
      <c r="AW534" s="428"/>
      <c r="AX534" s="428" t="str">
        <f>+IF(BD_MO[[#This Row],[MINERAL (U-35)]]&lt;&gt;"",BD_MO[[#This Row],[MINERAL (U-35)]]*1.45,"-")</f>
        <v>-</v>
      </c>
      <c r="AY534" s="428" t="str">
        <f>+IF(BD_MO[[#This Row],[DESMONTE (U-35)]]&lt;&gt;"",BD_MO[[#This Row],[DESMONTE (U-35)]]*1.23,"-")</f>
        <v>-</v>
      </c>
      <c r="AZ534" s="428"/>
      <c r="BA534" s="428"/>
      <c r="BB534" s="428"/>
      <c r="BC534" s="428"/>
      <c r="BD534" s="428"/>
      <c r="BE534" s="428"/>
      <c r="BF534" s="428"/>
      <c r="BG534" s="428"/>
      <c r="BH534" s="428"/>
      <c r="BI534" s="428"/>
      <c r="BJ534" s="428"/>
      <c r="BK534" s="428"/>
      <c r="BL534" s="428"/>
      <c r="BM534" s="428"/>
      <c r="BN534" s="427"/>
      <c r="BO534" s="428"/>
      <c r="BP534" s="428"/>
      <c r="BQ534" s="427"/>
      <c r="BR534" s="428"/>
      <c r="BS534" s="427"/>
      <c r="BT534" s="432"/>
      <c r="BU534" s="428"/>
      <c r="BV534" s="428"/>
      <c r="BW534" s="428"/>
      <c r="BX534" s="428"/>
      <c r="BY534" s="428"/>
      <c r="BZ534" s="428"/>
      <c r="CA534" s="428"/>
      <c r="CB534" s="428"/>
      <c r="CC534" s="428"/>
      <c r="CD534" s="428"/>
      <c r="CE534" s="428"/>
      <c r="CF534" s="428"/>
      <c r="CG534" s="428"/>
      <c r="CH534" s="428"/>
      <c r="CI534" s="428"/>
      <c r="CJ534" s="428"/>
      <c r="CK534" s="428"/>
      <c r="CL534" s="428"/>
      <c r="CM534" s="428"/>
      <c r="CN534" s="428"/>
      <c r="CO534" s="428"/>
      <c r="CP534" s="432">
        <f>+IF(BD_MO[[#This Row],[FECHA]]&lt;&gt;"",BD_MO[[#This Row],[PUNTAL 4"]]+BD_MO[[#This Row],[PUNTAL 5"]]+BD_MO[[#This Row],[PUNTAL 6"]]+BD_MO[[#This Row],[PUNTAL 7"]]+BD_MO[[#This Row],[PUNTAL 8"]],"")</f>
        <v>0</v>
      </c>
      <c r="CQ534" s="428"/>
      <c r="CR534" s="428"/>
      <c r="CS534" s="428"/>
      <c r="CT534" s="428"/>
      <c r="CU534" s="428"/>
      <c r="CV534" s="428"/>
      <c r="CW534" s="428"/>
      <c r="CX534" s="428"/>
      <c r="CY534" s="432"/>
      <c r="CZ534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34" s="432">
        <f>+IF(BD_MO[[#This Row],[FECHA]]&lt;&gt;"",BD_MO[[#This Row],[DURMIENTE2]]*6.561+BD_MO[[#This Row],[LISTONES]]*4.921+BD_MO[[#This Row],[TABLA 1"x8"x3m]]*6.561+BD_MO[[#This Row],[TABLA 2"x8"x3m]]*13.122,"")</f>
        <v>0</v>
      </c>
      <c r="DB534" s="432">
        <f>+IF(BD_MO[[#This Row],[FECHA]]&lt;&gt;"",BD_MO[[#This Row],[PIE2 MADERA ASERRADA]]*1.95,"")</f>
        <v>0</v>
      </c>
      <c r="DC534" s="432">
        <f>+IF(BD_MO[[#This Row],[FECHA]]&lt;&gt;"",BD_MO[[#This Row],[KG. MADERA REDONDA]]+BD_MO[[#This Row],[KG MADERA ASERRADA]],"")</f>
        <v>0</v>
      </c>
      <c r="DD534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34" s="428"/>
      <c r="DF534" s="428"/>
      <c r="DG534" s="428"/>
      <c r="DH534" s="428"/>
      <c r="DI534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34" s="436"/>
      <c r="DK534" s="436"/>
      <c r="DL534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34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34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34" s="437"/>
      <c r="DP534" s="436" t="str">
        <f>+IF(BD_MO[[#This Row],[M o D]]&lt;&gt;"",IF(BD_MO[[#This Row],[M o D]]="M",BD_MO[[#This Row],[ROTURA TMH]]/2.65,BD_MO[[#This Row],[ROTURA TMH]]/2.4),"")</f>
        <v/>
      </c>
      <c r="DQ534" s="436"/>
      <c r="DR534" s="493" t="e">
        <f>(BD_MO[[#This Row],[AVANCE (m)]]/BD_MO[[#This Row],[AVANCE TEÓRICO]])*100</f>
        <v>#VALUE!</v>
      </c>
      <c r="DS534" s="134"/>
      <c r="DT534" s="134"/>
      <c r="DU534" s="134"/>
      <c r="DV534" s="134"/>
      <c r="DW534" s="134"/>
      <c r="DX534" s="135"/>
      <c r="DY534" s="135"/>
      <c r="DZ534" s="135"/>
    </row>
    <row r="535" spans="1:130" s="136" customFormat="1" ht="18" customHeight="1" x14ac:dyDescent="0.25">
      <c r="A535" s="488">
        <v>44681</v>
      </c>
      <c r="B535" s="489" t="s">
        <v>10655</v>
      </c>
      <c r="C535" s="489" t="s">
        <v>10668</v>
      </c>
      <c r="D535" s="94" t="s">
        <v>10954</v>
      </c>
      <c r="E535" s="427" t="str">
        <f>LEFT(BD_MO[[#This Row],[LABOR]],2)</f>
        <v>MO</v>
      </c>
      <c r="F535" s="428"/>
      <c r="G535" s="428" t="s">
        <v>10669</v>
      </c>
      <c r="H535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35" s="427" t="str">
        <f>IF(BD_MO[FECHA]&lt;&gt;"",VLOOKUP(BD_MO[LABOR],TB_CECO[[LABOR]:[CECO_T]],3,FALSE),"")</f>
        <v>INCA</v>
      </c>
      <c r="J535" s="427" t="str">
        <f>IF(BD_MO[FECHA]&lt;&gt;"",VLOOKUP(BD_MO[LABOR],D_CECO!B:H,7,FALSE),"")</f>
        <v>SERVICIOS</v>
      </c>
      <c r="K535" s="427" t="str">
        <f>IF(BD_MO[FECHA]&lt;&gt;"",VLOOKUP(BD_MO[LABOR],D_CECO!B:H,4,FALSE),"")</f>
        <v>SERVICIOS</v>
      </c>
      <c r="L535" s="427"/>
      <c r="M535" s="425"/>
      <c r="N535" s="428"/>
      <c r="O535" s="429" t="s">
        <v>12098</v>
      </c>
      <c r="P535" s="429" t="s">
        <v>12162</v>
      </c>
      <c r="Q535" s="429"/>
      <c r="R535" s="430"/>
      <c r="S535" s="431" t="str">
        <f>IFERROR(VLOOKUP(BD_MO[DNI 4],#REF!,2,FALSE)," ")</f>
        <v xml:space="preserve"> </v>
      </c>
      <c r="T535" s="432">
        <f>+IF(BD_MO[[#This Row],[FECHA]]&lt;&gt;"",COUNTA(BD_MO[[#This Row],[DNI]],BD_MO[[#This Row],[DNI 2]],BD_MO[[#This Row],[DNI 3]],BD_MO[[#This Row],[DNI 4]]),"")</f>
        <v>2</v>
      </c>
      <c r="U535" s="432"/>
      <c r="V535" s="432"/>
      <c r="W535" s="432"/>
      <c r="X535" s="432">
        <v>2</v>
      </c>
      <c r="Y535" s="433">
        <f>SUM(BD_MO[[#This Row],[LIMP]:[SERV]])</f>
        <v>2</v>
      </c>
      <c r="Z535" s="428"/>
      <c r="AA535" s="428" t="str">
        <f>+IF(BD_MO[[#This Row],[N° VALE]]&lt;&gt;"",1,"")</f>
        <v/>
      </c>
      <c r="AB535" s="425"/>
      <c r="AC535" s="428"/>
      <c r="AD535" s="428" t="str">
        <f>+IF(BD_MO[[#This Row],[N° VALE]]&lt;&gt;"",BD_MO[[#This Row],[FULMINANTE N° 08]]+BD_MO[CARMEX 7''],"")</f>
        <v/>
      </c>
      <c r="AE535" s="428"/>
      <c r="AF535" s="428" t="str">
        <f>+IF(BD_MO[[#This Row],[N° VALE]]&lt;&gt;"",BD_MO[[#This Row],[N° TALADROS]]+BD_MO[[#This Row],[N° TAL. VACIOS]],"")</f>
        <v/>
      </c>
      <c r="AG535" s="434"/>
      <c r="AH535" s="434"/>
      <c r="AI535" s="434"/>
      <c r="AJ535" s="434"/>
      <c r="AK535" s="434"/>
      <c r="AL535" s="434"/>
      <c r="AM535" s="427"/>
      <c r="AN535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35" s="428" t="str">
        <f>+IF(BD_MO[[#This Row],[N° VALE]]&lt;&gt;"",IF(BD_MO[[#This Row],[FULMINANTE N° 08]]&lt;&gt;"",BD_MO[[#This Row],[FULMINANTE N° 08]],IF(BD_MO[[#This Row],[CARMEX 7'']]&lt;&gt;0,0,"")),"")</f>
        <v/>
      </c>
      <c r="AP535" s="432" t="str">
        <f>+IF(BD_MO[[#This Row],[N° VALE]]&lt;&gt;"",BD_MO[[#This Row],[N°  TOTAL TALADROS]]*BD_MO[[#This Row],[BARRA]]*0.95,"")</f>
        <v/>
      </c>
      <c r="AQ535" s="432" t="str">
        <f>+IF(BD_MO[[#This Row],[N° VALE]]&lt;&gt;"",BD_MO[[#This Row],[EMULNOR 1000 (N° CART.)]]*PE_EMUL_1000[PE],"")</f>
        <v/>
      </c>
      <c r="AR535" s="432" t="str">
        <f>+IF(BD_MO[[#This Row],[N° VALE]]&lt;&gt;"",BD_MO[[#This Row],[EMULNOR 3000 (N° CART.)]]*PE_EMUL_3000[PE],"")</f>
        <v/>
      </c>
      <c r="AS535" s="432" t="str">
        <f>+IF(BD_MO[[#This Row],[N° VALE]]&lt;&gt;"",BD_MO[[#This Row],[PULVERULENTA (N° CART.)]]*PE_PULV_65[PE],"")</f>
        <v/>
      </c>
      <c r="AT535" s="432" t="str">
        <f>+IF(BD_MO[[#This Row],[N° DISP]]&lt;&gt;"",BD_MO[[#This Row],[SEMIGELATINA (N° CART.)]]*PE_SEMIGEL_65[PE],"")</f>
        <v/>
      </c>
      <c r="AU535" s="432" t="str">
        <f>+IF(BD_MO[N° VALE]&lt;&gt;"",BD_MO[[#This Row],[KG EXPLO SEMIGEL]]+BD_MO[[#This Row],[KG EXPLO PULVE]]+BD_MO[[#This Row],[KG EXPLO EMULN 3000]]+BD_MO[[#This Row],[KG EXPLO EMULN 1000]],"")</f>
        <v/>
      </c>
      <c r="AV535" s="428"/>
      <c r="AW535" s="428"/>
      <c r="AX535" s="428" t="str">
        <f>+IF(BD_MO[[#This Row],[MINERAL (U-35)]]&lt;&gt;"",BD_MO[[#This Row],[MINERAL (U-35)]]*1.45,"-")</f>
        <v>-</v>
      </c>
      <c r="AY535" s="428" t="str">
        <f>+IF(BD_MO[[#This Row],[DESMONTE (U-35)]]&lt;&gt;"",BD_MO[[#This Row],[DESMONTE (U-35)]]*1.23,"-")</f>
        <v>-</v>
      </c>
      <c r="AZ535" s="428"/>
      <c r="BA535" s="428"/>
      <c r="BB535" s="428"/>
      <c r="BC535" s="428"/>
      <c r="BD535" s="428"/>
      <c r="BE535" s="428"/>
      <c r="BF535" s="428"/>
      <c r="BG535" s="428"/>
      <c r="BH535" s="428"/>
      <c r="BI535" s="428"/>
      <c r="BJ535" s="428"/>
      <c r="BK535" s="428"/>
      <c r="BL535" s="428"/>
      <c r="BM535" s="428"/>
      <c r="BN535" s="427"/>
      <c r="BO535" s="428"/>
      <c r="BP535" s="428"/>
      <c r="BQ535" s="427"/>
      <c r="BR535" s="428"/>
      <c r="BS535" s="427"/>
      <c r="BT535" s="432"/>
      <c r="BU535" s="428"/>
      <c r="BV535" s="428"/>
      <c r="BW535" s="428"/>
      <c r="BX535" s="428"/>
      <c r="BY535" s="428"/>
      <c r="BZ535" s="428"/>
      <c r="CA535" s="428"/>
      <c r="CB535" s="428"/>
      <c r="CC535" s="428"/>
      <c r="CD535" s="428"/>
      <c r="CE535" s="428"/>
      <c r="CF535" s="428"/>
      <c r="CG535" s="428"/>
      <c r="CH535" s="428"/>
      <c r="CI535" s="428"/>
      <c r="CJ535" s="428"/>
      <c r="CK535" s="428"/>
      <c r="CL535" s="428"/>
      <c r="CM535" s="428"/>
      <c r="CN535" s="428"/>
      <c r="CO535" s="428"/>
      <c r="CP535" s="432">
        <f>+IF(BD_MO[[#This Row],[FECHA]]&lt;&gt;"",BD_MO[[#This Row],[PUNTAL 4"]]+BD_MO[[#This Row],[PUNTAL 5"]]+BD_MO[[#This Row],[PUNTAL 6"]]+BD_MO[[#This Row],[PUNTAL 7"]]+BD_MO[[#This Row],[PUNTAL 8"]],"")</f>
        <v>0</v>
      </c>
      <c r="CQ535" s="428"/>
      <c r="CR535" s="428"/>
      <c r="CS535" s="428"/>
      <c r="CT535" s="428"/>
      <c r="CU535" s="428"/>
      <c r="CV535" s="428"/>
      <c r="CW535" s="428"/>
      <c r="CX535" s="428"/>
      <c r="CY535" s="432"/>
      <c r="CZ535" s="432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35" s="432">
        <f>+IF(BD_MO[[#This Row],[FECHA]]&lt;&gt;"",BD_MO[[#This Row],[DURMIENTE2]]*6.561+BD_MO[[#This Row],[LISTONES]]*4.921+BD_MO[[#This Row],[TABLA 1"x8"x3m]]*6.561+BD_MO[[#This Row],[TABLA 2"x8"x3m]]*13.122,"")</f>
        <v>0</v>
      </c>
      <c r="DB535" s="432">
        <f>+IF(BD_MO[[#This Row],[FECHA]]&lt;&gt;"",BD_MO[[#This Row],[PIE2 MADERA ASERRADA]]*1.95,"")</f>
        <v>0</v>
      </c>
      <c r="DC535" s="432">
        <f>+IF(BD_MO[[#This Row],[FECHA]]&lt;&gt;"",BD_MO[[#This Row],[KG. MADERA REDONDA]]+BD_MO[[#This Row],[KG MADERA ASERRADA]],"")</f>
        <v>0</v>
      </c>
      <c r="DD535" s="435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35" s="428"/>
      <c r="DF535" s="428"/>
      <c r="DG535" s="428"/>
      <c r="DH535" s="428"/>
      <c r="DI535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35" s="436"/>
      <c r="DK535" s="436"/>
      <c r="DL535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35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35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35" s="437"/>
      <c r="DP535" s="436" t="str">
        <f>+IF(BD_MO[[#This Row],[M o D]]&lt;&gt;"",IF(BD_MO[[#This Row],[M o D]]="M",BD_MO[[#This Row],[ROTURA TMH]]/2.65,BD_MO[[#This Row],[ROTURA TMH]]/2.4),"")</f>
        <v/>
      </c>
      <c r="DQ535" s="436"/>
      <c r="DR535" s="493" t="e">
        <f>(BD_MO[[#This Row],[AVANCE (m)]]/BD_MO[[#This Row],[AVANCE TEÓRICO]])*100</f>
        <v>#VALUE!</v>
      </c>
      <c r="DS535" s="134"/>
      <c r="DT535" s="134"/>
      <c r="DU535" s="134"/>
      <c r="DV535" s="134"/>
      <c r="DW535" s="134"/>
      <c r="DX535" s="135"/>
      <c r="DY535" s="135"/>
      <c r="DZ535" s="135"/>
    </row>
    <row r="536" spans="1:130" s="115" customFormat="1" ht="18" customHeight="1" thickBot="1" x14ac:dyDescent="0.3">
      <c r="A536" s="494">
        <v>44681</v>
      </c>
      <c r="B536" s="495" t="s">
        <v>10655</v>
      </c>
      <c r="C536" s="495" t="s">
        <v>10668</v>
      </c>
      <c r="D536" s="470" t="s">
        <v>10717</v>
      </c>
      <c r="E536" s="473" t="str">
        <f>LEFT(BD_MO[[#This Row],[LABOR]],2)</f>
        <v>BO</v>
      </c>
      <c r="F536" s="472"/>
      <c r="G536" s="472" t="s">
        <v>10669</v>
      </c>
      <c r="H536" s="473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>SERVICIO</v>
      </c>
      <c r="I536" s="473" t="str">
        <f>IF(BD_MO[FECHA]&lt;&gt;"",VLOOKUP(BD_MO[LABOR],TB_CECO[[LABOR]:[CECO_T]],3,FALSE),"")</f>
        <v>CACHORRO</v>
      </c>
      <c r="J536" s="473" t="str">
        <f>IF(BD_MO[FECHA]&lt;&gt;"",VLOOKUP(BD_MO[LABOR],D_CECO!B:H,7,FALSE),"")</f>
        <v>SERVICIOS</v>
      </c>
      <c r="K536" s="473" t="str">
        <f>IF(BD_MO[FECHA]&lt;&gt;"",VLOOKUP(BD_MO[LABOR],D_CECO!B:H,4,FALSE),"")</f>
        <v>SERVICIOS</v>
      </c>
      <c r="L536" s="473"/>
      <c r="M536" s="474"/>
      <c r="N536" s="472"/>
      <c r="O536" s="475" t="s">
        <v>12118</v>
      </c>
      <c r="P536" s="475"/>
      <c r="Q536" s="475"/>
      <c r="R536" s="476"/>
      <c r="S536" s="477" t="str">
        <f>IFERROR(VLOOKUP(BD_MO[DNI 4],#REF!,2,FALSE)," ")</f>
        <v xml:space="preserve"> </v>
      </c>
      <c r="T536" s="478">
        <f>+IF(BD_MO[[#This Row],[FECHA]]&lt;&gt;"",COUNTA(BD_MO[[#This Row],[DNI]],BD_MO[[#This Row],[DNI 2]],BD_MO[[#This Row],[DNI 3]],BD_MO[[#This Row],[DNI 4]]),"")</f>
        <v>1</v>
      </c>
      <c r="U536" s="478"/>
      <c r="V536" s="478"/>
      <c r="W536" s="478"/>
      <c r="X536" s="478">
        <v>1</v>
      </c>
      <c r="Y536" s="479">
        <f>SUM(BD_MO[[#This Row],[LIMP]:[SERV]])</f>
        <v>1</v>
      </c>
      <c r="Z536" s="472"/>
      <c r="AA536" s="472" t="str">
        <f>+IF(BD_MO[[#This Row],[N° VALE]]&lt;&gt;"",1,"")</f>
        <v/>
      </c>
      <c r="AB536" s="474"/>
      <c r="AC536" s="472"/>
      <c r="AD536" s="472" t="str">
        <f>+IF(BD_MO[[#This Row],[N° VALE]]&lt;&gt;"",BD_MO[[#This Row],[FULMINANTE N° 08]]+BD_MO[CARMEX 7''],"")</f>
        <v/>
      </c>
      <c r="AE536" s="472"/>
      <c r="AF536" s="472" t="str">
        <f>+IF(BD_MO[[#This Row],[N° VALE]]&lt;&gt;"",BD_MO[[#This Row],[N° TALADROS]]+BD_MO[[#This Row],[N° TAL. VACIOS]],"")</f>
        <v/>
      </c>
      <c r="AG536" s="480"/>
      <c r="AH536" s="480"/>
      <c r="AI536" s="480"/>
      <c r="AJ536" s="480"/>
      <c r="AK536" s="480"/>
      <c r="AL536" s="480"/>
      <c r="AM536" s="473"/>
      <c r="AN536" s="472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36" s="472" t="str">
        <f>+IF(BD_MO[[#This Row],[N° VALE]]&lt;&gt;"",IF(BD_MO[[#This Row],[FULMINANTE N° 08]]&lt;&gt;"",BD_MO[[#This Row],[FULMINANTE N° 08]],IF(BD_MO[[#This Row],[CARMEX 7'']]&lt;&gt;0,0,"")),"")</f>
        <v/>
      </c>
      <c r="AP536" s="478" t="str">
        <f>+IF(BD_MO[[#This Row],[N° VALE]]&lt;&gt;"",BD_MO[[#This Row],[N°  TOTAL TALADROS]]*BD_MO[[#This Row],[BARRA]]*0.95,"")</f>
        <v/>
      </c>
      <c r="AQ536" s="478" t="str">
        <f>+IF(BD_MO[[#This Row],[N° VALE]]&lt;&gt;"",BD_MO[[#This Row],[EMULNOR 1000 (N° CART.)]]*PE_EMUL_1000[PE],"")</f>
        <v/>
      </c>
      <c r="AR536" s="478" t="str">
        <f>+IF(BD_MO[[#This Row],[N° VALE]]&lt;&gt;"",BD_MO[[#This Row],[EMULNOR 3000 (N° CART.)]]*PE_EMUL_3000[PE],"")</f>
        <v/>
      </c>
      <c r="AS536" s="478" t="str">
        <f>+IF(BD_MO[[#This Row],[N° VALE]]&lt;&gt;"",BD_MO[[#This Row],[PULVERULENTA (N° CART.)]]*PE_PULV_65[PE],"")</f>
        <v/>
      </c>
      <c r="AT536" s="478" t="str">
        <f>+IF(BD_MO[[#This Row],[N° DISP]]&lt;&gt;"",BD_MO[[#This Row],[SEMIGELATINA (N° CART.)]]*PE_SEMIGEL_65[PE],"")</f>
        <v/>
      </c>
      <c r="AU536" s="478" t="str">
        <f>+IF(BD_MO[N° VALE]&lt;&gt;"",BD_MO[[#This Row],[KG EXPLO SEMIGEL]]+BD_MO[[#This Row],[KG EXPLO PULVE]]+BD_MO[[#This Row],[KG EXPLO EMULN 3000]]+BD_MO[[#This Row],[KG EXPLO EMULN 1000]],"")</f>
        <v/>
      </c>
      <c r="AV536" s="472"/>
      <c r="AW536" s="472"/>
      <c r="AX536" s="472" t="str">
        <f>+IF(BD_MO[[#This Row],[MINERAL (U-35)]]&lt;&gt;"",BD_MO[[#This Row],[MINERAL (U-35)]]*1.45,"-")</f>
        <v>-</v>
      </c>
      <c r="AY536" s="472" t="str">
        <f>+IF(BD_MO[[#This Row],[DESMONTE (U-35)]]&lt;&gt;"",BD_MO[[#This Row],[DESMONTE (U-35)]]*1.23,"-")</f>
        <v>-</v>
      </c>
      <c r="AZ536" s="472"/>
      <c r="BA536" s="472"/>
      <c r="BB536" s="472"/>
      <c r="BC536" s="472"/>
      <c r="BD536" s="472"/>
      <c r="BE536" s="472"/>
      <c r="BF536" s="472"/>
      <c r="BG536" s="472"/>
      <c r="BH536" s="472"/>
      <c r="BI536" s="472"/>
      <c r="BJ536" s="472"/>
      <c r="BK536" s="472"/>
      <c r="BL536" s="472"/>
      <c r="BM536" s="472"/>
      <c r="BN536" s="473"/>
      <c r="BO536" s="472"/>
      <c r="BP536" s="472"/>
      <c r="BQ536" s="473"/>
      <c r="BR536" s="472"/>
      <c r="BS536" s="473"/>
      <c r="BT536" s="478"/>
      <c r="BU536" s="472"/>
      <c r="BV536" s="472"/>
      <c r="BW536" s="472"/>
      <c r="BX536" s="472"/>
      <c r="BY536" s="472"/>
      <c r="BZ536" s="472"/>
      <c r="CA536" s="472"/>
      <c r="CB536" s="472"/>
      <c r="CC536" s="472"/>
      <c r="CD536" s="472"/>
      <c r="CE536" s="472"/>
      <c r="CF536" s="472"/>
      <c r="CG536" s="472"/>
      <c r="CH536" s="472"/>
      <c r="CI536" s="472"/>
      <c r="CJ536" s="472"/>
      <c r="CK536" s="472"/>
      <c r="CL536" s="472"/>
      <c r="CM536" s="472"/>
      <c r="CN536" s="472"/>
      <c r="CO536" s="472"/>
      <c r="CP536" s="478">
        <f>+IF(BD_MO[[#This Row],[FECHA]]&lt;&gt;"",BD_MO[[#This Row],[PUNTAL 4"]]+BD_MO[[#This Row],[PUNTAL 5"]]+BD_MO[[#This Row],[PUNTAL 6"]]+BD_MO[[#This Row],[PUNTAL 7"]]+BD_MO[[#This Row],[PUNTAL 8"]],"")</f>
        <v>0</v>
      </c>
      <c r="CQ536" s="472"/>
      <c r="CR536" s="472"/>
      <c r="CS536" s="472"/>
      <c r="CT536" s="472"/>
      <c r="CU536" s="472"/>
      <c r="CV536" s="472"/>
      <c r="CW536" s="472"/>
      <c r="CX536" s="472"/>
      <c r="CY536" s="478"/>
      <c r="CZ536" s="478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>0</v>
      </c>
      <c r="DA536" s="478">
        <f>+IF(BD_MO[[#This Row],[FECHA]]&lt;&gt;"",BD_MO[[#This Row],[DURMIENTE2]]*6.561+BD_MO[[#This Row],[LISTONES]]*4.921+BD_MO[[#This Row],[TABLA 1"x8"x3m]]*6.561+BD_MO[[#This Row],[TABLA 2"x8"x3m]]*13.122,"")</f>
        <v>0</v>
      </c>
      <c r="DB536" s="478">
        <f>+IF(BD_MO[[#This Row],[FECHA]]&lt;&gt;"",BD_MO[[#This Row],[PIE2 MADERA ASERRADA]]*1.95,"")</f>
        <v>0</v>
      </c>
      <c r="DC536" s="478">
        <f>+IF(BD_MO[[#This Row],[FECHA]]&lt;&gt;"",BD_MO[[#This Row],[KG. MADERA REDONDA]]+BD_MO[[#This Row],[KG MADERA ASERRADA]],"")</f>
        <v>0</v>
      </c>
      <c r="DD536" s="481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>0</v>
      </c>
      <c r="DE536" s="472"/>
      <c r="DF536" s="472"/>
      <c r="DG536" s="472"/>
      <c r="DH536" s="472"/>
      <c r="DI536" s="482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36" s="482"/>
      <c r="DK536" s="482"/>
      <c r="DL536" s="482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36" s="482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36" s="482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36" s="483"/>
      <c r="DP536" s="482" t="str">
        <f>+IF(BD_MO[[#This Row],[M o D]]&lt;&gt;"",IF(BD_MO[[#This Row],[M o D]]="M",BD_MO[[#This Row],[ROTURA TMH]]/2.65,BD_MO[[#This Row],[ROTURA TMH]]/2.4),"")</f>
        <v/>
      </c>
      <c r="DQ536" s="482"/>
      <c r="DR536" s="483" t="e">
        <f>(BD_MO[[#This Row],[AVANCE (m)]]/BD_MO[[#This Row],[AVANCE TEÓRICO]])*100</f>
        <v>#VALUE!</v>
      </c>
      <c r="DS536" s="113"/>
      <c r="DT536" s="113"/>
      <c r="DU536" s="113"/>
      <c r="DV536" s="113"/>
      <c r="DW536" s="113"/>
      <c r="DX536" s="114"/>
      <c r="DY536" s="114"/>
      <c r="DZ536" s="114"/>
    </row>
    <row r="537" spans="1:130" s="136" customFormat="1" ht="18" customHeight="1" x14ac:dyDescent="0.25">
      <c r="A537" s="488"/>
      <c r="B537" s="489"/>
      <c r="C537" s="489"/>
      <c r="D537" s="426"/>
      <c r="E537" s="427" t="str">
        <f>LEFT(BD_MO[[#This Row],[LABOR]],2)</f>
        <v/>
      </c>
      <c r="F537" s="428"/>
      <c r="G537" s="428"/>
      <c r="H537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/>
      </c>
      <c r="I537" s="427" t="str">
        <f>IF(BD_MO[FECHA]&lt;&gt;"",VLOOKUP(BD_MO[LABOR],TB_CECO[[LABOR]:[CECO_T]],3,FALSE),"")</f>
        <v/>
      </c>
      <c r="J537" s="427" t="str">
        <f>IF(BD_MO[FECHA]&lt;&gt;"",VLOOKUP(BD_MO[LABOR],D_CECO!B:H,7,FALSE),"")</f>
        <v/>
      </c>
      <c r="K537" s="427" t="str">
        <f>IF(BD_MO[FECHA]&lt;&gt;"",VLOOKUP(BD_MO[LABOR],D_CECO!B:H,4,FALSE),"")</f>
        <v/>
      </c>
      <c r="L537" s="427"/>
      <c r="M537" s="425"/>
      <c r="N537" s="428"/>
      <c r="O537" s="429"/>
      <c r="P537" s="429"/>
      <c r="Q537" s="429"/>
      <c r="R537" s="430"/>
      <c r="S537" s="431" t="str">
        <f>IFERROR(VLOOKUP(BD_MO[DNI 4],#REF!,2,FALSE)," ")</f>
        <v xml:space="preserve"> </v>
      </c>
      <c r="T537" s="432" t="str">
        <f>+IF(BD_MO[[#This Row],[FECHA]]&lt;&gt;"",COUNTA(BD_MO[[#This Row],[DNI]],BD_MO[[#This Row],[DNI 2]],BD_MO[[#This Row],[DNI 3]],BD_MO[[#This Row],[DNI 4]]),"")</f>
        <v/>
      </c>
      <c r="U537" s="432"/>
      <c r="V537" s="432"/>
      <c r="W537" s="432"/>
      <c r="X537" s="432"/>
      <c r="Y537" s="433">
        <f>SUM(BD_MO[[#This Row],[LIMP]:[SERV]])</f>
        <v>0</v>
      </c>
      <c r="Z537" s="428"/>
      <c r="AA537" s="428" t="str">
        <f>+IF(BD_MO[[#This Row],[N° VALE]]&lt;&gt;"",1,"")</f>
        <v/>
      </c>
      <c r="AB537" s="425"/>
      <c r="AC537" s="428"/>
      <c r="AD537" s="428" t="str">
        <f>+IF(BD_MO[[#This Row],[N° VALE]]&lt;&gt;"",BD_MO[[#This Row],[FULMINANTE N° 08]]+BD_MO[CARMEX 7''],"")</f>
        <v/>
      </c>
      <c r="AE537" s="428"/>
      <c r="AF537" s="428" t="str">
        <f>+IF(BD_MO[[#This Row],[N° VALE]]&lt;&gt;"",BD_MO[[#This Row],[N° TALADROS]]+BD_MO[[#This Row],[N° TAL. VACIOS]],"")</f>
        <v/>
      </c>
      <c r="AG537" s="434"/>
      <c r="AH537" s="434"/>
      <c r="AI537" s="434"/>
      <c r="AJ537" s="434"/>
      <c r="AK537" s="434"/>
      <c r="AL537" s="434"/>
      <c r="AM537" s="427"/>
      <c r="AN537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37" s="428" t="str">
        <f>+IF(BD_MO[[#This Row],[N° VALE]]&lt;&gt;"",IF(BD_MO[[#This Row],[FULMINANTE N° 08]]&lt;&gt;"",BD_MO[[#This Row],[FULMINANTE N° 08]],IF(BD_MO[[#This Row],[CARMEX 7'']]&lt;&gt;0,0,"")),"")</f>
        <v/>
      </c>
      <c r="AP537" s="432" t="str">
        <f>+IF(BD_MO[[#This Row],[N° VALE]]&lt;&gt;"",BD_MO[[#This Row],[N°  TOTAL TALADROS]]*BD_MO[[#This Row],[BARRA]]*0.95,"")</f>
        <v/>
      </c>
      <c r="AQ537" s="432" t="str">
        <f>+IF(BD_MO[[#This Row],[N° VALE]]&lt;&gt;"",BD_MO[[#This Row],[EMULNOR 1000 (N° CART.)]]*PE_EMUL_1000[PE],"")</f>
        <v/>
      </c>
      <c r="AR537" s="432" t="str">
        <f>+IF(BD_MO[[#This Row],[N° VALE]]&lt;&gt;"",BD_MO[[#This Row],[EMULNOR 3000 (N° CART.)]]*PE_EMUL_3000[PE],"")</f>
        <v/>
      </c>
      <c r="AS537" s="432" t="str">
        <f>+IF(BD_MO[[#This Row],[N° VALE]]&lt;&gt;"",BD_MO[[#This Row],[PULVERULENTA (N° CART.)]]*PE_PULV_65[PE],"")</f>
        <v/>
      </c>
      <c r="AT537" s="432" t="str">
        <f>+IF(BD_MO[[#This Row],[N° DISP]]&lt;&gt;"",BD_MO[[#This Row],[SEMIGELATINA (N° CART.)]]*PE_SEMIGEL_65[PE],"")</f>
        <v/>
      </c>
      <c r="AU537" s="432" t="str">
        <f>+IF(BD_MO[N° VALE]&lt;&gt;"",BD_MO[[#This Row],[KG EXPLO SEMIGEL]]+BD_MO[[#This Row],[KG EXPLO PULVE]]+BD_MO[[#This Row],[KG EXPLO EMULN 3000]]+BD_MO[[#This Row],[KG EXPLO EMULN 1000]],"")</f>
        <v/>
      </c>
      <c r="AV537" s="428"/>
      <c r="AW537" s="428"/>
      <c r="AX537" s="428" t="str">
        <f>+IF(BD_MO[[#This Row],[MINERAL (U-35)]]&lt;&gt;"",BD_MO[[#This Row],[MINERAL (U-35)]]*1.45,"-")</f>
        <v>-</v>
      </c>
      <c r="AY537" s="428" t="str">
        <f>+IF(BD_MO[[#This Row],[DESMONTE (U-35)]]&lt;&gt;"",BD_MO[[#This Row],[DESMONTE (U-35)]]*1.23,"-")</f>
        <v>-</v>
      </c>
      <c r="AZ537" s="428"/>
      <c r="BA537" s="428"/>
      <c r="BB537" s="428"/>
      <c r="BC537" s="428"/>
      <c r="BD537" s="428"/>
      <c r="BE537" s="428"/>
      <c r="BF537" s="428"/>
      <c r="BG537" s="428"/>
      <c r="BH537" s="428"/>
      <c r="BI537" s="428"/>
      <c r="BJ537" s="428"/>
      <c r="BK537" s="428"/>
      <c r="BL537" s="428"/>
      <c r="BM537" s="428"/>
      <c r="BN537" s="427"/>
      <c r="BO537" s="428"/>
      <c r="BP537" s="428"/>
      <c r="BQ537" s="427"/>
      <c r="BR537" s="428"/>
      <c r="BS537" s="427"/>
      <c r="BT537" s="432"/>
      <c r="BU537" s="428"/>
      <c r="BV537" s="428"/>
      <c r="BW537" s="428"/>
      <c r="BX537" s="428"/>
      <c r="BY537" s="428"/>
      <c r="BZ537" s="428"/>
      <c r="CA537" s="428"/>
      <c r="CB537" s="428"/>
      <c r="CC537" s="428"/>
      <c r="CD537" s="428"/>
      <c r="CE537" s="428"/>
      <c r="CF537" s="428"/>
      <c r="CG537" s="428"/>
      <c r="CH537" s="428"/>
      <c r="CI537" s="428"/>
      <c r="CJ537" s="428"/>
      <c r="CK537" s="428"/>
      <c r="CL537" s="428"/>
      <c r="CM537" s="428"/>
      <c r="CN537" s="428"/>
      <c r="CO537" s="428"/>
      <c r="CP537" s="432" t="str">
        <f>+IF(BD_MO[[#This Row],[FECHA]]&lt;&gt;"",BD_MO[[#This Row],[PUNTAL 4"]]+BD_MO[[#This Row],[PUNTAL 5"]]+BD_MO[[#This Row],[PUNTAL 6"]]+BD_MO[[#This Row],[PUNTAL 7"]]+BD_MO[[#This Row],[PUNTAL 8"]],"")</f>
        <v/>
      </c>
      <c r="CQ537" s="428"/>
      <c r="CR537" s="428"/>
      <c r="CS537" s="428"/>
      <c r="CT537" s="428"/>
      <c r="CU537" s="428"/>
      <c r="CV537" s="428"/>
      <c r="CW537" s="428"/>
      <c r="CX537" s="428"/>
      <c r="CY537" s="432"/>
      <c r="CZ537" s="432" t="str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/>
      </c>
      <c r="DA537" s="432" t="str">
        <f>+IF(BD_MO[[#This Row],[FECHA]]&lt;&gt;"",BD_MO[[#This Row],[DURMIENTE2]]*6.561+BD_MO[[#This Row],[LISTONES]]*4.921+BD_MO[[#This Row],[TABLA 1"x8"x3m]]*6.561+BD_MO[[#This Row],[TABLA 2"x8"x3m]]*13.122,"")</f>
        <v/>
      </c>
      <c r="DB537" s="432" t="str">
        <f>+IF(BD_MO[[#This Row],[FECHA]]&lt;&gt;"",BD_MO[[#This Row],[PIE2 MADERA ASERRADA]]*1.95,"")</f>
        <v/>
      </c>
      <c r="DC537" s="432" t="str">
        <f>+IF(BD_MO[[#This Row],[FECHA]]&lt;&gt;"",BD_MO[[#This Row],[KG. MADERA REDONDA]]+BD_MO[[#This Row],[KG MADERA ASERRADA]],"")</f>
        <v/>
      </c>
      <c r="DD537" s="435" t="str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/>
      </c>
      <c r="DE537" s="428"/>
      <c r="DF537" s="428"/>
      <c r="DG537" s="428"/>
      <c r="DH537" s="428"/>
      <c r="DI537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37" s="436"/>
      <c r="DK537" s="436"/>
      <c r="DL537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37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37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37" s="437"/>
      <c r="DP537" s="436" t="str">
        <f>+IF(BD_MO[[#This Row],[M o D]]&lt;&gt;"",IF(BD_MO[[#This Row],[M o D]]="M",BD_MO[[#This Row],[ROTURA TMH]]/2.65,BD_MO[[#This Row],[ROTURA TMH]]/2.4),"")</f>
        <v/>
      </c>
      <c r="DQ537" s="436"/>
      <c r="DR537" s="493" t="e">
        <f>(BD_MO[[#This Row],[AVANCE (m)]]/BD_MO[[#This Row],[AVANCE TEÓRICO]])*100</f>
        <v>#VALUE!</v>
      </c>
      <c r="DS537" s="134"/>
      <c r="DT537" s="134"/>
      <c r="DU537" s="134"/>
      <c r="DV537" s="134"/>
      <c r="DW537" s="134"/>
      <c r="DX537" s="135"/>
      <c r="DY537" s="135"/>
      <c r="DZ537" s="135"/>
    </row>
    <row r="538" spans="1:130" s="136" customFormat="1" ht="18" customHeight="1" x14ac:dyDescent="0.25">
      <c r="A538" s="488"/>
      <c r="B538" s="489"/>
      <c r="C538" s="489"/>
      <c r="D538" s="426"/>
      <c r="E538" s="427" t="str">
        <f>LEFT(BD_MO[[#This Row],[LABOR]],2)</f>
        <v/>
      </c>
      <c r="F538" s="428"/>
      <c r="G538" s="428"/>
      <c r="H538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/>
      </c>
      <c r="I538" s="427" t="str">
        <f>IF(BD_MO[FECHA]&lt;&gt;"",VLOOKUP(BD_MO[LABOR],TB_CECO[[LABOR]:[CECO_T]],3,FALSE),"")</f>
        <v/>
      </c>
      <c r="J538" s="427" t="str">
        <f>IF(BD_MO[FECHA]&lt;&gt;"",VLOOKUP(BD_MO[LABOR],D_CECO!B:H,7,FALSE),"")</f>
        <v/>
      </c>
      <c r="K538" s="427" t="str">
        <f>IF(BD_MO[FECHA]&lt;&gt;"",VLOOKUP(BD_MO[LABOR],D_CECO!B:H,4,FALSE),"")</f>
        <v/>
      </c>
      <c r="L538" s="427"/>
      <c r="M538" s="425"/>
      <c r="N538" s="428"/>
      <c r="O538" s="429"/>
      <c r="P538" s="429"/>
      <c r="Q538" s="429"/>
      <c r="R538" s="430"/>
      <c r="S538" s="431" t="str">
        <f>IFERROR(VLOOKUP(BD_MO[DNI 4],#REF!,2,FALSE)," ")</f>
        <v xml:space="preserve"> </v>
      </c>
      <c r="T538" s="432" t="str">
        <f>+IF(BD_MO[[#This Row],[FECHA]]&lt;&gt;"",COUNTA(BD_MO[[#This Row],[DNI]],BD_MO[[#This Row],[DNI 2]],BD_MO[[#This Row],[DNI 3]],BD_MO[[#This Row],[DNI 4]]),"")</f>
        <v/>
      </c>
      <c r="U538" s="432"/>
      <c r="V538" s="432"/>
      <c r="W538" s="432"/>
      <c r="X538" s="432"/>
      <c r="Y538" s="433">
        <f>SUM(BD_MO[[#This Row],[LIMP]:[SERV]])</f>
        <v>0</v>
      </c>
      <c r="Z538" s="428"/>
      <c r="AA538" s="428" t="str">
        <f>+IF(BD_MO[[#This Row],[N° VALE]]&lt;&gt;"",1,"")</f>
        <v/>
      </c>
      <c r="AB538" s="425"/>
      <c r="AC538" s="428"/>
      <c r="AD538" s="428" t="str">
        <f>+IF(BD_MO[[#This Row],[N° VALE]]&lt;&gt;"",BD_MO[[#This Row],[FULMINANTE N° 08]]+BD_MO[CARMEX 7''],"")</f>
        <v/>
      </c>
      <c r="AE538" s="428"/>
      <c r="AF538" s="428" t="str">
        <f>+IF(BD_MO[[#This Row],[N° VALE]]&lt;&gt;"",BD_MO[[#This Row],[N° TALADROS]]+BD_MO[[#This Row],[N° TAL. VACIOS]],"")</f>
        <v/>
      </c>
      <c r="AG538" s="434"/>
      <c r="AH538" s="434"/>
      <c r="AI538" s="434"/>
      <c r="AJ538" s="434"/>
      <c r="AK538" s="434"/>
      <c r="AL538" s="434"/>
      <c r="AM538" s="427"/>
      <c r="AN538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38" s="428" t="str">
        <f>+IF(BD_MO[[#This Row],[N° VALE]]&lt;&gt;"",IF(BD_MO[[#This Row],[FULMINANTE N° 08]]&lt;&gt;"",BD_MO[[#This Row],[FULMINANTE N° 08]],IF(BD_MO[[#This Row],[CARMEX 7'']]&lt;&gt;0,0,"")),"")</f>
        <v/>
      </c>
      <c r="AP538" s="432" t="str">
        <f>+IF(BD_MO[[#This Row],[N° VALE]]&lt;&gt;"",BD_MO[[#This Row],[N°  TOTAL TALADROS]]*BD_MO[[#This Row],[BARRA]]*0.95,"")</f>
        <v/>
      </c>
      <c r="AQ538" s="432" t="str">
        <f>+IF(BD_MO[[#This Row],[N° VALE]]&lt;&gt;"",BD_MO[[#This Row],[EMULNOR 1000 (N° CART.)]]*PE_EMUL_1000[PE],"")</f>
        <v/>
      </c>
      <c r="AR538" s="432" t="str">
        <f>+IF(BD_MO[[#This Row],[N° VALE]]&lt;&gt;"",BD_MO[[#This Row],[EMULNOR 3000 (N° CART.)]]*PE_EMUL_3000[PE],"")</f>
        <v/>
      </c>
      <c r="AS538" s="432" t="str">
        <f>+IF(BD_MO[[#This Row],[N° VALE]]&lt;&gt;"",BD_MO[[#This Row],[PULVERULENTA (N° CART.)]]*PE_PULV_65[PE],"")</f>
        <v/>
      </c>
      <c r="AT538" s="432" t="str">
        <f>+IF(BD_MO[[#This Row],[N° DISP]]&lt;&gt;"",BD_MO[[#This Row],[SEMIGELATINA (N° CART.)]]*PE_SEMIGEL_65[PE],"")</f>
        <v/>
      </c>
      <c r="AU538" s="432" t="str">
        <f>+IF(BD_MO[N° VALE]&lt;&gt;"",BD_MO[[#This Row],[KG EXPLO SEMIGEL]]+BD_MO[[#This Row],[KG EXPLO PULVE]]+BD_MO[[#This Row],[KG EXPLO EMULN 3000]]+BD_MO[[#This Row],[KG EXPLO EMULN 1000]],"")</f>
        <v/>
      </c>
      <c r="AV538" s="428"/>
      <c r="AW538" s="428"/>
      <c r="AX538" s="428" t="str">
        <f>+IF(BD_MO[[#This Row],[MINERAL (U-35)]]&lt;&gt;"",BD_MO[[#This Row],[MINERAL (U-35)]]*1.45,"-")</f>
        <v>-</v>
      </c>
      <c r="AY538" s="428" t="str">
        <f>+IF(BD_MO[[#This Row],[DESMONTE (U-35)]]&lt;&gt;"",BD_MO[[#This Row],[DESMONTE (U-35)]]*1.23,"-")</f>
        <v>-</v>
      </c>
      <c r="AZ538" s="428"/>
      <c r="BA538" s="428"/>
      <c r="BB538" s="428"/>
      <c r="BC538" s="428"/>
      <c r="BD538" s="428"/>
      <c r="BE538" s="428"/>
      <c r="BF538" s="428"/>
      <c r="BG538" s="428"/>
      <c r="BH538" s="428"/>
      <c r="BI538" s="428"/>
      <c r="BJ538" s="428"/>
      <c r="BK538" s="428"/>
      <c r="BL538" s="428"/>
      <c r="BM538" s="428"/>
      <c r="BN538" s="427"/>
      <c r="BO538" s="428"/>
      <c r="BP538" s="428"/>
      <c r="BQ538" s="427"/>
      <c r="BR538" s="428"/>
      <c r="BS538" s="427"/>
      <c r="BT538" s="432"/>
      <c r="BU538" s="428"/>
      <c r="BV538" s="428"/>
      <c r="BW538" s="428"/>
      <c r="BX538" s="428"/>
      <c r="BY538" s="428"/>
      <c r="BZ538" s="428"/>
      <c r="CA538" s="428"/>
      <c r="CB538" s="428"/>
      <c r="CC538" s="428"/>
      <c r="CD538" s="428"/>
      <c r="CE538" s="428"/>
      <c r="CF538" s="428"/>
      <c r="CG538" s="428"/>
      <c r="CH538" s="428"/>
      <c r="CI538" s="428"/>
      <c r="CJ538" s="428"/>
      <c r="CK538" s="428"/>
      <c r="CL538" s="428"/>
      <c r="CM538" s="428"/>
      <c r="CN538" s="428"/>
      <c r="CO538" s="428"/>
      <c r="CP538" s="432" t="str">
        <f>+IF(BD_MO[[#This Row],[FECHA]]&lt;&gt;"",BD_MO[[#This Row],[PUNTAL 4"]]+BD_MO[[#This Row],[PUNTAL 5"]]+BD_MO[[#This Row],[PUNTAL 6"]]+BD_MO[[#This Row],[PUNTAL 7"]]+BD_MO[[#This Row],[PUNTAL 8"]],"")</f>
        <v/>
      </c>
      <c r="CQ538" s="428"/>
      <c r="CR538" s="428"/>
      <c r="CS538" s="428"/>
      <c r="CT538" s="428"/>
      <c r="CU538" s="428"/>
      <c r="CV538" s="428"/>
      <c r="CW538" s="428"/>
      <c r="CX538" s="428"/>
      <c r="CY538" s="432"/>
      <c r="CZ538" s="432" t="str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/>
      </c>
      <c r="DA538" s="432" t="str">
        <f>+IF(BD_MO[[#This Row],[FECHA]]&lt;&gt;"",BD_MO[[#This Row],[DURMIENTE2]]*6.561+BD_MO[[#This Row],[LISTONES]]*4.921+BD_MO[[#This Row],[TABLA 1"x8"x3m]]*6.561+BD_MO[[#This Row],[TABLA 2"x8"x3m]]*13.122,"")</f>
        <v/>
      </c>
      <c r="DB538" s="432" t="str">
        <f>+IF(BD_MO[[#This Row],[FECHA]]&lt;&gt;"",BD_MO[[#This Row],[PIE2 MADERA ASERRADA]]*1.95,"")</f>
        <v/>
      </c>
      <c r="DC538" s="432" t="str">
        <f>+IF(BD_MO[[#This Row],[FECHA]]&lt;&gt;"",BD_MO[[#This Row],[KG. MADERA REDONDA]]+BD_MO[[#This Row],[KG MADERA ASERRADA]],"")</f>
        <v/>
      </c>
      <c r="DD538" s="435" t="str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/>
      </c>
      <c r="DE538" s="428"/>
      <c r="DF538" s="428"/>
      <c r="DG538" s="428"/>
      <c r="DH538" s="428"/>
      <c r="DI538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38" s="436"/>
      <c r="DK538" s="436"/>
      <c r="DL538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38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38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38" s="437"/>
      <c r="DP538" s="436" t="str">
        <f>+IF(BD_MO[[#This Row],[M o D]]&lt;&gt;"",IF(BD_MO[[#This Row],[M o D]]="M",BD_MO[[#This Row],[ROTURA TMH]]/2.65,BD_MO[[#This Row],[ROTURA TMH]]/2.4),"")</f>
        <v/>
      </c>
      <c r="DQ538" s="436"/>
      <c r="DR538" s="493" t="e">
        <f>(BD_MO[[#This Row],[AVANCE (m)]]/BD_MO[[#This Row],[AVANCE TEÓRICO]])*100</f>
        <v>#VALUE!</v>
      </c>
      <c r="DS538" s="134"/>
      <c r="DT538" s="134"/>
      <c r="DU538" s="134"/>
      <c r="DV538" s="134"/>
      <c r="DW538" s="134"/>
      <c r="DX538" s="135"/>
      <c r="DY538" s="135"/>
      <c r="DZ538" s="135"/>
    </row>
    <row r="539" spans="1:130" s="136" customFormat="1" ht="18" customHeight="1" x14ac:dyDescent="0.25">
      <c r="A539" s="488"/>
      <c r="B539" s="489"/>
      <c r="C539" s="489"/>
      <c r="D539" s="426"/>
      <c r="E539" s="427" t="str">
        <f>LEFT(BD_MO[[#This Row],[LABOR]],2)</f>
        <v/>
      </c>
      <c r="F539" s="428"/>
      <c r="G539" s="428"/>
      <c r="H539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/>
      </c>
      <c r="I539" s="427" t="str">
        <f>IF(BD_MO[FECHA]&lt;&gt;"",VLOOKUP(BD_MO[LABOR],TB_CECO[[LABOR]:[CECO_T]],3,FALSE),"")</f>
        <v/>
      </c>
      <c r="J539" s="427" t="str">
        <f>IF(BD_MO[FECHA]&lt;&gt;"",VLOOKUP(BD_MO[LABOR],D_CECO!B:H,7,FALSE),"")</f>
        <v/>
      </c>
      <c r="K539" s="427" t="str">
        <f>IF(BD_MO[FECHA]&lt;&gt;"",VLOOKUP(BD_MO[LABOR],D_CECO!B:H,4,FALSE),"")</f>
        <v/>
      </c>
      <c r="L539" s="427"/>
      <c r="M539" s="425"/>
      <c r="N539" s="428"/>
      <c r="O539" s="429"/>
      <c r="P539" s="429"/>
      <c r="Q539" s="429"/>
      <c r="R539" s="430"/>
      <c r="S539" s="431" t="str">
        <f>IFERROR(VLOOKUP(BD_MO[DNI 4],#REF!,2,FALSE)," ")</f>
        <v xml:space="preserve"> </v>
      </c>
      <c r="T539" s="432" t="str">
        <f>+IF(BD_MO[[#This Row],[FECHA]]&lt;&gt;"",COUNTA(BD_MO[[#This Row],[DNI]],BD_MO[[#This Row],[DNI 2]],BD_MO[[#This Row],[DNI 3]],BD_MO[[#This Row],[DNI 4]]),"")</f>
        <v/>
      </c>
      <c r="U539" s="432"/>
      <c r="V539" s="432"/>
      <c r="W539" s="432"/>
      <c r="X539" s="432"/>
      <c r="Y539" s="433">
        <f>SUM(BD_MO[[#This Row],[LIMP]:[SERV]])</f>
        <v>0</v>
      </c>
      <c r="Z539" s="428"/>
      <c r="AA539" s="428" t="str">
        <f>+IF(BD_MO[[#This Row],[N° VALE]]&lt;&gt;"",1,"")</f>
        <v/>
      </c>
      <c r="AB539" s="425"/>
      <c r="AC539" s="428"/>
      <c r="AD539" s="428" t="str">
        <f>+IF(BD_MO[[#This Row],[N° VALE]]&lt;&gt;"",BD_MO[[#This Row],[FULMINANTE N° 08]]+BD_MO[CARMEX 7''],"")</f>
        <v/>
      </c>
      <c r="AE539" s="428"/>
      <c r="AF539" s="428" t="str">
        <f>+IF(BD_MO[[#This Row],[N° VALE]]&lt;&gt;"",BD_MO[[#This Row],[N° TALADROS]]+BD_MO[[#This Row],[N° TAL. VACIOS]],"")</f>
        <v/>
      </c>
      <c r="AG539" s="434"/>
      <c r="AH539" s="434"/>
      <c r="AI539" s="434"/>
      <c r="AJ539" s="434"/>
      <c r="AK539" s="434"/>
      <c r="AL539" s="434"/>
      <c r="AM539" s="427"/>
      <c r="AN539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39" s="428" t="str">
        <f>+IF(BD_MO[[#This Row],[N° VALE]]&lt;&gt;"",IF(BD_MO[[#This Row],[FULMINANTE N° 08]]&lt;&gt;"",BD_MO[[#This Row],[FULMINANTE N° 08]],IF(BD_MO[[#This Row],[CARMEX 7'']]&lt;&gt;0,0,"")),"")</f>
        <v/>
      </c>
      <c r="AP539" s="432" t="str">
        <f>+IF(BD_MO[[#This Row],[N° VALE]]&lt;&gt;"",BD_MO[[#This Row],[N°  TOTAL TALADROS]]*BD_MO[[#This Row],[BARRA]]*0.95,"")</f>
        <v/>
      </c>
      <c r="AQ539" s="432" t="str">
        <f>+IF(BD_MO[[#This Row],[N° VALE]]&lt;&gt;"",BD_MO[[#This Row],[EMULNOR 1000 (N° CART.)]]*PE_EMUL_1000[PE],"")</f>
        <v/>
      </c>
      <c r="AR539" s="432" t="str">
        <f>+IF(BD_MO[[#This Row],[N° VALE]]&lt;&gt;"",BD_MO[[#This Row],[EMULNOR 3000 (N° CART.)]]*PE_EMUL_3000[PE],"")</f>
        <v/>
      </c>
      <c r="AS539" s="432" t="str">
        <f>+IF(BD_MO[[#This Row],[N° VALE]]&lt;&gt;"",BD_MO[[#This Row],[PULVERULENTA (N° CART.)]]*PE_PULV_65[PE],"")</f>
        <v/>
      </c>
      <c r="AT539" s="432" t="str">
        <f>+IF(BD_MO[[#This Row],[N° DISP]]&lt;&gt;"",BD_MO[[#This Row],[SEMIGELATINA (N° CART.)]]*PE_SEMIGEL_65[PE],"")</f>
        <v/>
      </c>
      <c r="AU539" s="432" t="str">
        <f>+IF(BD_MO[N° VALE]&lt;&gt;"",BD_MO[[#This Row],[KG EXPLO SEMIGEL]]+BD_MO[[#This Row],[KG EXPLO PULVE]]+BD_MO[[#This Row],[KG EXPLO EMULN 3000]]+BD_MO[[#This Row],[KG EXPLO EMULN 1000]],"")</f>
        <v/>
      </c>
      <c r="AV539" s="428"/>
      <c r="AW539" s="428"/>
      <c r="AX539" s="428" t="str">
        <f>+IF(BD_MO[[#This Row],[MINERAL (U-35)]]&lt;&gt;"",BD_MO[[#This Row],[MINERAL (U-35)]]*1.45,"-")</f>
        <v>-</v>
      </c>
      <c r="AY539" s="428" t="str">
        <f>+IF(BD_MO[[#This Row],[DESMONTE (U-35)]]&lt;&gt;"",BD_MO[[#This Row],[DESMONTE (U-35)]]*1.23,"-")</f>
        <v>-</v>
      </c>
      <c r="AZ539" s="428"/>
      <c r="BA539" s="428"/>
      <c r="BB539" s="428"/>
      <c r="BC539" s="428"/>
      <c r="BD539" s="428"/>
      <c r="BE539" s="428"/>
      <c r="BF539" s="428"/>
      <c r="BG539" s="428"/>
      <c r="BH539" s="428"/>
      <c r="BI539" s="428"/>
      <c r="BJ539" s="428"/>
      <c r="BK539" s="428"/>
      <c r="BL539" s="428"/>
      <c r="BM539" s="428"/>
      <c r="BN539" s="427"/>
      <c r="BO539" s="428"/>
      <c r="BP539" s="428"/>
      <c r="BQ539" s="427"/>
      <c r="BR539" s="428"/>
      <c r="BS539" s="427"/>
      <c r="BT539" s="432"/>
      <c r="BU539" s="428"/>
      <c r="BV539" s="428"/>
      <c r="BW539" s="428"/>
      <c r="BX539" s="428"/>
      <c r="BY539" s="428"/>
      <c r="BZ539" s="428"/>
      <c r="CA539" s="428"/>
      <c r="CB539" s="428"/>
      <c r="CC539" s="428"/>
      <c r="CD539" s="428"/>
      <c r="CE539" s="428"/>
      <c r="CF539" s="428"/>
      <c r="CG539" s="428"/>
      <c r="CH539" s="428"/>
      <c r="CI539" s="428"/>
      <c r="CJ539" s="428"/>
      <c r="CK539" s="428"/>
      <c r="CL539" s="428"/>
      <c r="CM539" s="428"/>
      <c r="CN539" s="428"/>
      <c r="CO539" s="428"/>
      <c r="CP539" s="432" t="str">
        <f>+IF(BD_MO[[#This Row],[FECHA]]&lt;&gt;"",BD_MO[[#This Row],[PUNTAL 4"]]+BD_MO[[#This Row],[PUNTAL 5"]]+BD_MO[[#This Row],[PUNTAL 6"]]+BD_MO[[#This Row],[PUNTAL 7"]]+BD_MO[[#This Row],[PUNTAL 8"]],"")</f>
        <v/>
      </c>
      <c r="CQ539" s="428"/>
      <c r="CR539" s="428"/>
      <c r="CS539" s="428"/>
      <c r="CT539" s="428"/>
      <c r="CU539" s="428"/>
      <c r="CV539" s="428"/>
      <c r="CW539" s="428"/>
      <c r="CX539" s="428"/>
      <c r="CY539" s="432"/>
      <c r="CZ539" s="432" t="str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/>
      </c>
      <c r="DA539" s="432" t="str">
        <f>+IF(BD_MO[[#This Row],[FECHA]]&lt;&gt;"",BD_MO[[#This Row],[DURMIENTE2]]*6.561+BD_MO[[#This Row],[LISTONES]]*4.921+BD_MO[[#This Row],[TABLA 1"x8"x3m]]*6.561+BD_MO[[#This Row],[TABLA 2"x8"x3m]]*13.122,"")</f>
        <v/>
      </c>
      <c r="DB539" s="432" t="str">
        <f>+IF(BD_MO[[#This Row],[FECHA]]&lt;&gt;"",BD_MO[[#This Row],[PIE2 MADERA ASERRADA]]*1.95,"")</f>
        <v/>
      </c>
      <c r="DC539" s="432" t="str">
        <f>+IF(BD_MO[[#This Row],[FECHA]]&lt;&gt;"",BD_MO[[#This Row],[KG. MADERA REDONDA]]+BD_MO[[#This Row],[KG MADERA ASERRADA]],"")</f>
        <v/>
      </c>
      <c r="DD539" s="435" t="str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/>
      </c>
      <c r="DE539" s="428"/>
      <c r="DF539" s="428"/>
      <c r="DG539" s="428"/>
      <c r="DH539" s="428"/>
      <c r="DI539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39" s="436"/>
      <c r="DK539" s="436"/>
      <c r="DL539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39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39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39" s="437"/>
      <c r="DP539" s="436" t="str">
        <f>+IF(BD_MO[[#This Row],[M o D]]&lt;&gt;"",IF(BD_MO[[#This Row],[M o D]]="M",BD_MO[[#This Row],[ROTURA TMH]]/2.65,BD_MO[[#This Row],[ROTURA TMH]]/2.4),"")</f>
        <v/>
      </c>
      <c r="DQ539" s="436"/>
      <c r="DR539" s="493" t="e">
        <f>(BD_MO[[#This Row],[AVANCE (m)]]/BD_MO[[#This Row],[AVANCE TEÓRICO]])*100</f>
        <v>#VALUE!</v>
      </c>
      <c r="DS539" s="134"/>
      <c r="DT539" s="134"/>
      <c r="DU539" s="134"/>
      <c r="DV539" s="134"/>
      <c r="DW539" s="134"/>
      <c r="DX539" s="135"/>
      <c r="DY539" s="135"/>
      <c r="DZ539" s="135"/>
    </row>
    <row r="540" spans="1:130" s="136" customFormat="1" ht="18" customHeight="1" x14ac:dyDescent="0.25">
      <c r="A540" s="488"/>
      <c r="B540" s="489"/>
      <c r="C540" s="489"/>
      <c r="D540" s="426"/>
      <c r="E540" s="427" t="str">
        <f>LEFT(BD_MO[[#This Row],[LABOR]],2)</f>
        <v/>
      </c>
      <c r="F540" s="428"/>
      <c r="G540" s="428"/>
      <c r="H540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/>
      </c>
      <c r="I540" s="427" t="str">
        <f>IF(BD_MO[FECHA]&lt;&gt;"",VLOOKUP(BD_MO[LABOR],TB_CECO[[LABOR]:[CECO_T]],3,FALSE),"")</f>
        <v/>
      </c>
      <c r="J540" s="427" t="str">
        <f>IF(BD_MO[FECHA]&lt;&gt;"",VLOOKUP(BD_MO[LABOR],D_CECO!B:H,7,FALSE),"")</f>
        <v/>
      </c>
      <c r="K540" s="427" t="str">
        <f>IF(BD_MO[FECHA]&lt;&gt;"",VLOOKUP(BD_MO[LABOR],D_CECO!B:H,4,FALSE),"")</f>
        <v/>
      </c>
      <c r="L540" s="427"/>
      <c r="M540" s="425"/>
      <c r="N540" s="428"/>
      <c r="O540" s="429"/>
      <c r="P540" s="429"/>
      <c r="Q540" s="429"/>
      <c r="R540" s="430"/>
      <c r="S540" s="431" t="str">
        <f>IFERROR(VLOOKUP(BD_MO[DNI 4],#REF!,2,FALSE)," ")</f>
        <v xml:space="preserve"> </v>
      </c>
      <c r="T540" s="432" t="str">
        <f>+IF(BD_MO[[#This Row],[FECHA]]&lt;&gt;"",COUNTA(BD_MO[[#This Row],[DNI]],BD_MO[[#This Row],[DNI 2]],BD_MO[[#This Row],[DNI 3]],BD_MO[[#This Row],[DNI 4]]),"")</f>
        <v/>
      </c>
      <c r="U540" s="432"/>
      <c r="V540" s="432"/>
      <c r="W540" s="432"/>
      <c r="X540" s="432"/>
      <c r="Y540" s="433">
        <f>SUM(BD_MO[[#This Row],[LIMP]:[SERV]])</f>
        <v>0</v>
      </c>
      <c r="Z540" s="428"/>
      <c r="AA540" s="428" t="str">
        <f>+IF(BD_MO[[#This Row],[N° VALE]]&lt;&gt;"",1,"")</f>
        <v/>
      </c>
      <c r="AB540" s="425"/>
      <c r="AC540" s="428"/>
      <c r="AD540" s="428" t="str">
        <f>+IF(BD_MO[[#This Row],[N° VALE]]&lt;&gt;"",BD_MO[[#This Row],[FULMINANTE N° 08]]+BD_MO[CARMEX 7''],"")</f>
        <v/>
      </c>
      <c r="AE540" s="428"/>
      <c r="AF540" s="428" t="str">
        <f>+IF(BD_MO[[#This Row],[N° VALE]]&lt;&gt;"",BD_MO[[#This Row],[N° TALADROS]]+BD_MO[[#This Row],[N° TAL. VACIOS]],"")</f>
        <v/>
      </c>
      <c r="AG540" s="434"/>
      <c r="AH540" s="434"/>
      <c r="AI540" s="434"/>
      <c r="AJ540" s="434"/>
      <c r="AK540" s="434"/>
      <c r="AL540" s="434"/>
      <c r="AM540" s="427"/>
      <c r="AN540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40" s="428" t="str">
        <f>+IF(BD_MO[[#This Row],[N° VALE]]&lt;&gt;"",IF(BD_MO[[#This Row],[FULMINANTE N° 08]]&lt;&gt;"",BD_MO[[#This Row],[FULMINANTE N° 08]],IF(BD_MO[[#This Row],[CARMEX 7'']]&lt;&gt;0,0,"")),"")</f>
        <v/>
      </c>
      <c r="AP540" s="432" t="str">
        <f>+IF(BD_MO[[#This Row],[N° VALE]]&lt;&gt;"",BD_MO[[#This Row],[N°  TOTAL TALADROS]]*BD_MO[[#This Row],[BARRA]]*0.95,"")</f>
        <v/>
      </c>
      <c r="AQ540" s="432" t="str">
        <f>+IF(BD_MO[[#This Row],[N° VALE]]&lt;&gt;"",BD_MO[[#This Row],[EMULNOR 1000 (N° CART.)]]*PE_EMUL_1000[PE],"")</f>
        <v/>
      </c>
      <c r="AR540" s="432" t="str">
        <f>+IF(BD_MO[[#This Row],[N° VALE]]&lt;&gt;"",BD_MO[[#This Row],[EMULNOR 3000 (N° CART.)]]*PE_EMUL_3000[PE],"")</f>
        <v/>
      </c>
      <c r="AS540" s="432" t="str">
        <f>+IF(BD_MO[[#This Row],[N° VALE]]&lt;&gt;"",BD_MO[[#This Row],[PULVERULENTA (N° CART.)]]*PE_PULV_65[PE],"")</f>
        <v/>
      </c>
      <c r="AT540" s="432" t="str">
        <f>+IF(BD_MO[[#This Row],[N° DISP]]&lt;&gt;"",BD_MO[[#This Row],[SEMIGELATINA (N° CART.)]]*PE_SEMIGEL_65[PE],"")</f>
        <v/>
      </c>
      <c r="AU540" s="432" t="str">
        <f>+IF(BD_MO[N° VALE]&lt;&gt;"",BD_MO[[#This Row],[KG EXPLO SEMIGEL]]+BD_MO[[#This Row],[KG EXPLO PULVE]]+BD_MO[[#This Row],[KG EXPLO EMULN 3000]]+BD_MO[[#This Row],[KG EXPLO EMULN 1000]],"")</f>
        <v/>
      </c>
      <c r="AV540" s="428"/>
      <c r="AW540" s="428"/>
      <c r="AX540" s="428" t="str">
        <f>+IF(BD_MO[[#This Row],[MINERAL (U-35)]]&lt;&gt;"",BD_MO[[#This Row],[MINERAL (U-35)]]*1.45,"-")</f>
        <v>-</v>
      </c>
      <c r="AY540" s="428" t="str">
        <f>+IF(BD_MO[[#This Row],[DESMONTE (U-35)]]&lt;&gt;"",BD_MO[[#This Row],[DESMONTE (U-35)]]*1.23,"-")</f>
        <v>-</v>
      </c>
      <c r="AZ540" s="428"/>
      <c r="BA540" s="428"/>
      <c r="BB540" s="428"/>
      <c r="BC540" s="428"/>
      <c r="BD540" s="428"/>
      <c r="BE540" s="428"/>
      <c r="BF540" s="428"/>
      <c r="BG540" s="428"/>
      <c r="BH540" s="428"/>
      <c r="BI540" s="428"/>
      <c r="BJ540" s="428"/>
      <c r="BK540" s="428"/>
      <c r="BL540" s="428"/>
      <c r="BM540" s="428"/>
      <c r="BN540" s="427"/>
      <c r="BO540" s="428"/>
      <c r="BP540" s="428"/>
      <c r="BQ540" s="427"/>
      <c r="BR540" s="428"/>
      <c r="BS540" s="427"/>
      <c r="BT540" s="432"/>
      <c r="BU540" s="428"/>
      <c r="BV540" s="428"/>
      <c r="BW540" s="428"/>
      <c r="BX540" s="428"/>
      <c r="BY540" s="428"/>
      <c r="BZ540" s="428"/>
      <c r="CA540" s="428"/>
      <c r="CB540" s="428"/>
      <c r="CC540" s="428"/>
      <c r="CD540" s="428"/>
      <c r="CE540" s="428"/>
      <c r="CF540" s="428"/>
      <c r="CG540" s="428"/>
      <c r="CH540" s="428"/>
      <c r="CI540" s="428"/>
      <c r="CJ540" s="428"/>
      <c r="CK540" s="428"/>
      <c r="CL540" s="428"/>
      <c r="CM540" s="428"/>
      <c r="CN540" s="428"/>
      <c r="CO540" s="428"/>
      <c r="CP540" s="432" t="str">
        <f>+IF(BD_MO[[#This Row],[FECHA]]&lt;&gt;"",BD_MO[[#This Row],[PUNTAL 4"]]+BD_MO[[#This Row],[PUNTAL 5"]]+BD_MO[[#This Row],[PUNTAL 6"]]+BD_MO[[#This Row],[PUNTAL 7"]]+BD_MO[[#This Row],[PUNTAL 8"]],"")</f>
        <v/>
      </c>
      <c r="CQ540" s="428"/>
      <c r="CR540" s="428"/>
      <c r="CS540" s="428"/>
      <c r="CT540" s="428"/>
      <c r="CU540" s="428"/>
      <c r="CV540" s="428"/>
      <c r="CW540" s="428"/>
      <c r="CX540" s="428"/>
      <c r="CY540" s="432"/>
      <c r="CZ540" s="432" t="str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/>
      </c>
      <c r="DA540" s="432" t="str">
        <f>+IF(BD_MO[[#This Row],[FECHA]]&lt;&gt;"",BD_MO[[#This Row],[DURMIENTE2]]*6.561+BD_MO[[#This Row],[LISTONES]]*4.921+BD_MO[[#This Row],[TABLA 1"x8"x3m]]*6.561+BD_MO[[#This Row],[TABLA 2"x8"x3m]]*13.122,"")</f>
        <v/>
      </c>
      <c r="DB540" s="432" t="str">
        <f>+IF(BD_MO[[#This Row],[FECHA]]&lt;&gt;"",BD_MO[[#This Row],[PIE2 MADERA ASERRADA]]*1.95,"")</f>
        <v/>
      </c>
      <c r="DC540" s="432" t="str">
        <f>+IF(BD_MO[[#This Row],[FECHA]]&lt;&gt;"",BD_MO[[#This Row],[KG. MADERA REDONDA]]+BD_MO[[#This Row],[KG MADERA ASERRADA]],"")</f>
        <v/>
      </c>
      <c r="DD540" s="435" t="str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/>
      </c>
      <c r="DE540" s="428"/>
      <c r="DF540" s="428"/>
      <c r="DG540" s="428"/>
      <c r="DH540" s="428"/>
      <c r="DI540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40" s="436"/>
      <c r="DK540" s="436"/>
      <c r="DL540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40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40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40" s="437"/>
      <c r="DP540" s="436" t="str">
        <f>+IF(BD_MO[[#This Row],[M o D]]&lt;&gt;"",IF(BD_MO[[#This Row],[M o D]]="M",BD_MO[[#This Row],[ROTURA TMH]]/2.65,BD_MO[[#This Row],[ROTURA TMH]]/2.4),"")</f>
        <v/>
      </c>
      <c r="DQ540" s="436"/>
      <c r="DR540" s="493" t="e">
        <f>(BD_MO[[#This Row],[AVANCE (m)]]/BD_MO[[#This Row],[AVANCE TEÓRICO]])*100</f>
        <v>#VALUE!</v>
      </c>
      <c r="DS540" s="134"/>
      <c r="DT540" s="134"/>
      <c r="DU540" s="134"/>
      <c r="DV540" s="134"/>
      <c r="DW540" s="134"/>
      <c r="DX540" s="135"/>
      <c r="DY540" s="135"/>
      <c r="DZ540" s="135"/>
    </row>
    <row r="541" spans="1:130" s="136" customFormat="1" ht="18" customHeight="1" x14ac:dyDescent="0.25">
      <c r="A541" s="464"/>
      <c r="B541" s="465"/>
      <c r="C541" s="465"/>
      <c r="D541" s="426"/>
      <c r="E541" s="427" t="str">
        <f>LEFT(BD_MO[[#This Row],[LABOR]],2)</f>
        <v/>
      </c>
      <c r="F541" s="428"/>
      <c r="G541" s="428"/>
      <c r="H541" s="427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/>
      </c>
      <c r="I541" s="427" t="str">
        <f>IF(BD_MO[FECHA]&lt;&gt;"",VLOOKUP(BD_MO[LABOR],TB_CECO[[LABOR]:[CECO_T]],3,FALSE),"")</f>
        <v/>
      </c>
      <c r="J541" s="427" t="str">
        <f>IF(BD_MO[FECHA]&lt;&gt;"",VLOOKUP(BD_MO[LABOR],D_CECO!B:H,7,FALSE),"")</f>
        <v/>
      </c>
      <c r="K541" s="427" t="str">
        <f>IF(BD_MO[FECHA]&lt;&gt;"",VLOOKUP(BD_MO[LABOR],D_CECO!B:H,4,FALSE),"")</f>
        <v/>
      </c>
      <c r="L541" s="427"/>
      <c r="M541" s="425"/>
      <c r="N541" s="428"/>
      <c r="O541" s="429"/>
      <c r="P541" s="429"/>
      <c r="Q541" s="429"/>
      <c r="R541" s="430"/>
      <c r="S541" s="431" t="str">
        <f>IFERROR(VLOOKUP(BD_MO[DNI 4],#REF!,2,FALSE)," ")</f>
        <v xml:space="preserve"> </v>
      </c>
      <c r="T541" s="432" t="str">
        <f>+IF(BD_MO[[#This Row],[FECHA]]&lt;&gt;"",COUNTA(BD_MO[[#This Row],[DNI]],BD_MO[[#This Row],[DNI 2]],BD_MO[[#This Row],[DNI 3]],BD_MO[[#This Row],[DNI 4]]),"")</f>
        <v/>
      </c>
      <c r="U541" s="432"/>
      <c r="V541" s="432"/>
      <c r="W541" s="432"/>
      <c r="X541" s="432"/>
      <c r="Y541" s="433">
        <f>SUM(BD_MO[[#This Row],[LIMP]:[SERV]])</f>
        <v>0</v>
      </c>
      <c r="Z541" s="428"/>
      <c r="AA541" s="428" t="str">
        <f>+IF(BD_MO[[#This Row],[N° VALE]]&lt;&gt;"",1,"")</f>
        <v/>
      </c>
      <c r="AB541" s="425"/>
      <c r="AC541" s="428"/>
      <c r="AD541" s="428" t="str">
        <f>+IF(BD_MO[[#This Row],[N° VALE]]&lt;&gt;"",BD_MO[[#This Row],[FULMINANTE N° 08]]+BD_MO[CARMEX 7''],"")</f>
        <v/>
      </c>
      <c r="AE541" s="428"/>
      <c r="AF541" s="428" t="str">
        <f>+IF(BD_MO[[#This Row],[N° VALE]]&lt;&gt;"",BD_MO[[#This Row],[N° TALADROS]]+BD_MO[[#This Row],[N° TAL. VACIOS]],"")</f>
        <v/>
      </c>
      <c r="AG541" s="434"/>
      <c r="AH541" s="434"/>
      <c r="AI541" s="434"/>
      <c r="AJ541" s="434"/>
      <c r="AK541" s="434"/>
      <c r="AL541" s="434"/>
      <c r="AM541" s="427"/>
      <c r="AN541" s="428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41" s="428" t="str">
        <f>+IF(BD_MO[[#This Row],[N° VALE]]&lt;&gt;"",IF(BD_MO[[#This Row],[FULMINANTE N° 08]]&lt;&gt;"",BD_MO[[#This Row],[FULMINANTE N° 08]],IF(BD_MO[[#This Row],[CARMEX 7'']]&lt;&gt;0,0,"")),"")</f>
        <v/>
      </c>
      <c r="AP541" s="432" t="str">
        <f>+IF(BD_MO[[#This Row],[N° VALE]]&lt;&gt;"",BD_MO[[#This Row],[N°  TOTAL TALADROS]]*BD_MO[[#This Row],[BARRA]]*0.95,"")</f>
        <v/>
      </c>
      <c r="AQ541" s="432" t="str">
        <f>+IF(BD_MO[[#This Row],[N° VALE]]&lt;&gt;"",BD_MO[[#This Row],[EMULNOR 1000 (N° CART.)]]*PE_EMUL_1000[PE],"")</f>
        <v/>
      </c>
      <c r="AR541" s="432" t="str">
        <f>+IF(BD_MO[[#This Row],[N° VALE]]&lt;&gt;"",BD_MO[[#This Row],[EMULNOR 3000 (N° CART.)]]*PE_EMUL_3000[PE],"")</f>
        <v/>
      </c>
      <c r="AS541" s="432" t="str">
        <f>+IF(BD_MO[[#This Row],[N° VALE]]&lt;&gt;"",BD_MO[[#This Row],[PULVERULENTA (N° CART.)]]*PE_PULV_65[PE],"")</f>
        <v/>
      </c>
      <c r="AT541" s="432" t="str">
        <f>+IF(BD_MO[[#This Row],[N° DISP]]&lt;&gt;"",BD_MO[[#This Row],[SEMIGELATINA (N° CART.)]]*PE_SEMIGEL_65[PE],"")</f>
        <v/>
      </c>
      <c r="AU541" s="432" t="str">
        <f>+IF(BD_MO[N° VALE]&lt;&gt;"",BD_MO[[#This Row],[KG EXPLO SEMIGEL]]+BD_MO[[#This Row],[KG EXPLO PULVE]]+BD_MO[[#This Row],[KG EXPLO EMULN 3000]]+BD_MO[[#This Row],[KG EXPLO EMULN 1000]],"")</f>
        <v/>
      </c>
      <c r="AV541" s="428"/>
      <c r="AW541" s="428"/>
      <c r="AX541" s="428" t="str">
        <f>+IF(BD_MO[[#This Row],[MINERAL (U-35)]]&lt;&gt;"",BD_MO[[#This Row],[MINERAL (U-35)]]*1.45,"-")</f>
        <v>-</v>
      </c>
      <c r="AY541" s="428" t="str">
        <f>+IF(BD_MO[[#This Row],[DESMONTE (U-35)]]&lt;&gt;"",BD_MO[[#This Row],[DESMONTE (U-35)]]*1.23,"-")</f>
        <v>-</v>
      </c>
      <c r="AZ541" s="428"/>
      <c r="BA541" s="428"/>
      <c r="BB541" s="428"/>
      <c r="BC541" s="428"/>
      <c r="BD541" s="428"/>
      <c r="BE541" s="428"/>
      <c r="BF541" s="428"/>
      <c r="BG541" s="428"/>
      <c r="BH541" s="428"/>
      <c r="BI541" s="428"/>
      <c r="BJ541" s="428"/>
      <c r="BK541" s="428"/>
      <c r="BL541" s="428"/>
      <c r="BM541" s="428"/>
      <c r="BN541" s="427"/>
      <c r="BO541" s="428"/>
      <c r="BP541" s="428"/>
      <c r="BQ541" s="427"/>
      <c r="BR541" s="428"/>
      <c r="BS541" s="427"/>
      <c r="BT541" s="432"/>
      <c r="BU541" s="428"/>
      <c r="BV541" s="428"/>
      <c r="BW541" s="428"/>
      <c r="BX541" s="428"/>
      <c r="BY541" s="428"/>
      <c r="BZ541" s="428"/>
      <c r="CA541" s="428"/>
      <c r="CB541" s="428"/>
      <c r="CC541" s="428"/>
      <c r="CD541" s="428"/>
      <c r="CE541" s="428"/>
      <c r="CF541" s="428"/>
      <c r="CG541" s="428"/>
      <c r="CH541" s="428"/>
      <c r="CI541" s="428"/>
      <c r="CJ541" s="428"/>
      <c r="CK541" s="428"/>
      <c r="CL541" s="428"/>
      <c r="CM541" s="428"/>
      <c r="CN541" s="428"/>
      <c r="CO541" s="428"/>
      <c r="CP541" s="432" t="str">
        <f>+IF(BD_MO[[#This Row],[FECHA]]&lt;&gt;"",BD_MO[[#This Row],[PUNTAL 4"]]+BD_MO[[#This Row],[PUNTAL 5"]]+BD_MO[[#This Row],[PUNTAL 6"]]+BD_MO[[#This Row],[PUNTAL 7"]]+BD_MO[[#This Row],[PUNTAL 8"]],"")</f>
        <v/>
      </c>
      <c r="CQ541" s="428"/>
      <c r="CR541" s="428"/>
      <c r="CS541" s="428"/>
      <c r="CT541" s="428"/>
      <c r="CU541" s="428"/>
      <c r="CV541" s="428"/>
      <c r="CW541" s="428"/>
      <c r="CX541" s="428"/>
      <c r="CY541" s="432"/>
      <c r="CZ541" s="432" t="str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/>
      </c>
      <c r="DA541" s="432" t="str">
        <f>+IF(BD_MO[[#This Row],[FECHA]]&lt;&gt;"",BD_MO[[#This Row],[DURMIENTE2]]*6.561+BD_MO[[#This Row],[LISTONES]]*4.921+BD_MO[[#This Row],[TABLA 1"x8"x3m]]*6.561+BD_MO[[#This Row],[TABLA 2"x8"x3m]]*13.122,"")</f>
        <v/>
      </c>
      <c r="DB541" s="432" t="str">
        <f>+IF(BD_MO[[#This Row],[FECHA]]&lt;&gt;"",BD_MO[[#This Row],[PIE2 MADERA ASERRADA]]*1.95,"")</f>
        <v/>
      </c>
      <c r="DC541" s="432" t="str">
        <f>+IF(BD_MO[[#This Row],[FECHA]]&lt;&gt;"",BD_MO[[#This Row],[KG. MADERA REDONDA]]+BD_MO[[#This Row],[KG MADERA ASERRADA]],"")</f>
        <v/>
      </c>
      <c r="DD541" s="435" t="str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/>
      </c>
      <c r="DE541" s="428"/>
      <c r="DF541" s="428"/>
      <c r="DG541" s="428"/>
      <c r="DH541" s="428"/>
      <c r="DI541" s="43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41" s="436"/>
      <c r="DK541" s="436"/>
      <c r="DL541" s="43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41" s="43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41" s="43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41" s="437"/>
      <c r="DP541" s="436" t="str">
        <f>+IF(BD_MO[[#This Row],[M o D]]&lt;&gt;"",IF(BD_MO[[#This Row],[M o D]]="M",BD_MO[[#This Row],[ROTURA TMH]]/2.65,BD_MO[[#This Row],[ROTURA TMH]]/2.4),"")</f>
        <v/>
      </c>
      <c r="DQ541" s="436"/>
      <c r="DR541" s="116" t="str">
        <f>IF(BD_MO[[#This Row],[TIPO AVANCE]]="Avance",((BD_MO[[#This Row],[AVANCE (m)]]/BD_MO[[#This Row],[AVANCE TEÓRICO]]))," ")</f>
        <v xml:space="preserve"> </v>
      </c>
      <c r="DS541" s="134"/>
      <c r="DT541" s="134"/>
      <c r="DU541" s="134"/>
      <c r="DV541" s="134"/>
      <c r="DW541" s="134"/>
      <c r="DX541" s="135"/>
      <c r="DY541" s="135"/>
      <c r="DZ541" s="135"/>
    </row>
    <row r="542" spans="1:130" ht="18" customHeight="1" x14ac:dyDescent="0.25">
      <c r="A542" s="92"/>
      <c r="B542" s="396"/>
      <c r="C542" s="396"/>
      <c r="D542" s="342"/>
      <c r="E542" s="330" t="str">
        <f>LEFT(BD_MO[[#This Row],[LABOR]],2)</f>
        <v/>
      </c>
      <c r="F542" s="331"/>
      <c r="G542" s="331"/>
      <c r="H542" s="330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/>
      </c>
      <c r="I542" s="330" t="str">
        <f>IF(BD_MO[FECHA]&lt;&gt;"",VLOOKUP(BD_MO[LABOR],TB_CECO[[LABOR]:[CECO_T]],3,FALSE),"")</f>
        <v/>
      </c>
      <c r="J542" s="330" t="str">
        <f>IF(BD_MO[FECHA]&lt;&gt;"",VLOOKUP(BD_MO[LABOR],D_CECO!B:H,7,FALSE),"")</f>
        <v/>
      </c>
      <c r="K542" s="330" t="str">
        <f>IF(BD_MO[FECHA]&lt;&gt;"",VLOOKUP(BD_MO[LABOR],D_CECO!B:H,4,FALSE),"")</f>
        <v/>
      </c>
      <c r="L542" s="330"/>
      <c r="M542" s="332"/>
      <c r="N542" s="331"/>
      <c r="O542" s="333"/>
      <c r="P542" s="333"/>
      <c r="Q542" s="333"/>
      <c r="R542" s="334"/>
      <c r="S542" s="335" t="str">
        <f>IFERROR(VLOOKUP(BD_MO[DNI 4],#REF!,2,FALSE)," ")</f>
        <v xml:space="preserve"> </v>
      </c>
      <c r="T542" s="336" t="str">
        <f>+IF(BD_MO[[#This Row],[FECHA]]&lt;&gt;"",COUNTA(BD_MO[[#This Row],[DNI]],BD_MO[[#This Row],[DNI 2]],BD_MO[[#This Row],[DNI 3]],BD_MO[[#This Row],[DNI 4]]),"")</f>
        <v/>
      </c>
      <c r="U542" s="336"/>
      <c r="V542" s="336"/>
      <c r="W542" s="336"/>
      <c r="X542" s="336"/>
      <c r="Y542" s="337">
        <f>SUM(BD_MO[[#This Row],[LIMP]:[SERV]])</f>
        <v>0</v>
      </c>
      <c r="Z542" s="331"/>
      <c r="AA542" s="331" t="str">
        <f>+IF(BD_MO[[#This Row],[N° VALE]]&lt;&gt;"",1,"")</f>
        <v/>
      </c>
      <c r="AB542" s="329"/>
      <c r="AC542" s="331"/>
      <c r="AD542" s="331" t="str">
        <f>+IF(BD_MO[[#This Row],[N° VALE]]&lt;&gt;"",BD_MO[[#This Row],[FULMINANTE N° 08]]+BD_MO[CARMEX 7''],"")</f>
        <v/>
      </c>
      <c r="AE542" s="331"/>
      <c r="AF542" s="331" t="str">
        <f>+IF(BD_MO[[#This Row],[N° VALE]]&lt;&gt;"",BD_MO[[#This Row],[N° TALADROS]]+BD_MO[[#This Row],[N° TAL. VACIOS]],"")</f>
        <v/>
      </c>
      <c r="AG542" s="338"/>
      <c r="AH542" s="338"/>
      <c r="AI542" s="338"/>
      <c r="AJ542" s="338"/>
      <c r="AK542" s="338"/>
      <c r="AL542" s="338"/>
      <c r="AM542" s="330"/>
      <c r="AN542" s="331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42" s="331" t="str">
        <f>+IF(BD_MO[[#This Row],[N° VALE]]&lt;&gt;"",IF(BD_MO[[#This Row],[FULMINANTE N° 08]]&lt;&gt;"",BD_MO[[#This Row],[FULMINANTE N° 08]],IF(BD_MO[[#This Row],[CARMEX 7'']]&lt;&gt;0,0,"")),"")</f>
        <v/>
      </c>
      <c r="AP542" s="336" t="str">
        <f>+IF(BD_MO[[#This Row],[N° VALE]]&lt;&gt;"",BD_MO[[#This Row],[N°  TOTAL TALADROS]]*BD_MO[[#This Row],[BARRA]]*0.95,"")</f>
        <v/>
      </c>
      <c r="AQ542" s="336" t="str">
        <f>+IF(BD_MO[[#This Row],[N° VALE]]&lt;&gt;"",BD_MO[[#This Row],[EMULNOR 1000 (N° CART.)]]*PE_EMUL_1000[PE],"")</f>
        <v/>
      </c>
      <c r="AR542" s="336" t="str">
        <f>+IF(BD_MO[[#This Row],[N° VALE]]&lt;&gt;"",BD_MO[[#This Row],[EMULNOR 3000 (N° CART.)]]*PE_EMUL_3000[PE],"")</f>
        <v/>
      </c>
      <c r="AS542" s="336" t="str">
        <f>+IF(BD_MO[[#This Row],[N° VALE]]&lt;&gt;"",BD_MO[[#This Row],[PULVERULENTA (N° CART.)]]*PE_PULV_65[PE],"")</f>
        <v/>
      </c>
      <c r="AT542" s="336" t="str">
        <f>+IF(BD_MO[[#This Row],[N° DISP]]&lt;&gt;"",BD_MO[[#This Row],[SEMIGELATINA (N° CART.)]]*PE_SEMIGEL_65[PE],"")</f>
        <v/>
      </c>
      <c r="AU542" s="336" t="str">
        <f>+IF(BD_MO[N° VALE]&lt;&gt;"",BD_MO[[#This Row],[KG EXPLO SEMIGEL]]+BD_MO[[#This Row],[KG EXPLO PULVE]]+BD_MO[[#This Row],[KG EXPLO EMULN 3000]]+BD_MO[[#This Row],[KG EXPLO EMULN 1000]],"")</f>
        <v/>
      </c>
      <c r="AV542" s="331"/>
      <c r="AW542" s="331"/>
      <c r="AX542" s="331" t="str">
        <f>+IF(BD_MO[[#This Row],[MINERAL (U-35)]]&lt;&gt;"",BD_MO[[#This Row],[MINERAL (U-35)]]*1.45,"-")</f>
        <v>-</v>
      </c>
      <c r="AY542" s="331" t="str">
        <f>+IF(BD_MO[[#This Row],[DESMONTE (U-35)]]&lt;&gt;"",BD_MO[[#This Row],[DESMONTE (U-35)]]*1.23,"-")</f>
        <v>-</v>
      </c>
      <c r="AZ542" s="331"/>
      <c r="BA542" s="331"/>
      <c r="BB542" s="331"/>
      <c r="BC542" s="331"/>
      <c r="BD542" s="331"/>
      <c r="BE542" s="331"/>
      <c r="BF542" s="331"/>
      <c r="BG542" s="331"/>
      <c r="BH542" s="331"/>
      <c r="BI542" s="331"/>
      <c r="BJ542" s="331"/>
      <c r="BK542" s="331"/>
      <c r="BL542" s="331"/>
      <c r="BM542" s="331"/>
      <c r="BN542" s="330"/>
      <c r="BO542" s="331"/>
      <c r="BP542" s="331"/>
      <c r="BQ542" s="330"/>
      <c r="BR542" s="331"/>
      <c r="BS542" s="330"/>
      <c r="BT542" s="336"/>
      <c r="BU542" s="331"/>
      <c r="BV542" s="331"/>
      <c r="BW542" s="331"/>
      <c r="BX542" s="331"/>
      <c r="BY542" s="331"/>
      <c r="BZ542" s="331"/>
      <c r="CA542" s="331"/>
      <c r="CB542" s="331"/>
      <c r="CC542" s="331"/>
      <c r="CD542" s="331"/>
      <c r="CE542" s="331"/>
      <c r="CF542" s="331"/>
      <c r="CG542" s="331"/>
      <c r="CH542" s="331"/>
      <c r="CI542" s="331"/>
      <c r="CJ542" s="331"/>
      <c r="CK542" s="331"/>
      <c r="CL542" s="331"/>
      <c r="CM542" s="331"/>
      <c r="CN542" s="331"/>
      <c r="CO542" s="331"/>
      <c r="CP542" s="336" t="str">
        <f>+IF(BD_MO[[#This Row],[FECHA]]&lt;&gt;"",BD_MO[[#This Row],[PUNTAL 4"]]+BD_MO[[#This Row],[PUNTAL 5"]]+BD_MO[[#This Row],[PUNTAL 6"]]+BD_MO[[#This Row],[PUNTAL 7"]]+BD_MO[[#This Row],[PUNTAL 8"]],"")</f>
        <v/>
      </c>
      <c r="CQ542" s="331"/>
      <c r="CR542" s="331"/>
      <c r="CS542" s="331"/>
      <c r="CT542" s="331"/>
      <c r="CU542" s="331"/>
      <c r="CV542" s="331"/>
      <c r="CW542" s="331"/>
      <c r="CX542" s="331"/>
      <c r="CY542" s="336"/>
      <c r="CZ542" s="336" t="str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/>
      </c>
      <c r="DA542" s="336" t="str">
        <f>+IF(BD_MO[[#This Row],[FECHA]]&lt;&gt;"",BD_MO[[#This Row],[DURMIENTE2]]*6.561+BD_MO[[#This Row],[LISTONES]]*4.921+BD_MO[[#This Row],[TABLA 1"x8"x3m]]*6.561+BD_MO[[#This Row],[TABLA 2"x8"x3m]]*13.122,"")</f>
        <v/>
      </c>
      <c r="DB542" s="336" t="str">
        <f>+IF(BD_MO[[#This Row],[FECHA]]&lt;&gt;"",BD_MO[[#This Row],[PIE2 MADERA ASERRADA]]*1.95,"")</f>
        <v/>
      </c>
      <c r="DC542" s="336" t="str">
        <f>+IF(BD_MO[[#This Row],[FECHA]]&lt;&gt;"",BD_MO[[#This Row],[KG. MADERA REDONDA]]+BD_MO[[#This Row],[KG MADERA ASERRADA]],"")</f>
        <v/>
      </c>
      <c r="DD542" s="339" t="str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/>
      </c>
      <c r="DE542" s="331"/>
      <c r="DF542" s="331"/>
      <c r="DG542" s="331"/>
      <c r="DH542" s="331"/>
      <c r="DI542" s="340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42" s="340"/>
      <c r="DK542" s="340"/>
      <c r="DL542" s="340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42" s="340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42" s="340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42" s="341"/>
      <c r="DP542" s="340" t="str">
        <f>+IF(BD_MO[[#This Row],[M o D]]&lt;&gt;"",IF(BD_MO[[#This Row],[M o D]]="M",BD_MO[[#This Row],[ROTURA TMH]]/2.65,BD_MO[[#This Row],[ROTURA TMH]]/2.4),"")</f>
        <v/>
      </c>
      <c r="DQ542" s="340"/>
      <c r="DR542" s="341"/>
    </row>
    <row r="543" spans="1:130" ht="18" customHeight="1" x14ac:dyDescent="0.25">
      <c r="A543" s="328"/>
      <c r="B543" s="40"/>
      <c r="C543" s="40"/>
      <c r="D543" s="61"/>
      <c r="E543" s="42" t="str">
        <f>LEFT(BD_MO[[#This Row],[LABOR]],2)</f>
        <v/>
      </c>
      <c r="F543" s="46"/>
      <c r="G543" s="46"/>
      <c r="H543" s="42" t="str">
        <f>+IF(BD_MO[PRINCIPAL TAREA]="2 Voladura","SUMINISTROS",IF(BD_MO[PRINCIPAL TAREA]="3 Limpieza","LIMPIEZA",IF(BD_MO[PRINCIPAL TAREA]="4 Sostenimiento","SOSTENIMIENTO",IF(BD_MO[PRINCIPAL TAREA]="5 Servicios","SERVICIO",IF(BD_MO[PRINCIPAL TAREA]="6 Rehabilitacion","REHABILITACION","")))))</f>
        <v/>
      </c>
      <c r="I543" s="42" t="str">
        <f>IF(BD_MO[FECHA]&lt;&gt;"",VLOOKUP(BD_MO[LABOR],TB_CECO[[LABOR]:[CECO_T]],3,FALSE),"")</f>
        <v/>
      </c>
      <c r="J543" s="42" t="str">
        <f>IF(BD_MO[FECHA]&lt;&gt;"",VLOOKUP(BD_MO[LABOR],D_CECO!B:H,7,FALSE),"")</f>
        <v/>
      </c>
      <c r="K543" s="42" t="str">
        <f>IF(BD_MO[FECHA]&lt;&gt;"",VLOOKUP(BD_MO[LABOR],D_CECO!B:H,4,FALSE),"")</f>
        <v/>
      </c>
      <c r="L543" s="42"/>
      <c r="M543" s="48"/>
      <c r="N543" s="46"/>
      <c r="O543" s="93"/>
      <c r="P543" s="93"/>
      <c r="Q543" s="93"/>
      <c r="R543" s="45"/>
      <c r="S543" s="54" t="str">
        <f>IFERROR(VLOOKUP(BD_MO[DNI 4],#REF!,2,FALSE)," ")</f>
        <v xml:space="preserve"> </v>
      </c>
      <c r="T543" s="24" t="str">
        <f>+IF(BD_MO[[#This Row],[FECHA]]&lt;&gt;"",COUNTA(BD_MO[[#This Row],[DNI]],BD_MO[[#This Row],[DNI 2]],BD_MO[[#This Row],[DNI 3]],BD_MO[[#This Row],[DNI 4]]),"")</f>
        <v/>
      </c>
      <c r="U543" s="24"/>
      <c r="V543" s="24"/>
      <c r="W543" s="24"/>
      <c r="X543" s="24"/>
      <c r="Y543" s="86">
        <f>SUM(BD_MO[[#This Row],[LIMP]:[SERV]])</f>
        <v>0</v>
      </c>
      <c r="Z543" s="46"/>
      <c r="AA543" s="46" t="str">
        <f>+IF(BD_MO[[#This Row],[N° VALE]]&lt;&gt;"",1,"")</f>
        <v/>
      </c>
      <c r="AB543" s="40"/>
      <c r="AC543" s="46"/>
      <c r="AD543" s="46" t="str">
        <f>+IF(BD_MO[[#This Row],[N° VALE]]&lt;&gt;"",BD_MO[[#This Row],[FULMINANTE N° 08]]+BD_MO[CARMEX 7''],"")</f>
        <v/>
      </c>
      <c r="AE543" s="46"/>
      <c r="AF543" s="46" t="str">
        <f>+IF(BD_MO[[#This Row],[N° VALE]]&lt;&gt;"",BD_MO[[#This Row],[N° TALADROS]]+BD_MO[[#This Row],[N° TAL. VACIOS]],"")</f>
        <v/>
      </c>
      <c r="AG543" s="55"/>
      <c r="AH543" s="55"/>
      <c r="AI543" s="55"/>
      <c r="AJ543" s="55"/>
      <c r="AK543" s="55"/>
      <c r="AL543" s="55"/>
      <c r="AM543" s="42"/>
      <c r="AN543" s="46" t="str">
        <f>+IF(BD_MO[[#This Row],[N° TALADROS]]&lt;&gt;"",IF(BD_MO[[#This Row],[FULMINANTE N° 08]]&lt;&gt;0,BD_MO[[#This Row],[FULMINANTE N° 08]]*IF(BD_MO[[#This Row],[BARRA]]=5,2.14,IF(BD_MO[[#This Row],[BARRA]]=8,2.75,1.83)),0),"")</f>
        <v/>
      </c>
      <c r="AO543" s="46" t="str">
        <f>+IF(BD_MO[[#This Row],[N° VALE]]&lt;&gt;"",IF(BD_MO[[#This Row],[FULMINANTE N° 08]]&lt;&gt;"",BD_MO[[#This Row],[FULMINANTE N° 08]],IF(BD_MO[[#This Row],[CARMEX 7'']]&lt;&gt;0,0,"")),"")</f>
        <v/>
      </c>
      <c r="AP543" s="24" t="str">
        <f>+IF(BD_MO[[#This Row],[N° VALE]]&lt;&gt;"",BD_MO[[#This Row],[N°  TOTAL TALADROS]]*BD_MO[[#This Row],[BARRA]]*0.95,"")</f>
        <v/>
      </c>
      <c r="AQ543" s="24" t="str">
        <f>+IF(BD_MO[[#This Row],[N° VALE]]&lt;&gt;"",BD_MO[[#This Row],[EMULNOR 1000 (N° CART.)]]*PE_EMUL_1000[PE],"")</f>
        <v/>
      </c>
      <c r="AR543" s="24" t="str">
        <f>+IF(BD_MO[[#This Row],[N° VALE]]&lt;&gt;"",BD_MO[[#This Row],[EMULNOR 3000 (N° CART.)]]*PE_EMUL_3000[PE],"")</f>
        <v/>
      </c>
      <c r="AS543" s="24" t="str">
        <f>+IF(BD_MO[[#This Row],[N° VALE]]&lt;&gt;"",BD_MO[[#This Row],[PULVERULENTA (N° CART.)]]*PE_PULV_65[PE],"")</f>
        <v/>
      </c>
      <c r="AT543" s="24" t="str">
        <f>+IF(BD_MO[[#This Row],[N° DISP]]&lt;&gt;"",BD_MO[[#This Row],[SEMIGELATINA (N° CART.)]]*PE_SEMIGEL_65[PE],"")</f>
        <v/>
      </c>
      <c r="AU543" s="24" t="str">
        <f>+IF(BD_MO[N° VALE]&lt;&gt;"",BD_MO[[#This Row],[KG EXPLO SEMIGEL]]+BD_MO[[#This Row],[KG EXPLO PULVE]]+BD_MO[[#This Row],[KG EXPLO EMULN 3000]]+BD_MO[[#This Row],[KG EXPLO EMULN 1000]],"")</f>
        <v/>
      </c>
      <c r="AV543" s="46"/>
      <c r="AW543" s="46"/>
      <c r="AX543" s="46" t="str">
        <f>+IF(BD_MO[[#This Row],[MINERAL (U-35)]]&lt;&gt;"",BD_MO[[#This Row],[MINERAL (U-35)]]*1.45,"-")</f>
        <v>-</v>
      </c>
      <c r="AY543" s="46" t="str">
        <f>+IF(BD_MO[[#This Row],[DESMONTE (U-35)]]&lt;&gt;"",BD_MO[[#This Row],[DESMONTE (U-35)]]*1.23,"-")</f>
        <v>-</v>
      </c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2"/>
      <c r="BO543" s="46"/>
      <c r="BP543" s="46"/>
      <c r="BQ543" s="42"/>
      <c r="BR543" s="46"/>
      <c r="BS543" s="42"/>
      <c r="BT543" s="24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24" t="str">
        <f>+IF(BD_MO[[#This Row],[FECHA]]&lt;&gt;"",BD_MO[[#This Row],[PUNTAL 4"]]+BD_MO[[#This Row],[PUNTAL 5"]]+BD_MO[[#This Row],[PUNTAL 6"]]+BD_MO[[#This Row],[PUNTAL 7"]]+BD_MO[[#This Row],[PUNTAL 8"]],"")</f>
        <v/>
      </c>
      <c r="CQ543" s="46"/>
      <c r="CR543" s="46"/>
      <c r="CS543" s="46"/>
      <c r="CT543" s="46"/>
      <c r="CU543" s="46"/>
      <c r="CV543" s="46"/>
      <c r="CW543" s="46"/>
      <c r="CX543" s="46"/>
      <c r="CY543" s="24"/>
      <c r="CZ543" s="24" t="str">
        <f>+IF(BD_MO[[#This Row],[FECHA]]&lt;&gt;"",BD_MO[[#This Row],[PUNTAL 4"]]*19.944+BD_MO[[#This Row],[PUNTAL 5"]]*31.163+BD_MO[[#This Row],[PUNTAL 6"]]*44.874+BD_MO[[#This Row],[PUNTAL 7"]]*61.079+BD_MO[[#This Row],[PUNTAL 8"]]*79.776+BD_MO[[#This Row],[CANTONERA]]*24.6+BD_MO[[#This Row],[PUNTAL 7"_4m]]*81.438+BD_MO[[#This Row],[PUNTAL 8"_4m]]*106.368,"")</f>
        <v/>
      </c>
      <c r="DA543" s="24" t="str">
        <f>+IF(BD_MO[[#This Row],[FECHA]]&lt;&gt;"",BD_MO[[#This Row],[DURMIENTE2]]*6.561+BD_MO[[#This Row],[LISTONES]]*4.921+BD_MO[[#This Row],[TABLA 1"x8"x3m]]*6.561+BD_MO[[#This Row],[TABLA 2"x8"x3m]]*13.122,"")</f>
        <v/>
      </c>
      <c r="DB543" s="24" t="str">
        <f>+IF(BD_MO[[#This Row],[FECHA]]&lt;&gt;"",BD_MO[[#This Row],[PIE2 MADERA ASERRADA]]*1.95,"")</f>
        <v/>
      </c>
      <c r="DC543" s="24" t="str">
        <f>+IF(BD_MO[[#This Row],[FECHA]]&lt;&gt;"",BD_MO[[#This Row],[KG. MADERA REDONDA]]+BD_MO[[#This Row],[KG MADERA ASERRADA]],"")</f>
        <v/>
      </c>
      <c r="DD543" s="82" t="str">
        <f>+IF(BD_MO[[#This Row],[FECHA]]&lt;&gt;"",BD_MO[[#This Row],[TOTAL REDONDOS]]*17.8+(BD_MO[[#This Row],[PUNTAL 7"_4m]]+BD_MO[[#This Row],[PUNTAL 8"_4m]])*46.3+BD_MO[[#This Row],[CANTONERA]]*12.29+BD_MO[[#This Row],[DURMIENTE2]]*15.148274232+BD_MO[[#This Row],[ESCALERA 4m]]*38.14+BD_MO[[#This Row],[LISTONES]]*21.115+BD_MO[[#This Row],[TABLA 1"x8"x3m]]*12.71+BD_MO[[#This Row],[TABLA 2"x8"x3m]]*15.22,"")</f>
        <v/>
      </c>
      <c r="DE543" s="46"/>
      <c r="DF543" s="46"/>
      <c r="DG543" s="46"/>
      <c r="DH543" s="46"/>
      <c r="DI543" s="56" t="str">
        <f>+IF(AND(BD_MO[[#This Row],[PRINCIPAL TAREA]]="2 Voladura",BD_MO[[#This Row],[TIPO LABOR]]="TAJO"),ROUND(BD_MO[[#This Row],[BARRA]]*0.95*0.93*0.3048*SIN(75*PI()/180),2),IF(AND(BD_MO[[#This Row],[PRINCIPAL TAREA]]="2 Voladura",BD_MO[[#This Row],[TIPO LABOR]]="LINEAL"),ROUND(BD_MO[[#This Row],[BARRA]]*0.95*0.93*0.3048,2),""))</f>
        <v/>
      </c>
      <c r="DJ543" s="56"/>
      <c r="DK543" s="56"/>
      <c r="DL543" s="56" t="str">
        <f>+IF(AND(BD_MO[[#This Row],[PRINCIPAL TAREA]]="2 Voladura",BD_MO[[#This Row],[TIPO LABOR]]="TAJO"),IF(BD_MO[[#This Row],[ANCHO LABOR]]&lt;=0.7,ROUND(BD_MO[[#This Row],[N°  TOTAL TALADROS]]*7/30,2),ROUND(BD_MO[[#This Row],[N°  TOTAL TALADROS]]*7/50,2)),"")</f>
        <v/>
      </c>
      <c r="DM543" s="56" t="str">
        <f>+IF(BD_MO[[#This Row],[PRINCIPAL TAREA]]="2 Voladura",IFERROR(IF(BD_MO[[#This Row],[TIPO LABOR]]="TAJO",BD_MO[[#This Row],[AVANCE TEÓRICO]]*BD_MO[[#This Row],[LONG. CORTE]],IF(BD_MO[[#This Row],[TIPO LABOR]]="LINEAL",BD_MO[[#This Row],[ANCHO LABOR]]*BD_MO[[#This Row],[L2/Altura]],"")),""),"")</f>
        <v/>
      </c>
      <c r="DN543" s="56" t="str">
        <f>IFERROR(IF(BD_MO[[#This Row],[TIPO LABOR]]="TAJO",BD_MO[[#This Row],[AVANCE TEÓRICO]]*BD_MO[[#This Row],[ANCHO LABOR]]*BD_MO[[#This Row],[AV*LC]]*IF(BD_MO[[#This Row],[M o D]]="M",2.65,2.4),IF(BD_MO[[#This Row],[TIPO LABOR]]="LINEAL",BD_MO[[#This Row],[AVANCE TEÓRICO]]*BD_MO[[#This Row],[ANCHO LABOR]]*BD_MO[[#This Row],[L2/Altura]]*IF(BD_MO[[#This Row],[M o D]]="M",2.65,2.4),"")),"")</f>
        <v/>
      </c>
      <c r="DO543" s="66"/>
      <c r="DP543" s="56" t="str">
        <f>+IF(BD_MO[[#This Row],[M o D]]&lt;&gt;"",IF(BD_MO[[#This Row],[M o D]]="M",BD_MO[[#This Row],[ROTURA TMH]]/2.65,BD_MO[[#This Row],[ROTURA TMH]]/2.4),"")</f>
        <v/>
      </c>
      <c r="DQ543" s="56"/>
      <c r="DR543" s="116" t="str">
        <f>IF(BD_MO[[#This Row],[TIPO AVANCE]]="Avance",((BD_MO[[#This Row],[AVANCE (m)]]/BD_MO[[#This Row],[AVANCE TEÓRICO]]))," ")</f>
        <v xml:space="preserve"> </v>
      </c>
    </row>
    <row r="544" spans="1:130" ht="18" customHeight="1" x14ac:dyDescent="0.25">
      <c r="T544" s="26">
        <f>SUBTOTAL(109,BD_MO[HG])</f>
        <v>995</v>
      </c>
      <c r="AD544" s="17">
        <f>SUBTOTAL(109,BD_MO[N° TALADROS])</f>
        <v>2521</v>
      </c>
      <c r="AF544" s="17">
        <f>SUBTOTAL(109,BD_MO[N°  TOTAL TALADROS])</f>
        <v>2675</v>
      </c>
      <c r="AG544" s="17">
        <f>SUBTOTAL(109,BD_MO[EMULNOR 3000 (N° CART.)])</f>
        <v>4878</v>
      </c>
      <c r="AH544" s="17">
        <f>SUBTOTAL(109,BD_MO[EMULNOR 1000 (N° CART.)])</f>
        <v>6449</v>
      </c>
      <c r="AI544" s="17">
        <f>SUBTOTAL(109,BD_MO[PULVERULENTA (N° CART.)])</f>
        <v>0</v>
      </c>
      <c r="AJ544" s="17">
        <f>SUBTOTAL(109,BD_MO[SEMIGELATINA (N° CART.)])</f>
        <v>0</v>
      </c>
      <c r="AK544" s="17">
        <f>SUBTOTAL(109,BD_MO[CARMEX 7''])</f>
        <v>2577</v>
      </c>
      <c r="AL544" s="17">
        <f>SUBTOTAL(109,BD_MO[MECHA RAPIDA Z18])</f>
        <v>579</v>
      </c>
      <c r="AP544" s="26">
        <f>SUBTOTAL(109,BD_MO[PIES PERF REALES])</f>
        <v>10654.249999999998</v>
      </c>
      <c r="AU544" s="26">
        <f>SUBTOTAL(109,BD_MO[KG EXPLO TOTAL])</f>
        <v>1079.7587615384616</v>
      </c>
      <c r="AV544" s="17"/>
      <c r="AZ544" s="17">
        <f>SUBTOTAL(109,BD_MO[Cuadro en Gal y Cx])</f>
        <v>15</v>
      </c>
      <c r="BA544" s="17">
        <f>SUBTOTAL(109,BD_MO[Cuadro en Snv y Tj])</f>
        <v>23</v>
      </c>
      <c r="BB544" s="17">
        <f>SUBTOTAL(109,BD_MO[Cuadro en Ch])</f>
        <v>3</v>
      </c>
      <c r="BC544" s="17">
        <f>SUBTOTAL(109,BD_MO[Cuadro en Pq y Inc y Est])</f>
        <v>5</v>
      </c>
      <c r="BD544" s="17">
        <f>SUBTOTAL(109,BD_MO[Cuadro cojo en Gal / Cx / Inc y Ch])</f>
        <v>0</v>
      </c>
      <c r="BE544" s="17">
        <f>SUBTOTAL(109,BD_MO[Cuadro cojo en Snv y Tj])</f>
        <v>2</v>
      </c>
      <c r="BF544" s="17">
        <f>SUBTOTAL(109,BD_MO[Poste])</f>
        <v>14</v>
      </c>
      <c r="BG544" s="17">
        <f>SUBTOTAL(109,BD_MO[Tirante])</f>
        <v>26</v>
      </c>
      <c r="BH544" s="17">
        <f>SUBTOTAL(109,BD_MO[Puntal de seguridad])</f>
        <v>0</v>
      </c>
      <c r="BI544" s="17">
        <f>SUBTOTAL(109,BD_MO[Puntal en línea])</f>
        <v>78</v>
      </c>
      <c r="BJ544" s="17">
        <f>SUBTOTAL(109,BD_MO[Puntal de caja])</f>
        <v>20</v>
      </c>
      <c r="BK544" s="17">
        <f>SUBTOTAL(109,BD_MO[Puntal de guardacabeza])</f>
        <v>10.75</v>
      </c>
      <c r="BL544" s="17">
        <f>SUBTOTAL(109,BD_MO[Puntal de avance])</f>
        <v>9</v>
      </c>
      <c r="BM544" s="17">
        <f>SUBTOTAL(109,BD_MO[Puntal de 5"])</f>
        <v>0</v>
      </c>
      <c r="BN544" s="17">
        <f>SUBTOTAL(109,BD_MO[Entablado])</f>
        <v>182.09</v>
      </c>
      <c r="BO544" s="17">
        <f>SUBTOTAL(109,BD_MO[Encribado])</f>
        <v>74</v>
      </c>
      <c r="BP544" s="17">
        <f>SUBTOTAL(109,BD_MO[Anillado])</f>
        <v>0</v>
      </c>
      <c r="BQ544" s="17">
        <f>SUBTOTAL(109,BD_MO[Guardacabeza])</f>
        <v>63.500000000000007</v>
      </c>
      <c r="BR544" s="17">
        <f>SUBTOTAL(109,BD_MO[Embolillado])</f>
        <v>21.3</v>
      </c>
      <c r="BS544" s="17">
        <f>SUBTOTAL(109,BD_MO[Barrera])</f>
        <v>4.32</v>
      </c>
      <c r="BT544" s="26">
        <f>SUBTOTAL(109,BD_MO[Enrrejado])</f>
        <v>127.271</v>
      </c>
      <c r="BU544" s="17">
        <f>SUBTOTAL(109,BD_MO[Plataforma Winche])</f>
        <v>0</v>
      </c>
      <c r="BV544" s="17">
        <f>SUBTOTAL(109,BD_MO[Split Set 2''])</f>
        <v>24</v>
      </c>
      <c r="BW544" s="17">
        <f>SUBTOTAL(109,BD_MO[Split Set 4'' S/P])</f>
        <v>53</v>
      </c>
      <c r="BX544" s="17">
        <f>SUBTOTAL(109,BD_MO[Split Set 4'' C/P])</f>
        <v>86</v>
      </c>
      <c r="CA544" s="17">
        <f>SUBTOTAL(109,BD_MO[Split Set 6'' S/P])</f>
        <v>9</v>
      </c>
      <c r="CB544" s="17">
        <f>SUBTOTAL(109,BD_MO[Split Set 6'' C/P])</f>
        <v>16</v>
      </c>
      <c r="CC544" s="17">
        <f>SUBTOTAL(109,BD_MO[Malla electrosoldada])</f>
        <v>51.55</v>
      </c>
      <c r="CD544" s="17">
        <f>SUBTOTAL(109,BD_MO[Riel 30 lb/yd])</f>
        <v>2</v>
      </c>
      <c r="CE544" s="17">
        <f>SUBTOTAL(109,BD_MO[Escalera])</f>
        <v>5</v>
      </c>
      <c r="CF544" s="17">
        <f>SUBTOTAL(109,BD_MO[Descanso])</f>
        <v>0</v>
      </c>
      <c r="CG544" s="17">
        <f>SUBTOTAL(109,BD_MO[Durmiente])</f>
        <v>5</v>
      </c>
      <c r="CH544" s="17">
        <f>SUBTOTAL(109,BD_MO[Tolva americana en Snv y Tj])</f>
        <v>0</v>
      </c>
      <c r="CI544" s="17">
        <f>SUBTOTAL(109,BD_MO[Tolva colgante en Snv y Tj])</f>
        <v>0</v>
      </c>
      <c r="CJ544" s="17">
        <f>SUBTOTAL(109,BD_MO[Taladros de servicio])</f>
        <v>0</v>
      </c>
      <c r="CO544" s="38"/>
      <c r="CY544" s="38"/>
      <c r="CZ544" s="26">
        <f>SUBTOTAL(109,BD_MO[KG. MADERA REDONDA])</f>
        <v>47065.214000000029</v>
      </c>
      <c r="DA544" s="26">
        <f>SUBTOTAL(109,BD_MO[PIE2 MADERA ASERRADA])</f>
        <v>1915.8160000000003</v>
      </c>
      <c r="DB544" s="26">
        <f>SUBTOTAL(109,BD_MO[KG MADERA ASERRADA])</f>
        <v>3735.8411999999994</v>
      </c>
      <c r="DC544" s="26">
        <f>SUBTOTAL(109,BD_MO[KG MADERA TOTAL])</f>
        <v>50801.055200000024</v>
      </c>
      <c r="DD544" s="26">
        <f>SUBTOTAL(109,BD_MO[COSTO MADERA])</f>
        <v>22497.694822695998</v>
      </c>
      <c r="DI544" s="59">
        <f>SUBTOTAL(109,BD_MO[AVANCE TEÓRICO])</f>
        <v>176.10000000000019</v>
      </c>
      <c r="DJ544" s="33"/>
      <c r="DK544" s="33"/>
      <c r="DL544" s="33"/>
      <c r="DM544" s="33"/>
      <c r="DN544" s="33"/>
      <c r="DO544" s="57">
        <f>SUBTOTAL(109,BD_MO[ROTURA TMH])</f>
        <v>1407.2924112799985</v>
      </c>
      <c r="DP544" s="34"/>
      <c r="DQ544" s="57">
        <f>SUBTOTAL(109,BD_MO[AVANCE (m)])</f>
        <v>82.272771000000006</v>
      </c>
      <c r="DR544" s="34"/>
      <c r="DS544" s="49"/>
      <c r="DT544" s="49"/>
      <c r="DU544" s="49"/>
      <c r="DV544" s="49"/>
      <c r="DW544" s="49"/>
      <c r="DX544" s="49"/>
      <c r="DY544" s="49"/>
      <c r="DZ544" s="49"/>
    </row>
    <row r="545" spans="1:130" ht="18" customHeight="1" x14ac:dyDescent="0.25">
      <c r="AD545" s="280"/>
      <c r="AU545" s="281"/>
      <c r="DO545" s="53"/>
      <c r="DQ545" s="60" t="e">
        <f>SUM(#REF!)</f>
        <v>#REF!</v>
      </c>
      <c r="DS545" s="49"/>
      <c r="DT545" s="49"/>
      <c r="DU545" s="49"/>
      <c r="DV545" s="49"/>
      <c r="DW545" s="49"/>
      <c r="DX545" s="49"/>
      <c r="DY545" s="49"/>
      <c r="DZ545" s="49"/>
    </row>
    <row r="546" spans="1:130" ht="18" customHeight="1" x14ac:dyDescent="0.25">
      <c r="D546" s="17"/>
      <c r="F546" s="96"/>
      <c r="O546" s="17"/>
      <c r="P546" s="17"/>
      <c r="R546" s="27"/>
      <c r="S546" s="27"/>
      <c r="AD546" s="280"/>
      <c r="AF546" s="50"/>
      <c r="AP546" s="284"/>
      <c r="AU546" s="280"/>
      <c r="AV546" s="17"/>
      <c r="AW546" s="16"/>
      <c r="AX546" s="16"/>
      <c r="CY546" s="17"/>
      <c r="CZ546" s="285"/>
      <c r="DA546" s="26"/>
      <c r="DB546" s="285"/>
      <c r="DI546" s="17"/>
      <c r="DJ546" s="17"/>
      <c r="DM546" s="26"/>
      <c r="DN546" s="26"/>
      <c r="DO546" s="24"/>
      <c r="DQ546" s="17">
        <v>3.6</v>
      </c>
      <c r="DR546" s="51">
        <v>1.8</v>
      </c>
      <c r="DS546" s="49"/>
      <c r="DT546" s="49"/>
      <c r="DU546" s="49"/>
      <c r="DV546" s="49"/>
      <c r="DW546" s="49"/>
      <c r="DX546" s="49"/>
      <c r="DY546" s="49"/>
      <c r="DZ546" s="49"/>
    </row>
    <row r="547" spans="1:130" ht="18" customHeight="1" x14ac:dyDescent="0.25">
      <c r="A547" s="49"/>
      <c r="B547" s="49"/>
      <c r="C547" s="392"/>
      <c r="D547" s="83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5"/>
      <c r="P547" s="85"/>
      <c r="AD547" s="283"/>
      <c r="AF547" s="50"/>
      <c r="AP547" s="284"/>
      <c r="AU547" s="282"/>
      <c r="AV547" s="16"/>
      <c r="CZ547" s="285"/>
      <c r="DB547" s="285"/>
      <c r="DO547" s="35">
        <v>7</v>
      </c>
      <c r="DP547" s="17">
        <v>58.29</v>
      </c>
      <c r="DQ547" s="60"/>
      <c r="DS547" s="49"/>
      <c r="DT547" s="49"/>
      <c r="DU547" s="49"/>
      <c r="DV547" s="49"/>
      <c r="DW547" s="49"/>
      <c r="DX547" s="49"/>
      <c r="DY547" s="49"/>
      <c r="DZ547" s="49"/>
    </row>
    <row r="548" spans="1:130" ht="18" customHeight="1" x14ac:dyDescent="0.25">
      <c r="A548" s="49"/>
      <c r="B548" s="49"/>
      <c r="C548" s="49"/>
      <c r="D548" s="83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5"/>
      <c r="P548" s="85"/>
      <c r="AD548" s="280"/>
      <c r="AF548" s="50"/>
      <c r="AP548" s="284"/>
      <c r="AU548" s="281"/>
      <c r="CZ548" s="285"/>
      <c r="DB548" s="285"/>
      <c r="DN548" s="26"/>
      <c r="DO548" s="100">
        <f>DO547/BD_MO[[#Totals],[N° TALADROS]]</f>
        <v>2.776675922253074E-3</v>
      </c>
      <c r="DQ548" s="101">
        <v>3.7</v>
      </c>
      <c r="DR548" s="51">
        <v>1.82</v>
      </c>
      <c r="DS548" s="49"/>
      <c r="DT548" s="49"/>
      <c r="DU548" s="49"/>
      <c r="DV548" s="49"/>
      <c r="DW548" s="49"/>
      <c r="DX548" s="49"/>
      <c r="DY548" s="49"/>
      <c r="DZ548" s="49"/>
    </row>
    <row r="549" spans="1:130" ht="18" customHeight="1" x14ac:dyDescent="0.25">
      <c r="A549" s="49"/>
      <c r="B549" s="49"/>
      <c r="C549" s="49"/>
      <c r="D549" s="83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5"/>
      <c r="P549" s="85"/>
      <c r="AD549" s="283"/>
      <c r="AP549" s="284"/>
      <c r="AU549" s="280"/>
      <c r="AV549" s="17"/>
      <c r="CY549" s="17"/>
      <c r="CZ549" s="285"/>
      <c r="DB549" s="285"/>
      <c r="DI549" s="17"/>
      <c r="DJ549" s="17"/>
      <c r="DK549" s="17"/>
      <c r="DL549" s="17"/>
      <c r="DM549" s="17"/>
      <c r="DQ549" s="102">
        <v>6.9</v>
      </c>
      <c r="DS549" s="49"/>
      <c r="DT549" s="49"/>
      <c r="DU549" s="49"/>
      <c r="DV549" s="49"/>
      <c r="DW549" s="49"/>
      <c r="DX549" s="49"/>
      <c r="DY549" s="49"/>
      <c r="DZ549" s="49"/>
    </row>
    <row r="550" spans="1:130" ht="18" customHeight="1" x14ac:dyDescent="0.25">
      <c r="A550" s="49"/>
      <c r="B550" s="49"/>
      <c r="C550" s="49"/>
      <c r="D550" s="83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5"/>
      <c r="P550" s="85"/>
      <c r="AD550" s="283"/>
      <c r="AP550" s="284"/>
      <c r="AU550" s="281"/>
      <c r="DJ550" s="26">
        <v>115.49879249999999</v>
      </c>
      <c r="DQ550" s="58"/>
      <c r="DS550" s="49"/>
      <c r="DT550" s="49"/>
      <c r="DU550" s="49"/>
      <c r="DV550" s="49"/>
      <c r="DW550" s="49"/>
      <c r="DX550" s="49"/>
      <c r="DY550" s="49"/>
      <c r="DZ550" s="49"/>
    </row>
    <row r="551" spans="1:130" ht="18" customHeight="1" x14ac:dyDescent="0.25">
      <c r="A551" s="49"/>
      <c r="B551" s="49"/>
      <c r="C551" s="49"/>
      <c r="D551" s="83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5"/>
      <c r="P551" s="85"/>
      <c r="AD551" s="26"/>
      <c r="DS551" s="49"/>
      <c r="DT551" s="49"/>
      <c r="DU551" s="49"/>
      <c r="DV551" s="49"/>
      <c r="DW551" s="49"/>
      <c r="DX551" s="49"/>
      <c r="DY551" s="49"/>
      <c r="DZ551" s="49"/>
    </row>
    <row r="552" spans="1:130" ht="18" customHeight="1" x14ac:dyDescent="0.25">
      <c r="A552" s="49"/>
      <c r="B552" s="49"/>
      <c r="C552" s="49"/>
      <c r="M552" s="98"/>
      <c r="AD552" s="26"/>
      <c r="DS552" s="49"/>
      <c r="DT552" s="49"/>
      <c r="DU552" s="49"/>
      <c r="DV552" s="49"/>
      <c r="DW552" s="49"/>
      <c r="DX552" s="49"/>
      <c r="DY552" s="49"/>
      <c r="DZ552" s="49"/>
    </row>
    <row r="553" spans="1:130" ht="18" customHeight="1" x14ac:dyDescent="0.25">
      <c r="A553" s="49"/>
      <c r="B553" s="49"/>
      <c r="C553" s="49"/>
      <c r="M553" s="98"/>
      <c r="AD553" s="26"/>
      <c r="DQ553" s="26"/>
      <c r="DS553" s="49"/>
      <c r="DT553" s="49"/>
      <c r="DU553" s="49"/>
      <c r="DV553" s="49"/>
      <c r="DW553" s="49"/>
      <c r="DX553" s="49"/>
      <c r="DY553" s="49"/>
      <c r="DZ553" s="49"/>
    </row>
    <row r="554" spans="1:130" ht="18" customHeight="1" x14ac:dyDescent="0.25">
      <c r="A554" s="49"/>
      <c r="B554" s="49"/>
      <c r="C554" s="49"/>
      <c r="M554" s="98"/>
      <c r="AD554" s="26"/>
      <c r="DP554" s="67"/>
      <c r="DQ554" s="68"/>
      <c r="DS554" s="49"/>
      <c r="DT554" s="49"/>
      <c r="DU554" s="49"/>
      <c r="DV554" s="49"/>
      <c r="DW554" s="49"/>
      <c r="DX554" s="49"/>
      <c r="DY554" s="49"/>
      <c r="DZ554" s="49"/>
    </row>
    <row r="555" spans="1:130" ht="18" customHeight="1" x14ac:dyDescent="0.25">
      <c r="A555" s="49"/>
      <c r="B555" s="49"/>
      <c r="C555" s="49"/>
      <c r="M555" s="98"/>
      <c r="AD555" s="26"/>
      <c r="DQ555" s="68"/>
      <c r="DS555" s="49"/>
      <c r="DT555" s="49"/>
      <c r="DU555" s="49"/>
      <c r="DV555" s="49"/>
      <c r="DW555" s="49"/>
      <c r="DX555" s="49"/>
      <c r="DY555" s="49"/>
      <c r="DZ555" s="49"/>
    </row>
    <row r="556" spans="1:130" ht="18" customHeight="1" x14ac:dyDescent="0.25">
      <c r="A556" s="49"/>
      <c r="B556" s="49"/>
      <c r="C556" s="49"/>
      <c r="M556" s="97"/>
      <c r="AD556" s="26"/>
      <c r="DS556" s="49"/>
      <c r="DT556" s="49"/>
      <c r="DU556" s="49"/>
      <c r="DV556" s="49"/>
      <c r="DW556" s="49"/>
      <c r="DX556" s="49"/>
      <c r="DY556" s="49"/>
      <c r="DZ556" s="49"/>
    </row>
    <row r="557" spans="1:130" ht="18" customHeight="1" x14ac:dyDescent="0.25">
      <c r="A557" s="49"/>
      <c r="B557" s="49"/>
      <c r="C557" s="49"/>
      <c r="AD557" s="26"/>
      <c r="DS557" s="49"/>
      <c r="DT557" s="49"/>
      <c r="DU557" s="49"/>
      <c r="DV557" s="49"/>
      <c r="DW557" s="49"/>
      <c r="DX557" s="49"/>
      <c r="DY557" s="49"/>
      <c r="DZ557" s="49"/>
    </row>
    <row r="558" spans="1:130" ht="18" customHeight="1" x14ac:dyDescent="0.25">
      <c r="AD558" s="26"/>
    </row>
    <row r="559" spans="1:130" ht="18" customHeight="1" x14ac:dyDescent="0.25">
      <c r="AD559" s="26"/>
      <c r="DO559" s="394"/>
    </row>
    <row r="560" spans="1:130" ht="18" customHeight="1" x14ac:dyDescent="0.25">
      <c r="DO560" s="394"/>
    </row>
    <row r="561" spans="119:119" ht="18" customHeight="1" x14ac:dyDescent="0.25">
      <c r="DO561" s="394"/>
    </row>
    <row r="562" spans="119:119" ht="18" customHeight="1" x14ac:dyDescent="0.25">
      <c r="DO562" s="394"/>
    </row>
    <row r="563" spans="119:119" ht="18" customHeight="1" x14ac:dyDescent="0.25">
      <c r="DO563" s="394"/>
    </row>
  </sheetData>
  <dataConsolidate link="1"/>
  <phoneticPr fontId="6" type="noConversion"/>
  <pageMargins left="0.7" right="0.7" top="0.75" bottom="0.75" header="0.3" footer="0.3"/>
  <pageSetup paperSize="9" orientation="portrait" horizontalDpi="4294967292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75" operator="containsText" id="{EC05ADB4-7311-4C37-9AA1-C904A6827637}">
            <xm:f>NOT(ISERROR(SEARCH(CONFIGURACION!$AW$9,B3)))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176" operator="containsText" id="{739E81DD-52AD-430C-93D6-6755EC819A3E}">
            <xm:f>NOT(ISERROR(SEARCH(CONFIGURACION!$AW$10,B3)))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AB3:AB181 B3:B181 B219:B506 AB219:AB542 B508:B542</xm:sqref>
        </x14:conditionalFormatting>
        <x14:conditionalFormatting xmlns:xm="http://schemas.microsoft.com/office/excel/2006/main">
          <x14:cfRule type="containsText" priority="33" operator="containsText" id="{D348ED75-5BCD-459D-99F9-D756BFA38E51}">
            <xm:f>NOT(ISERROR(SEARCH(CONFIGURACION!$AW$9,B182)))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4" operator="containsText" id="{F270EFC4-849B-4340-8B36-979E6B53F877}">
            <xm:f>NOT(ISERROR(SEARCH(CONFIGURACION!$AW$10,B182)))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AB182 B182</xm:sqref>
        </x14:conditionalFormatting>
        <x14:conditionalFormatting xmlns:xm="http://schemas.microsoft.com/office/excel/2006/main">
          <x14:cfRule type="containsText" priority="29" operator="containsText" id="{276F89EE-993E-481C-A060-BD7D5C041F25}">
            <xm:f>NOT(ISERROR(SEARCH(CONFIGURACION!$AW$9,B183)))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0" operator="containsText" id="{9A26B91D-9224-435F-B2A5-D03BB636B29B}">
            <xm:f>NOT(ISERROR(SEARCH(CONFIGURACION!$AW$10,B183)))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AB183 B183</xm:sqref>
        </x14:conditionalFormatting>
        <x14:conditionalFormatting xmlns:xm="http://schemas.microsoft.com/office/excel/2006/main">
          <x14:cfRule type="containsText" priority="27" operator="containsText" id="{62460CCB-9737-49CF-AD6D-464E823A191B}">
            <xm:f>NOT(ISERROR(SEARCH(CONFIGURACION!$AW$9,B184)))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8" operator="containsText" id="{EB3C2752-9628-46F4-B666-60D193813670}">
            <xm:f>NOT(ISERROR(SEARCH(CONFIGURACION!$AW$10,B184)))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AB184 B184</xm:sqref>
        </x14:conditionalFormatting>
        <x14:conditionalFormatting xmlns:xm="http://schemas.microsoft.com/office/excel/2006/main">
          <x14:cfRule type="containsText" priority="25" operator="containsText" id="{B4554FF5-A6A2-4450-A338-C1626F5E0368}">
            <xm:f>NOT(ISERROR(SEARCH(CONFIGURACION!$AW$9,B185)))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6" operator="containsText" id="{CC87A67D-ECE3-40F2-869C-E9F2BF60D577}">
            <xm:f>NOT(ISERROR(SEARCH(CONFIGURACION!$AW$10,B185)))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AB185 B185</xm:sqref>
        </x14:conditionalFormatting>
        <x14:conditionalFormatting xmlns:xm="http://schemas.microsoft.com/office/excel/2006/main">
          <x14:cfRule type="containsText" priority="23" operator="containsText" id="{BB362757-B97A-4DDA-B2FE-BDF6D89F376F}">
            <xm:f>NOT(ISERROR(SEARCH(CONFIGURACION!$AW$9,B186)))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4" operator="containsText" id="{4485668F-588B-49FA-93AA-ED092225B980}">
            <xm:f>NOT(ISERROR(SEARCH(CONFIGURACION!$AW$10,B186)))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AB186 B186</xm:sqref>
        </x14:conditionalFormatting>
        <x14:conditionalFormatting xmlns:xm="http://schemas.microsoft.com/office/excel/2006/main">
          <x14:cfRule type="containsText" priority="21" operator="containsText" id="{4615201C-D589-4372-9100-0969FDD332D5}">
            <xm:f>NOT(ISERROR(SEARCH(CONFIGURACION!$AW$9,B187)))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155427E5-3A90-422B-9439-1736E57B4900}">
            <xm:f>NOT(ISERROR(SEARCH(CONFIGURACION!$AW$10,B187)))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AB187 B187</xm:sqref>
        </x14:conditionalFormatting>
        <x14:conditionalFormatting xmlns:xm="http://schemas.microsoft.com/office/excel/2006/main">
          <x14:cfRule type="containsText" priority="19" operator="containsText" id="{BBD9A314-F30E-421F-B3AC-1B52C14AD484}">
            <xm:f>NOT(ISERROR(SEARCH(CONFIGURACION!$AW$9,B188)))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0" operator="containsText" id="{4E0A797A-61C7-43E9-9430-DB4F72520CC5}">
            <xm:f>NOT(ISERROR(SEARCH(CONFIGURACION!$AW$10,B188)))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AB188 B188</xm:sqref>
        </x14:conditionalFormatting>
        <x14:conditionalFormatting xmlns:xm="http://schemas.microsoft.com/office/excel/2006/main">
          <x14:cfRule type="containsText" priority="17" operator="containsText" id="{613B1B59-3F9B-4C79-8533-10C6AB614FB8}">
            <xm:f>NOT(ISERROR(SEARCH(CONFIGURACION!$AW$9,B189)))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operator="containsText" id="{023F84A0-E4EF-4F97-A7C0-B8F06EFA7851}">
            <xm:f>NOT(ISERROR(SEARCH(CONFIGURACION!$AW$10,B189)))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AB189 B189</xm:sqref>
        </x14:conditionalFormatting>
        <x14:conditionalFormatting xmlns:xm="http://schemas.microsoft.com/office/excel/2006/main">
          <x14:cfRule type="containsText" priority="15" operator="containsText" id="{084347F8-7644-4F9E-8148-6B82A28DCF4C}">
            <xm:f>NOT(ISERROR(SEARCH(CONFIGURACION!$AW$9,B190)))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6" operator="containsText" id="{BEA1995B-AF73-41A4-ABC9-0FA44243E84A}">
            <xm:f>NOT(ISERROR(SEARCH(CONFIGURACION!$AW$10,B190)))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AB190:AB202 B190:B202 AB204:AB218 B204:B218</xm:sqref>
        </x14:conditionalFormatting>
        <x14:conditionalFormatting xmlns:xm="http://schemas.microsoft.com/office/excel/2006/main">
          <x14:cfRule type="containsText" priority="13" operator="containsText" id="{D33C98E8-C040-4CBB-906F-6CAE1790A259}">
            <xm:f>NOT(ISERROR(SEARCH(CONFIGURACION!$AW$9,B203)))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4" operator="containsText" id="{A1D79953-A5BA-4AB1-A16F-A4C62C402528}">
            <xm:f>NOT(ISERROR(SEARCH(CONFIGURACION!$AW$10,B203)))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AB203 B203</xm:sqref>
        </x14:conditionalFormatting>
        <x14:conditionalFormatting xmlns:xm="http://schemas.microsoft.com/office/excel/2006/main">
          <x14:cfRule type="containsText" priority="5" operator="containsText" id="{FCED943C-DDE1-43C5-B28E-36D10E07362D}">
            <xm:f>NOT(ISERROR(SEARCH(CONFIGURACION!$AW$9,B543)))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operator="containsText" id="{2EC72B14-545A-4D04-A9AB-44E07F9A5E65}">
            <xm:f>NOT(ISERROR(SEARCH(CONFIGURACION!$AW$10,B543)))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AB543 B543</xm:sqref>
        </x14:conditionalFormatting>
        <x14:conditionalFormatting xmlns:xm="http://schemas.microsoft.com/office/excel/2006/main">
          <x14:cfRule type="containsText" priority="3" operator="containsText" id="{C0DDFC36-CA75-4309-934E-0C6B7575F39D}">
            <xm:f>NOT(ISERROR(SEARCH(CONFIGURACION!$AW$9,B507)))</xm:f>
            <xm:f>CONFIGURACION!$AW$9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" operator="containsText" id="{A54EFEED-13E4-489A-BC87-CDB44EAC955E}">
            <xm:f>NOT(ISERROR(SEARCH(CONFIGURACION!$AW$10,B507)))</xm:f>
            <xm:f>CONFIGURACION!$AW$10</xm:f>
            <x14:dxf>
              <fill>
                <patternFill>
                  <bgColor theme="9" tint="0.39994506668294322"/>
                </patternFill>
              </fill>
            </x14:dxf>
          </x14:cfRule>
          <xm:sqref>B507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CONFIGURACION!$AW$2:$AW$6</xm:f>
          </x14:formula1>
          <xm:sqref>G3:G543</xm:sqref>
        </x14:dataValidation>
        <x14:dataValidation type="list" allowBlank="1" showInputMessage="1" showErrorMessage="1" xr:uid="{00000000-0002-0000-0200-000001000000}">
          <x14:formula1>
            <xm:f>CONFIGURACION!$AW$19:$AW$25</xm:f>
          </x14:formula1>
          <xm:sqref>M3:M543</xm:sqref>
        </x14:dataValidation>
        <x14:dataValidation type="list" allowBlank="1" showInputMessage="1" showErrorMessage="1" xr:uid="{00000000-0002-0000-0200-000002000000}">
          <x14:formula1>
            <xm:f>CONFIGURACION!$AG$2:$AG$21</xm:f>
          </x14:formula1>
          <xm:sqref>AB3:AB543</xm:sqref>
        </x14:dataValidation>
        <x14:dataValidation type="list" allowBlank="1" showInputMessage="1" showErrorMessage="1" xr:uid="{00000000-0002-0000-0200-000003000000}">
          <x14:formula1>
            <xm:f>CONFIGURACION!$AW$9:$AW$10</xm:f>
          </x14:formula1>
          <xm:sqref>B3:B543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pageSetUpPr fitToPage="1"/>
  </sheetPr>
  <dimension ref="A1:AM31"/>
  <sheetViews>
    <sheetView zoomScale="130" zoomScaleNormal="130" zoomScaleSheetLayoutView="80" workbookViewId="0">
      <selection activeCell="A16" sqref="A16"/>
    </sheetView>
  </sheetViews>
  <sheetFormatPr baseColWidth="10" defaultRowHeight="15" x14ac:dyDescent="0.25"/>
  <cols>
    <col min="1" max="1" width="22.85546875" bestFit="1" customWidth="1"/>
    <col min="2" max="2" width="12.140625" style="12" bestFit="1" customWidth="1"/>
    <col min="3" max="3" width="3.7109375" style="12" hidden="1" customWidth="1"/>
    <col min="4" max="4" width="3.7109375" style="12" bestFit="1" customWidth="1"/>
    <col min="5" max="5" width="6.5703125" style="12" hidden="1" customWidth="1"/>
    <col min="6" max="7" width="3.7109375" style="12" hidden="1" customWidth="1"/>
    <col min="8" max="12" width="3.7109375" style="12" bestFit="1" customWidth="1"/>
    <col min="13" max="13" width="3.7109375" style="12" hidden="1" customWidth="1"/>
    <col min="14" max="14" width="3.7109375" style="12" bestFit="1" customWidth="1"/>
    <col min="15" max="15" width="3.7109375" style="12" hidden="1" customWidth="1"/>
    <col min="16" max="16" width="6.5703125" style="12" bestFit="1" customWidth="1"/>
    <col min="17" max="17" width="3.7109375" style="12" bestFit="1" customWidth="1"/>
    <col min="18" max="18" width="3.7109375" style="12" hidden="1" customWidth="1"/>
    <col min="19" max="19" width="6.5703125" style="12" bestFit="1" customWidth="1"/>
    <col min="20" max="21" width="5.42578125" style="12" bestFit="1" customWidth="1"/>
    <col min="22" max="22" width="7.5703125" style="12" bestFit="1" customWidth="1"/>
    <col min="23" max="24" width="3.7109375" style="12" hidden="1" customWidth="1"/>
    <col min="25" max="27" width="3.7109375" style="12" bestFit="1" customWidth="1"/>
    <col min="28" max="30" width="3.7109375" style="12" hidden="1" customWidth="1"/>
    <col min="31" max="31" width="3.7109375" style="12" bestFit="1" customWidth="1"/>
    <col min="32" max="32" width="3.7109375" style="12" hidden="1" customWidth="1"/>
    <col min="33" max="33" width="3.7109375" style="12" bestFit="1" customWidth="1"/>
    <col min="34" max="36" width="3.7109375" style="12" hidden="1" customWidth="1"/>
    <col min="37" max="37" width="3.7109375" hidden="1" customWidth="1"/>
    <col min="38" max="38" width="3.7109375" bestFit="1" customWidth="1"/>
    <col min="39" max="39" width="30" bestFit="1" customWidth="1"/>
  </cols>
  <sheetData>
    <row r="1" spans="1:39" x14ac:dyDescent="0.25">
      <c r="A1" s="79" t="s">
        <v>10587</v>
      </c>
      <c r="B1" s="77" t="s">
        <v>12478</v>
      </c>
    </row>
    <row r="3" spans="1:39" ht="160.5" x14ac:dyDescent="0.25">
      <c r="A3" s="74" t="s">
        <v>11148</v>
      </c>
      <c r="B3" s="75" t="s">
        <v>11151</v>
      </c>
      <c r="C3" s="75" t="s">
        <v>11152</v>
      </c>
      <c r="D3" s="75" t="s">
        <v>11314</v>
      </c>
      <c r="E3" s="75" t="s">
        <v>11544</v>
      </c>
      <c r="F3" s="75" t="s">
        <v>11153</v>
      </c>
      <c r="G3" s="75" t="s">
        <v>11154</v>
      </c>
      <c r="H3" s="75" t="s">
        <v>11156</v>
      </c>
      <c r="I3" s="75" t="s">
        <v>11155</v>
      </c>
      <c r="J3" s="75" t="s">
        <v>11157</v>
      </c>
      <c r="K3" s="75" t="s">
        <v>11158</v>
      </c>
      <c r="L3" s="75" t="s">
        <v>11159</v>
      </c>
      <c r="M3" s="75" t="s">
        <v>11160</v>
      </c>
      <c r="N3" s="75" t="s">
        <v>11161</v>
      </c>
      <c r="O3" s="75" t="s">
        <v>11162</v>
      </c>
      <c r="P3" s="75" t="s">
        <v>11163</v>
      </c>
      <c r="Q3" s="75" t="s">
        <v>11164</v>
      </c>
      <c r="R3" s="75" t="s">
        <v>11165</v>
      </c>
      <c r="S3" s="75" t="s">
        <v>11166</v>
      </c>
      <c r="T3" s="75" t="s">
        <v>11167</v>
      </c>
      <c r="U3" s="75" t="s">
        <v>11168</v>
      </c>
      <c r="V3" s="75" t="s">
        <v>11169</v>
      </c>
      <c r="W3" s="75" t="s">
        <v>11170</v>
      </c>
      <c r="X3" s="75" t="s">
        <v>11171</v>
      </c>
      <c r="Y3" s="75" t="s">
        <v>11172</v>
      </c>
      <c r="Z3" s="75" t="s">
        <v>11173</v>
      </c>
      <c r="AA3" s="75" t="s">
        <v>11174</v>
      </c>
      <c r="AB3" s="75" t="s">
        <v>11175</v>
      </c>
      <c r="AC3" s="75" t="s">
        <v>11176</v>
      </c>
      <c r="AD3" s="75" t="s">
        <v>11177</v>
      </c>
      <c r="AE3" s="75" t="s">
        <v>11178</v>
      </c>
      <c r="AF3" s="75" t="s">
        <v>11179</v>
      </c>
      <c r="AG3" s="75" t="s">
        <v>11150</v>
      </c>
      <c r="AH3" s="75" t="s">
        <v>11180</v>
      </c>
      <c r="AI3" s="75" t="s">
        <v>11181</v>
      </c>
      <c r="AJ3" s="75" t="s">
        <v>11182</v>
      </c>
      <c r="AK3" s="75" t="s">
        <v>11183</v>
      </c>
      <c r="AL3" s="75" t="s">
        <v>11315</v>
      </c>
    </row>
    <row r="4" spans="1:39" s="63" customFormat="1" hidden="1" x14ac:dyDescent="0.25">
      <c r="A4" s="73" t="s">
        <v>10717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/>
    </row>
    <row r="5" spans="1:39" s="63" customFormat="1" hidden="1" x14ac:dyDescent="0.25">
      <c r="A5" s="80" t="s">
        <v>12471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/>
    </row>
    <row r="6" spans="1:39" s="63" customFormat="1" x14ac:dyDescent="0.25">
      <c r="A6" s="73" t="s">
        <v>10951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/>
    </row>
    <row r="7" spans="1:39" s="63" customFormat="1" hidden="1" x14ac:dyDescent="0.25">
      <c r="A7" s="73" t="s">
        <v>10952</v>
      </c>
      <c r="B7" s="62"/>
      <c r="C7" s="62"/>
      <c r="D7" s="62"/>
      <c r="E7" s="62"/>
      <c r="F7" s="62"/>
      <c r="G7" s="62"/>
      <c r="H7" s="62"/>
      <c r="I7" s="62"/>
      <c r="J7" s="62"/>
      <c r="K7" s="62">
        <v>6</v>
      </c>
      <c r="L7" s="62"/>
      <c r="M7" s="62"/>
      <c r="N7" s="62"/>
      <c r="O7" s="62"/>
      <c r="P7" s="62">
        <v>9.18</v>
      </c>
      <c r="Q7" s="62"/>
      <c r="R7" s="62"/>
      <c r="S7" s="62"/>
      <c r="T7" s="62"/>
      <c r="U7" s="62"/>
      <c r="V7" s="62"/>
      <c r="W7" s="62"/>
      <c r="X7" s="62"/>
      <c r="Y7" s="62">
        <v>3</v>
      </c>
      <c r="Z7" s="62">
        <v>2</v>
      </c>
      <c r="AA7" s="62">
        <v>6</v>
      </c>
      <c r="AB7" s="62">
        <v>1</v>
      </c>
      <c r="AC7" s="62"/>
      <c r="AD7" s="62"/>
      <c r="AE7" s="62"/>
      <c r="AF7" s="62"/>
      <c r="AG7" s="62">
        <v>3</v>
      </c>
      <c r="AH7" s="62">
        <v>2</v>
      </c>
      <c r="AI7" s="62"/>
      <c r="AJ7" s="62"/>
      <c r="AK7" s="62"/>
      <c r="AL7" s="62"/>
      <c r="AM7"/>
    </row>
    <row r="8" spans="1:39" s="63" customFormat="1" x14ac:dyDescent="0.25">
      <c r="A8" s="73" t="s">
        <v>10954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/>
    </row>
    <row r="9" spans="1:39" s="63" customFormat="1" hidden="1" x14ac:dyDescent="0.25">
      <c r="A9" s="73" t="s">
        <v>10953</v>
      </c>
      <c r="B9" s="62"/>
      <c r="C9" s="62"/>
      <c r="D9" s="62"/>
      <c r="E9" s="62">
        <v>4</v>
      </c>
      <c r="F9" s="62"/>
      <c r="G9" s="62"/>
      <c r="H9" s="62">
        <v>6</v>
      </c>
      <c r="I9" s="62"/>
      <c r="J9" s="62"/>
      <c r="K9" s="62">
        <v>3</v>
      </c>
      <c r="L9" s="62"/>
      <c r="M9" s="62"/>
      <c r="N9" s="62"/>
      <c r="O9" s="62"/>
      <c r="P9" s="62">
        <v>20.58</v>
      </c>
      <c r="Q9" s="62"/>
      <c r="R9" s="62"/>
      <c r="S9" s="62"/>
      <c r="T9" s="62"/>
      <c r="U9" s="62"/>
      <c r="V9" s="62">
        <v>53.86</v>
      </c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>
        <v>2</v>
      </c>
      <c r="AH9" s="62">
        <v>3</v>
      </c>
      <c r="AI9" s="62"/>
      <c r="AJ9" s="62"/>
      <c r="AK9" s="62"/>
      <c r="AL9" s="62"/>
      <c r="AM9"/>
    </row>
    <row r="10" spans="1:39" s="63" customFormat="1" x14ac:dyDescent="0.25">
      <c r="A10" s="73" t="s">
        <v>11492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/>
    </row>
    <row r="11" spans="1:39" s="63" customFormat="1" x14ac:dyDescent="0.25">
      <c r="A11" s="73" t="s">
        <v>12472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/>
    </row>
    <row r="12" spans="1:39" s="63" customFormat="1" x14ac:dyDescent="0.25">
      <c r="A12" s="73" t="s">
        <v>11806</v>
      </c>
      <c r="B12" s="62">
        <v>1</v>
      </c>
      <c r="C12" s="62"/>
      <c r="D12" s="62">
        <v>5</v>
      </c>
      <c r="E12" s="62"/>
      <c r="F12" s="62"/>
      <c r="G12" s="62"/>
      <c r="H12" s="62">
        <v>1</v>
      </c>
      <c r="I12" s="62">
        <v>2</v>
      </c>
      <c r="J12" s="62"/>
      <c r="K12" s="62"/>
      <c r="L12" s="62"/>
      <c r="M12" s="62"/>
      <c r="N12" s="62"/>
      <c r="O12" s="62"/>
      <c r="P12" s="62"/>
      <c r="Q12" s="62">
        <v>7</v>
      </c>
      <c r="R12" s="62"/>
      <c r="S12" s="62"/>
      <c r="T12" s="62"/>
      <c r="U12" s="62"/>
      <c r="V12" s="62">
        <v>32.44</v>
      </c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>
        <v>5</v>
      </c>
      <c r="AM12"/>
    </row>
    <row r="13" spans="1:39" s="63" customFormat="1" x14ac:dyDescent="0.25">
      <c r="A13" s="73" t="s">
        <v>11576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>
        <v>4</v>
      </c>
      <c r="Z13" s="62"/>
      <c r="AA13" s="62"/>
      <c r="AB13" s="62"/>
      <c r="AC13" s="62">
        <v>2</v>
      </c>
      <c r="AD13" s="62"/>
      <c r="AE13" s="62"/>
      <c r="AF13" s="62"/>
      <c r="AG13" s="62"/>
      <c r="AH13" s="62"/>
      <c r="AI13" s="62"/>
      <c r="AJ13" s="62"/>
      <c r="AK13" s="62"/>
      <c r="AL13" s="62"/>
      <c r="AM13"/>
    </row>
    <row r="14" spans="1:39" s="63" customFormat="1" hidden="1" x14ac:dyDescent="0.25">
      <c r="A14" s="80" t="s">
        <v>11595</v>
      </c>
      <c r="B14" s="62"/>
      <c r="C14" s="62"/>
      <c r="D14" s="62"/>
      <c r="E14" s="62"/>
      <c r="F14" s="62"/>
      <c r="G14" s="62"/>
      <c r="H14" s="62"/>
      <c r="I14" s="62"/>
      <c r="J14" s="62">
        <v>1</v>
      </c>
      <c r="K14" s="62">
        <v>2</v>
      </c>
      <c r="L14" s="62">
        <v>4</v>
      </c>
      <c r="M14" s="62"/>
      <c r="N14" s="62"/>
      <c r="O14" s="62"/>
      <c r="P14" s="62"/>
      <c r="Q14" s="62"/>
      <c r="R14" s="62"/>
      <c r="S14" s="62">
        <v>9.9600000000000009</v>
      </c>
      <c r="T14" s="62"/>
      <c r="U14" s="62"/>
      <c r="V14" s="62"/>
      <c r="W14" s="62"/>
      <c r="X14" s="62"/>
      <c r="Y14" s="62"/>
      <c r="Z14" s="62">
        <v>10</v>
      </c>
      <c r="AA14" s="62">
        <v>1</v>
      </c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/>
    </row>
    <row r="15" spans="1:39" s="63" customFormat="1" x14ac:dyDescent="0.25">
      <c r="A15" s="80" t="s">
        <v>11685</v>
      </c>
      <c r="B15" s="62">
        <v>3</v>
      </c>
      <c r="C15" s="62"/>
      <c r="D15" s="62">
        <v>1</v>
      </c>
      <c r="E15" s="62"/>
      <c r="F15" s="62"/>
      <c r="G15" s="62"/>
      <c r="H15" s="62">
        <v>1</v>
      </c>
      <c r="I15" s="62"/>
      <c r="J15" s="62"/>
      <c r="K15" s="62">
        <v>5</v>
      </c>
      <c r="L15" s="62">
        <v>2</v>
      </c>
      <c r="M15" s="62"/>
      <c r="N15" s="62">
        <v>2</v>
      </c>
      <c r="O15" s="62"/>
      <c r="P15" s="62"/>
      <c r="Q15" s="62">
        <v>6</v>
      </c>
      <c r="R15" s="62"/>
      <c r="S15" s="62">
        <v>15.280000000000001</v>
      </c>
      <c r="T15" s="62">
        <v>12</v>
      </c>
      <c r="U15" s="62">
        <v>8.4</v>
      </c>
      <c r="V15" s="62">
        <v>22.1</v>
      </c>
      <c r="W15" s="62"/>
      <c r="X15" s="62"/>
      <c r="Y15" s="62"/>
      <c r="Z15" s="62">
        <v>4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>
        <v>1</v>
      </c>
      <c r="AM15"/>
    </row>
    <row r="16" spans="1:39" s="63" customFormat="1" x14ac:dyDescent="0.25">
      <c r="A16" s="80" t="s">
        <v>11827</v>
      </c>
      <c r="B16" s="62"/>
      <c r="C16" s="62"/>
      <c r="D16" s="62"/>
      <c r="E16" s="62"/>
      <c r="F16" s="62"/>
      <c r="G16" s="62"/>
      <c r="H16" s="62"/>
      <c r="I16" s="62"/>
      <c r="J16" s="62">
        <v>2</v>
      </c>
      <c r="K16" s="62"/>
      <c r="L16" s="62">
        <v>1</v>
      </c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/>
    </row>
    <row r="17" spans="1:39" s="63" customFormat="1" hidden="1" x14ac:dyDescent="0.25">
      <c r="A17" s="80" t="s">
        <v>12473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/>
    </row>
    <row r="18" spans="1:39" s="63" customFormat="1" x14ac:dyDescent="0.25">
      <c r="A18" s="80" t="s">
        <v>11746</v>
      </c>
      <c r="B18" s="62">
        <v>11</v>
      </c>
      <c r="C18" s="62"/>
      <c r="D18" s="62"/>
      <c r="E18" s="62"/>
      <c r="F18" s="62"/>
      <c r="G18" s="62"/>
      <c r="H18" s="62">
        <v>1</v>
      </c>
      <c r="I18" s="62">
        <v>2</v>
      </c>
      <c r="J18" s="62"/>
      <c r="K18" s="62">
        <v>11</v>
      </c>
      <c r="L18" s="62"/>
      <c r="M18" s="62"/>
      <c r="N18" s="62"/>
      <c r="O18" s="62"/>
      <c r="P18" s="62">
        <v>18.82</v>
      </c>
      <c r="Q18" s="62">
        <v>9</v>
      </c>
      <c r="R18" s="62"/>
      <c r="S18" s="62">
        <v>29.430000000000003</v>
      </c>
      <c r="T18" s="62">
        <v>15.6</v>
      </c>
      <c r="U18" s="62">
        <v>4.4000000000000004</v>
      </c>
      <c r="V18" s="62">
        <v>44.94</v>
      </c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/>
    </row>
    <row r="19" spans="1:39" s="63" customFormat="1" hidden="1" x14ac:dyDescent="0.25">
      <c r="A19" s="80" t="s">
        <v>11594</v>
      </c>
      <c r="B19" s="62"/>
      <c r="C19" s="62"/>
      <c r="D19" s="62">
        <v>5</v>
      </c>
      <c r="E19" s="62"/>
      <c r="F19" s="62">
        <v>1</v>
      </c>
      <c r="G19" s="62"/>
      <c r="H19" s="62">
        <v>1</v>
      </c>
      <c r="I19" s="62"/>
      <c r="J19" s="62"/>
      <c r="K19" s="62"/>
      <c r="L19" s="62"/>
      <c r="M19" s="62"/>
      <c r="N19" s="62"/>
      <c r="O19" s="62"/>
      <c r="P19" s="62"/>
      <c r="Q19" s="62">
        <v>1</v>
      </c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>
        <v>5</v>
      </c>
      <c r="AM19"/>
    </row>
    <row r="20" spans="1:39" s="63" customFormat="1" x14ac:dyDescent="0.25">
      <c r="A20" s="80" t="s">
        <v>11775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/>
    </row>
    <row r="21" spans="1:39" s="63" customFormat="1" x14ac:dyDescent="0.25">
      <c r="A21" s="80" t="s">
        <v>11828</v>
      </c>
      <c r="B21" s="62">
        <v>5</v>
      </c>
      <c r="C21" s="62"/>
      <c r="D21" s="62"/>
      <c r="E21" s="62"/>
      <c r="F21" s="62"/>
      <c r="G21" s="62"/>
      <c r="H21" s="62"/>
      <c r="I21" s="62">
        <v>3</v>
      </c>
      <c r="J21" s="62"/>
      <c r="K21" s="62"/>
      <c r="L21" s="62"/>
      <c r="M21" s="62"/>
      <c r="N21" s="62"/>
      <c r="O21" s="62"/>
      <c r="P21" s="62"/>
      <c r="Q21" s="62">
        <v>3</v>
      </c>
      <c r="R21" s="62"/>
      <c r="S21" s="62"/>
      <c r="T21" s="62">
        <v>10</v>
      </c>
      <c r="U21" s="62"/>
      <c r="V21" s="62">
        <v>10.4</v>
      </c>
      <c r="W21" s="62"/>
      <c r="X21" s="62"/>
      <c r="Y21" s="62">
        <v>11</v>
      </c>
      <c r="Z21" s="62">
        <v>2</v>
      </c>
      <c r="AA21" s="62">
        <v>6</v>
      </c>
      <c r="AB21" s="62"/>
      <c r="AC21" s="62"/>
      <c r="AD21" s="62"/>
      <c r="AE21" s="62">
        <v>8</v>
      </c>
      <c r="AF21" s="62"/>
      <c r="AG21" s="62"/>
      <c r="AH21" s="62"/>
      <c r="AI21" s="62"/>
      <c r="AJ21" s="62"/>
      <c r="AK21" s="62"/>
      <c r="AL21" s="62"/>
      <c r="AM21"/>
    </row>
    <row r="22" spans="1:39" s="63" customFormat="1" x14ac:dyDescent="0.25">
      <c r="A22" s="80" t="s">
        <v>12474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>
        <v>4</v>
      </c>
      <c r="Z22" s="62">
        <v>4</v>
      </c>
      <c r="AA22" s="62">
        <v>1</v>
      </c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/>
    </row>
    <row r="23" spans="1:39" s="63" customFormat="1" ht="19.5" customHeight="1" x14ac:dyDescent="0.25">
      <c r="A23" s="80" t="s">
        <v>12475</v>
      </c>
      <c r="B23" s="62"/>
      <c r="C23" s="62"/>
      <c r="D23" s="62">
        <v>1</v>
      </c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>
        <v>3</v>
      </c>
      <c r="Q23" s="62"/>
      <c r="R23" s="62"/>
      <c r="S23" s="62"/>
      <c r="T23" s="62"/>
      <c r="U23" s="62"/>
      <c r="V23" s="62">
        <v>6</v>
      </c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>
        <v>1</v>
      </c>
      <c r="AM23"/>
    </row>
    <row r="24" spans="1:39" s="63" customFormat="1" ht="19.5" customHeight="1" x14ac:dyDescent="0.25">
      <c r="A24" s="80" t="s">
        <v>12476</v>
      </c>
      <c r="B24" s="62"/>
      <c r="C24" s="62"/>
      <c r="D24" s="62"/>
      <c r="E24" s="62"/>
      <c r="F24" s="62"/>
      <c r="G24" s="62"/>
      <c r="H24" s="62"/>
      <c r="I24" s="62"/>
      <c r="J24" s="62"/>
      <c r="K24" s="62">
        <v>1</v>
      </c>
      <c r="L24" s="62"/>
      <c r="M24" s="62"/>
      <c r="N24" s="62"/>
      <c r="O24" s="62"/>
      <c r="P24" s="62">
        <v>1.68</v>
      </c>
      <c r="Q24" s="62">
        <v>2</v>
      </c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/>
    </row>
    <row r="25" spans="1:39" s="63" customFormat="1" ht="19.5" customHeight="1" x14ac:dyDescent="0.25">
      <c r="A25" s="80" t="s">
        <v>12477</v>
      </c>
      <c r="B25" s="62"/>
      <c r="C25" s="62"/>
      <c r="D25" s="62"/>
      <c r="E25" s="62"/>
      <c r="F25" s="62"/>
      <c r="G25" s="62"/>
      <c r="H25" s="62">
        <v>1</v>
      </c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>
        <v>1.82</v>
      </c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</row>
    <row r="26" spans="1:39" s="63" customFormat="1" ht="19.5" customHeight="1" x14ac:dyDescent="0.25">
      <c r="A26" s="80" t="s">
        <v>11851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</row>
    <row r="27" spans="1:39" s="63" customFormat="1" ht="19.5" customHeight="1" x14ac:dyDescent="0.25">
      <c r="A27" s="78" t="s">
        <v>11149</v>
      </c>
      <c r="B27" s="76">
        <v>20</v>
      </c>
      <c r="C27" s="76"/>
      <c r="D27" s="76">
        <v>12</v>
      </c>
      <c r="E27" s="76">
        <v>4</v>
      </c>
      <c r="F27" s="76">
        <v>1</v>
      </c>
      <c r="G27" s="76"/>
      <c r="H27" s="76">
        <v>11</v>
      </c>
      <c r="I27" s="76">
        <v>7</v>
      </c>
      <c r="J27" s="76">
        <v>3</v>
      </c>
      <c r="K27" s="76">
        <v>28</v>
      </c>
      <c r="L27" s="76">
        <v>7</v>
      </c>
      <c r="M27" s="76"/>
      <c r="N27" s="76">
        <v>2</v>
      </c>
      <c r="O27" s="76"/>
      <c r="P27" s="76">
        <v>53.26</v>
      </c>
      <c r="Q27" s="76">
        <v>28</v>
      </c>
      <c r="R27" s="76"/>
      <c r="S27" s="76">
        <v>54.670000000000009</v>
      </c>
      <c r="T27" s="76">
        <v>37.6</v>
      </c>
      <c r="U27" s="76">
        <v>12.8</v>
      </c>
      <c r="V27" s="76">
        <v>171.56</v>
      </c>
      <c r="W27" s="76"/>
      <c r="X27" s="76"/>
      <c r="Y27" s="76">
        <v>22</v>
      </c>
      <c r="Z27" s="76">
        <v>22</v>
      </c>
      <c r="AA27" s="76">
        <v>14</v>
      </c>
      <c r="AB27" s="76">
        <v>1</v>
      </c>
      <c r="AC27" s="76">
        <v>2</v>
      </c>
      <c r="AD27" s="76"/>
      <c r="AE27" s="76">
        <v>8</v>
      </c>
      <c r="AF27" s="76"/>
      <c r="AG27" s="76">
        <v>5</v>
      </c>
      <c r="AH27" s="76">
        <v>5</v>
      </c>
      <c r="AI27" s="76"/>
      <c r="AJ27" s="76"/>
      <c r="AK27" s="76"/>
      <c r="AL27" s="76">
        <v>12</v>
      </c>
    </row>
    <row r="28" spans="1:39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9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9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9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CONFIGURACION</vt:lpstr>
      <vt:lpstr>D_CECO</vt:lpstr>
      <vt:lpstr>BD_MO</vt:lpstr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02</dc:creator>
  <cp:lastModifiedBy>FRANK</cp:lastModifiedBy>
  <cp:lastPrinted>2022-04-09T16:32:11Z</cp:lastPrinted>
  <dcterms:created xsi:type="dcterms:W3CDTF">2022-04-10T02:54:43Z</dcterms:created>
  <dcterms:modified xsi:type="dcterms:W3CDTF">2022-05-06T13:47:03Z</dcterms:modified>
</cp:coreProperties>
</file>